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2610" yWindow="255" windowWidth="17235" windowHeight="11760" activeTab="2"/>
  </bookViews>
  <sheets>
    <sheet name="состав отдела" sheetId="1" r:id="rId1"/>
    <sheet name="План-отчет отдела" sheetId="2" r:id="rId2"/>
    <sheet name="Аршавский" sheetId="6" r:id="rId3"/>
    <sheet name="Синигаев" sheetId="8" r:id="rId4"/>
    <sheet name="Старая рабочая карточка" sheetId="3" state="hidden" r:id="rId5"/>
  </sheets>
  <definedNames>
    <definedName name="_xlnm._FilterDatabase" localSheetId="2" hidden="1">Аршавский!$A$6:$L$6</definedName>
    <definedName name="_xlnm._FilterDatabase" localSheetId="3" hidden="1">Синигаев!$A$6:$L$6</definedName>
    <definedName name="Исп">'План-отчет отдела'!$O$2:INDEX('План-отчет отдела'!$O$2:$O$13,COUNTIF('План-отчет отдела'!$O$2:$O$13,"&lt;&gt;0"))</definedName>
    <definedName name="_xlnm.Print_Area" localSheetId="0">'состав отдела'!$A$1:$I$17</definedName>
    <definedName name="раб1" localSheetId="3">SUMPRODUCT(LARGE(('План-отчет отдела'!$M$6:$M$44=Синигаев!$B$3)*ROW('План-отчет отдела'!$N$6:$N$44),COUNTIF('План-отчет отдела'!$M$6:$M$44,Синигаев!$B$3)))</definedName>
    <definedName name="раб1">SUMPRODUCT(LARGE(('План-отчет отдела'!$M$6:$M$44=Аршавский!$B$3)*ROW('План-отчет отдела'!$N$6:$N$44),COUNTIF('План-отчет отдела'!$M$6:$M$44,Аршавский!$B$3)))</definedName>
    <definedName name="раб10" localSheetId="3">SUMPRODUCT(LARGE(('План-отчет отдела'!$M$6:$M$44=Синигаев!$B$3)*ROW('План-отчет отдела'!$N$6:$N$44),COUNTIF('План-отчет отдела'!$M$6:$M$44,Синигаев!$B$3)-9))</definedName>
    <definedName name="раб10">SUMPRODUCT(LARGE(('План-отчет отдела'!$M$6:$M$44=Аршавский!$B$3)*ROW('План-отчет отдела'!$N$6:$N$44),COUNTIF('План-отчет отдела'!$M$6:$M$44,Аршавский!$B$3)-9))</definedName>
    <definedName name="раб2" localSheetId="3">SUMPRODUCT(LARGE(('План-отчет отдела'!$M$6:$M$44=Синигаев!$B$3)*ROW('План-отчет отдела'!$N$6:$N$44),COUNTIF('План-отчет отдела'!$M$6:$M$44,Синигаев!$B$3)-1))</definedName>
    <definedName name="раб2">SUMPRODUCT(LARGE(('План-отчет отдела'!$M$6:$M$44=Аршавский!$B$3)*ROW('План-отчет отдела'!$N$6:$N$44),COUNTIF('План-отчет отдела'!$M$6:$M$44,Аршавский!$B$3)-1))</definedName>
    <definedName name="раб3" localSheetId="3">SUMPRODUCT(LARGE(('План-отчет отдела'!$M$6:$M$44=Синигаев!$B$3)*ROW('План-отчет отдела'!$N$6:$N$44),COUNTIF('План-отчет отдела'!$M$6:$M$44,Синигаев!$B$3)-2))</definedName>
    <definedName name="раб3">SUMPRODUCT(LARGE(('План-отчет отдела'!$M$6:$M$44=Аршавский!$B$3)*ROW('План-отчет отдела'!$N$6:$N$44),COUNTIF('План-отчет отдела'!$M$6:$M$44,Аршавский!$B$3)-2))</definedName>
    <definedName name="раб4" localSheetId="3">SUMPRODUCT(LARGE(('План-отчет отдела'!$M$6:$M$44=Синигаев!$B$3)*ROW('План-отчет отдела'!$N$6:$N$44),COUNTIF('План-отчет отдела'!$M$6:$M$44,Синигаев!$B$3)-3))</definedName>
    <definedName name="раб4">SUMPRODUCT(LARGE(('План-отчет отдела'!$M$6:$M$44=Аршавский!$B$3)*ROW('План-отчет отдела'!$N$6:$N$44),COUNTIF('План-отчет отдела'!$M$6:$M$44,Аршавский!$B$3)-3))</definedName>
    <definedName name="раб5" localSheetId="3">SUMPRODUCT(LARGE(('План-отчет отдела'!$M$6:$M$44=Синигаев!$B$3)*ROW('План-отчет отдела'!$N$6:$N$44),COUNTIF('План-отчет отдела'!$M$6:$M$44,Синигаев!$B$3)-4))</definedName>
    <definedName name="раб5">SUMPRODUCT(LARGE(('План-отчет отдела'!$M$6:$M$44=Аршавский!$B$3)*ROW('План-отчет отдела'!$N$6:$N$44),COUNTIF('План-отчет отдела'!$M$6:$M$44,Аршавский!$B$3)-4))</definedName>
    <definedName name="раб6" localSheetId="3">SUMPRODUCT(LARGE(('План-отчет отдела'!$M$6:$M$44=Синигаев!$B$3)*ROW('План-отчет отдела'!$N$6:$N$44),COUNTIF('План-отчет отдела'!$M$6:$M$44,Синигаев!$B$3)-5))</definedName>
    <definedName name="раб6">SUMPRODUCT(LARGE(('План-отчет отдела'!$M$6:$M$44=Аршавский!$B$3)*ROW('План-отчет отдела'!$N$6:$N$44),COUNTIF('План-отчет отдела'!$M$6:$M$44,Аршавский!$B$3)-5))</definedName>
    <definedName name="раб7" localSheetId="3">SUMPRODUCT(LARGE(('План-отчет отдела'!$M$6:$M$44=Синигаев!$B$3)*ROW('План-отчет отдела'!$N$6:$N$44),COUNTIF('План-отчет отдела'!$M$6:$M$44,Синигаев!$B$3)-6))</definedName>
    <definedName name="раб7">SUMPRODUCT(LARGE(('План-отчет отдела'!$M$6:$M$44=Аршавский!$B$3)*ROW('План-отчет отдела'!$N$6:$N$44),COUNTIF('План-отчет отдела'!$M$6:$M$44,Аршавский!$B$3)-6))</definedName>
    <definedName name="раб8" localSheetId="3">SUMPRODUCT(LARGE(('План-отчет отдела'!$M$6:$M$44=Синигаев!$B$3)*ROW('План-отчет отдела'!$N$6:$N$44),COUNTIF('План-отчет отдела'!$M$6:$M$44,Синигаев!$B$3)-7))</definedName>
    <definedName name="раб8">SUMPRODUCT(LARGE(('План-отчет отдела'!$M$6:$M$44=Аршавский!$B$3)*ROW('План-отчет отдела'!$N$6:$N$44),COUNTIF('План-отчет отдела'!$M$6:$M$44,Аршавский!$B$3)-7))</definedName>
    <definedName name="раб9" localSheetId="3">SUMPRODUCT(LARGE(('План-отчет отдела'!$M$6:$M$44=Синигаев!$B$3)*ROW('План-отчет отдела'!$N$6:$N$44),COUNTIF('План-отчет отдела'!$M$6:$M$44,Синигаев!$B$3)-8))</definedName>
    <definedName name="раб9">SUMPRODUCT(LARGE(('План-отчет отдела'!$M$6:$M$44=Аршавский!$B$3)*ROW('План-отчет отдела'!$N$6:$N$44),COUNTIF('План-отчет отдела'!$M$6:$M$44,Аршавский!$B$3)-8))</definedName>
  </definedNames>
  <calcPr calcId="145621" fullPrecision="0"/>
</workbook>
</file>

<file path=xl/calcChain.xml><?xml version="1.0" encoding="utf-8"?>
<calcChain xmlns="http://schemas.openxmlformats.org/spreadsheetml/2006/main">
  <c r="D46" i="8" l="1"/>
  <c r="A46" i="8"/>
  <c r="J44" i="8"/>
  <c r="J43" i="8"/>
  <c r="B43" i="8"/>
  <c r="A43" i="8"/>
  <c r="D42" i="8"/>
  <c r="A42" i="8"/>
  <c r="J40" i="8"/>
  <c r="K40" i="8" s="1"/>
  <c r="J39" i="8"/>
  <c r="B39" i="8"/>
  <c r="A39" i="8"/>
  <c r="D38" i="8"/>
  <c r="A38" i="8"/>
  <c r="J36" i="8"/>
  <c r="J35" i="8"/>
  <c r="B35" i="8"/>
  <c r="A35" i="8"/>
  <c r="D34" i="8"/>
  <c r="A34" i="8"/>
  <c r="J32" i="8"/>
  <c r="K32" i="8" s="1"/>
  <c r="J31" i="8"/>
  <c r="B31" i="8"/>
  <c r="A31" i="8"/>
  <c r="D30" i="8"/>
  <c r="A30" i="8"/>
  <c r="J28" i="8"/>
  <c r="J27" i="8"/>
  <c r="B27" i="8"/>
  <c r="A27" i="8"/>
  <c r="D26" i="8"/>
  <c r="A26" i="8"/>
  <c r="J24" i="8"/>
  <c r="K24" i="8" s="1"/>
  <c r="J23" i="8"/>
  <c r="B23" i="8"/>
  <c r="A23" i="8"/>
  <c r="D22" i="8"/>
  <c r="A22" i="8"/>
  <c r="J20" i="8"/>
  <c r="J19" i="8"/>
  <c r="B19" i="8"/>
  <c r="A19" i="8"/>
  <c r="D18" i="8"/>
  <c r="A18" i="8"/>
  <c r="J16" i="8"/>
  <c r="J15" i="8"/>
  <c r="B15" i="8"/>
  <c r="A15" i="8"/>
  <c r="D14" i="8"/>
  <c r="A14" i="8"/>
  <c r="J12" i="8"/>
  <c r="J11" i="8"/>
  <c r="B11" i="8"/>
  <c r="A11" i="8"/>
  <c r="D10" i="8"/>
  <c r="A10" i="8"/>
  <c r="J8" i="8"/>
  <c r="J7" i="8"/>
  <c r="B7" i="8"/>
  <c r="A7" i="8"/>
  <c r="B5" i="8"/>
  <c r="H4" i="8"/>
  <c r="K4" i="8" s="1"/>
  <c r="H3" i="8"/>
  <c r="E3" i="8"/>
  <c r="B39" i="6"/>
  <c r="A39" i="6"/>
  <c r="B43" i="6"/>
  <c r="A43" i="6"/>
  <c r="A46" i="6"/>
  <c r="A42" i="6"/>
  <c r="A38" i="6"/>
  <c r="B35" i="6"/>
  <c r="A35" i="6"/>
  <c r="A34" i="6"/>
  <c r="B31" i="6"/>
  <c r="A31" i="6"/>
  <c r="A30" i="6"/>
  <c r="B27" i="6"/>
  <c r="A27" i="6"/>
  <c r="A26" i="6"/>
  <c r="D46" i="6"/>
  <c r="J44" i="6"/>
  <c r="J43" i="6"/>
  <c r="D42" i="6"/>
  <c r="J40" i="6"/>
  <c r="J39" i="6"/>
  <c r="D38" i="6"/>
  <c r="J36" i="6"/>
  <c r="J35" i="6"/>
  <c r="D34" i="6"/>
  <c r="J32" i="6"/>
  <c r="J31" i="6"/>
  <c r="D30" i="6"/>
  <c r="J28" i="6"/>
  <c r="J27" i="6"/>
  <c r="B5" i="6"/>
  <c r="K44" i="8" l="1"/>
  <c r="K7" i="8"/>
  <c r="K8" i="8"/>
  <c r="J13" i="8"/>
  <c r="J14" i="8" s="1"/>
  <c r="K15" i="8"/>
  <c r="K18" i="8" s="1"/>
  <c r="K16" i="8"/>
  <c r="J21" i="8"/>
  <c r="J22" i="8" s="1"/>
  <c r="K23" i="8"/>
  <c r="K26" i="8" s="1"/>
  <c r="J29" i="8"/>
  <c r="J30" i="8" s="1"/>
  <c r="K31" i="8"/>
  <c r="K34" i="8" s="1"/>
  <c r="J37" i="8"/>
  <c r="J38" i="8" s="1"/>
  <c r="K39" i="8"/>
  <c r="K42" i="8" s="1"/>
  <c r="J45" i="8"/>
  <c r="J46" i="8" s="1"/>
  <c r="J9" i="8"/>
  <c r="J10" i="8" s="1"/>
  <c r="J48" i="8" s="1"/>
  <c r="K11" i="8"/>
  <c r="K14" i="8" s="1"/>
  <c r="K12" i="8"/>
  <c r="J17" i="8"/>
  <c r="J18" i="8" s="1"/>
  <c r="K19" i="8"/>
  <c r="K20" i="8"/>
  <c r="J25" i="8"/>
  <c r="J26" i="8" s="1"/>
  <c r="K27" i="8"/>
  <c r="K28" i="8"/>
  <c r="J33" i="8"/>
  <c r="J34" i="8" s="1"/>
  <c r="K35" i="8"/>
  <c r="K36" i="8"/>
  <c r="J41" i="8"/>
  <c r="J42" i="8" s="1"/>
  <c r="K43" i="8"/>
  <c r="K46" i="8" s="1"/>
  <c r="D48" i="8"/>
  <c r="G44" i="2"/>
  <c r="H28" i="2"/>
  <c r="J33" i="2"/>
  <c r="H29" i="2"/>
  <c r="I37" i="2"/>
  <c r="H30" i="2"/>
  <c r="I33" i="2"/>
  <c r="I39" i="2"/>
  <c r="H32" i="2"/>
  <c r="H37" i="2"/>
  <c r="I32" i="2"/>
  <c r="H39" i="2"/>
  <c r="I28" i="2"/>
  <c r="I35" i="2"/>
  <c r="I29" i="2"/>
  <c r="H41" i="2"/>
  <c r="I43" i="2"/>
  <c r="I27" i="2"/>
  <c r="J41" i="2"/>
  <c r="H31" i="2"/>
  <c r="J40" i="2"/>
  <c r="H40" i="2"/>
  <c r="J31" i="2"/>
  <c r="H38" i="2"/>
  <c r="H33" i="2"/>
  <c r="I41" i="2"/>
  <c r="J28" i="2"/>
  <c r="I40" i="2"/>
  <c r="J35" i="2"/>
  <c r="H42" i="2"/>
  <c r="I38" i="2"/>
  <c r="I36" i="2"/>
  <c r="H43" i="2"/>
  <c r="I31" i="2"/>
  <c r="J27" i="2"/>
  <c r="H36" i="2"/>
  <c r="J39" i="2"/>
  <c r="H35" i="2"/>
  <c r="J42" i="2"/>
  <c r="J36" i="2"/>
  <c r="H27" i="2"/>
  <c r="I30" i="2"/>
  <c r="J38" i="2"/>
  <c r="I42" i="2"/>
  <c r="J37" i="2"/>
  <c r="J32" i="2"/>
  <c r="J43" i="2"/>
  <c r="K30" i="8" l="1"/>
  <c r="K10" i="8"/>
  <c r="K48" i="8" s="1"/>
  <c r="K38" i="8"/>
  <c r="K22" i="8"/>
  <c r="F1" i="2"/>
  <c r="J30" i="2"/>
  <c r="J29" i="2"/>
  <c r="A7" i="6" l="1"/>
  <c r="B7" i="6"/>
  <c r="A10" i="6"/>
  <c r="B11" i="6"/>
  <c r="A11" i="6"/>
  <c r="A14" i="6"/>
  <c r="A15" i="6"/>
  <c r="B15" i="6"/>
  <c r="A18" i="6"/>
  <c r="A22" i="6"/>
  <c r="A19" i="6"/>
  <c r="B19" i="6"/>
  <c r="A23" i="6"/>
  <c r="B23" i="6"/>
  <c r="I14" i="2"/>
  <c r="J20" i="2"/>
  <c r="J21" i="2"/>
  <c r="J25" i="2"/>
  <c r="J23" i="2"/>
  <c r="H22" i="2"/>
  <c r="I10" i="2"/>
  <c r="H9" i="2"/>
  <c r="J15" i="2"/>
  <c r="I9" i="2"/>
  <c r="H18" i="2"/>
  <c r="H17" i="2"/>
  <c r="J8" i="2"/>
  <c r="I13" i="2"/>
  <c r="I11" i="2"/>
  <c r="I20" i="2"/>
  <c r="H7" i="2"/>
  <c r="J13" i="2"/>
  <c r="J6" i="2"/>
  <c r="H20" i="2"/>
  <c r="H14" i="2"/>
  <c r="H21" i="2"/>
  <c r="I21" i="2"/>
  <c r="H8" i="2"/>
  <c r="J14" i="2"/>
  <c r="J9" i="2"/>
  <c r="J10" i="2"/>
  <c r="I6" i="2"/>
  <c r="J19" i="2"/>
  <c r="H23" i="2"/>
  <c r="J22" i="2"/>
  <c r="I22" i="2"/>
  <c r="H11" i="2"/>
  <c r="H12" i="2"/>
  <c r="H16" i="2"/>
  <c r="I12" i="2"/>
  <c r="H25" i="2"/>
  <c r="I19" i="2"/>
  <c r="J12" i="2"/>
  <c r="J17" i="2"/>
  <c r="H10" i="2"/>
  <c r="I17" i="2"/>
  <c r="H19" i="2"/>
  <c r="H13" i="2"/>
  <c r="H15" i="2"/>
  <c r="J11" i="2"/>
  <c r="H6" i="2"/>
  <c r="I15" i="2"/>
  <c r="I23" i="2"/>
  <c r="I25" i="2"/>
  <c r="I8" i="2"/>
  <c r="J24" i="6" l="1"/>
  <c r="J23" i="6"/>
  <c r="J20" i="6"/>
  <c r="J19" i="6"/>
  <c r="J16" i="6"/>
  <c r="J15" i="6"/>
  <c r="J12" i="6"/>
  <c r="J11" i="6"/>
  <c r="J8" i="6"/>
  <c r="J7" i="6"/>
  <c r="D10" i="6"/>
  <c r="H24" i="2"/>
  <c r="D26" i="6" l="1"/>
  <c r="D22" i="6"/>
  <c r="D18" i="6"/>
  <c r="D14" i="6"/>
  <c r="H4" i="6"/>
  <c r="H3" i="6"/>
  <c r="E3" i="6"/>
  <c r="H34" i="2"/>
  <c r="H26" i="2"/>
  <c r="J45" i="6" l="1"/>
  <c r="J46" i="6" s="1"/>
  <c r="K44" i="6"/>
  <c r="K43" i="6"/>
  <c r="K46" i="6" s="1"/>
  <c r="K40" i="6"/>
  <c r="K39" i="6"/>
  <c r="J41" i="6"/>
  <c r="J42" i="6" s="1"/>
  <c r="K36" i="6"/>
  <c r="K35" i="6"/>
  <c r="J37" i="6"/>
  <c r="J38" i="6" s="1"/>
  <c r="K32" i="6"/>
  <c r="K31" i="6"/>
  <c r="J33" i="6"/>
  <c r="J34" i="6" s="1"/>
  <c r="K12" i="6"/>
  <c r="K28" i="6"/>
  <c r="K27" i="6"/>
  <c r="J29" i="6"/>
  <c r="J30" i="6" s="1"/>
  <c r="H44" i="2"/>
  <c r="K23" i="6"/>
  <c r="K15" i="6"/>
  <c r="K24" i="6"/>
  <c r="K16" i="6"/>
  <c r="K19" i="6"/>
  <c r="K11" i="6"/>
  <c r="K20" i="6"/>
  <c r="J21" i="6"/>
  <c r="J22" i="6" s="1"/>
  <c r="K4" i="6"/>
  <c r="K8" i="6"/>
  <c r="J25" i="6"/>
  <c r="J26" i="6" s="1"/>
  <c r="K7" i="6"/>
  <c r="J9" i="6"/>
  <c r="J10" i="6" s="1"/>
  <c r="K14" i="6"/>
  <c r="J13" i="6"/>
  <c r="J14" i="6" s="1"/>
  <c r="J17" i="6"/>
  <c r="J18" i="6" s="1"/>
  <c r="D48" i="6"/>
  <c r="I7" i="2"/>
  <c r="I18" i="2"/>
  <c r="I16" i="2"/>
  <c r="J26" i="2"/>
  <c r="J16" i="2"/>
  <c r="I26" i="2"/>
  <c r="I34" i="2"/>
  <c r="I24" i="2"/>
  <c r="K38" i="6" l="1"/>
  <c r="K42" i="6"/>
  <c r="K34" i="6"/>
  <c r="K30" i="6"/>
  <c r="I44" i="2"/>
  <c r="K18" i="6"/>
  <c r="K10" i="6"/>
  <c r="K26" i="6"/>
  <c r="K22" i="6"/>
  <c r="J48" i="6"/>
  <c r="O2" i="2"/>
  <c r="J34" i="2"/>
  <c r="J7" i="2"/>
  <c r="J24" i="2"/>
  <c r="J18" i="2"/>
  <c r="J44" i="2" l="1"/>
  <c r="O3" i="2"/>
  <c r="O4" i="2" s="1"/>
  <c r="K48" i="6"/>
  <c r="O5" i="2" l="1"/>
  <c r="O6" i="2" s="1"/>
  <c r="O8" i="2" l="1"/>
  <c r="O9" i="2" l="1"/>
  <c r="O10" i="2" s="1"/>
  <c r="O11" i="2" l="1"/>
  <c r="O12" i="2" s="1"/>
  <c r="O13" i="2" s="1"/>
  <c r="B6" i="3"/>
  <c r="K14" i="3"/>
  <c r="J14" i="3"/>
  <c r="J13" i="3"/>
  <c r="D12" i="3"/>
  <c r="J11" i="3"/>
  <c r="J10" i="3"/>
  <c r="K10" i="3" s="1"/>
  <c r="K12" i="3" s="1"/>
  <c r="D9" i="3"/>
  <c r="J8" i="3"/>
  <c r="J7" i="3"/>
  <c r="K7" i="3" s="1"/>
  <c r="J6" i="3"/>
  <c r="K6" i="3" s="1"/>
  <c r="J4" i="3"/>
  <c r="J12" i="3"/>
  <c r="F6" i="1"/>
  <c r="E15" i="1"/>
  <c r="F13" i="1"/>
  <c r="F10" i="1"/>
  <c r="H15" i="1"/>
  <c r="G15" i="1"/>
  <c r="F9" i="1"/>
  <c r="F7" i="1"/>
  <c r="F8" i="1"/>
  <c r="F11" i="1"/>
  <c r="F12" i="1"/>
  <c r="F15" i="1" l="1"/>
  <c r="D15" i="3"/>
  <c r="K9" i="3"/>
  <c r="K15" i="3" s="1"/>
  <c r="J9" i="3"/>
  <c r="J15" i="3" s="1"/>
</calcChain>
</file>

<file path=xl/sharedStrings.xml><?xml version="1.0" encoding="utf-8"?>
<sst xmlns="http://schemas.openxmlformats.org/spreadsheetml/2006/main" count="290" uniqueCount="160">
  <si>
    <t>Итого:</t>
  </si>
  <si>
    <t xml:space="preserve">Ведущий инженер </t>
  </si>
  <si>
    <t>у.л.</t>
  </si>
  <si>
    <t>Час.</t>
  </si>
  <si>
    <t>Примечание</t>
  </si>
  <si>
    <t>Планируемое количество</t>
  </si>
  <si>
    <t>Норма выработки у.л./час</t>
  </si>
  <si>
    <t>Должность</t>
  </si>
  <si>
    <t>Ф.И.О.</t>
  </si>
  <si>
    <t>№ п./п.</t>
  </si>
  <si>
    <t>Фактическое количество</t>
  </si>
  <si>
    <t>Главный спец.</t>
  </si>
  <si>
    <t>Губанова Наталья Васильевна</t>
  </si>
  <si>
    <t>Половодова Наталья Георгиевна</t>
  </si>
  <si>
    <t>Синигаев Сергей Викторович</t>
  </si>
  <si>
    <t>Инженер I кат.</t>
  </si>
  <si>
    <t>Базайкин Юрий Ильич</t>
  </si>
  <si>
    <t>Козин Вадим Васильевич</t>
  </si>
  <si>
    <t>Аршавский Дмитрий Вячеславович</t>
  </si>
  <si>
    <t>Нач. отдела _______________________________             О. А. Фролов</t>
  </si>
  <si>
    <t>Веденяпина Анжелика Петровна</t>
  </si>
  <si>
    <t>Нач. ОПиОП _______________________________             Т. В. Бедарева</t>
  </si>
  <si>
    <t>Измайлова Жанна Владимировна</t>
  </si>
  <si>
    <t>Инженер II кат.</t>
  </si>
  <si>
    <t>Состав технологического отдела - ПЛАН</t>
  </si>
  <si>
    <t>Фролов Олег Александрович</t>
  </si>
  <si>
    <t>Нач. отдела</t>
  </si>
  <si>
    <t>№ п/п</t>
  </si>
  <si>
    <t xml:space="preserve">Наименование: Предприятие. Подразделение. Работа. </t>
  </si>
  <si>
    <t>№ задания цеха</t>
  </si>
  <si>
    <t xml:space="preserve">Вх. № РПКЦ </t>
  </si>
  <si>
    <t>Срок выполнения</t>
  </si>
  <si>
    <t>Объем работы</t>
  </si>
  <si>
    <t>Архивный номер</t>
  </si>
  <si>
    <t>№ накладной, дата или % вып.</t>
  </si>
  <si>
    <t>Исполнитель</t>
  </si>
  <si>
    <t xml:space="preserve">начало </t>
  </si>
  <si>
    <t>оконч.</t>
  </si>
  <si>
    <t>план</t>
  </si>
  <si>
    <t>отчет</t>
  </si>
  <si>
    <t>час</t>
  </si>
  <si>
    <t>физ.л.</t>
  </si>
  <si>
    <t>09.2017г.</t>
  </si>
  <si>
    <t>Губанова</t>
  </si>
  <si>
    <t>Синигаев</t>
  </si>
  <si>
    <t>КХП. ЦХУиПКХП. Эстакада погрузки полимеров в железнодорожный транспорт</t>
  </si>
  <si>
    <t>№138/51 от 07.02.2017г.</t>
  </si>
  <si>
    <t>022/96 от 13.02.2017г.</t>
  </si>
  <si>
    <t>08.2017г.</t>
  </si>
  <si>
    <t>2017.260-ТХ</t>
  </si>
  <si>
    <t>Измайлова</t>
  </si>
  <si>
    <t>№122/786 от 16.06.2017г.</t>
  </si>
  <si>
    <t>022/535 от 19.06.2017г.</t>
  </si>
  <si>
    <t>10.2017г.</t>
  </si>
  <si>
    <t>2017.326-ТХ</t>
  </si>
  <si>
    <t>Базайкин</t>
  </si>
  <si>
    <t>022/506 от 30.05.2017г.</t>
  </si>
  <si>
    <t>Веденяпина</t>
  </si>
  <si>
    <t>07.2017г.</t>
  </si>
  <si>
    <t>Доменный цех.  ДП №3. Капремонт II разряда в 2018г. Замена весоповерочного оборудования бункеров агломерата и кокса.</t>
  </si>
  <si>
    <t>№141/246 от 13.02.2017г.</t>
  </si>
  <si>
    <t>022/103 от 13.02.2017г.</t>
  </si>
  <si>
    <t>2016.533-ТХ</t>
  </si>
  <si>
    <t>Аршавский</t>
  </si>
  <si>
    <t>Козин</t>
  </si>
  <si>
    <t>Доменный цех.  ДП №3. Капремонт II разряда в 2018г.  Централизованная смазка оборудования воздухонагревателей №10, №11 и №12.                                       (МВЗ 2514101539)</t>
  </si>
  <si>
    <t>№141/927 от 30.052.2017г.</t>
  </si>
  <si>
    <t>022/509 от 01.06.2017г.</t>
  </si>
  <si>
    <t>2016.559-ТХ</t>
  </si>
  <si>
    <t>№141/164 от 31.01.2017г.</t>
  </si>
  <si>
    <t>022/69 от 31.01.2017г.</t>
  </si>
  <si>
    <t>2016.548-ТХ.ЗД</t>
  </si>
  <si>
    <t>Половодова</t>
  </si>
  <si>
    <t>Работа в группе проекта "Унификация оборудования ЕВРАЗ ЗСМК"</t>
  </si>
  <si>
    <t>Распоряжение Технического директора  от 22.05.2017г. №035/0150</t>
  </si>
  <si>
    <t>ВСЕГО</t>
  </si>
  <si>
    <t>Наименование объекта и вид работы</t>
  </si>
  <si>
    <t>№ чертежа</t>
  </si>
  <si>
    <t>Доля листа</t>
  </si>
  <si>
    <t>Степень готовн.</t>
  </si>
  <si>
    <t>Элемент работы</t>
  </si>
  <si>
    <t>Коэффиц. плотности</t>
  </si>
  <si>
    <t>Коэффиц. Сложности</t>
  </si>
  <si>
    <t>Коэфициент аналогии</t>
  </si>
  <si>
    <t>Объем в условных листах</t>
  </si>
  <si>
    <t>Кол-во часов</t>
  </si>
  <si>
    <t>1</t>
  </si>
  <si>
    <t>2016.553-ТХ.ЗД                                             АО "ЕВРАЗ ЗСМК". Доменный цех. ДП №3. Капремонт II разряда в 2018г. Замена весоповерочного оборудования бункеров агломерата и кокса</t>
  </si>
  <si>
    <t xml:space="preserve">2016.553-ТХ.ЗД1(л.1) </t>
  </si>
  <si>
    <t xml:space="preserve">2016.553-ТХ.ЗД1(л.2) </t>
  </si>
  <si>
    <t>Сбор исходных данных, поиск чертежей, выход в цех</t>
  </si>
  <si>
    <t>Всего</t>
  </si>
  <si>
    <t>2</t>
  </si>
  <si>
    <t>2013.554-ТХ                                              АО "ЕВРАЗ ЗСМК". Доменный цех. ДП №2. Вакуумная пылеуборка перегрузочной станции №3</t>
  </si>
  <si>
    <t xml:space="preserve">Эскиз №1 к 2013.554-ТХ по ходу ремонта </t>
  </si>
  <si>
    <t>3</t>
  </si>
  <si>
    <t>Отпуск</t>
  </si>
  <si>
    <t>4</t>
  </si>
  <si>
    <t>Унификация оборудования</t>
  </si>
  <si>
    <t>40%, Распоряжение 035/0150 от 22.05.2017</t>
  </si>
  <si>
    <t>5</t>
  </si>
  <si>
    <t>ИТОГО</t>
  </si>
  <si>
    <t>Р А Б О Ч А Я  К А Р Т О Ч К А</t>
  </si>
  <si>
    <t>Отдел</t>
  </si>
  <si>
    <t xml:space="preserve">  технологический</t>
  </si>
  <si>
    <r>
      <t>Фамилия И.О.</t>
    </r>
    <r>
      <rPr>
        <i/>
        <sz val="14"/>
        <rFont val="Arial"/>
        <family val="2"/>
        <charset val="204"/>
      </rPr>
      <t xml:space="preserve"> </t>
    </r>
    <r>
      <rPr>
        <b/>
        <i/>
        <sz val="14"/>
        <rFont val="Arial"/>
        <family val="2"/>
        <charset val="204"/>
      </rPr>
      <t xml:space="preserve">         Аршавский Д.В.</t>
    </r>
  </si>
  <si>
    <t>к =</t>
  </si>
  <si>
    <t>месяц</t>
  </si>
  <si>
    <t>2017 г.</t>
  </si>
  <si>
    <t>.</t>
  </si>
  <si>
    <t>ч =</t>
  </si>
  <si>
    <t>листов</t>
  </si>
  <si>
    <t>Технологический отдел</t>
  </si>
  <si>
    <t>Сбор исходных данных, выход в цех</t>
  </si>
  <si>
    <t>Архивный №</t>
  </si>
  <si>
    <t>октябрь 2017 г.</t>
  </si>
  <si>
    <t xml:space="preserve">Отпуск с 09 по 27октября (120 ч.)  </t>
  </si>
  <si>
    <t xml:space="preserve">Отпуск с 02 по 20 октября (120 ч.)  </t>
  </si>
  <si>
    <t>План работ технологического отдела на</t>
  </si>
  <si>
    <t>Доменный цех.  ДП №3. Капремонт II разряда в 2018г. Замена защитных шкафов для датчиков перепада давления системы вдувания ПУТ в ДП №3 (PDIT).                                                  (МВЗ 2514101539)</t>
  </si>
  <si>
    <t>№141/95 от 18.01.2017г.</t>
  </si>
  <si>
    <t>022/42 от 20.01.2017г.</t>
  </si>
  <si>
    <t>Доменный цех.  ДП №3. Капремонт II разряда в 2018г.                                    Замена системы охлаждения низа печи.                                                                  Коллектор распределительный.   (МВЗ 2514101539)</t>
  </si>
  <si>
    <t>№141/1747 от 16.12.2016г.</t>
  </si>
  <si>
    <t>022/586 от 16.12.2016г.</t>
  </si>
  <si>
    <t>Доменный цех.  ДП №3. Капремонт II разряда в 2018г. Замена системы охлаждения низа печи.   Бак сливной.                                                        (МВЗ 2514101539)</t>
  </si>
  <si>
    <t>11.2017г.</t>
  </si>
  <si>
    <t xml:space="preserve">ЭСПЦ. Опасные зоны нахождения работников возле печей. (Предписание РТН). МВЗ 2512701510, МВЗ 2512702510,                 МВЗ 2512703510.  </t>
  </si>
  <si>
    <t>№127/950 от 14.06.2017г.</t>
  </si>
  <si>
    <t>022/528 от 16.06.2017г.</t>
  </si>
  <si>
    <t>Аглофабрика. Футеровка окомкователей ОБ 3,2х12,5 высокомолекулярным полиэтиленом</t>
  </si>
  <si>
    <t>РП. ЭСПЦ. Дуговая сталеплавильная печь №1 (ДСП100И7).     Демонтаж оборудования. (МВЗ 2512701510).</t>
  </si>
  <si>
    <t xml:space="preserve">№127/854 от 25.05.2017г. </t>
  </si>
  <si>
    <t>КХП. ОУП, ООД-1.  Установка просеивающих сит.                                                     (Протокол БСЕ-Т).    (МВЗ 2510200110).</t>
  </si>
  <si>
    <t xml:space="preserve">№        /1308 от 15.08.2017г. </t>
  </si>
  <si>
    <t>022/608 от 28.08.2017г.</t>
  </si>
  <si>
    <t>ККЦ-2. УДМ-5. Установка трайбаппарата.                                    (МВЗ 25115201110).</t>
  </si>
  <si>
    <t>№152/1753 от2017г.</t>
  </si>
  <si>
    <t>022/542 от 23.06.2017г.</t>
  </si>
  <si>
    <t>10.2017</t>
  </si>
  <si>
    <t>12.2017</t>
  </si>
  <si>
    <t>Доменный цех.  ДП №3. Капремонт II разряда в 2018г. Установка на литейных дворах гидравлического оборудования фирмы ТМТ. (МВЗ 2514101539)</t>
  </si>
  <si>
    <t>Доменный цех. Разливочные машины №1 и №2. Механизация перекидных лотков.   (МВЗ 2514101539)</t>
  </si>
  <si>
    <t>№141/915 от 29.05.2017г.</t>
  </si>
  <si>
    <t>022/503 от 30.05.2017г.</t>
  </si>
  <si>
    <t>Доменный цех.  ДП №3. Капремонт II разряда в 2018г. Установка защиты площадок фурменных приборов над летками.           (МВЗ 2514101539)</t>
  </si>
  <si>
    <t>2017.395-ТХ</t>
  </si>
  <si>
    <t>2017.295-ТХ</t>
  </si>
  <si>
    <t>2016.544-ТХ</t>
  </si>
  <si>
    <t>2016.532-ВК1-01</t>
  </si>
  <si>
    <t>2016.532-ВК1-10</t>
  </si>
  <si>
    <t>2017.325-ТХ</t>
  </si>
  <si>
    <t>2017.294-ТХ</t>
  </si>
  <si>
    <t>2017.404-ТХ</t>
  </si>
  <si>
    <t>2017.336-ТХ</t>
  </si>
  <si>
    <t>-</t>
  </si>
  <si>
    <t>Начальник технологического отдела</t>
  </si>
  <si>
    <t>О.А. Фролов</t>
  </si>
  <si>
    <t>Директор РПКЦ</t>
  </si>
  <si>
    <t>С.А. Посконин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</si>
</sst>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2" x14ac:knownFonts="1">
    <font>
      <sz val="10"/>
      <name val="Arial"/>
    </font>
    <font>
      <sz val="10"/>
      <name val="Arial Cyr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4"/>
      <name val="Times New Roman"/>
      <family val="1"/>
      <charset val="204"/>
    </font>
    <font>
      <sz val="8"/>
      <name val="Arial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u/>
      <sz val="11"/>
      <name val="Arial"/>
      <family val="2"/>
      <charset val="204"/>
    </font>
    <font>
      <b/>
      <i/>
      <sz val="11"/>
      <name val="Arial Cyr"/>
      <charset val="204"/>
    </font>
    <font>
      <b/>
      <i/>
      <u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/>
    <xf numFmtId="0" fontId="3" fillId="0" borderId="0" xfId="1" applyFont="1"/>
    <xf numFmtId="0" fontId="3" fillId="0" borderId="0" xfId="1" applyFont="1" applyAlignment="1">
      <alignment horizontal="center" vertical="center"/>
    </xf>
    <xf numFmtId="9" fontId="3" fillId="0" borderId="0" xfId="2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top" wrapText="1"/>
    </xf>
    <xf numFmtId="0" fontId="7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Font="1" applyProtection="1"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12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4" fillId="2" borderId="2" xfId="1" applyNumberFormat="1" applyFont="1" applyFill="1" applyBorder="1" applyAlignment="1" applyProtection="1">
      <alignment horizontal="center" vertical="top" wrapText="1"/>
      <protection locked="0"/>
    </xf>
    <xf numFmtId="0" fontId="4" fillId="2" borderId="3" xfId="1" applyNumberFormat="1" applyFont="1" applyFill="1" applyBorder="1" applyAlignment="1" applyProtection="1">
      <alignment horizontal="center" vertical="top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3" borderId="18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21" xfId="0" applyNumberFormat="1" applyFont="1" applyFill="1" applyBorder="1" applyAlignment="1">
      <alignment horizontal="center" vertical="center"/>
    </xf>
    <xf numFmtId="164" fontId="7" fillId="3" borderId="20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64" fontId="17" fillId="0" borderId="0" xfId="0" applyNumberFormat="1" applyFont="1" applyBorder="1" applyAlignment="1">
      <alignment horizontal="left" vertical="center"/>
    </xf>
    <xf numFmtId="0" fontId="10" fillId="0" borderId="0" xfId="0" applyFont="1"/>
    <xf numFmtId="0" fontId="1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3" fillId="0" borderId="24" xfId="0" applyFont="1" applyBorder="1" applyAlignment="1"/>
    <xf numFmtId="0" fontId="3" fillId="0" borderId="0" xfId="0" applyFont="1" applyBorder="1" applyAlignment="1">
      <alignment horizontal="left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textRotation="90" wrapText="1"/>
    </xf>
    <xf numFmtId="2" fontId="7" fillId="0" borderId="3" xfId="0" applyNumberFormat="1" applyFont="1" applyBorder="1" applyAlignment="1">
      <alignment horizontal="center" vertical="center" textRotation="90" wrapText="1"/>
    </xf>
    <xf numFmtId="164" fontId="7" fillId="0" borderId="9" xfId="0" applyNumberFormat="1" applyFont="1" applyBorder="1" applyAlignment="1">
      <alignment horizontal="center" vertical="center" textRotation="90" wrapText="1"/>
    </xf>
    <xf numFmtId="2" fontId="12" fillId="0" borderId="2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164" fontId="7" fillId="0" borderId="2" xfId="0" applyNumberFormat="1" applyFont="1" applyBorder="1" applyAlignment="1">
      <alignment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164" fontId="14" fillId="0" borderId="9" xfId="0" applyNumberFormat="1" applyFont="1" applyFill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4" fillId="0" borderId="0" xfId="0" applyFont="1"/>
    <xf numFmtId="0" fontId="3" fillId="0" borderId="0" xfId="0" applyNumberFormat="1" applyFont="1"/>
    <xf numFmtId="164" fontId="7" fillId="3" borderId="19" xfId="0" applyNumberFormat="1" applyFont="1" applyFill="1" applyBorder="1" applyAlignment="1">
      <alignment horizontal="center" vertical="center"/>
    </xf>
    <xf numFmtId="1" fontId="7" fillId="3" borderId="19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top"/>
    </xf>
    <xf numFmtId="0" fontId="4" fillId="0" borderId="24" xfId="0" applyFont="1" applyBorder="1" applyAlignment="1"/>
    <xf numFmtId="0" fontId="3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/>
    </xf>
    <xf numFmtId="0" fontId="0" fillId="3" borderId="0" xfId="0" applyFill="1"/>
    <xf numFmtId="164" fontId="7" fillId="3" borderId="22" xfId="0" applyNumberFormat="1" applyFont="1" applyFill="1" applyBorder="1" applyAlignment="1">
      <alignment horizontal="center" vertical="center"/>
    </xf>
    <xf numFmtId="1" fontId="7" fillId="3" borderId="22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3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9" fontId="10" fillId="3" borderId="25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9" fontId="3" fillId="3" borderId="25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 wrapText="1"/>
    </xf>
    <xf numFmtId="0" fontId="21" fillId="0" borderId="24" xfId="0" applyFont="1" applyBorder="1"/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20" xfId="0" applyFont="1" applyFill="1" applyBorder="1" applyAlignment="1">
      <alignment horizontal="center" vertical="center" wrapText="1"/>
    </xf>
    <xf numFmtId="0" fontId="3" fillId="3" borderId="0" xfId="0" applyFont="1" applyFill="1" applyProtection="1"/>
    <xf numFmtId="0" fontId="12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right" vertical="center"/>
    </xf>
    <xf numFmtId="164" fontId="19" fillId="3" borderId="0" xfId="0" applyNumberFormat="1" applyFont="1" applyFill="1" applyBorder="1" applyAlignment="1" applyProtection="1">
      <alignment horizontal="left" vertical="center"/>
    </xf>
    <xf numFmtId="0" fontId="12" fillId="3" borderId="0" xfId="0" applyNumberFormat="1" applyFont="1" applyFill="1" applyBorder="1" applyAlignment="1" applyProtection="1">
      <alignment vertical="center"/>
    </xf>
    <xf numFmtId="0" fontId="12" fillId="3" borderId="24" xfId="0" applyFont="1" applyFill="1" applyBorder="1" applyAlignment="1" applyProtection="1">
      <alignment horizontal="left" vertical="center"/>
    </xf>
    <xf numFmtId="0" fontId="12" fillId="3" borderId="24" xfId="0" applyFont="1" applyFill="1" applyBorder="1" applyAlignment="1" applyProtection="1">
      <alignment vertical="center"/>
    </xf>
    <xf numFmtId="164" fontId="12" fillId="3" borderId="0" xfId="0" applyNumberFormat="1" applyFont="1" applyFill="1" applyBorder="1" applyAlignment="1" applyProtection="1">
      <alignment horizontal="left" indent="1"/>
    </xf>
    <xf numFmtId="0" fontId="3" fillId="3" borderId="0" xfId="0" applyFont="1" applyFill="1" applyBorder="1" applyAlignment="1" applyProtection="1"/>
    <xf numFmtId="2" fontId="12" fillId="3" borderId="3" xfId="0" applyNumberFormat="1" applyFont="1" applyFill="1" applyBorder="1" applyAlignment="1">
      <alignment horizontal="center" vertical="center" textRotation="90" wrapText="1"/>
    </xf>
    <xf numFmtId="2" fontId="3" fillId="3" borderId="9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textRotation="90" wrapText="1"/>
    </xf>
    <xf numFmtId="2" fontId="3" fillId="3" borderId="3" xfId="0" applyNumberFormat="1" applyFont="1" applyFill="1" applyBorder="1" applyAlignment="1">
      <alignment horizontal="center" vertical="center" textRotation="90" wrapText="1"/>
    </xf>
    <xf numFmtId="164" fontId="3" fillId="3" borderId="9" xfId="0" applyNumberFormat="1" applyFont="1" applyFill="1" applyBorder="1" applyAlignment="1">
      <alignment horizontal="center" vertical="center" textRotation="90" wrapText="1"/>
    </xf>
    <xf numFmtId="0" fontId="12" fillId="3" borderId="16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textRotation="90"/>
    </xf>
    <xf numFmtId="2" fontId="3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2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/>
    </xf>
    <xf numFmtId="165" fontId="12" fillId="3" borderId="2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4" fillId="0" borderId="17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/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0" fontId="0" fillId="0" borderId="0" xfId="0" applyAlignment="1">
      <alignment wrapText="1"/>
    </xf>
    <xf numFmtId="0" fontId="5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9" fontId="3" fillId="3" borderId="24" xfId="0" applyNumberFormat="1" applyFont="1" applyFill="1" applyBorder="1" applyAlignment="1">
      <alignment horizontal="center" vertical="center" wrapText="1"/>
    </xf>
    <xf numFmtId="9" fontId="3" fillId="3" borderId="15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49" fontId="10" fillId="3" borderId="24" xfId="0" applyNumberFormat="1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/>
    </xf>
    <xf numFmtId="49" fontId="10" fillId="3" borderId="17" xfId="0" applyNumberFormat="1" applyFont="1" applyFill="1" applyBorder="1" applyAlignment="1">
      <alignment horizontal="center" vertical="center"/>
    </xf>
    <xf numFmtId="49" fontId="10" fillId="3" borderId="2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9" fontId="3" fillId="3" borderId="0" xfId="0" applyNumberFormat="1" applyFont="1" applyFill="1" applyBorder="1" applyAlignment="1">
      <alignment horizontal="center" vertical="center" wrapText="1"/>
    </xf>
    <xf numFmtId="49" fontId="10" fillId="3" borderId="0" xfId="0" applyNumberFormat="1" applyFont="1" applyFill="1" applyBorder="1" applyAlignment="1">
      <alignment horizontal="center" vertical="center"/>
    </xf>
    <xf numFmtId="49" fontId="10" fillId="3" borderId="23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9" fontId="3" fillId="3" borderId="17" xfId="0" applyNumberFormat="1" applyFont="1" applyFill="1" applyBorder="1" applyAlignment="1">
      <alignment horizontal="center" vertical="center" wrapText="1"/>
    </xf>
    <xf numFmtId="9" fontId="3" fillId="3" borderId="20" xfId="0" applyNumberFormat="1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21" fillId="0" borderId="24" xfId="0" applyFont="1" applyBorder="1"/>
    <xf numFmtId="0" fontId="21" fillId="0" borderId="0" xfId="0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36" xfId="0" applyFont="1" applyBorder="1"/>
    <xf numFmtId="0" fontId="3" fillId="0" borderId="27" xfId="0" applyFont="1" applyBorder="1"/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/>
    </xf>
    <xf numFmtId="0" fontId="3" fillId="0" borderId="38" xfId="0" applyFont="1" applyBorder="1"/>
    <xf numFmtId="0" fontId="3" fillId="0" borderId="26" xfId="0" applyFont="1" applyBorder="1" applyAlignment="1">
      <alignment horizontal="center"/>
    </xf>
    <xf numFmtId="0" fontId="12" fillId="3" borderId="13" xfId="0" applyFont="1" applyFill="1" applyBorder="1" applyAlignment="1">
      <alignment horizontal="center" vertical="center" textRotation="90"/>
    </xf>
    <xf numFmtId="0" fontId="12" fillId="3" borderId="35" xfId="0" applyFont="1" applyFill="1" applyBorder="1" applyAlignment="1">
      <alignment horizontal="center" vertical="center" textRotation="90"/>
    </xf>
    <xf numFmtId="0" fontId="12" fillId="3" borderId="16" xfId="0" applyFont="1" applyFill="1" applyBorder="1" applyAlignment="1">
      <alignment horizontal="center" vertical="center" textRotation="90"/>
    </xf>
    <xf numFmtId="0" fontId="3" fillId="3" borderId="17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12" fillId="3" borderId="15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2" fillId="0" borderId="24" xfId="0" applyFont="1" applyBorder="1" applyAlignment="1">
      <alignment horizontal="left" vertical="center"/>
    </xf>
    <xf numFmtId="164" fontId="14" fillId="0" borderId="9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164" fontId="14" fillId="0" borderId="33" xfId="0" applyNumberFormat="1" applyFont="1" applyBorder="1" applyAlignment="1">
      <alignment horizontal="center" vertical="center" wrapText="1"/>
    </xf>
    <xf numFmtId="164" fontId="14" fillId="0" borderId="24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L17"/>
  <sheetViews>
    <sheetView zoomScaleNormal="100" zoomScaleSheetLayoutView="100" workbookViewId="0">
      <selection activeCell="N11" sqref="N11"/>
    </sheetView>
  </sheetViews>
  <sheetFormatPr defaultRowHeight="18" x14ac:dyDescent="0.25"/>
  <cols>
    <col min="1" max="1" width="8.28515625" style="1" customWidth="1"/>
    <col min="2" max="2" width="37.42578125" style="1" customWidth="1"/>
    <col min="3" max="3" width="20.28515625" style="1" customWidth="1"/>
    <col min="4" max="4" width="14.5703125" style="2" customWidth="1"/>
    <col min="5" max="5" width="12" style="1" customWidth="1"/>
    <col min="6" max="6" width="10.7109375" style="1" customWidth="1"/>
    <col min="7" max="7" width="10.28515625" style="1" customWidth="1"/>
    <col min="8" max="8" width="9.140625" style="1"/>
    <col min="9" max="9" width="20.7109375" style="1" customWidth="1"/>
    <col min="10" max="12" width="9.140625" style="1" hidden="1" customWidth="1"/>
    <col min="13" max="16384" width="9.140625" style="1"/>
  </cols>
  <sheetData>
    <row r="1" spans="1:10" s="5" customFormat="1" ht="18.75" customHeight="1" x14ac:dyDescent="0.25">
      <c r="A1" s="178" t="s">
        <v>24</v>
      </c>
      <c r="B1" s="179"/>
      <c r="C1" s="179"/>
      <c r="D1" s="180"/>
      <c r="E1" s="180"/>
      <c r="F1" s="187"/>
      <c r="G1" s="188"/>
      <c r="I1" s="114" t="s">
        <v>115</v>
      </c>
    </row>
    <row r="2" spans="1:10" s="5" customFormat="1" ht="15.75" thickBot="1" x14ac:dyDescent="0.25">
      <c r="A2" s="8"/>
      <c r="D2" s="6"/>
    </row>
    <row r="3" spans="1:10" s="5" customFormat="1" ht="37.5" customHeight="1" thickBot="1" x14ac:dyDescent="0.25">
      <c r="A3" s="183" t="s">
        <v>9</v>
      </c>
      <c r="B3" s="181" t="s">
        <v>8</v>
      </c>
      <c r="C3" s="183" t="s">
        <v>7</v>
      </c>
      <c r="D3" s="185" t="s">
        <v>6</v>
      </c>
      <c r="E3" s="192" t="s">
        <v>5</v>
      </c>
      <c r="F3" s="193"/>
      <c r="G3" s="189" t="s">
        <v>10</v>
      </c>
      <c r="H3" s="190"/>
      <c r="I3" s="175" t="s">
        <v>4</v>
      </c>
    </row>
    <row r="4" spans="1:10" s="5" customFormat="1" ht="21.75" customHeight="1" thickBot="1" x14ac:dyDescent="0.25">
      <c r="A4" s="191"/>
      <c r="B4" s="182"/>
      <c r="C4" s="184"/>
      <c r="D4" s="186"/>
      <c r="E4" s="10" t="s">
        <v>3</v>
      </c>
      <c r="F4" s="11" t="s">
        <v>2</v>
      </c>
      <c r="G4" s="10" t="s">
        <v>3</v>
      </c>
      <c r="H4" s="10" t="s">
        <v>2</v>
      </c>
      <c r="I4" s="176"/>
    </row>
    <row r="5" spans="1:10" s="5" customFormat="1" ht="33.75" customHeight="1" x14ac:dyDescent="0.2">
      <c r="A5" s="20">
        <v>1</v>
      </c>
      <c r="B5" s="27" t="s">
        <v>25</v>
      </c>
      <c r="C5" s="9" t="s">
        <v>26</v>
      </c>
      <c r="E5" s="111">
        <v>176</v>
      </c>
      <c r="F5" s="29"/>
      <c r="G5" s="28"/>
      <c r="H5" s="28"/>
      <c r="I5" s="9"/>
    </row>
    <row r="6" spans="1:10" s="5" customFormat="1" ht="33.75" customHeight="1" x14ac:dyDescent="0.2">
      <c r="A6" s="9">
        <v>2</v>
      </c>
      <c r="B6" s="14" t="s">
        <v>17</v>
      </c>
      <c r="C6" s="9" t="s">
        <v>11</v>
      </c>
      <c r="D6" s="25">
        <v>8.5000000000000006E-2</v>
      </c>
      <c r="E6" s="111">
        <v>56</v>
      </c>
      <c r="F6" s="30">
        <f>D6*E6</f>
        <v>4.76</v>
      </c>
      <c r="G6" s="28"/>
      <c r="H6" s="28"/>
      <c r="I6" s="112" t="s">
        <v>116</v>
      </c>
    </row>
    <row r="7" spans="1:10" s="5" customFormat="1" ht="34.5" customHeight="1" x14ac:dyDescent="0.2">
      <c r="A7" s="9">
        <v>3</v>
      </c>
      <c r="B7" s="18" t="s">
        <v>14</v>
      </c>
      <c r="C7" s="9" t="s">
        <v>11</v>
      </c>
      <c r="D7" s="25">
        <v>8.5000000000000006E-2</v>
      </c>
      <c r="E7" s="111">
        <v>176</v>
      </c>
      <c r="F7" s="30">
        <f>D7*E7</f>
        <v>14.96</v>
      </c>
      <c r="G7" s="28"/>
      <c r="H7" s="31"/>
      <c r="I7" s="9"/>
    </row>
    <row r="8" spans="1:10" s="5" customFormat="1" ht="33.75" customHeight="1" x14ac:dyDescent="0.2">
      <c r="A8" s="9">
        <v>4</v>
      </c>
      <c r="B8" s="15" t="s">
        <v>16</v>
      </c>
      <c r="C8" s="9" t="s">
        <v>1</v>
      </c>
      <c r="D8" s="25">
        <v>7.4999999999999997E-2</v>
      </c>
      <c r="E8" s="111">
        <v>176</v>
      </c>
      <c r="F8" s="32">
        <f>E8*D8</f>
        <v>13.2</v>
      </c>
      <c r="G8" s="28"/>
      <c r="H8" s="28"/>
      <c r="I8" s="9"/>
    </row>
    <row r="9" spans="1:10" s="5" customFormat="1" ht="33.75" customHeight="1" x14ac:dyDescent="0.2">
      <c r="A9" s="9">
        <v>5</v>
      </c>
      <c r="B9" s="19" t="s">
        <v>13</v>
      </c>
      <c r="C9" s="9" t="s">
        <v>1</v>
      </c>
      <c r="D9" s="25">
        <v>7.4999999999999997E-2</v>
      </c>
      <c r="E9" s="111">
        <v>176</v>
      </c>
      <c r="F9" s="30">
        <f>E9*D9</f>
        <v>13.2</v>
      </c>
      <c r="G9" s="28"/>
      <c r="H9" s="33"/>
      <c r="I9" s="9"/>
    </row>
    <row r="10" spans="1:10" s="5" customFormat="1" ht="33.75" customHeight="1" x14ac:dyDescent="0.2">
      <c r="A10" s="9">
        <v>6</v>
      </c>
      <c r="B10" s="17" t="s">
        <v>20</v>
      </c>
      <c r="C10" s="9" t="s">
        <v>1</v>
      </c>
      <c r="D10" s="25">
        <v>7.4999999999999997E-2</v>
      </c>
      <c r="E10" s="111">
        <v>176</v>
      </c>
      <c r="F10" s="34">
        <f>D10*E10</f>
        <v>13.2</v>
      </c>
      <c r="G10" s="28"/>
      <c r="H10" s="28"/>
      <c r="I10" s="9"/>
    </row>
    <row r="11" spans="1:10" s="5" customFormat="1" ht="34.5" customHeight="1" x14ac:dyDescent="0.2">
      <c r="A11" s="13">
        <v>7</v>
      </c>
      <c r="B11" s="14" t="s">
        <v>12</v>
      </c>
      <c r="C11" s="13" t="s">
        <v>15</v>
      </c>
      <c r="D11" s="26">
        <v>7.0999999999999994E-2</v>
      </c>
      <c r="E11" s="111">
        <v>56</v>
      </c>
      <c r="F11" s="30">
        <f>E11*D11</f>
        <v>3.976</v>
      </c>
      <c r="G11" s="28"/>
      <c r="H11" s="28"/>
      <c r="I11" s="112" t="s">
        <v>117</v>
      </c>
    </row>
    <row r="12" spans="1:10" s="5" customFormat="1" ht="34.5" customHeight="1" x14ac:dyDescent="0.2">
      <c r="A12" s="9">
        <v>8</v>
      </c>
      <c r="B12" s="17" t="s">
        <v>18</v>
      </c>
      <c r="C12" s="9" t="s">
        <v>15</v>
      </c>
      <c r="D12" s="25">
        <v>7.0999999999999994E-2</v>
      </c>
      <c r="E12" s="111">
        <v>176</v>
      </c>
      <c r="F12" s="34">
        <f>E12*D12</f>
        <v>12.496</v>
      </c>
      <c r="G12" s="28"/>
      <c r="H12" s="28"/>
      <c r="I12" s="9"/>
      <c r="J12" s="7"/>
    </row>
    <row r="13" spans="1:10" ht="33.75" customHeight="1" x14ac:dyDescent="0.25">
      <c r="A13" s="9">
        <v>9</v>
      </c>
      <c r="B13" s="14" t="s">
        <v>22</v>
      </c>
      <c r="C13" s="13" t="s">
        <v>23</v>
      </c>
      <c r="D13" s="26">
        <v>6.5000000000000002E-2</v>
      </c>
      <c r="E13" s="111">
        <v>176</v>
      </c>
      <c r="F13" s="30">
        <f>E13*D13</f>
        <v>11.44</v>
      </c>
      <c r="G13" s="28"/>
      <c r="H13" s="28"/>
      <c r="I13" s="112"/>
    </row>
    <row r="14" spans="1:10" ht="33.75" customHeight="1" thickBot="1" x14ac:dyDescent="0.3">
      <c r="A14" s="9">
        <v>10</v>
      </c>
      <c r="B14" s="23"/>
      <c r="C14" s="9"/>
      <c r="D14" s="12"/>
      <c r="E14" s="28"/>
      <c r="F14" s="30"/>
      <c r="G14" s="28"/>
      <c r="H14" s="28"/>
      <c r="I14" s="113"/>
    </row>
    <row r="15" spans="1:10" ht="22.5" customHeight="1" thickBot="1" x14ac:dyDescent="0.3">
      <c r="A15" s="21">
        <v>11</v>
      </c>
      <c r="B15" s="22" t="s">
        <v>0</v>
      </c>
      <c r="C15" s="24"/>
      <c r="D15" s="16"/>
      <c r="E15" s="35">
        <f>SUM(E5:E14)</f>
        <v>1344</v>
      </c>
      <c r="F15" s="36">
        <f>SUM(F6:F14)</f>
        <v>87.231999999999999</v>
      </c>
      <c r="G15" s="35">
        <f>SUM(G5:G14)</f>
        <v>0</v>
      </c>
      <c r="H15" s="35">
        <f>SUM(H5:H14)</f>
        <v>0</v>
      </c>
      <c r="I15" s="37"/>
    </row>
    <row r="16" spans="1:10" ht="26.25" customHeight="1" x14ac:dyDescent="0.25">
      <c r="A16" s="5"/>
      <c r="B16" s="177" t="s">
        <v>21</v>
      </c>
      <c r="C16" s="177"/>
      <c r="D16" s="177"/>
      <c r="E16" s="177"/>
      <c r="F16" s="177"/>
      <c r="G16" s="177"/>
      <c r="H16" s="5"/>
      <c r="I16" s="5"/>
    </row>
    <row r="17" spans="1:9" ht="26.25" customHeight="1" x14ac:dyDescent="0.25">
      <c r="A17" s="3"/>
      <c r="B17" s="177" t="s">
        <v>19</v>
      </c>
      <c r="C17" s="177"/>
      <c r="D17" s="177"/>
      <c r="E17" s="177"/>
      <c r="F17" s="177"/>
      <c r="G17" s="177"/>
      <c r="H17" s="4"/>
      <c r="I17" s="4"/>
    </row>
  </sheetData>
  <mergeCells count="11">
    <mergeCell ref="I3:I4"/>
    <mergeCell ref="B16:G16"/>
    <mergeCell ref="B17:G17"/>
    <mergeCell ref="A1:E1"/>
    <mergeCell ref="B3:B4"/>
    <mergeCell ref="C3:C4"/>
    <mergeCell ref="D3:D4"/>
    <mergeCell ref="F1:G1"/>
    <mergeCell ref="G3:H3"/>
    <mergeCell ref="A3:A4"/>
    <mergeCell ref="E3:F3"/>
  </mergeCells>
  <phoneticPr fontId="6" type="noConversion"/>
  <pageMargins left="0.86614173228346458" right="0.23622047244094491" top="0.74803149606299213" bottom="0.74803149606299213" header="0.31496062992125984" footer="0.31496062992125984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C1" zoomScale="85" zoomScaleNormal="85" workbookViewId="0">
      <selection activeCell="J7" sqref="J7"/>
    </sheetView>
  </sheetViews>
  <sheetFormatPr defaultRowHeight="14.25" x14ac:dyDescent="0.2"/>
  <cols>
    <col min="1" max="1" width="6.140625" customWidth="1"/>
    <col min="2" max="2" width="60.42578125" customWidth="1"/>
    <col min="3" max="3" width="14.85546875" customWidth="1"/>
    <col min="4" max="4" width="14.28515625" style="124" customWidth="1"/>
    <col min="5" max="6" width="11.28515625" customWidth="1"/>
    <col min="7" max="7" width="10.7109375" customWidth="1"/>
    <col min="8" max="8" width="11.140625" customWidth="1"/>
    <col min="9" max="9" width="11.7109375" customWidth="1"/>
    <col min="10" max="10" width="8.85546875" customWidth="1"/>
    <col min="11" max="11" width="16" customWidth="1"/>
    <col min="12" max="12" width="15.7109375" customWidth="1"/>
    <col min="13" max="13" width="19.28515625" customWidth="1"/>
    <col min="15" max="15" width="11.85546875" bestFit="1" customWidth="1"/>
  </cols>
  <sheetData>
    <row r="1" spans="1:15" s="102" customFormat="1" ht="36.75" customHeight="1" thickBot="1" x14ac:dyDescent="0.3">
      <c r="A1" s="125"/>
      <c r="B1" s="126"/>
      <c r="C1" s="225" t="s">
        <v>118</v>
      </c>
      <c r="D1" s="225"/>
      <c r="E1" s="225"/>
      <c r="F1" s="133" t="str">
        <f>'состав отдела'!I1</f>
        <v>октябрь 2017 г.</v>
      </c>
      <c r="G1" s="126"/>
      <c r="I1" s="126"/>
      <c r="J1" s="126"/>
      <c r="K1" s="126"/>
      <c r="L1" s="126"/>
      <c r="M1" s="115"/>
      <c r="N1" s="3"/>
      <c r="O1" s="102" t="s">
        <v>35</v>
      </c>
    </row>
    <row r="2" spans="1:15" s="102" customFormat="1" ht="9.75" hidden="1" customHeight="1" thickBot="1" x14ac:dyDescent="0.3">
      <c r="A2" s="38"/>
      <c r="B2" s="39"/>
      <c r="C2" s="39"/>
      <c r="D2" s="40"/>
      <c r="E2" s="39"/>
      <c r="F2" s="39"/>
      <c r="G2" s="39"/>
      <c r="H2" s="39"/>
      <c r="I2" s="39"/>
      <c r="J2" s="39"/>
      <c r="K2" s="39"/>
      <c r="L2" s="39"/>
      <c r="M2" s="41"/>
      <c r="O2" s="102" t="str">
        <f>IFERROR(INDEX($M$6:$M$44,MATCH(1,INDEX((COUNTIF($O$1:$O1,$M$6:$M$44)=0)*($M$6:$M$44&lt;&gt;""),0),0)),)</f>
        <v>Губанова</v>
      </c>
    </row>
    <row r="3" spans="1:15" s="102" customFormat="1" ht="24.6" customHeight="1" thickBot="1" x14ac:dyDescent="0.25">
      <c r="A3" s="241" t="s">
        <v>27</v>
      </c>
      <c r="B3" s="244" t="s">
        <v>28</v>
      </c>
      <c r="C3" s="244" t="s">
        <v>29</v>
      </c>
      <c r="D3" s="247" t="s">
        <v>30</v>
      </c>
      <c r="E3" s="250" t="s">
        <v>31</v>
      </c>
      <c r="F3" s="251"/>
      <c r="G3" s="252" t="s">
        <v>32</v>
      </c>
      <c r="H3" s="239"/>
      <c r="I3" s="239"/>
      <c r="J3" s="240"/>
      <c r="K3" s="244" t="s">
        <v>33</v>
      </c>
      <c r="L3" s="231" t="s">
        <v>34</v>
      </c>
      <c r="M3" s="231" t="s">
        <v>35</v>
      </c>
      <c r="O3" s="102" t="str">
        <f>IFERROR(INDEX($M$6:$M$44,MATCH(1,INDEX((COUNTIF($O$1:$O2,$M$6:$M$44)=0)*($M$6:$M$44&lt;&gt;""),0),0)),)</f>
        <v>Синигаев</v>
      </c>
    </row>
    <row r="4" spans="1:15" s="102" customFormat="1" ht="24.6" customHeight="1" thickBot="1" x14ac:dyDescent="0.25">
      <c r="A4" s="242"/>
      <c r="B4" s="245"/>
      <c r="C4" s="245"/>
      <c r="D4" s="248"/>
      <c r="E4" s="234" t="s">
        <v>36</v>
      </c>
      <c r="F4" s="236" t="s">
        <v>37</v>
      </c>
      <c r="G4" s="42" t="s">
        <v>38</v>
      </c>
      <c r="H4" s="238" t="s">
        <v>39</v>
      </c>
      <c r="I4" s="239"/>
      <c r="J4" s="240"/>
      <c r="K4" s="245"/>
      <c r="L4" s="232"/>
      <c r="M4" s="232"/>
      <c r="O4" s="102" t="str">
        <f>IFERROR(INDEX($M$6:$M$44,MATCH(1,INDEX((COUNTIF($O$1:$O3,$M$6:$M$44)=0)*($M$6:$M$44&lt;&gt;""),0),0)),)</f>
        <v>Измайлова</v>
      </c>
    </row>
    <row r="5" spans="1:15" s="102" customFormat="1" ht="24.6" customHeight="1" thickBot="1" x14ac:dyDescent="0.25">
      <c r="A5" s="243"/>
      <c r="B5" s="246"/>
      <c r="C5" s="246"/>
      <c r="D5" s="249"/>
      <c r="E5" s="235"/>
      <c r="F5" s="237"/>
      <c r="G5" s="43" t="s">
        <v>40</v>
      </c>
      <c r="H5" s="44" t="s">
        <v>41</v>
      </c>
      <c r="I5" s="45" t="s">
        <v>2</v>
      </c>
      <c r="J5" s="44" t="s">
        <v>40</v>
      </c>
      <c r="K5" s="246"/>
      <c r="L5" s="233"/>
      <c r="M5" s="233"/>
      <c r="O5" s="102" t="str">
        <f>IFERROR(INDEX($M$6:$M$44,MATCH(1,INDEX((COUNTIF($O$1:$O4,$M$6:$M$44)=0)*($M$6:$M$44&lt;&gt;""),0),0)),)</f>
        <v>Базайкин</v>
      </c>
    </row>
    <row r="6" spans="1:15" ht="27.75" customHeight="1" x14ac:dyDescent="0.2">
      <c r="A6" s="217">
        <v>1</v>
      </c>
      <c r="B6" s="198" t="s">
        <v>119</v>
      </c>
      <c r="C6" s="196" t="s">
        <v>120</v>
      </c>
      <c r="D6" s="194" t="s">
        <v>121</v>
      </c>
      <c r="E6" s="208" t="s">
        <v>42</v>
      </c>
      <c r="F6" s="206" t="s">
        <v>53</v>
      </c>
      <c r="G6" s="46">
        <v>16</v>
      </c>
      <c r="H6" s="108" t="str">
        <f ca="1">IFERROR(INDEX(INDIRECT("'"&amp;M6&amp;"'!A1:L40"),MATCH(IF(ISEVEN(ROW(6:6)),A6,A5),INDIRECT("'"&amp;M6&amp;"'!A1:A40"),),4),"")</f>
        <v/>
      </c>
      <c r="I6" s="118" t="str">
        <f ca="1">IFERROR(INDEX(INDIRECT("'"&amp;M6&amp;"'!A1:L40"),MATCH(IF(ISEVEN(ROW(6:6)),A6,A5),INDIRECT("'"&amp;M6&amp;"'!A1:A40"),),10),"")</f>
        <v/>
      </c>
      <c r="J6" s="109" t="str">
        <f ca="1">IFERROR(INDEX(INDIRECT("'"&amp;M6&amp;"'!A1:L40"),MATCH(IF(ISEVEN(ROW(6:6)),A6,A5),INDIRECT("'"&amp;M6&amp;"'!A1:A40"),),11),"")</f>
        <v/>
      </c>
      <c r="K6" s="204" t="s">
        <v>148</v>
      </c>
      <c r="L6" s="202"/>
      <c r="M6" s="47" t="s">
        <v>43</v>
      </c>
      <c r="N6" s="119"/>
      <c r="O6" t="str">
        <f>IFERROR(INDEX($M$6:$M$44,MATCH(1,INDEX((COUNTIF($O$1:$O5,$M$6:$M$44)=0)*($M$6:$M$44&lt;&gt;""),0),0)),)</f>
        <v>Веденяпина</v>
      </c>
    </row>
    <row r="7" spans="1:15" ht="27.75" customHeight="1" thickBot="1" x14ac:dyDescent="0.25">
      <c r="A7" s="218"/>
      <c r="B7" s="212"/>
      <c r="C7" s="211"/>
      <c r="D7" s="210"/>
      <c r="E7" s="209"/>
      <c r="F7" s="207"/>
      <c r="G7" s="48">
        <v>18</v>
      </c>
      <c r="H7" s="120">
        <f ca="1">IFERROR(INDEX(INDIRECT("'"&amp;M7&amp;"'!A1:L40"),MATCH(IF(ISEVEN(ROW(7:7)),A7,A6),INDIRECT("'"&amp;M7&amp;"'!A1:A40"),),4),"")</f>
        <v>0</v>
      </c>
      <c r="I7" s="49">
        <f ca="1">IFERROR(INDEX(INDIRECT("'"&amp;M7&amp;"'!A1:L40"),MATCH(IF(ISEVEN(ROW(7:7)),A7,A6),INDIRECT("'"&amp;M7&amp;"'!A1:A40"),),10),"")</f>
        <v>7.0999999999999994E-2</v>
      </c>
      <c r="J7" s="121">
        <f ca="1">IFERROR(INDEX(INDIRECT("'"&amp;M7&amp;"'!A1:L40"),MATCH(IF(ISEVEN(ROW(7:7)),A7,A6),INDIRECT("'"&amp;M7&amp;"'!A1:A40"),),11),"")</f>
        <v>1</v>
      </c>
      <c r="K7" s="205"/>
      <c r="L7" s="203"/>
      <c r="M7" s="50" t="s">
        <v>44</v>
      </c>
      <c r="N7" s="119"/>
    </row>
    <row r="8" spans="1:15" ht="24.75" customHeight="1" x14ac:dyDescent="0.2">
      <c r="A8" s="217">
        <v>2</v>
      </c>
      <c r="B8" s="198" t="s">
        <v>122</v>
      </c>
      <c r="C8" s="196" t="s">
        <v>123</v>
      </c>
      <c r="D8" s="194" t="s">
        <v>124</v>
      </c>
      <c r="E8" s="208" t="s">
        <v>53</v>
      </c>
      <c r="F8" s="206" t="s">
        <v>53</v>
      </c>
      <c r="G8" s="46">
        <v>32</v>
      </c>
      <c r="H8" s="108" t="str">
        <f t="shared" ref="H8:H26" ca="1" si="0">IFERROR(INDEX(INDIRECT("'"&amp;M8&amp;"'!A1:L40"),MATCH(IF(ISEVEN(ROW(8:8)),A8,A7),INDIRECT("'"&amp;M8&amp;"'!A1:A40"),),4),"")</f>
        <v/>
      </c>
      <c r="I8" s="118" t="str">
        <f t="shared" ref="I8:I26" ca="1" si="1">IFERROR(INDEX(INDIRECT("'"&amp;M8&amp;"'!A1:L40"),MATCH(IF(ISEVEN(ROW(8:8)),A8,A7),INDIRECT("'"&amp;M8&amp;"'!A1:A40"),),10),"")</f>
        <v/>
      </c>
      <c r="J8" s="109" t="str">
        <f t="shared" ref="J8:J26" ca="1" si="2">IFERROR(INDEX(INDIRECT("'"&amp;M8&amp;"'!A1:L40"),MATCH(IF(ISEVEN(ROW(8:8)),A8,A7),INDIRECT("'"&amp;M8&amp;"'!A1:A40"),),11),"")</f>
        <v/>
      </c>
      <c r="K8" s="227" t="s">
        <v>149</v>
      </c>
      <c r="L8" s="202"/>
      <c r="M8" s="47" t="s">
        <v>43</v>
      </c>
      <c r="N8" s="119"/>
      <c r="O8" t="str">
        <f>IFERROR(INDEX($M$6:$M$44,MATCH(1,INDEX((COUNTIF($O$1:$O7,$M$6:$M$44)=0)*($M$6:$M$44&lt;&gt;""),0),0)),)</f>
        <v>Половодова</v>
      </c>
    </row>
    <row r="9" spans="1:15" ht="24.75" customHeight="1" thickBot="1" x14ac:dyDescent="0.25">
      <c r="A9" s="218"/>
      <c r="B9" s="212"/>
      <c r="C9" s="211"/>
      <c r="D9" s="210"/>
      <c r="E9" s="209"/>
      <c r="F9" s="207"/>
      <c r="G9" s="48">
        <v>18</v>
      </c>
      <c r="H9" s="120">
        <f t="shared" ca="1" si="0"/>
        <v>0</v>
      </c>
      <c r="I9" s="49">
        <f t="shared" ca="1" si="1"/>
        <v>0.14199999999999999</v>
      </c>
      <c r="J9" s="121">
        <f t="shared" ca="1" si="2"/>
        <v>2</v>
      </c>
      <c r="K9" s="228"/>
      <c r="L9" s="203"/>
      <c r="M9" s="50" t="s">
        <v>44</v>
      </c>
      <c r="N9" s="119"/>
      <c r="O9" t="str">
        <f>IFERROR(INDEX($M$6:$M$44,MATCH(1,INDEX((COUNTIF($O$1:$O8,$M$6:$M$44)=0)*($M$6:$M$44&lt;&gt;""),0),0)),)</f>
        <v>Аршавский</v>
      </c>
    </row>
    <row r="10" spans="1:15" ht="23.25" customHeight="1" x14ac:dyDescent="0.2">
      <c r="A10" s="217">
        <v>3</v>
      </c>
      <c r="B10" s="198" t="s">
        <v>125</v>
      </c>
      <c r="C10" s="196" t="s">
        <v>123</v>
      </c>
      <c r="D10" s="194" t="s">
        <v>124</v>
      </c>
      <c r="E10" s="208" t="s">
        <v>53</v>
      </c>
      <c r="F10" s="206" t="s">
        <v>126</v>
      </c>
      <c r="G10" s="46">
        <v>8</v>
      </c>
      <c r="H10" s="108" t="str">
        <f t="shared" ca="1" si="0"/>
        <v/>
      </c>
      <c r="I10" s="118" t="str">
        <f t="shared" ca="1" si="1"/>
        <v/>
      </c>
      <c r="J10" s="109" t="str">
        <f t="shared" ca="1" si="2"/>
        <v/>
      </c>
      <c r="K10" s="227" t="s">
        <v>150</v>
      </c>
      <c r="L10" s="202"/>
      <c r="M10" s="47" t="s">
        <v>43</v>
      </c>
      <c r="N10" s="119"/>
      <c r="O10" t="str">
        <f>IFERROR(INDEX($M$6:$M$44,MATCH(1,INDEX((COUNTIF($O$1:$O9,$M$6:$M$44)=0)*($M$6:$M$44&lt;&gt;""),0),0)),)</f>
        <v>Козин</v>
      </c>
    </row>
    <row r="11" spans="1:15" ht="24" customHeight="1" thickBot="1" x14ac:dyDescent="0.25">
      <c r="A11" s="218"/>
      <c r="B11" s="212"/>
      <c r="C11" s="211"/>
      <c r="D11" s="210"/>
      <c r="E11" s="209"/>
      <c r="F11" s="207"/>
      <c r="G11" s="48">
        <v>2</v>
      </c>
      <c r="H11" s="120">
        <f t="shared" ca="1" si="0"/>
        <v>0</v>
      </c>
      <c r="I11" s="49">
        <f t="shared" ca="1" si="1"/>
        <v>4.97</v>
      </c>
      <c r="J11" s="121">
        <f t="shared" ca="1" si="2"/>
        <v>70</v>
      </c>
      <c r="K11" s="228"/>
      <c r="L11" s="203"/>
      <c r="M11" s="50" t="s">
        <v>44</v>
      </c>
      <c r="N11" s="119"/>
      <c r="O11">
        <f>IFERROR(INDEX($M$6:$M$44,MATCH(1,INDEX((COUNTIF($O$1:$O10,$M$6:$M$44)=0)*($M$6:$M$44&lt;&gt;""),0),0)),)</f>
        <v>0</v>
      </c>
    </row>
    <row r="12" spans="1:15" ht="19.5" customHeight="1" x14ac:dyDescent="0.2">
      <c r="A12" s="200">
        <v>4</v>
      </c>
      <c r="B12" s="198" t="s">
        <v>45</v>
      </c>
      <c r="C12" s="196" t="s">
        <v>46</v>
      </c>
      <c r="D12" s="194" t="s">
        <v>47</v>
      </c>
      <c r="E12" s="208" t="s">
        <v>48</v>
      </c>
      <c r="F12" s="208" t="s">
        <v>53</v>
      </c>
      <c r="G12" s="46">
        <v>100</v>
      </c>
      <c r="H12" s="108" t="str">
        <f t="shared" ca="1" si="0"/>
        <v/>
      </c>
      <c r="I12" s="118" t="str">
        <f t="shared" ca="1" si="1"/>
        <v/>
      </c>
      <c r="J12" s="109" t="str">
        <f t="shared" ca="1" si="2"/>
        <v/>
      </c>
      <c r="K12" s="204" t="s">
        <v>49</v>
      </c>
      <c r="L12" s="202"/>
      <c r="M12" s="47" t="s">
        <v>50</v>
      </c>
      <c r="N12" s="119"/>
      <c r="O12">
        <f>IFERROR(INDEX($M$6:$M$44,MATCH(1,INDEX((COUNTIF($O$1:$O11,$M$6:$M$44)=0)*($M$6:$M$44&lt;&gt;""),0),0)),)</f>
        <v>0</v>
      </c>
    </row>
    <row r="13" spans="1:15" ht="20.25" customHeight="1" thickBot="1" x14ac:dyDescent="0.25">
      <c r="A13" s="226"/>
      <c r="B13" s="212"/>
      <c r="C13" s="211"/>
      <c r="D13" s="210"/>
      <c r="E13" s="209"/>
      <c r="F13" s="209"/>
      <c r="G13" s="48">
        <v>10</v>
      </c>
      <c r="H13" s="120">
        <f t="shared" ca="1" si="0"/>
        <v>0</v>
      </c>
      <c r="I13" s="49">
        <f t="shared" ca="1" si="1"/>
        <v>0</v>
      </c>
      <c r="J13" s="121">
        <f t="shared" ca="1" si="2"/>
        <v>0</v>
      </c>
      <c r="K13" s="205"/>
      <c r="L13" s="203"/>
      <c r="M13" s="51" t="s">
        <v>44</v>
      </c>
      <c r="N13" s="119"/>
      <c r="O13">
        <f>IFERROR(INDEX($M$6:$M$44,MATCH(1,INDEX((COUNTIF($O$1:$O12,$M$6:$M$44)=0)*($M$6:$M$44&lt;&gt;""),0),0)),)</f>
        <v>0</v>
      </c>
    </row>
    <row r="14" spans="1:15" ht="23.25" customHeight="1" x14ac:dyDescent="0.2">
      <c r="A14" s="200">
        <v>5</v>
      </c>
      <c r="B14" s="198" t="s">
        <v>127</v>
      </c>
      <c r="C14" s="196" t="s">
        <v>128</v>
      </c>
      <c r="D14" s="194" t="s">
        <v>129</v>
      </c>
      <c r="E14" s="208" t="s">
        <v>42</v>
      </c>
      <c r="F14" s="208" t="s">
        <v>53</v>
      </c>
      <c r="G14" s="46">
        <v>76</v>
      </c>
      <c r="H14" s="108" t="str">
        <f t="shared" ca="1" si="0"/>
        <v/>
      </c>
      <c r="I14" s="118" t="str">
        <f t="shared" ca="1" si="1"/>
        <v/>
      </c>
      <c r="J14" s="109" t="str">
        <f t="shared" ca="1" si="2"/>
        <v/>
      </c>
      <c r="K14" s="204" t="s">
        <v>151</v>
      </c>
      <c r="L14" s="202"/>
      <c r="M14" s="47" t="s">
        <v>50</v>
      </c>
      <c r="N14" s="119"/>
    </row>
    <row r="15" spans="1:15" ht="23.25" customHeight="1" thickBot="1" x14ac:dyDescent="0.25">
      <c r="A15" s="226"/>
      <c r="B15" s="212"/>
      <c r="C15" s="211"/>
      <c r="D15" s="210"/>
      <c r="E15" s="209"/>
      <c r="F15" s="209"/>
      <c r="G15" s="48">
        <v>10</v>
      </c>
      <c r="H15" s="120">
        <f t="shared" ca="1" si="0"/>
        <v>0</v>
      </c>
      <c r="I15" s="49">
        <f t="shared" ca="1" si="1"/>
        <v>0</v>
      </c>
      <c r="J15" s="121">
        <f t="shared" ca="1" si="2"/>
        <v>0</v>
      </c>
      <c r="K15" s="205"/>
      <c r="L15" s="203"/>
      <c r="M15" s="51" t="s">
        <v>44</v>
      </c>
      <c r="N15" s="119"/>
    </row>
    <row r="16" spans="1:15" ht="21.75" customHeight="1" x14ac:dyDescent="0.2">
      <c r="A16" s="200">
        <v>6</v>
      </c>
      <c r="B16" s="198" t="s">
        <v>130</v>
      </c>
      <c r="C16" s="196" t="s">
        <v>51</v>
      </c>
      <c r="D16" s="194" t="s">
        <v>52</v>
      </c>
      <c r="E16" s="208" t="s">
        <v>42</v>
      </c>
      <c r="F16" s="208" t="s">
        <v>53</v>
      </c>
      <c r="G16" s="46">
        <v>70</v>
      </c>
      <c r="H16" s="108" t="str">
        <f t="shared" ca="1" si="0"/>
        <v/>
      </c>
      <c r="I16" s="118" t="str">
        <f t="shared" ca="1" si="1"/>
        <v/>
      </c>
      <c r="J16" s="109" t="str">
        <f t="shared" ca="1" si="2"/>
        <v/>
      </c>
      <c r="K16" s="204" t="s">
        <v>54</v>
      </c>
      <c r="L16" s="202"/>
      <c r="M16" s="47" t="s">
        <v>55</v>
      </c>
      <c r="N16" s="119"/>
    </row>
    <row r="17" spans="1:14" ht="21" customHeight="1" thickBot="1" x14ac:dyDescent="0.25">
      <c r="A17" s="226"/>
      <c r="B17" s="212"/>
      <c r="C17" s="211"/>
      <c r="D17" s="210"/>
      <c r="E17" s="209"/>
      <c r="F17" s="209"/>
      <c r="G17" s="48">
        <v>10</v>
      </c>
      <c r="H17" s="120">
        <f t="shared" ca="1" si="0"/>
        <v>0</v>
      </c>
      <c r="I17" s="49">
        <f t="shared" ca="1" si="1"/>
        <v>0</v>
      </c>
      <c r="J17" s="121">
        <f t="shared" ca="1" si="2"/>
        <v>0</v>
      </c>
      <c r="K17" s="205"/>
      <c r="L17" s="203"/>
      <c r="M17" s="51" t="s">
        <v>44</v>
      </c>
      <c r="N17" s="119"/>
    </row>
    <row r="18" spans="1:14" ht="21.75" customHeight="1" x14ac:dyDescent="0.2">
      <c r="A18" s="200">
        <v>7</v>
      </c>
      <c r="B18" s="198" t="s">
        <v>131</v>
      </c>
      <c r="C18" s="196" t="s">
        <v>132</v>
      </c>
      <c r="D18" s="194" t="s">
        <v>56</v>
      </c>
      <c r="E18" s="208" t="s">
        <v>58</v>
      </c>
      <c r="F18" s="206" t="s">
        <v>53</v>
      </c>
      <c r="G18" s="46"/>
      <c r="H18" s="108" t="str">
        <f t="shared" ca="1" si="0"/>
        <v/>
      </c>
      <c r="I18" s="118" t="str">
        <f t="shared" ca="1" si="1"/>
        <v/>
      </c>
      <c r="J18" s="109" t="str">
        <f t="shared" ca="1" si="2"/>
        <v/>
      </c>
      <c r="K18" s="204" t="s">
        <v>152</v>
      </c>
      <c r="L18" s="202"/>
      <c r="M18" s="47"/>
      <c r="N18" s="119"/>
    </row>
    <row r="19" spans="1:14" ht="22.5" customHeight="1" thickBot="1" x14ac:dyDescent="0.25">
      <c r="A19" s="226"/>
      <c r="B19" s="212"/>
      <c r="C19" s="211"/>
      <c r="D19" s="210"/>
      <c r="E19" s="209"/>
      <c r="F19" s="207"/>
      <c r="G19" s="48">
        <v>76</v>
      </c>
      <c r="H19" s="120" t="str">
        <f t="shared" ca="1" si="0"/>
        <v/>
      </c>
      <c r="I19" s="49" t="str">
        <f t="shared" ca="1" si="1"/>
        <v/>
      </c>
      <c r="J19" s="121" t="str">
        <f t="shared" ca="1" si="2"/>
        <v/>
      </c>
      <c r="K19" s="205"/>
      <c r="L19" s="203"/>
      <c r="M19" s="51" t="s">
        <v>57</v>
      </c>
      <c r="N19" s="119"/>
    </row>
    <row r="20" spans="1:14" ht="22.5" customHeight="1" x14ac:dyDescent="0.2">
      <c r="A20" s="200">
        <v>8</v>
      </c>
      <c r="B20" s="198" t="s">
        <v>133</v>
      </c>
      <c r="C20" s="196" t="s">
        <v>134</v>
      </c>
      <c r="D20" s="194" t="s">
        <v>135</v>
      </c>
      <c r="E20" s="208" t="s">
        <v>42</v>
      </c>
      <c r="F20" s="206" t="s">
        <v>53</v>
      </c>
      <c r="G20" s="46"/>
      <c r="H20" s="108" t="str">
        <f t="shared" ca="1" si="0"/>
        <v/>
      </c>
      <c r="I20" s="118" t="str">
        <f t="shared" ca="1" si="1"/>
        <v/>
      </c>
      <c r="J20" s="109" t="str">
        <f t="shared" ca="1" si="2"/>
        <v/>
      </c>
      <c r="K20" s="204" t="s">
        <v>153</v>
      </c>
      <c r="L20" s="202"/>
      <c r="M20" s="47"/>
      <c r="N20" s="119"/>
    </row>
    <row r="21" spans="1:14" ht="22.5" customHeight="1" thickBot="1" x14ac:dyDescent="0.25">
      <c r="A21" s="226"/>
      <c r="B21" s="212"/>
      <c r="C21" s="211"/>
      <c r="D21" s="210"/>
      <c r="E21" s="209"/>
      <c r="F21" s="207"/>
      <c r="G21" s="48">
        <v>100</v>
      </c>
      <c r="H21" s="120" t="str">
        <f t="shared" ca="1" si="0"/>
        <v/>
      </c>
      <c r="I21" s="49" t="str">
        <f t="shared" ca="1" si="1"/>
        <v/>
      </c>
      <c r="J21" s="121" t="str">
        <f t="shared" ca="1" si="2"/>
        <v/>
      </c>
      <c r="K21" s="205"/>
      <c r="L21" s="203"/>
      <c r="M21" s="51" t="s">
        <v>57</v>
      </c>
      <c r="N21" s="119"/>
    </row>
    <row r="22" spans="1:14" ht="25.5" customHeight="1" x14ac:dyDescent="0.2">
      <c r="A22" s="204">
        <v>9</v>
      </c>
      <c r="B22" s="198" t="s">
        <v>136</v>
      </c>
      <c r="C22" s="196" t="s">
        <v>137</v>
      </c>
      <c r="D22" s="194" t="s">
        <v>138</v>
      </c>
      <c r="E22" s="208" t="s">
        <v>139</v>
      </c>
      <c r="F22" s="206" t="s">
        <v>140</v>
      </c>
      <c r="G22" s="46">
        <v>56</v>
      </c>
      <c r="H22" s="108" t="str">
        <f t="shared" ca="1" si="0"/>
        <v/>
      </c>
      <c r="I22" s="118" t="str">
        <f t="shared" ca="1" si="1"/>
        <v/>
      </c>
      <c r="J22" s="109" t="str">
        <f t="shared" ca="1" si="2"/>
        <v/>
      </c>
      <c r="K22" s="204" t="s">
        <v>154</v>
      </c>
      <c r="L22" s="202"/>
      <c r="M22" s="47" t="s">
        <v>72</v>
      </c>
      <c r="N22" s="119"/>
    </row>
    <row r="23" spans="1:14" ht="24.75" customHeight="1" thickBot="1" x14ac:dyDescent="0.25">
      <c r="A23" s="213"/>
      <c r="B23" s="212"/>
      <c r="C23" s="211"/>
      <c r="D23" s="210"/>
      <c r="E23" s="209"/>
      <c r="F23" s="207"/>
      <c r="G23" s="48"/>
      <c r="H23" s="120" t="str">
        <f t="shared" ca="1" si="0"/>
        <v/>
      </c>
      <c r="I23" s="49" t="str">
        <f t="shared" ca="1" si="1"/>
        <v/>
      </c>
      <c r="J23" s="121" t="str">
        <f t="shared" ca="1" si="2"/>
        <v/>
      </c>
      <c r="K23" s="205"/>
      <c r="L23" s="203"/>
      <c r="M23" s="50"/>
      <c r="N23" s="119"/>
    </row>
    <row r="24" spans="1:14" ht="25.5" customHeight="1" x14ac:dyDescent="0.2">
      <c r="A24" s="204">
        <v>10</v>
      </c>
      <c r="B24" s="198" t="s">
        <v>59</v>
      </c>
      <c r="C24" s="196" t="s">
        <v>60</v>
      </c>
      <c r="D24" s="194" t="s">
        <v>61</v>
      </c>
      <c r="E24" s="208" t="s">
        <v>48</v>
      </c>
      <c r="F24" s="208" t="s">
        <v>126</v>
      </c>
      <c r="G24" s="46">
        <v>56</v>
      </c>
      <c r="H24" s="108">
        <f t="shared" ca="1" si="0"/>
        <v>2.25</v>
      </c>
      <c r="I24" s="118">
        <f t="shared" ca="1" si="1"/>
        <v>2.8839999999999999</v>
      </c>
      <c r="J24" s="109">
        <f t="shared" ca="1" si="2"/>
        <v>41</v>
      </c>
      <c r="K24" s="204" t="s">
        <v>62</v>
      </c>
      <c r="L24" s="202"/>
      <c r="M24" s="47" t="s">
        <v>63</v>
      </c>
      <c r="N24" s="119"/>
    </row>
    <row r="25" spans="1:14" ht="26.25" customHeight="1" thickBot="1" x14ac:dyDescent="0.25">
      <c r="A25" s="205"/>
      <c r="B25" s="212"/>
      <c r="C25" s="211"/>
      <c r="D25" s="210"/>
      <c r="E25" s="209"/>
      <c r="F25" s="209"/>
      <c r="G25" s="48">
        <v>10</v>
      </c>
      <c r="H25" s="120">
        <f t="shared" ca="1" si="0"/>
        <v>0</v>
      </c>
      <c r="I25" s="49">
        <f t="shared" ca="1" si="1"/>
        <v>0</v>
      </c>
      <c r="J25" s="121">
        <f t="shared" ca="1" si="2"/>
        <v>0</v>
      </c>
      <c r="K25" s="205"/>
      <c r="L25" s="203"/>
      <c r="M25" s="51" t="s">
        <v>44</v>
      </c>
      <c r="N25" s="119"/>
    </row>
    <row r="26" spans="1:14" ht="25.5" customHeight="1" thickBot="1" x14ac:dyDescent="0.25">
      <c r="A26" s="204">
        <v>11</v>
      </c>
      <c r="B26" s="198" t="s">
        <v>141</v>
      </c>
      <c r="C26" s="196"/>
      <c r="D26" s="194"/>
      <c r="E26" s="208" t="s">
        <v>53</v>
      </c>
      <c r="F26" s="206" t="s">
        <v>126</v>
      </c>
      <c r="G26" s="46">
        <v>50</v>
      </c>
      <c r="H26" s="108">
        <f t="shared" ca="1" si="0"/>
        <v>0</v>
      </c>
      <c r="I26" s="118">
        <f t="shared" ca="1" si="1"/>
        <v>0.14199999999999999</v>
      </c>
      <c r="J26" s="109">
        <f t="shared" ca="1" si="2"/>
        <v>2</v>
      </c>
      <c r="K26" s="204" t="s">
        <v>146</v>
      </c>
      <c r="L26" s="202"/>
      <c r="M26" s="134" t="s">
        <v>63</v>
      </c>
      <c r="N26" s="119"/>
    </row>
    <row r="27" spans="1:14" ht="20.25" customHeight="1" thickBot="1" x14ac:dyDescent="0.25">
      <c r="A27" s="205"/>
      <c r="B27" s="212"/>
      <c r="C27" s="211"/>
      <c r="D27" s="210"/>
      <c r="E27" s="209"/>
      <c r="F27" s="207"/>
      <c r="G27" s="48"/>
      <c r="H27" s="108" t="str">
        <f t="shared" ref="H27:H43" ca="1" si="3">IFERROR(INDEX(INDIRECT("'"&amp;M27&amp;"'!A1:L40"),MATCH(IF(ISEVEN(ROW(27:27)),A27,A26),INDIRECT("'"&amp;M27&amp;"'!A1:A40"),),4),"")</f>
        <v/>
      </c>
      <c r="I27" s="118" t="str">
        <f t="shared" ref="I27:I43" ca="1" si="4">IFERROR(INDEX(INDIRECT("'"&amp;M27&amp;"'!A1:L40"),MATCH(IF(ISEVEN(ROW(27:27)),A27,A26),INDIRECT("'"&amp;M27&amp;"'!A1:A40"),),10),"")</f>
        <v/>
      </c>
      <c r="J27" s="109" t="str">
        <f t="shared" ref="J27:J43" ca="1" si="5">IFERROR(INDEX(INDIRECT("'"&amp;M27&amp;"'!A1:L40"),MATCH(IF(ISEVEN(ROW(27:27)),A27,A26),INDIRECT("'"&amp;M27&amp;"'!A1:A40"),),11),"")</f>
        <v/>
      </c>
      <c r="K27" s="205"/>
      <c r="L27" s="203"/>
      <c r="M27" s="51"/>
      <c r="N27" s="119"/>
    </row>
    <row r="28" spans="1:14" ht="20.25" customHeight="1" thickBot="1" x14ac:dyDescent="0.25">
      <c r="A28" s="204">
        <v>12</v>
      </c>
      <c r="B28" s="198" t="s">
        <v>65</v>
      </c>
      <c r="C28" s="196" t="s">
        <v>66</v>
      </c>
      <c r="D28" s="194" t="s">
        <v>67</v>
      </c>
      <c r="E28" s="208" t="s">
        <v>42</v>
      </c>
      <c r="F28" s="206" t="s">
        <v>53</v>
      </c>
      <c r="G28" s="46">
        <v>106</v>
      </c>
      <c r="H28" s="108" t="str">
        <f t="shared" ca="1" si="3"/>
        <v/>
      </c>
      <c r="I28" s="118" t="str">
        <f t="shared" ca="1" si="4"/>
        <v/>
      </c>
      <c r="J28" s="109" t="str">
        <f t="shared" ca="1" si="5"/>
        <v/>
      </c>
      <c r="K28" s="204" t="s">
        <v>68</v>
      </c>
      <c r="L28" s="202"/>
      <c r="M28" s="47" t="s">
        <v>55</v>
      </c>
      <c r="N28" s="119"/>
    </row>
    <row r="29" spans="1:14" ht="20.25" customHeight="1" thickBot="1" x14ac:dyDescent="0.25">
      <c r="A29" s="205"/>
      <c r="B29" s="212"/>
      <c r="C29" s="211"/>
      <c r="D29" s="210"/>
      <c r="E29" s="209"/>
      <c r="F29" s="207"/>
      <c r="G29" s="48">
        <v>40</v>
      </c>
      <c r="H29" s="108">
        <f t="shared" ca="1" si="3"/>
        <v>0</v>
      </c>
      <c r="I29" s="118">
        <f t="shared" ca="1" si="4"/>
        <v>0</v>
      </c>
      <c r="J29" s="109">
        <f t="shared" ca="1" si="5"/>
        <v>0</v>
      </c>
      <c r="K29" s="205"/>
      <c r="L29" s="203"/>
      <c r="M29" s="51" t="s">
        <v>44</v>
      </c>
      <c r="N29" s="119"/>
    </row>
    <row r="30" spans="1:14" ht="20.25" customHeight="1" thickBot="1" x14ac:dyDescent="0.25">
      <c r="A30" s="200">
        <v>13</v>
      </c>
      <c r="B30" s="198" t="s">
        <v>142</v>
      </c>
      <c r="C30" s="196" t="s">
        <v>143</v>
      </c>
      <c r="D30" s="194" t="s">
        <v>144</v>
      </c>
      <c r="E30" s="208" t="s">
        <v>42</v>
      </c>
      <c r="F30" s="206" t="s">
        <v>53</v>
      </c>
      <c r="G30" s="46">
        <v>56</v>
      </c>
      <c r="H30" s="108" t="str">
        <f t="shared" ca="1" si="3"/>
        <v/>
      </c>
      <c r="I30" s="118" t="str">
        <f t="shared" ca="1" si="4"/>
        <v/>
      </c>
      <c r="J30" s="109" t="str">
        <f t="shared" ca="1" si="5"/>
        <v/>
      </c>
      <c r="K30" s="204" t="s">
        <v>147</v>
      </c>
      <c r="L30" s="202"/>
      <c r="M30" s="47" t="s">
        <v>64</v>
      </c>
      <c r="N30" s="119"/>
    </row>
    <row r="31" spans="1:14" ht="20.25" customHeight="1" thickBot="1" x14ac:dyDescent="0.25">
      <c r="A31" s="201"/>
      <c r="B31" s="199"/>
      <c r="C31" s="197"/>
      <c r="D31" s="195"/>
      <c r="E31" s="216"/>
      <c r="F31" s="215"/>
      <c r="G31" s="136">
        <v>10</v>
      </c>
      <c r="H31" s="108" t="str">
        <f t="shared" ca="1" si="3"/>
        <v/>
      </c>
      <c r="I31" s="118" t="str">
        <f t="shared" ca="1" si="4"/>
        <v/>
      </c>
      <c r="J31" s="109" t="str">
        <f t="shared" ca="1" si="5"/>
        <v/>
      </c>
      <c r="K31" s="213"/>
      <c r="L31" s="214"/>
      <c r="M31" s="135" t="s">
        <v>44</v>
      </c>
      <c r="N31" s="119"/>
    </row>
    <row r="32" spans="1:14" ht="20.25" customHeight="1" thickBot="1" x14ac:dyDescent="0.25">
      <c r="A32" s="200">
        <v>14</v>
      </c>
      <c r="B32" s="198" t="s">
        <v>145</v>
      </c>
      <c r="C32" s="196" t="s">
        <v>69</v>
      </c>
      <c r="D32" s="194" t="s">
        <v>70</v>
      </c>
      <c r="E32" s="208" t="s">
        <v>48</v>
      </c>
      <c r="F32" s="206" t="s">
        <v>53</v>
      </c>
      <c r="G32" s="46">
        <v>120</v>
      </c>
      <c r="H32" s="108" t="str">
        <f t="shared" ca="1" si="3"/>
        <v/>
      </c>
      <c r="I32" s="118" t="str">
        <f t="shared" ca="1" si="4"/>
        <v/>
      </c>
      <c r="J32" s="109" t="str">
        <f t="shared" ca="1" si="5"/>
        <v/>
      </c>
      <c r="K32" s="204" t="s">
        <v>71</v>
      </c>
      <c r="L32" s="202"/>
      <c r="M32" s="47" t="s">
        <v>72</v>
      </c>
      <c r="N32" s="119"/>
    </row>
    <row r="33" spans="1:14" ht="20.25" customHeight="1" thickBot="1" x14ac:dyDescent="0.25">
      <c r="A33" s="201"/>
      <c r="B33" s="199"/>
      <c r="C33" s="197"/>
      <c r="D33" s="195"/>
      <c r="E33" s="216"/>
      <c r="F33" s="215"/>
      <c r="G33" s="136">
        <v>48</v>
      </c>
      <c r="H33" s="108" t="str">
        <f t="shared" ca="1" si="3"/>
        <v/>
      </c>
      <c r="I33" s="118" t="str">
        <f t="shared" ca="1" si="4"/>
        <v/>
      </c>
      <c r="J33" s="109" t="str">
        <f t="shared" ca="1" si="5"/>
        <v/>
      </c>
      <c r="K33" s="213"/>
      <c r="L33" s="214"/>
      <c r="M33" s="135" t="s">
        <v>44</v>
      </c>
      <c r="N33" s="119"/>
    </row>
    <row r="34" spans="1:14" ht="20.25" customHeight="1" thickBot="1" x14ac:dyDescent="0.25">
      <c r="A34" s="217">
        <v>15</v>
      </c>
      <c r="B34" s="198" t="s">
        <v>73</v>
      </c>
      <c r="C34" s="221" t="s">
        <v>74</v>
      </c>
      <c r="D34" s="222"/>
      <c r="E34" s="208"/>
      <c r="F34" s="208"/>
      <c r="G34" s="46">
        <v>70</v>
      </c>
      <c r="H34" s="108">
        <f t="shared" ca="1" si="3"/>
        <v>0</v>
      </c>
      <c r="I34" s="118">
        <f t="shared" ca="1" si="4"/>
        <v>4.97</v>
      </c>
      <c r="J34" s="109">
        <f t="shared" ca="1" si="5"/>
        <v>70</v>
      </c>
      <c r="K34" s="204" t="s">
        <v>155</v>
      </c>
      <c r="L34" s="219"/>
      <c r="M34" s="117" t="s">
        <v>63</v>
      </c>
      <c r="N34" s="119"/>
    </row>
    <row r="35" spans="1:14" ht="20.25" customHeight="1" thickBot="1" x14ac:dyDescent="0.25">
      <c r="A35" s="218"/>
      <c r="B35" s="212"/>
      <c r="C35" s="223"/>
      <c r="D35" s="224"/>
      <c r="E35" s="209"/>
      <c r="F35" s="209"/>
      <c r="G35" s="48"/>
      <c r="H35" s="108" t="str">
        <f t="shared" ca="1" si="3"/>
        <v/>
      </c>
      <c r="I35" s="118" t="str">
        <f t="shared" ca="1" si="4"/>
        <v/>
      </c>
      <c r="J35" s="109" t="str">
        <f t="shared" ca="1" si="5"/>
        <v/>
      </c>
      <c r="K35" s="205"/>
      <c r="L35" s="220"/>
      <c r="M35" s="50"/>
      <c r="N35" s="119"/>
    </row>
    <row r="36" spans="1:14" ht="20.25" hidden="1" customHeight="1" thickBot="1" x14ac:dyDescent="0.25">
      <c r="A36" s="217"/>
      <c r="B36" s="198"/>
      <c r="C36" s="196"/>
      <c r="D36" s="194"/>
      <c r="E36" s="208"/>
      <c r="F36" s="206"/>
      <c r="G36" s="46"/>
      <c r="H36" s="108" t="str">
        <f t="shared" ca="1" si="3"/>
        <v/>
      </c>
      <c r="I36" s="118" t="str">
        <f t="shared" ca="1" si="4"/>
        <v/>
      </c>
      <c r="J36" s="109" t="str">
        <f t="shared" ca="1" si="5"/>
        <v/>
      </c>
      <c r="K36" s="204"/>
      <c r="L36" s="202"/>
      <c r="M36" s="47"/>
      <c r="N36" s="119"/>
    </row>
    <row r="37" spans="1:14" ht="20.25" hidden="1" customHeight="1" thickBot="1" x14ac:dyDescent="0.25">
      <c r="A37" s="218"/>
      <c r="B37" s="212"/>
      <c r="C37" s="211"/>
      <c r="D37" s="210"/>
      <c r="E37" s="209"/>
      <c r="F37" s="207"/>
      <c r="G37" s="48"/>
      <c r="H37" s="108" t="str">
        <f t="shared" ca="1" si="3"/>
        <v/>
      </c>
      <c r="I37" s="118" t="str">
        <f t="shared" ca="1" si="4"/>
        <v/>
      </c>
      <c r="J37" s="109" t="str">
        <f t="shared" ca="1" si="5"/>
        <v/>
      </c>
      <c r="K37" s="205"/>
      <c r="L37" s="203"/>
      <c r="M37" s="50"/>
      <c r="N37" s="119"/>
    </row>
    <row r="38" spans="1:14" ht="20.25" hidden="1" customHeight="1" thickBot="1" x14ac:dyDescent="0.25">
      <c r="A38" s="217"/>
      <c r="B38" s="198"/>
      <c r="C38" s="196"/>
      <c r="D38" s="194"/>
      <c r="E38" s="208"/>
      <c r="F38" s="206"/>
      <c r="G38" s="46"/>
      <c r="H38" s="108" t="str">
        <f t="shared" ca="1" si="3"/>
        <v/>
      </c>
      <c r="I38" s="118" t="str">
        <f t="shared" ca="1" si="4"/>
        <v/>
      </c>
      <c r="J38" s="109" t="str">
        <f t="shared" ca="1" si="5"/>
        <v/>
      </c>
      <c r="K38" s="204"/>
      <c r="L38" s="202"/>
      <c r="M38" s="47"/>
      <c r="N38" s="119"/>
    </row>
    <row r="39" spans="1:14" ht="20.25" hidden="1" customHeight="1" thickBot="1" x14ac:dyDescent="0.25">
      <c r="A39" s="218"/>
      <c r="B39" s="212"/>
      <c r="C39" s="211"/>
      <c r="D39" s="210"/>
      <c r="E39" s="209"/>
      <c r="F39" s="207"/>
      <c r="G39" s="48"/>
      <c r="H39" s="108" t="str">
        <f t="shared" ca="1" si="3"/>
        <v/>
      </c>
      <c r="I39" s="118" t="str">
        <f t="shared" ca="1" si="4"/>
        <v/>
      </c>
      <c r="J39" s="109" t="str">
        <f t="shared" ca="1" si="5"/>
        <v/>
      </c>
      <c r="K39" s="205"/>
      <c r="L39" s="203"/>
      <c r="M39" s="50"/>
      <c r="N39" s="119"/>
    </row>
    <row r="40" spans="1:14" ht="20.25" hidden="1" customHeight="1" thickBot="1" x14ac:dyDescent="0.25">
      <c r="A40" s="217"/>
      <c r="B40" s="198"/>
      <c r="C40" s="196"/>
      <c r="D40" s="194"/>
      <c r="E40" s="208"/>
      <c r="F40" s="206"/>
      <c r="G40" s="46"/>
      <c r="H40" s="108" t="str">
        <f t="shared" ca="1" si="3"/>
        <v/>
      </c>
      <c r="I40" s="118" t="str">
        <f t="shared" ca="1" si="4"/>
        <v/>
      </c>
      <c r="J40" s="109" t="str">
        <f t="shared" ca="1" si="5"/>
        <v/>
      </c>
      <c r="K40" s="204"/>
      <c r="L40" s="202"/>
      <c r="M40" s="47"/>
      <c r="N40" s="119"/>
    </row>
    <row r="41" spans="1:14" ht="20.25" hidden="1" customHeight="1" thickBot="1" x14ac:dyDescent="0.25">
      <c r="A41" s="218"/>
      <c r="B41" s="212"/>
      <c r="C41" s="211"/>
      <c r="D41" s="210"/>
      <c r="E41" s="209"/>
      <c r="F41" s="207"/>
      <c r="G41" s="48"/>
      <c r="H41" s="108" t="str">
        <f t="shared" ca="1" si="3"/>
        <v/>
      </c>
      <c r="I41" s="118" t="str">
        <f t="shared" ca="1" si="4"/>
        <v/>
      </c>
      <c r="J41" s="109" t="str">
        <f t="shared" ca="1" si="5"/>
        <v/>
      </c>
      <c r="K41" s="205"/>
      <c r="L41" s="203"/>
      <c r="M41" s="50"/>
      <c r="N41" s="119"/>
    </row>
    <row r="42" spans="1:14" ht="21" hidden="1" customHeight="1" thickBot="1" x14ac:dyDescent="0.25">
      <c r="A42" s="217"/>
      <c r="B42" s="198"/>
      <c r="C42" s="196"/>
      <c r="D42" s="194"/>
      <c r="E42" s="208"/>
      <c r="F42" s="206"/>
      <c r="G42" s="46"/>
      <c r="H42" s="108" t="str">
        <f t="shared" ca="1" si="3"/>
        <v/>
      </c>
      <c r="I42" s="118" t="str">
        <f t="shared" ca="1" si="4"/>
        <v/>
      </c>
      <c r="J42" s="109" t="str">
        <f t="shared" ca="1" si="5"/>
        <v/>
      </c>
      <c r="K42" s="204"/>
      <c r="L42" s="202"/>
      <c r="M42" s="47"/>
      <c r="N42" s="119"/>
    </row>
    <row r="43" spans="1:14" ht="20.25" hidden="1" customHeight="1" thickBot="1" x14ac:dyDescent="0.25">
      <c r="A43" s="218"/>
      <c r="B43" s="212"/>
      <c r="C43" s="211"/>
      <c r="D43" s="210"/>
      <c r="E43" s="209"/>
      <c r="F43" s="207"/>
      <c r="G43" s="48"/>
      <c r="H43" s="108" t="str">
        <f t="shared" ca="1" si="3"/>
        <v/>
      </c>
      <c r="I43" s="118" t="str">
        <f t="shared" ca="1" si="4"/>
        <v/>
      </c>
      <c r="J43" s="109" t="str">
        <f t="shared" ca="1" si="5"/>
        <v/>
      </c>
      <c r="K43" s="205"/>
      <c r="L43" s="203"/>
      <c r="M43" s="50"/>
      <c r="N43" s="119"/>
    </row>
    <row r="44" spans="1:14" ht="25.5" customHeight="1" thickBot="1" x14ac:dyDescent="0.25">
      <c r="A44" s="116"/>
      <c r="B44" s="132" t="s">
        <v>75</v>
      </c>
      <c r="C44" s="127"/>
      <c r="D44" s="128"/>
      <c r="E44" s="52"/>
      <c r="F44" s="129"/>
      <c r="G44" s="130">
        <f>SUM(G6:G43)</f>
        <v>1168</v>
      </c>
      <c r="H44" s="122">
        <f ca="1">SUM(H6:H43)</f>
        <v>2.25</v>
      </c>
      <c r="I44" s="110">
        <f ca="1">SUM(I6:I43)</f>
        <v>13.179</v>
      </c>
      <c r="J44" s="123">
        <f ca="1">SUM(J6:J43)</f>
        <v>186</v>
      </c>
      <c r="K44" s="53"/>
      <c r="L44" s="131"/>
      <c r="M44" s="117"/>
      <c r="N44" s="119"/>
    </row>
    <row r="45" spans="1:14" ht="24.6" customHeight="1" x14ac:dyDescent="0.25">
      <c r="B45" s="137" t="s">
        <v>156</v>
      </c>
      <c r="C45" s="138"/>
      <c r="D45" s="229" t="s">
        <v>157</v>
      </c>
      <c r="E45" s="229"/>
    </row>
    <row r="46" spans="1:14" ht="24.6" customHeight="1" x14ac:dyDescent="0.25">
      <c r="B46" s="139" t="s">
        <v>158</v>
      </c>
      <c r="C46" s="140"/>
      <c r="D46" s="230" t="s">
        <v>159</v>
      </c>
      <c r="E46" s="230"/>
    </row>
    <row r="47" spans="1:14" ht="24.6" customHeight="1" x14ac:dyDescent="0.2"/>
    <row r="48" spans="1:14" ht="24.6" customHeight="1" x14ac:dyDescent="0.2"/>
    <row r="49" spans="4:4" ht="24.6" customHeight="1" x14ac:dyDescent="0.2">
      <c r="D49"/>
    </row>
  </sheetData>
  <mergeCells count="166">
    <mergeCell ref="D45:E45"/>
    <mergeCell ref="D46:E46"/>
    <mergeCell ref="M3:M5"/>
    <mergeCell ref="E4:E5"/>
    <mergeCell ref="F4:F5"/>
    <mergeCell ref="H4:J4"/>
    <mergeCell ref="A6:A7"/>
    <mergeCell ref="B6:B7"/>
    <mergeCell ref="C6:C7"/>
    <mergeCell ref="D6:D7"/>
    <mergeCell ref="E6:E7"/>
    <mergeCell ref="F6:F7"/>
    <mergeCell ref="K6:K7"/>
    <mergeCell ref="L6:L7"/>
    <mergeCell ref="A3:A5"/>
    <mergeCell ref="B3:B5"/>
    <mergeCell ref="C3:C5"/>
    <mergeCell ref="D3:D5"/>
    <mergeCell ref="E3:F3"/>
    <mergeCell ref="G3:J3"/>
    <mergeCell ref="K3:K5"/>
    <mergeCell ref="L3:L5"/>
    <mergeCell ref="A8:A9"/>
    <mergeCell ref="B8:B9"/>
    <mergeCell ref="C8:C9"/>
    <mergeCell ref="D8:D9"/>
    <mergeCell ref="E8:E9"/>
    <mergeCell ref="F8:F9"/>
    <mergeCell ref="K8:K9"/>
    <mergeCell ref="L8:L9"/>
    <mergeCell ref="K10:K11"/>
    <mergeCell ref="L10:L11"/>
    <mergeCell ref="A12:A13"/>
    <mergeCell ref="B12:B13"/>
    <mergeCell ref="C12:C13"/>
    <mergeCell ref="D12:D13"/>
    <mergeCell ref="E12:E13"/>
    <mergeCell ref="F12:F13"/>
    <mergeCell ref="K12:K13"/>
    <mergeCell ref="L12:L13"/>
    <mergeCell ref="A10:A11"/>
    <mergeCell ref="B10:B11"/>
    <mergeCell ref="C10:C11"/>
    <mergeCell ref="D10:D11"/>
    <mergeCell ref="E10:E11"/>
    <mergeCell ref="F10:F11"/>
    <mergeCell ref="K14:K15"/>
    <mergeCell ref="L14:L15"/>
    <mergeCell ref="A16:A17"/>
    <mergeCell ref="B16:B17"/>
    <mergeCell ref="C16:C17"/>
    <mergeCell ref="D16:D17"/>
    <mergeCell ref="E16:E17"/>
    <mergeCell ref="F16:F17"/>
    <mergeCell ref="K16:K17"/>
    <mergeCell ref="L16:L17"/>
    <mergeCell ref="A14:A15"/>
    <mergeCell ref="B14:B15"/>
    <mergeCell ref="C14:C15"/>
    <mergeCell ref="D14:D15"/>
    <mergeCell ref="E14:E15"/>
    <mergeCell ref="F14:F15"/>
    <mergeCell ref="K18:K19"/>
    <mergeCell ref="L18:L19"/>
    <mergeCell ref="A20:A21"/>
    <mergeCell ref="B20:B21"/>
    <mergeCell ref="C20:C21"/>
    <mergeCell ref="D20:D21"/>
    <mergeCell ref="E20:E21"/>
    <mergeCell ref="F20:F21"/>
    <mergeCell ref="K20:K21"/>
    <mergeCell ref="L20:L21"/>
    <mergeCell ref="A18:A19"/>
    <mergeCell ref="B18:B19"/>
    <mergeCell ref="C18:C19"/>
    <mergeCell ref="D18:D19"/>
    <mergeCell ref="E18:E19"/>
    <mergeCell ref="F18:F19"/>
    <mergeCell ref="F24:F25"/>
    <mergeCell ref="K24:K25"/>
    <mergeCell ref="L24:L25"/>
    <mergeCell ref="A22:A23"/>
    <mergeCell ref="B22:B23"/>
    <mergeCell ref="C22:C23"/>
    <mergeCell ref="D22:D23"/>
    <mergeCell ref="E22:E23"/>
    <mergeCell ref="F22:F23"/>
    <mergeCell ref="L42:L43"/>
    <mergeCell ref="C1:E1"/>
    <mergeCell ref="A42:A43"/>
    <mergeCell ref="B42:B43"/>
    <mergeCell ref="C42:C43"/>
    <mergeCell ref="D42:D43"/>
    <mergeCell ref="E42:E43"/>
    <mergeCell ref="F42:F43"/>
    <mergeCell ref="K42:K43"/>
    <mergeCell ref="K26:K27"/>
    <mergeCell ref="L26:L27"/>
    <mergeCell ref="A26:A27"/>
    <mergeCell ref="B26:B27"/>
    <mergeCell ref="C26:C27"/>
    <mergeCell ref="D26:D27"/>
    <mergeCell ref="E26:E27"/>
    <mergeCell ref="F26:F27"/>
    <mergeCell ref="K22:K23"/>
    <mergeCell ref="L22:L23"/>
    <mergeCell ref="A24:A25"/>
    <mergeCell ref="B24:B25"/>
    <mergeCell ref="C24:C25"/>
    <mergeCell ref="D24:D25"/>
    <mergeCell ref="E24:E25"/>
    <mergeCell ref="A32:A33"/>
    <mergeCell ref="B32:B33"/>
    <mergeCell ref="C32:C33"/>
    <mergeCell ref="D32:D33"/>
    <mergeCell ref="E32:E33"/>
    <mergeCell ref="F32:F33"/>
    <mergeCell ref="K32:K33"/>
    <mergeCell ref="L32:L33"/>
    <mergeCell ref="A34:A35"/>
    <mergeCell ref="B34:B35"/>
    <mergeCell ref="E34:E35"/>
    <mergeCell ref="F34:F35"/>
    <mergeCell ref="K34:K35"/>
    <mergeCell ref="L34:L35"/>
    <mergeCell ref="C34:D35"/>
    <mergeCell ref="A40:A41"/>
    <mergeCell ref="B40:B41"/>
    <mergeCell ref="C40:C41"/>
    <mergeCell ref="D40:D41"/>
    <mergeCell ref="E40:E41"/>
    <mergeCell ref="F40:F41"/>
    <mergeCell ref="K40:K41"/>
    <mergeCell ref="L40:L41"/>
    <mergeCell ref="A36:A37"/>
    <mergeCell ref="B36:B37"/>
    <mergeCell ref="C36:C37"/>
    <mergeCell ref="D36:D37"/>
    <mergeCell ref="E36:E37"/>
    <mergeCell ref="F36:F37"/>
    <mergeCell ref="K36:K37"/>
    <mergeCell ref="L36:L37"/>
    <mergeCell ref="A38:A39"/>
    <mergeCell ref="B38:B39"/>
    <mergeCell ref="C38:C39"/>
    <mergeCell ref="D38:D39"/>
    <mergeCell ref="E38:E39"/>
    <mergeCell ref="F38:F39"/>
    <mergeCell ref="K38:K39"/>
    <mergeCell ref="L38:L39"/>
    <mergeCell ref="D30:D31"/>
    <mergeCell ref="C30:C31"/>
    <mergeCell ref="B30:B31"/>
    <mergeCell ref="A30:A31"/>
    <mergeCell ref="L28:L29"/>
    <mergeCell ref="K28:K29"/>
    <mergeCell ref="F28:F29"/>
    <mergeCell ref="E28:E29"/>
    <mergeCell ref="D28:D29"/>
    <mergeCell ref="C28:C29"/>
    <mergeCell ref="B28:B29"/>
    <mergeCell ref="A28:A29"/>
    <mergeCell ref="K30:K31"/>
    <mergeCell ref="L30:L31"/>
    <mergeCell ref="F30:F31"/>
    <mergeCell ref="E30:E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10" sqref="M10"/>
    </sheetView>
  </sheetViews>
  <sheetFormatPr defaultRowHeight="15" x14ac:dyDescent="0.2"/>
  <cols>
    <col min="1" max="1" width="4.5703125" style="102" customWidth="1"/>
    <col min="2" max="2" width="30.7109375" style="102" customWidth="1"/>
    <col min="3" max="3" width="21.5703125" style="102" customWidth="1"/>
    <col min="4" max="9" width="9.140625" style="102"/>
    <col min="10" max="10" width="9.5703125" style="102" bestFit="1" customWidth="1"/>
    <col min="11" max="11" width="10.5703125" style="102" bestFit="1" customWidth="1"/>
    <col min="12" max="12" width="9.140625" style="102"/>
    <col min="13" max="13" width="16.42578125" style="102" customWidth="1"/>
    <col min="14" max="14" width="9.140625" style="102" customWidth="1"/>
    <col min="15" max="16384" width="9.140625" style="102"/>
  </cols>
  <sheetData>
    <row r="1" spans="1:17" ht="15.75" x14ac:dyDescent="0.2">
      <c r="A1" s="262" t="s">
        <v>102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7" ht="18.75" customHeight="1" x14ac:dyDescent="0.2">
      <c r="A2" s="142"/>
      <c r="B2" s="143" t="s">
        <v>112</v>
      </c>
      <c r="C2" s="144"/>
      <c r="D2" s="144"/>
      <c r="E2" s="145"/>
      <c r="F2" s="145"/>
      <c r="G2" s="145"/>
      <c r="H2" s="145"/>
      <c r="I2" s="145"/>
      <c r="J2" s="145"/>
      <c r="K2" s="145"/>
      <c r="L2" s="145"/>
    </row>
    <row r="3" spans="1:17" ht="19.5" customHeight="1" thickBot="1" x14ac:dyDescent="0.25">
      <c r="A3" s="142"/>
      <c r="B3" s="143" t="s">
        <v>63</v>
      </c>
      <c r="C3" s="146"/>
      <c r="D3" s="147" t="s">
        <v>106</v>
      </c>
      <c r="E3" s="148">
        <f>'состав отдела'!D12</f>
        <v>7.0999999999999994E-2</v>
      </c>
      <c r="F3" s="263" t="s">
        <v>107</v>
      </c>
      <c r="G3" s="263"/>
      <c r="H3" s="264" t="str">
        <f>'состав отдела'!I1</f>
        <v>октябрь 2017 г.</v>
      </c>
      <c r="I3" s="264"/>
      <c r="J3" s="264"/>
      <c r="K3" s="142"/>
      <c r="L3" s="149"/>
      <c r="M3" s="3"/>
    </row>
    <row r="4" spans="1:17" x14ac:dyDescent="0.2">
      <c r="A4" s="265"/>
      <c r="B4" s="265"/>
      <c r="C4" s="265"/>
      <c r="D4" s="265"/>
      <c r="E4" s="265"/>
      <c r="F4" s="265"/>
      <c r="G4" s="147" t="s">
        <v>110</v>
      </c>
      <c r="H4" s="150">
        <f>'состав отдела'!E12</f>
        <v>176</v>
      </c>
      <c r="I4" s="151"/>
      <c r="J4" s="151"/>
      <c r="K4" s="152">
        <f>H4*E3</f>
        <v>12.496</v>
      </c>
      <c r="L4" s="153" t="s">
        <v>111</v>
      </c>
    </row>
    <row r="5" spans="1:17" ht="15.75" thickBot="1" x14ac:dyDescent="0.25">
      <c r="A5" s="103"/>
      <c r="B5" s="104">
        <f>'состав отдела'!$I$12</f>
        <v>0</v>
      </c>
      <c r="C5" s="105"/>
      <c r="D5" s="104"/>
      <c r="E5" s="104"/>
      <c r="G5" s="104"/>
      <c r="H5" s="104"/>
      <c r="I5" s="104"/>
      <c r="J5" s="104"/>
      <c r="K5" s="104"/>
      <c r="L5" s="104"/>
    </row>
    <row r="6" spans="1:17" ht="110.25" customHeight="1" thickBot="1" x14ac:dyDescent="0.25">
      <c r="A6" s="154" t="s">
        <v>114</v>
      </c>
      <c r="B6" s="155" t="s">
        <v>76</v>
      </c>
      <c r="C6" s="155" t="s">
        <v>77</v>
      </c>
      <c r="D6" s="156" t="s">
        <v>78</v>
      </c>
      <c r="E6" s="157" t="s">
        <v>79</v>
      </c>
      <c r="F6" s="156" t="s">
        <v>80</v>
      </c>
      <c r="G6" s="157" t="s">
        <v>81</v>
      </c>
      <c r="H6" s="156" t="s">
        <v>82</v>
      </c>
      <c r="I6" s="157" t="s">
        <v>83</v>
      </c>
      <c r="J6" s="158" t="s">
        <v>84</v>
      </c>
      <c r="K6" s="156" t="s">
        <v>85</v>
      </c>
      <c r="L6" s="156" t="s">
        <v>4</v>
      </c>
      <c r="Q6" s="107"/>
    </row>
    <row r="7" spans="1:17" ht="15.75" customHeight="1" thickBot="1" x14ac:dyDescent="0.25">
      <c r="A7" s="253" t="str">
        <f>IFERROR(INDEX('План-отчет отдела'!$K$1:$K$44,IF(ISEVEN(раб1),раб1,раб1-1)),"")</f>
        <v>2016.533-ТХ</v>
      </c>
      <c r="B7" s="256" t="str">
        <f>IFERROR(INDEX('План-отчет отдела'!$B$1:$B$44,IF(ISEVEN(раб1),раб1,раб1-1)),"")</f>
        <v>Доменный цех.  ДП №3. Капремонт II разряда в 2018г. Замена весоповерочного оборудования бункеров агломерата и кокса.</v>
      </c>
      <c r="C7" s="100"/>
      <c r="D7" s="99">
        <v>1</v>
      </c>
      <c r="E7" s="99">
        <v>1</v>
      </c>
      <c r="F7" s="99">
        <v>0.75</v>
      </c>
      <c r="G7" s="99">
        <v>1</v>
      </c>
      <c r="H7" s="99">
        <v>1.25</v>
      </c>
      <c r="I7" s="99">
        <v>1</v>
      </c>
      <c r="J7" s="164">
        <f>PRODUCT(E7:I7,L7)*D7</f>
        <v>0.93799999999999994</v>
      </c>
      <c r="K7" s="169">
        <f>J7/$E$3</f>
        <v>13.2</v>
      </c>
      <c r="L7" s="99"/>
    </row>
    <row r="8" spans="1:17" ht="15.75" thickBot="1" x14ac:dyDescent="0.25">
      <c r="A8" s="254"/>
      <c r="B8" s="257"/>
      <c r="C8" s="100"/>
      <c r="D8" s="99">
        <v>2</v>
      </c>
      <c r="E8" s="99">
        <v>1</v>
      </c>
      <c r="F8" s="99">
        <v>0.75</v>
      </c>
      <c r="G8" s="99">
        <v>1</v>
      </c>
      <c r="H8" s="99">
        <v>1.25</v>
      </c>
      <c r="I8" s="99">
        <v>1</v>
      </c>
      <c r="J8" s="164">
        <f>PRODUCT(E8:I8,L8)*D8</f>
        <v>1.875</v>
      </c>
      <c r="K8" s="169">
        <f>J8/$E$3</f>
        <v>26.4</v>
      </c>
      <c r="L8" s="99"/>
    </row>
    <row r="9" spans="1:17" ht="55.5" customHeight="1" thickBot="1" x14ac:dyDescent="0.25">
      <c r="A9" s="255"/>
      <c r="B9" s="258"/>
      <c r="C9" s="101" t="s">
        <v>113</v>
      </c>
      <c r="D9" s="259"/>
      <c r="E9" s="260"/>
      <c r="F9" s="260"/>
      <c r="G9" s="260"/>
      <c r="H9" s="260"/>
      <c r="I9" s="261"/>
      <c r="J9" s="164">
        <f>K9*$E$3</f>
        <v>7.0999999999999994E-2</v>
      </c>
      <c r="K9" s="99">
        <v>1</v>
      </c>
      <c r="L9" s="163"/>
      <c r="O9"/>
    </row>
    <row r="10" spans="1:17" ht="15.75" thickBot="1" x14ac:dyDescent="0.25">
      <c r="A10" s="159">
        <f>IFERROR(INDEX('План-отчет отдела'!$A$1:$A$44,IF(ISEVEN(раб1),раб1,раб1-1)),"")</f>
        <v>10</v>
      </c>
      <c r="B10" s="160" t="s">
        <v>91</v>
      </c>
      <c r="C10" s="161"/>
      <c r="D10" s="266">
        <f>SUMPRODUCT(D7:D9,E7:E9,F7:F9)</f>
        <v>2.25</v>
      </c>
      <c r="E10" s="267"/>
      <c r="F10" s="268"/>
      <c r="G10" s="166"/>
      <c r="H10" s="166"/>
      <c r="I10" s="166"/>
      <c r="J10" s="170">
        <f>SUM(J7:J9)</f>
        <v>2.8839999999999999</v>
      </c>
      <c r="K10" s="168">
        <f>SUM(K7:K9)</f>
        <v>40.6</v>
      </c>
      <c r="L10" s="163"/>
    </row>
    <row r="11" spans="1:17" ht="15.75" customHeight="1" thickBot="1" x14ac:dyDescent="0.25">
      <c r="A11" s="253" t="str">
        <f>IFERROR(INDEX('План-отчет отдела'!$K$1:$K$44,IF(ISEVEN(раб2),раб2,раб2-1)),"")</f>
        <v>2017.395-ТХ</v>
      </c>
      <c r="B11" s="256" t="str">
        <f>IFERROR(INDEX('План-отчет отдела'!$B$1:$B$44,IF(ISEVEN(раб2),раб2,раб2-1)),"")</f>
        <v>Доменный цех.  ДП №3. Капремонт II разряда в 2018г. Установка на литейных дворах гидравлического оборудования фирмы ТМТ. (МВЗ 2514101539)</v>
      </c>
      <c r="C11" s="100"/>
      <c r="D11" s="99"/>
      <c r="E11" s="99">
        <v>1</v>
      </c>
      <c r="F11" s="99">
        <v>0.75</v>
      </c>
      <c r="G11" s="99">
        <v>1</v>
      </c>
      <c r="H11" s="99">
        <v>1.25</v>
      </c>
      <c r="I11" s="99">
        <v>1</v>
      </c>
      <c r="J11" s="164">
        <f>PRODUCT(E11:I11,L11)*D11</f>
        <v>0</v>
      </c>
      <c r="K11" s="169">
        <f>J11/$E$3</f>
        <v>0</v>
      </c>
      <c r="L11" s="99"/>
    </row>
    <row r="12" spans="1:17" ht="15.75" thickBot="1" x14ac:dyDescent="0.25">
      <c r="A12" s="254"/>
      <c r="B12" s="257"/>
      <c r="C12" s="100"/>
      <c r="D12" s="99"/>
      <c r="E12" s="99"/>
      <c r="F12" s="99"/>
      <c r="G12" s="99"/>
      <c r="H12" s="99"/>
      <c r="I12" s="99"/>
      <c r="J12" s="164">
        <f>PRODUCT(E12:I12,L12)*D12</f>
        <v>0</v>
      </c>
      <c r="K12" s="169">
        <f>J12/$E$3</f>
        <v>0</v>
      </c>
      <c r="L12" s="99"/>
    </row>
    <row r="13" spans="1:17" ht="70.5" customHeight="1" thickBot="1" x14ac:dyDescent="0.25">
      <c r="A13" s="255"/>
      <c r="B13" s="258"/>
      <c r="C13" s="101" t="s">
        <v>113</v>
      </c>
      <c r="D13" s="259"/>
      <c r="E13" s="260"/>
      <c r="F13" s="260"/>
      <c r="G13" s="260"/>
      <c r="H13" s="260"/>
      <c r="I13" s="261"/>
      <c r="J13" s="164">
        <f>K13*$E$3</f>
        <v>0.14199999999999999</v>
      </c>
      <c r="K13" s="99">
        <v>2</v>
      </c>
      <c r="L13" s="163"/>
    </row>
    <row r="14" spans="1:17" ht="15.75" customHeight="1" thickBot="1" x14ac:dyDescent="0.25">
      <c r="A14" s="159">
        <f>IFERROR(INDEX('План-отчет отдела'!$A$1:$A$44,IF(ISEVEN(раб2),раб2,раб2-1)),"")</f>
        <v>11</v>
      </c>
      <c r="B14" s="160" t="s">
        <v>91</v>
      </c>
      <c r="C14" s="161"/>
      <c r="D14" s="266">
        <f>SUMPRODUCT(D11:D13,E11:E13,F11:F13)</f>
        <v>0</v>
      </c>
      <c r="E14" s="267"/>
      <c r="F14" s="268"/>
      <c r="G14" s="166"/>
      <c r="H14" s="166"/>
      <c r="I14" s="166"/>
      <c r="J14" s="170">
        <f>SUM(J11:J13)</f>
        <v>0.14199999999999999</v>
      </c>
      <c r="K14" s="168">
        <f>SUM(K11:K13)</f>
        <v>2</v>
      </c>
      <c r="L14" s="163"/>
    </row>
    <row r="15" spans="1:17" ht="15.75" customHeight="1" thickBot="1" x14ac:dyDescent="0.25">
      <c r="A15" s="253" t="str">
        <f>IFERROR(INDEX('План-отчет отдела'!$K$1:$K$44,IF(ISEVEN(раб3),раб3,раб3-1)),"")</f>
        <v>-</v>
      </c>
      <c r="B15" s="256" t="str">
        <f>IFERROR(INDEX('План-отчет отдела'!$B$1:$B$44,IF(ISEVEN(раб3),раб3,раб3-1)),"")</f>
        <v>Работа в группе проекта "Унификация оборудования ЕВРАЗ ЗСМК"</v>
      </c>
      <c r="C15" s="100"/>
      <c r="D15" s="99"/>
      <c r="E15" s="99">
        <v>1</v>
      </c>
      <c r="F15" s="99">
        <v>0.75</v>
      </c>
      <c r="G15" s="99">
        <v>1</v>
      </c>
      <c r="H15" s="99">
        <v>1.25</v>
      </c>
      <c r="I15" s="99">
        <v>1</v>
      </c>
      <c r="J15" s="164">
        <f>PRODUCT(E15:I15,L15)*D15</f>
        <v>0</v>
      </c>
      <c r="K15" s="169">
        <f>J15/$E$3</f>
        <v>0</v>
      </c>
      <c r="L15" s="99"/>
    </row>
    <row r="16" spans="1:17" ht="15.75" thickBot="1" x14ac:dyDescent="0.25">
      <c r="A16" s="254"/>
      <c r="B16" s="257"/>
      <c r="C16" s="100"/>
      <c r="D16" s="99"/>
      <c r="E16" s="99">
        <v>1</v>
      </c>
      <c r="F16" s="99">
        <v>0.75</v>
      </c>
      <c r="G16" s="99">
        <v>1</v>
      </c>
      <c r="H16" s="99">
        <v>1.25</v>
      </c>
      <c r="I16" s="99">
        <v>1</v>
      </c>
      <c r="J16" s="164">
        <f>PRODUCT(E16:I16,L16)*D16</f>
        <v>0</v>
      </c>
      <c r="K16" s="169">
        <f>J16/$E$3</f>
        <v>0</v>
      </c>
      <c r="L16" s="99"/>
    </row>
    <row r="17" spans="1:12" ht="59.25" customHeight="1" thickBot="1" x14ac:dyDescent="0.25">
      <c r="A17" s="255"/>
      <c r="B17" s="258"/>
      <c r="C17" s="100" t="s">
        <v>113</v>
      </c>
      <c r="D17" s="259"/>
      <c r="E17" s="260"/>
      <c r="F17" s="260"/>
      <c r="G17" s="260"/>
      <c r="H17" s="260"/>
      <c r="I17" s="261"/>
      <c r="J17" s="164">
        <f>K17*$E$3</f>
        <v>4.97</v>
      </c>
      <c r="K17" s="99">
        <v>70</v>
      </c>
      <c r="L17" s="163"/>
    </row>
    <row r="18" spans="1:12" ht="15.75" customHeight="1" thickBot="1" x14ac:dyDescent="0.25">
      <c r="A18" s="159">
        <f>IFERROR(INDEX('План-отчет отдела'!$A$1:$A$44,IF(ISEVEN(раб3),раб3,раб3-1)),"")</f>
        <v>15</v>
      </c>
      <c r="B18" s="160" t="s">
        <v>91</v>
      </c>
      <c r="C18" s="161"/>
      <c r="D18" s="266">
        <f>SUMPRODUCT(D15:D17,E15:E17,F15:F17)</f>
        <v>0</v>
      </c>
      <c r="E18" s="267"/>
      <c r="F18" s="268"/>
      <c r="G18" s="166"/>
      <c r="H18" s="166"/>
      <c r="I18" s="166"/>
      <c r="J18" s="170">
        <f>SUM(J15:J17)</f>
        <v>4.97</v>
      </c>
      <c r="K18" s="168">
        <f>SUM(K15:K17)</f>
        <v>70</v>
      </c>
      <c r="L18" s="164"/>
    </row>
    <row r="19" spans="1:12" ht="15.75" customHeight="1" thickBot="1" x14ac:dyDescent="0.25">
      <c r="A19" s="253" t="str">
        <f>IFERROR(INDEX('План-отчет отдела'!$K$1:$K$44,IF(ISEVEN(раб4),раб4,раб4-1)),"")</f>
        <v/>
      </c>
      <c r="B19" s="256" t="str">
        <f>IFERROR(INDEX('План-отчет отдела'!$B$1:$B$44,IF(ISEVEN(раб4),раб4,раб4-1)),"")</f>
        <v/>
      </c>
      <c r="C19" s="100"/>
      <c r="D19" s="99"/>
      <c r="E19" s="99">
        <v>1</v>
      </c>
      <c r="F19" s="99">
        <v>0.75</v>
      </c>
      <c r="G19" s="99">
        <v>1</v>
      </c>
      <c r="H19" s="99">
        <v>1.25</v>
      </c>
      <c r="I19" s="99">
        <v>1</v>
      </c>
      <c r="J19" s="164">
        <f>PRODUCT(E19:I19,L19)*D19</f>
        <v>0</v>
      </c>
      <c r="K19" s="169">
        <f>J19/$E$3</f>
        <v>0</v>
      </c>
      <c r="L19" s="99"/>
    </row>
    <row r="20" spans="1:12" ht="15.75" customHeight="1" thickBot="1" x14ac:dyDescent="0.25">
      <c r="A20" s="254"/>
      <c r="B20" s="257"/>
      <c r="C20" s="100"/>
      <c r="D20" s="99"/>
      <c r="E20" s="99">
        <v>1</v>
      </c>
      <c r="F20" s="99">
        <v>0.75</v>
      </c>
      <c r="G20" s="99">
        <v>1</v>
      </c>
      <c r="H20" s="99">
        <v>1.25</v>
      </c>
      <c r="I20" s="99">
        <v>1</v>
      </c>
      <c r="J20" s="164">
        <f>PRODUCT(E20:I20,L20)*D20</f>
        <v>0</v>
      </c>
      <c r="K20" s="169">
        <f>J20/$E$3</f>
        <v>0</v>
      </c>
      <c r="L20" s="99"/>
    </row>
    <row r="21" spans="1:12" ht="54" customHeight="1" thickBot="1" x14ac:dyDescent="0.25">
      <c r="A21" s="255"/>
      <c r="B21" s="258"/>
      <c r="C21" s="101" t="s">
        <v>113</v>
      </c>
      <c r="D21" s="259"/>
      <c r="E21" s="260"/>
      <c r="F21" s="260"/>
      <c r="G21" s="260"/>
      <c r="H21" s="260"/>
      <c r="I21" s="261"/>
      <c r="J21" s="164">
        <f>K21*$E$3</f>
        <v>0</v>
      </c>
      <c r="K21" s="99"/>
      <c r="L21" s="163"/>
    </row>
    <row r="22" spans="1:12" ht="15.75" customHeight="1" thickBot="1" x14ac:dyDescent="0.25">
      <c r="A22" s="159" t="str">
        <f>IFERROR(INDEX('План-отчет отдела'!$A$1:$A$44,IF(ISEVEN(раб4),раб4,раб4-1)),"")</f>
        <v/>
      </c>
      <c r="B22" s="160" t="s">
        <v>91</v>
      </c>
      <c r="C22" s="161"/>
      <c r="D22" s="266">
        <f>SUMPRODUCT(D19:D21,E19:E21,F19:F21)</f>
        <v>0</v>
      </c>
      <c r="E22" s="267"/>
      <c r="F22" s="268"/>
      <c r="G22" s="166"/>
      <c r="H22" s="166"/>
      <c r="I22" s="166"/>
      <c r="J22" s="170">
        <f>SUM(J19:J21)</f>
        <v>0</v>
      </c>
      <c r="K22" s="168">
        <f>SUM(K19:K21)</f>
        <v>0</v>
      </c>
      <c r="L22" s="163"/>
    </row>
    <row r="23" spans="1:12" ht="15.75" customHeight="1" thickBot="1" x14ac:dyDescent="0.25">
      <c r="A23" s="253" t="str">
        <f>IFERROR(INDEX('План-отчет отдела'!$K$1:$K$44,IF(ISEVEN(раб5),раб5,раб5-1)),"")</f>
        <v/>
      </c>
      <c r="B23" s="256" t="str">
        <f>IFERROR(INDEX('План-отчет отдела'!$B$1:$B$44,IF(ISEVEN(раб5),раб5,раб5-1)),"")</f>
        <v/>
      </c>
      <c r="C23" s="100"/>
      <c r="D23" s="99"/>
      <c r="E23" s="99">
        <v>1</v>
      </c>
      <c r="F23" s="99">
        <v>0.75</v>
      </c>
      <c r="G23" s="99">
        <v>1</v>
      </c>
      <c r="H23" s="99">
        <v>1.25</v>
      </c>
      <c r="I23" s="99">
        <v>1</v>
      </c>
      <c r="J23" s="164">
        <f>PRODUCT(E23:I23,L23)*D23</f>
        <v>0</v>
      </c>
      <c r="K23" s="169">
        <f>J23/$E$3</f>
        <v>0</v>
      </c>
      <c r="L23" s="99"/>
    </row>
    <row r="24" spans="1:12" ht="15.75" thickBot="1" x14ac:dyDescent="0.25">
      <c r="A24" s="254"/>
      <c r="B24" s="257"/>
      <c r="C24" s="100"/>
      <c r="D24" s="99"/>
      <c r="E24" s="99">
        <v>1</v>
      </c>
      <c r="F24" s="99">
        <v>0.75</v>
      </c>
      <c r="G24" s="99">
        <v>1</v>
      </c>
      <c r="H24" s="99">
        <v>1.25</v>
      </c>
      <c r="I24" s="99">
        <v>1</v>
      </c>
      <c r="J24" s="164">
        <f>PRODUCT(E24:I24,L24)*D24</f>
        <v>0</v>
      </c>
      <c r="K24" s="169">
        <f>J24/$E$3</f>
        <v>0</v>
      </c>
      <c r="L24" s="99"/>
    </row>
    <row r="25" spans="1:12" ht="45.75" thickBot="1" x14ac:dyDescent="0.25">
      <c r="A25" s="255"/>
      <c r="B25" s="258"/>
      <c r="C25" s="101" t="s">
        <v>113</v>
      </c>
      <c r="D25" s="259"/>
      <c r="E25" s="260"/>
      <c r="F25" s="260"/>
      <c r="G25" s="260"/>
      <c r="H25" s="260"/>
      <c r="I25" s="261"/>
      <c r="J25" s="164">
        <f>K25*$E$3</f>
        <v>0</v>
      </c>
      <c r="K25" s="99"/>
      <c r="L25" s="163"/>
    </row>
    <row r="26" spans="1:12" ht="15.75" thickBot="1" x14ac:dyDescent="0.25">
      <c r="A26" s="159" t="str">
        <f>IFERROR(INDEX('План-отчет отдела'!$A$1:$A$44,IF(ISEVEN(раб5),раб5,раб5-1)),"")</f>
        <v/>
      </c>
      <c r="B26" s="160" t="s">
        <v>91</v>
      </c>
      <c r="C26" s="161"/>
      <c r="D26" s="266">
        <f>SUMPRODUCT(D23:D25,E23:E25,F23:F25)</f>
        <v>0</v>
      </c>
      <c r="E26" s="267"/>
      <c r="F26" s="268"/>
      <c r="G26" s="166"/>
      <c r="H26" s="166"/>
      <c r="I26" s="166"/>
      <c r="J26" s="170">
        <f>SUM(J23:J25)</f>
        <v>0</v>
      </c>
      <c r="K26" s="168">
        <f>SUM(K23:K25)</f>
        <v>0</v>
      </c>
      <c r="L26" s="163"/>
    </row>
    <row r="27" spans="1:12" ht="15.75" hidden="1" thickBot="1" x14ac:dyDescent="0.25">
      <c r="A27" s="253" t="str">
        <f>IFERROR(INDEX('План-отчет отдела'!$K$1:$K$44,IF(ISEVEN(раб6),раб6,раб6-1)),"")</f>
        <v/>
      </c>
      <c r="B27" s="256" t="str">
        <f>IFERROR(INDEX('План-отчет отдела'!$B$1:$B$44,IF(ISEVEN(раб6),раб6,раб6-1)),"")</f>
        <v/>
      </c>
      <c r="C27" s="100"/>
      <c r="D27" s="99"/>
      <c r="E27" s="99">
        <v>1</v>
      </c>
      <c r="F27" s="99">
        <v>0.75</v>
      </c>
      <c r="G27" s="99">
        <v>1</v>
      </c>
      <c r="H27" s="99">
        <v>1.25</v>
      </c>
      <c r="I27" s="99">
        <v>1</v>
      </c>
      <c r="J27" s="164">
        <f>PRODUCT(E27:I27,L27)*D27</f>
        <v>0</v>
      </c>
      <c r="K27" s="169">
        <f>J27/$E$3</f>
        <v>0</v>
      </c>
      <c r="L27" s="99"/>
    </row>
    <row r="28" spans="1:12" ht="15.75" hidden="1" thickBot="1" x14ac:dyDescent="0.25">
      <c r="A28" s="254"/>
      <c r="B28" s="257"/>
      <c r="C28" s="100"/>
      <c r="D28" s="99"/>
      <c r="E28" s="99">
        <v>1</v>
      </c>
      <c r="F28" s="99">
        <v>0.75</v>
      </c>
      <c r="G28" s="99">
        <v>1</v>
      </c>
      <c r="H28" s="99">
        <v>1.25</v>
      </c>
      <c r="I28" s="99">
        <v>1</v>
      </c>
      <c r="J28" s="164">
        <f>PRODUCT(E28:I28,L28)*D28</f>
        <v>0</v>
      </c>
      <c r="K28" s="169">
        <f>J28/$E$3</f>
        <v>0</v>
      </c>
      <c r="L28" s="99"/>
    </row>
    <row r="29" spans="1:12" ht="45.75" hidden="1" thickBot="1" x14ac:dyDescent="0.25">
      <c r="A29" s="255"/>
      <c r="B29" s="258"/>
      <c r="C29" s="101" t="s">
        <v>113</v>
      </c>
      <c r="D29" s="259"/>
      <c r="E29" s="260"/>
      <c r="F29" s="260"/>
      <c r="G29" s="260"/>
      <c r="H29" s="260"/>
      <c r="I29" s="261"/>
      <c r="J29" s="164">
        <f>K29*$E$3</f>
        <v>0</v>
      </c>
      <c r="K29" s="99"/>
      <c r="L29" s="163"/>
    </row>
    <row r="30" spans="1:12" ht="15.75" hidden="1" thickBot="1" x14ac:dyDescent="0.25">
      <c r="A30" s="159" t="str">
        <f>IFERROR(INDEX('План-отчет отдела'!$A$1:$A$44,IF(ISEVEN(раб6),раб6,раб6-1)),"")</f>
        <v/>
      </c>
      <c r="B30" s="160" t="s">
        <v>91</v>
      </c>
      <c r="C30" s="161"/>
      <c r="D30" s="266">
        <f>SUMPRODUCT(D27:D29,E27:E29,F27:F29)</f>
        <v>0</v>
      </c>
      <c r="E30" s="267"/>
      <c r="F30" s="268"/>
      <c r="G30" s="166"/>
      <c r="H30" s="166"/>
      <c r="I30" s="166"/>
      <c r="J30" s="170">
        <f>SUM(J27:J29)</f>
        <v>0</v>
      </c>
      <c r="K30" s="168">
        <f>SUM(K27:K29)</f>
        <v>0</v>
      </c>
      <c r="L30" s="163"/>
    </row>
    <row r="31" spans="1:12" ht="15.75" hidden="1" thickBot="1" x14ac:dyDescent="0.25">
      <c r="A31" s="253" t="str">
        <f>IFERROR(INDEX('План-отчет отдела'!$K$1:$K$44,IF(ISEVEN(раб7),раб7,раб7-1)),"")</f>
        <v/>
      </c>
      <c r="B31" s="256" t="str">
        <f>IFERROR(INDEX('План-отчет отдела'!$B$1:$B$44,IF(ISEVEN(раб7),раб7,раб7-1)),"")</f>
        <v/>
      </c>
      <c r="C31" s="100"/>
      <c r="D31" s="99"/>
      <c r="E31" s="99">
        <v>1</v>
      </c>
      <c r="F31" s="99">
        <v>0.75</v>
      </c>
      <c r="G31" s="99">
        <v>1</v>
      </c>
      <c r="H31" s="99">
        <v>1.25</v>
      </c>
      <c r="I31" s="99">
        <v>1</v>
      </c>
      <c r="J31" s="164">
        <f>PRODUCT(E31:I31,L31)*D31</f>
        <v>0</v>
      </c>
      <c r="K31" s="169">
        <f>J31/$E$3</f>
        <v>0</v>
      </c>
      <c r="L31" s="99"/>
    </row>
    <row r="32" spans="1:12" ht="15.75" hidden="1" thickBot="1" x14ac:dyDescent="0.25">
      <c r="A32" s="254"/>
      <c r="B32" s="257"/>
      <c r="C32" s="100"/>
      <c r="D32" s="99"/>
      <c r="E32" s="99">
        <v>1</v>
      </c>
      <c r="F32" s="99">
        <v>0.75</v>
      </c>
      <c r="G32" s="99">
        <v>1</v>
      </c>
      <c r="H32" s="99">
        <v>1.25</v>
      </c>
      <c r="I32" s="99">
        <v>1</v>
      </c>
      <c r="J32" s="164">
        <f>PRODUCT(E32:I32,L32)*D32</f>
        <v>0</v>
      </c>
      <c r="K32" s="169">
        <f>J32/$E$3</f>
        <v>0</v>
      </c>
      <c r="L32" s="99"/>
    </row>
    <row r="33" spans="1:12" ht="45.75" hidden="1" thickBot="1" x14ac:dyDescent="0.25">
      <c r="A33" s="255"/>
      <c r="B33" s="258"/>
      <c r="C33" s="101" t="s">
        <v>113</v>
      </c>
      <c r="D33" s="259"/>
      <c r="E33" s="260"/>
      <c r="F33" s="260"/>
      <c r="G33" s="260"/>
      <c r="H33" s="260"/>
      <c r="I33" s="261"/>
      <c r="J33" s="164">
        <f>K33*$E$3</f>
        <v>0</v>
      </c>
      <c r="K33" s="99"/>
      <c r="L33" s="163"/>
    </row>
    <row r="34" spans="1:12" ht="15.75" hidden="1" thickBot="1" x14ac:dyDescent="0.25">
      <c r="A34" s="159" t="str">
        <f>IFERROR(INDEX('План-отчет отдела'!$A$1:$A$44,IF(ISEVEN(раб7),раб7,раб7-1)),"")</f>
        <v/>
      </c>
      <c r="B34" s="160" t="s">
        <v>91</v>
      </c>
      <c r="C34" s="161"/>
      <c r="D34" s="266">
        <f>SUMPRODUCT(D31:D33,E31:E33,F31:F33)</f>
        <v>0</v>
      </c>
      <c r="E34" s="267"/>
      <c r="F34" s="268"/>
      <c r="G34" s="166"/>
      <c r="H34" s="166"/>
      <c r="I34" s="166"/>
      <c r="J34" s="170">
        <f>SUM(J31:J33)</f>
        <v>0</v>
      </c>
      <c r="K34" s="168">
        <f>SUM(K31:K33)</f>
        <v>0</v>
      </c>
      <c r="L34" s="163"/>
    </row>
    <row r="35" spans="1:12" ht="15.75" hidden="1" thickBot="1" x14ac:dyDescent="0.25">
      <c r="A35" s="253" t="str">
        <f>IFERROR(INDEX('План-отчет отдела'!$K$1:$K$44,IF(ISEVEN(раб8),раб8,раб8-1)),"")</f>
        <v/>
      </c>
      <c r="B35" s="256" t="str">
        <f>IFERROR(INDEX('План-отчет отдела'!$B$1:$B$44,IF(ISEVEN(раб8),раб8,раб8-1)),"")</f>
        <v/>
      </c>
      <c r="C35" s="100"/>
      <c r="D35" s="99"/>
      <c r="E35" s="99">
        <v>1</v>
      </c>
      <c r="F35" s="99">
        <v>0.75</v>
      </c>
      <c r="G35" s="99">
        <v>1</v>
      </c>
      <c r="H35" s="99">
        <v>1.25</v>
      </c>
      <c r="I35" s="99">
        <v>1</v>
      </c>
      <c r="J35" s="164">
        <f>PRODUCT(E35:I35,L35)*D35</f>
        <v>0</v>
      </c>
      <c r="K35" s="169">
        <f>J35/$E$3</f>
        <v>0</v>
      </c>
      <c r="L35" s="99"/>
    </row>
    <row r="36" spans="1:12" ht="15.75" hidden="1" thickBot="1" x14ac:dyDescent="0.25">
      <c r="A36" s="254"/>
      <c r="B36" s="257"/>
      <c r="C36" s="100"/>
      <c r="D36" s="99"/>
      <c r="E36" s="99">
        <v>1</v>
      </c>
      <c r="F36" s="99">
        <v>0.75</v>
      </c>
      <c r="G36" s="99">
        <v>1</v>
      </c>
      <c r="H36" s="99">
        <v>1.25</v>
      </c>
      <c r="I36" s="99">
        <v>1</v>
      </c>
      <c r="J36" s="164">
        <f>PRODUCT(E36:I36,L36)*D36</f>
        <v>0</v>
      </c>
      <c r="K36" s="169">
        <f>J36/$E$3</f>
        <v>0</v>
      </c>
      <c r="L36" s="99"/>
    </row>
    <row r="37" spans="1:12" ht="45.75" hidden="1" thickBot="1" x14ac:dyDescent="0.25">
      <c r="A37" s="255"/>
      <c r="B37" s="258"/>
      <c r="C37" s="101" t="s">
        <v>113</v>
      </c>
      <c r="D37" s="259"/>
      <c r="E37" s="260"/>
      <c r="F37" s="260"/>
      <c r="G37" s="260"/>
      <c r="H37" s="260"/>
      <c r="I37" s="261"/>
      <c r="J37" s="164">
        <f>K37*$E$3</f>
        <v>0</v>
      </c>
      <c r="K37" s="99"/>
      <c r="L37" s="163"/>
    </row>
    <row r="38" spans="1:12" ht="15.75" hidden="1" thickBot="1" x14ac:dyDescent="0.25">
      <c r="A38" s="159" t="str">
        <f>IFERROR(INDEX('План-отчет отдела'!$A$1:$A$44,IF(ISEVEN(раб8),раб8,раб8-1)),"")</f>
        <v/>
      </c>
      <c r="B38" s="160" t="s">
        <v>91</v>
      </c>
      <c r="C38" s="161"/>
      <c r="D38" s="266">
        <f>SUMPRODUCT(D35:D37,E35:E37,F35:F37)</f>
        <v>0</v>
      </c>
      <c r="E38" s="267"/>
      <c r="F38" s="268"/>
      <c r="G38" s="166"/>
      <c r="H38" s="166"/>
      <c r="I38" s="166"/>
      <c r="J38" s="170">
        <f>SUM(J35:J37)</f>
        <v>0</v>
      </c>
      <c r="K38" s="168">
        <f>SUM(K35:K37)</f>
        <v>0</v>
      </c>
      <c r="L38" s="163"/>
    </row>
    <row r="39" spans="1:12" ht="15.75" hidden="1" thickBot="1" x14ac:dyDescent="0.25">
      <c r="A39" s="253" t="str">
        <f>IFERROR(INDEX('План-отчет отдела'!$K$1:$K$44,IF(ISEVEN(раб9),раб9,раб9-1)),"")</f>
        <v/>
      </c>
      <c r="B39" s="256" t="str">
        <f>IFERROR(INDEX('План-отчет отдела'!$B$1:$B$44,IF(ISEVEN(раб9),раб9,раб9-1)),"")</f>
        <v/>
      </c>
      <c r="C39" s="100"/>
      <c r="D39" s="99"/>
      <c r="E39" s="99">
        <v>1</v>
      </c>
      <c r="F39" s="99">
        <v>0.75</v>
      </c>
      <c r="G39" s="99">
        <v>1</v>
      </c>
      <c r="H39" s="99">
        <v>1.25</v>
      </c>
      <c r="I39" s="99">
        <v>1</v>
      </c>
      <c r="J39" s="164">
        <f>PRODUCT(E39:I39,L39)*D39</f>
        <v>0</v>
      </c>
      <c r="K39" s="169">
        <f>J39/$E$3</f>
        <v>0</v>
      </c>
      <c r="L39" s="99"/>
    </row>
    <row r="40" spans="1:12" ht="15.75" hidden="1" thickBot="1" x14ac:dyDescent="0.25">
      <c r="A40" s="254"/>
      <c r="B40" s="257"/>
      <c r="C40" s="100"/>
      <c r="D40" s="99"/>
      <c r="E40" s="99">
        <v>1</v>
      </c>
      <c r="F40" s="99">
        <v>0.75</v>
      </c>
      <c r="G40" s="99">
        <v>1</v>
      </c>
      <c r="H40" s="99">
        <v>1.25</v>
      </c>
      <c r="I40" s="99">
        <v>1</v>
      </c>
      <c r="J40" s="164">
        <f>PRODUCT(E40:I40,L40)*D40</f>
        <v>0</v>
      </c>
      <c r="K40" s="169">
        <f>J40/$E$3</f>
        <v>0</v>
      </c>
      <c r="L40" s="99"/>
    </row>
    <row r="41" spans="1:12" ht="45.75" hidden="1" thickBot="1" x14ac:dyDescent="0.25">
      <c r="A41" s="255"/>
      <c r="B41" s="258"/>
      <c r="C41" s="101" t="s">
        <v>113</v>
      </c>
      <c r="D41" s="259"/>
      <c r="E41" s="260"/>
      <c r="F41" s="260"/>
      <c r="G41" s="260"/>
      <c r="H41" s="260"/>
      <c r="I41" s="261"/>
      <c r="J41" s="164">
        <f>K41*$E$3</f>
        <v>0</v>
      </c>
      <c r="K41" s="99"/>
      <c r="L41" s="163"/>
    </row>
    <row r="42" spans="1:12" ht="15.75" hidden="1" thickBot="1" x14ac:dyDescent="0.25">
      <c r="A42" s="159" t="str">
        <f>IFERROR(INDEX('План-отчет отдела'!$A$1:$A$44,IF(ISEVEN(раб9),раб9,раб9-1)),"")</f>
        <v/>
      </c>
      <c r="B42" s="160" t="s">
        <v>91</v>
      </c>
      <c r="C42" s="161"/>
      <c r="D42" s="266">
        <f>SUMPRODUCT(D39:D41,E39:E41,F39:F41)</f>
        <v>0</v>
      </c>
      <c r="E42" s="267"/>
      <c r="F42" s="268"/>
      <c r="G42" s="166"/>
      <c r="H42" s="166"/>
      <c r="I42" s="166"/>
      <c r="J42" s="170">
        <f>SUM(J39:J41)</f>
        <v>0</v>
      </c>
      <c r="K42" s="168">
        <f>SUM(K39:K41)</f>
        <v>0</v>
      </c>
      <c r="L42" s="163"/>
    </row>
    <row r="43" spans="1:12" ht="15.75" hidden="1" thickBot="1" x14ac:dyDescent="0.25">
      <c r="A43" s="253" t="str">
        <f>IFERROR(INDEX('План-отчет отдела'!$K$1:$K$44,IF(ISEVEN(раб10),раб10,раб10-1)),"")</f>
        <v/>
      </c>
      <c r="B43" s="256" t="str">
        <f>IFERROR(INDEX('План-отчет отдела'!$B$1:$B$44,IF(ISEVEN(раб10),раб10,раб10-1)),"")</f>
        <v/>
      </c>
      <c r="C43" s="100"/>
      <c r="D43" s="99"/>
      <c r="E43" s="99">
        <v>1</v>
      </c>
      <c r="F43" s="99">
        <v>0.75</v>
      </c>
      <c r="G43" s="99">
        <v>1</v>
      </c>
      <c r="H43" s="99">
        <v>1.25</v>
      </c>
      <c r="I43" s="99">
        <v>1</v>
      </c>
      <c r="J43" s="164">
        <f>PRODUCT(E43:I43,L43)*D43</f>
        <v>0</v>
      </c>
      <c r="K43" s="169">
        <f>J43/$E$3</f>
        <v>0</v>
      </c>
      <c r="L43" s="99"/>
    </row>
    <row r="44" spans="1:12" ht="15.75" hidden="1" thickBot="1" x14ac:dyDescent="0.25">
      <c r="A44" s="254"/>
      <c r="B44" s="257"/>
      <c r="C44" s="100"/>
      <c r="D44" s="99"/>
      <c r="E44" s="99">
        <v>1</v>
      </c>
      <c r="F44" s="99">
        <v>0.75</v>
      </c>
      <c r="G44" s="99">
        <v>1</v>
      </c>
      <c r="H44" s="99">
        <v>1.25</v>
      </c>
      <c r="I44" s="99">
        <v>1</v>
      </c>
      <c r="J44" s="164">
        <f>PRODUCT(E44:I44,L44)*D44</f>
        <v>0</v>
      </c>
      <c r="K44" s="169">
        <f>J44/$E$3</f>
        <v>0</v>
      </c>
      <c r="L44" s="99"/>
    </row>
    <row r="45" spans="1:12" ht="45.75" hidden="1" thickBot="1" x14ac:dyDescent="0.25">
      <c r="A45" s="255"/>
      <c r="B45" s="258"/>
      <c r="C45" s="101" t="s">
        <v>113</v>
      </c>
      <c r="D45" s="259"/>
      <c r="E45" s="260"/>
      <c r="F45" s="260"/>
      <c r="G45" s="260"/>
      <c r="H45" s="260"/>
      <c r="I45" s="261"/>
      <c r="J45" s="164">
        <f>K45*$E$3</f>
        <v>0</v>
      </c>
      <c r="K45" s="99"/>
      <c r="L45" s="163"/>
    </row>
    <row r="46" spans="1:12" ht="15.75" hidden="1" thickBot="1" x14ac:dyDescent="0.25">
      <c r="A46" s="159" t="str">
        <f>IFERROR(INDEX('План-отчет отдела'!$A$1:$A$44,IF(ISEVEN(раб10),раб10,раб10-1)),"")</f>
        <v/>
      </c>
      <c r="B46" s="160" t="s">
        <v>91</v>
      </c>
      <c r="C46" s="161"/>
      <c r="D46" s="266">
        <f>SUMPRODUCT(D43:D45,E43:E45,F43:F45)</f>
        <v>0</v>
      </c>
      <c r="E46" s="267"/>
      <c r="F46" s="268"/>
      <c r="G46" s="166"/>
      <c r="H46" s="166"/>
      <c r="I46" s="166"/>
      <c r="J46" s="170">
        <f>SUM(J43:J45)</f>
        <v>0</v>
      </c>
      <c r="K46" s="168">
        <f>SUM(K43:K45)</f>
        <v>0</v>
      </c>
      <c r="L46" s="163"/>
    </row>
    <row r="47" spans="1:12" ht="15.75" hidden="1" thickBot="1" x14ac:dyDescent="0.25">
      <c r="A47" s="162"/>
      <c r="B47" s="160"/>
      <c r="C47" s="161"/>
      <c r="D47" s="171"/>
      <c r="E47" s="172"/>
      <c r="F47" s="172"/>
      <c r="G47" s="173"/>
      <c r="H47" s="173"/>
      <c r="I47" s="174"/>
      <c r="J47" s="170"/>
      <c r="K47" s="168"/>
      <c r="L47" s="163"/>
    </row>
    <row r="48" spans="1:12" ht="15.75" thickBot="1" x14ac:dyDescent="0.25">
      <c r="A48" s="162"/>
      <c r="B48" s="160" t="s">
        <v>101</v>
      </c>
      <c r="C48" s="141"/>
      <c r="D48" s="266">
        <f>SUMIFS($D$7:$D$47,$B$7:$B$47,"всего")</f>
        <v>2.25</v>
      </c>
      <c r="E48" s="267"/>
      <c r="F48" s="268"/>
      <c r="G48" s="166"/>
      <c r="H48" s="166"/>
      <c r="I48" s="166"/>
      <c r="J48" s="167">
        <f>SUMIF($B$7:$B$47,"всего",J7:J47)</f>
        <v>7.9960000000000004</v>
      </c>
      <c r="K48" s="168">
        <f>SUMIFS($K$7:$K$47,$B$7:$B$47,"всего")</f>
        <v>112.6</v>
      </c>
      <c r="L48" s="165"/>
    </row>
    <row r="50" spans="1:1" ht="15.75" x14ac:dyDescent="0.25">
      <c r="A50" s="106"/>
    </row>
    <row r="51" spans="1:1" ht="15.75" x14ac:dyDescent="0.25">
      <c r="A51" s="106"/>
    </row>
    <row r="52" spans="1:1" ht="15.75" x14ac:dyDescent="0.25">
      <c r="A52" s="106"/>
    </row>
    <row r="53" spans="1:1" ht="15.75" x14ac:dyDescent="0.25">
      <c r="A53" s="106"/>
    </row>
    <row r="54" spans="1:1" ht="15.75" x14ac:dyDescent="0.25">
      <c r="A54" s="106"/>
    </row>
    <row r="55" spans="1:1" ht="15.75" x14ac:dyDescent="0.25">
      <c r="A55" s="106"/>
    </row>
    <row r="56" spans="1:1" ht="15.75" x14ac:dyDescent="0.25">
      <c r="A56" s="106"/>
    </row>
    <row r="57" spans="1:1" ht="15.75" x14ac:dyDescent="0.25">
      <c r="A57" s="106"/>
    </row>
  </sheetData>
  <sheetProtection insertRows="0"/>
  <autoFilter ref="A6:L6"/>
  <mergeCells count="45">
    <mergeCell ref="A43:A45"/>
    <mergeCell ref="B43:B45"/>
    <mergeCell ref="D45:I45"/>
    <mergeCell ref="D46:F46"/>
    <mergeCell ref="A35:A37"/>
    <mergeCell ref="B35:B37"/>
    <mergeCell ref="D37:I37"/>
    <mergeCell ref="D38:F38"/>
    <mergeCell ref="A39:A41"/>
    <mergeCell ref="B39:B41"/>
    <mergeCell ref="D41:I41"/>
    <mergeCell ref="A27:A29"/>
    <mergeCell ref="B27:B29"/>
    <mergeCell ref="D29:I29"/>
    <mergeCell ref="D30:F30"/>
    <mergeCell ref="A31:A33"/>
    <mergeCell ref="B31:B33"/>
    <mergeCell ref="D33:I33"/>
    <mergeCell ref="A1:L1"/>
    <mergeCell ref="A15:A17"/>
    <mergeCell ref="B15:B17"/>
    <mergeCell ref="F3:G3"/>
    <mergeCell ref="H3:J3"/>
    <mergeCell ref="A4:F4"/>
    <mergeCell ref="A7:A9"/>
    <mergeCell ref="B7:B9"/>
    <mergeCell ref="D9:I9"/>
    <mergeCell ref="D10:F10"/>
    <mergeCell ref="A11:A13"/>
    <mergeCell ref="B11:B13"/>
    <mergeCell ref="D13:I13"/>
    <mergeCell ref="D14:F14"/>
    <mergeCell ref="A19:A21"/>
    <mergeCell ref="B19:B21"/>
    <mergeCell ref="D21:I21"/>
    <mergeCell ref="D22:F22"/>
    <mergeCell ref="A23:A25"/>
    <mergeCell ref="B23:B25"/>
    <mergeCell ref="D26:F26"/>
    <mergeCell ref="D48:F48"/>
    <mergeCell ref="D18:F18"/>
    <mergeCell ref="D17:I17"/>
    <mergeCell ref="D25:I25"/>
    <mergeCell ref="D34:F34"/>
    <mergeCell ref="D42:F42"/>
  </mergeCells>
  <dataValidations count="1">
    <dataValidation type="list" allowBlank="1" showInputMessage="1" showErrorMessage="1" sqref="B3">
      <formula1>Исп</formula1>
    </dataValidation>
  </dataValidation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zoomScale="85" zoomScaleNormal="85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B7" sqref="B7:B9"/>
    </sheetView>
  </sheetViews>
  <sheetFormatPr defaultRowHeight="15" x14ac:dyDescent="0.2"/>
  <cols>
    <col min="1" max="1" width="4.5703125" style="102" customWidth="1"/>
    <col min="2" max="2" width="30.7109375" style="102" customWidth="1"/>
    <col min="3" max="3" width="21.5703125" style="102" customWidth="1"/>
    <col min="4" max="9" width="9.140625" style="102"/>
    <col min="10" max="10" width="9.5703125" style="102" bestFit="1" customWidth="1"/>
    <col min="11" max="11" width="10.5703125" style="102" bestFit="1" customWidth="1"/>
    <col min="12" max="12" width="9.140625" style="102"/>
    <col min="13" max="13" width="16.42578125" style="102" customWidth="1"/>
    <col min="14" max="14" width="9.140625" style="102" customWidth="1"/>
    <col min="15" max="16384" width="9.140625" style="102"/>
  </cols>
  <sheetData>
    <row r="1" spans="1:17" ht="15.75" x14ac:dyDescent="0.2">
      <c r="A1" s="262" t="s">
        <v>102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N1" s="102">
        <v>0</v>
      </c>
      <c r="O1" s="102">
        <v>5</v>
      </c>
    </row>
    <row r="2" spans="1:17" ht="18.75" customHeight="1" x14ac:dyDescent="0.2">
      <c r="A2" s="142"/>
      <c r="B2" s="143" t="s">
        <v>112</v>
      </c>
      <c r="C2" s="144"/>
      <c r="D2" s="144"/>
      <c r="E2" s="145"/>
      <c r="F2" s="145"/>
      <c r="G2" s="145"/>
      <c r="H2" s="145"/>
      <c r="I2" s="145"/>
      <c r="J2" s="145"/>
      <c r="K2" s="145"/>
      <c r="L2" s="145"/>
      <c r="N2" s="102">
        <v>1</v>
      </c>
      <c r="O2" s="102">
        <v>6</v>
      </c>
    </row>
    <row r="3" spans="1:17" ht="19.5" customHeight="1" thickBot="1" x14ac:dyDescent="0.25">
      <c r="A3" s="142"/>
      <c r="B3" s="143" t="s">
        <v>44</v>
      </c>
      <c r="C3" s="146"/>
      <c r="D3" s="147" t="s">
        <v>106</v>
      </c>
      <c r="E3" s="148">
        <f>'состав отдела'!D12</f>
        <v>7.0999999999999994E-2</v>
      </c>
      <c r="F3" s="263" t="s">
        <v>107</v>
      </c>
      <c r="G3" s="263"/>
      <c r="H3" s="264" t="str">
        <f>'состав отдела'!I1</f>
        <v>октябрь 2017 г.</v>
      </c>
      <c r="I3" s="264"/>
      <c r="J3" s="264"/>
      <c r="K3" s="142"/>
      <c r="L3" s="149"/>
      <c r="M3" s="3"/>
      <c r="N3" s="102">
        <v>2</v>
      </c>
      <c r="O3" s="102">
        <v>7</v>
      </c>
    </row>
    <row r="4" spans="1:17" x14ac:dyDescent="0.2">
      <c r="A4" s="265"/>
      <c r="B4" s="265"/>
      <c r="C4" s="265"/>
      <c r="D4" s="265"/>
      <c r="E4" s="265"/>
      <c r="F4" s="265"/>
      <c r="G4" s="147" t="s">
        <v>110</v>
      </c>
      <c r="H4" s="150">
        <f>'состав отдела'!E12</f>
        <v>176</v>
      </c>
      <c r="I4" s="151"/>
      <c r="J4" s="151"/>
      <c r="K4" s="152">
        <f>H4*E3</f>
        <v>12.496</v>
      </c>
      <c r="L4" s="153" t="s">
        <v>111</v>
      </c>
      <c r="N4" s="102">
        <v>3</v>
      </c>
      <c r="O4" s="102">
        <v>8</v>
      </c>
    </row>
    <row r="5" spans="1:17" ht="15.75" thickBot="1" x14ac:dyDescent="0.25">
      <c r="A5" s="103"/>
      <c r="B5" s="104">
        <f>'состав отдела'!$I$12</f>
        <v>0</v>
      </c>
      <c r="C5" s="105"/>
      <c r="D5" s="104"/>
      <c r="E5" s="104"/>
      <c r="G5" s="104"/>
      <c r="H5" s="104"/>
      <c r="I5" s="104"/>
      <c r="J5" s="104"/>
      <c r="K5" s="104"/>
      <c r="L5" s="104"/>
      <c r="N5" s="102">
        <v>4</v>
      </c>
      <c r="O5" s="102">
        <v>9</v>
      </c>
    </row>
    <row r="6" spans="1:17" ht="110.25" customHeight="1" thickBot="1" x14ac:dyDescent="0.25">
      <c r="A6" s="154" t="s">
        <v>114</v>
      </c>
      <c r="B6" s="155" t="s">
        <v>76</v>
      </c>
      <c r="C6" s="155" t="s">
        <v>77</v>
      </c>
      <c r="D6" s="156" t="s">
        <v>78</v>
      </c>
      <c r="E6" s="157" t="s">
        <v>79</v>
      </c>
      <c r="F6" s="156" t="s">
        <v>80</v>
      </c>
      <c r="G6" s="157" t="s">
        <v>81</v>
      </c>
      <c r="H6" s="156" t="s">
        <v>82</v>
      </c>
      <c r="I6" s="157" t="s">
        <v>83</v>
      </c>
      <c r="J6" s="158" t="s">
        <v>84</v>
      </c>
      <c r="K6" s="156" t="s">
        <v>85</v>
      </c>
      <c r="L6" s="156" t="s">
        <v>4</v>
      </c>
      <c r="Q6" s="107"/>
    </row>
    <row r="7" spans="1:17" ht="15.75" customHeight="1" thickBot="1" x14ac:dyDescent="0.25">
      <c r="A7" s="253" t="str">
        <f>IFERROR(INDEX('План-отчет отдела'!$K$1:$K$44,IF(ISEVEN(раб1),раб1,раб1-1)),"")</f>
        <v>2016.544-ТХ</v>
      </c>
      <c r="B7" s="256" t="str">
        <f>IFERROR(INDEX('План-отчет отдела'!$B$1:$B$44,IF(ISEVEN(раб1),раб1,раб1-1)),"")</f>
        <v>Доменный цех.  ДП №3. Капремонт II разряда в 2018г. Замена защитных шкафов для датчиков перепада давления системы вдувания ПУТ в ДП №3 (PDIT).                                                  (МВЗ 2514101539)</v>
      </c>
      <c r="C7" s="100"/>
      <c r="D7" s="99"/>
      <c r="E7" s="99">
        <v>1</v>
      </c>
      <c r="F7" s="99">
        <v>0.75</v>
      </c>
      <c r="G7" s="99">
        <v>1</v>
      </c>
      <c r="H7" s="99">
        <v>1.25</v>
      </c>
      <c r="I7" s="99">
        <v>1</v>
      </c>
      <c r="J7" s="164">
        <f>PRODUCT(E7:I7,L7)*D7</f>
        <v>0</v>
      </c>
      <c r="K7" s="169">
        <f>J7/$E$3</f>
        <v>0</v>
      </c>
      <c r="L7" s="99"/>
    </row>
    <row r="8" spans="1:17" ht="15.75" thickBot="1" x14ac:dyDescent="0.25">
      <c r="A8" s="254"/>
      <c r="B8" s="257"/>
      <c r="C8" s="100"/>
      <c r="D8" s="99"/>
      <c r="E8" s="99">
        <v>1</v>
      </c>
      <c r="F8" s="99">
        <v>0.75</v>
      </c>
      <c r="G8" s="99">
        <v>1</v>
      </c>
      <c r="H8" s="99">
        <v>1.25</v>
      </c>
      <c r="I8" s="99">
        <v>1</v>
      </c>
      <c r="J8" s="164">
        <f>PRODUCT(E8:I8,L8)*D8</f>
        <v>0</v>
      </c>
      <c r="K8" s="169">
        <f>J8/$E$3</f>
        <v>0</v>
      </c>
      <c r="L8" s="99"/>
    </row>
    <row r="9" spans="1:17" ht="55.5" customHeight="1" thickBot="1" x14ac:dyDescent="0.25">
      <c r="A9" s="255"/>
      <c r="B9" s="258"/>
      <c r="C9" s="101" t="s">
        <v>113</v>
      </c>
      <c r="D9" s="259"/>
      <c r="E9" s="260"/>
      <c r="F9" s="260"/>
      <c r="G9" s="260"/>
      <c r="H9" s="260"/>
      <c r="I9" s="261"/>
      <c r="J9" s="164">
        <f>K9*$E$3</f>
        <v>7.0999999999999994E-2</v>
      </c>
      <c r="K9" s="99">
        <v>1</v>
      </c>
      <c r="L9" s="163"/>
      <c r="O9"/>
    </row>
    <row r="10" spans="1:17" ht="15.75" thickBot="1" x14ac:dyDescent="0.25">
      <c r="A10" s="159">
        <f>IFERROR(INDEX('План-отчет отдела'!$A$1:$A$44,IF(ISEVEN(раб1),раб1,раб1-1)),"")</f>
        <v>1</v>
      </c>
      <c r="B10" s="160" t="s">
        <v>91</v>
      </c>
      <c r="C10" s="161"/>
      <c r="D10" s="266">
        <f>SUMPRODUCT(D7:D9,E7:E9,F7:F9)</f>
        <v>0</v>
      </c>
      <c r="E10" s="267"/>
      <c r="F10" s="268"/>
      <c r="G10" s="166"/>
      <c r="H10" s="166"/>
      <c r="I10" s="166"/>
      <c r="J10" s="170">
        <f>SUM(J7:J9)</f>
        <v>7.0999999999999994E-2</v>
      </c>
      <c r="K10" s="168">
        <f>SUM(K7:K9)</f>
        <v>1</v>
      </c>
      <c r="L10" s="163"/>
    </row>
    <row r="11" spans="1:17" ht="15.75" customHeight="1" thickBot="1" x14ac:dyDescent="0.25">
      <c r="A11" s="253" t="str">
        <f>IFERROR(INDEX('План-отчет отдела'!$K$1:$K$44,IF(ISEVEN(раб2),раб2,раб2-1)),"")</f>
        <v>2016.532-ВК1-01</v>
      </c>
      <c r="B11" s="256" t="str">
        <f>IFERROR(INDEX('План-отчет отдела'!$B$1:$B$44,IF(ISEVEN(раб2),раб2,раб2-1)),"")</f>
        <v>Доменный цех.  ДП №3. Капремонт II разряда в 2018г.                                    Замена системы охлаждения низа печи.                                                                  Коллектор распределительный.   (МВЗ 2514101539)</v>
      </c>
      <c r="C11" s="100"/>
      <c r="D11" s="99"/>
      <c r="E11" s="99">
        <v>1</v>
      </c>
      <c r="F11" s="99">
        <v>0.75</v>
      </c>
      <c r="G11" s="99">
        <v>1</v>
      </c>
      <c r="H11" s="99">
        <v>1.25</v>
      </c>
      <c r="I11" s="99">
        <v>1</v>
      </c>
      <c r="J11" s="164">
        <f>PRODUCT(E11:I11,L11)*D11</f>
        <v>0</v>
      </c>
      <c r="K11" s="169">
        <f>J11/$E$3</f>
        <v>0</v>
      </c>
      <c r="L11" s="99"/>
    </row>
    <row r="12" spans="1:17" ht="15.75" thickBot="1" x14ac:dyDescent="0.25">
      <c r="A12" s="254"/>
      <c r="B12" s="257"/>
      <c r="C12" s="100"/>
      <c r="D12" s="99"/>
      <c r="E12" s="99"/>
      <c r="F12" s="99"/>
      <c r="G12" s="99"/>
      <c r="H12" s="99"/>
      <c r="I12" s="99"/>
      <c r="J12" s="164">
        <f>PRODUCT(E12:I12,L12)*D12</f>
        <v>0</v>
      </c>
      <c r="K12" s="169">
        <f>J12/$E$3</f>
        <v>0</v>
      </c>
      <c r="L12" s="99"/>
    </row>
    <row r="13" spans="1:17" ht="70.5" customHeight="1" thickBot="1" x14ac:dyDescent="0.25">
      <c r="A13" s="255"/>
      <c r="B13" s="258"/>
      <c r="C13" s="101" t="s">
        <v>113</v>
      </c>
      <c r="D13" s="259"/>
      <c r="E13" s="260"/>
      <c r="F13" s="260"/>
      <c r="G13" s="260"/>
      <c r="H13" s="260"/>
      <c r="I13" s="261"/>
      <c r="J13" s="164">
        <f>K13*$E$3</f>
        <v>0.14199999999999999</v>
      </c>
      <c r="K13" s="99">
        <v>2</v>
      </c>
      <c r="L13" s="163"/>
    </row>
    <row r="14" spans="1:17" ht="15.75" customHeight="1" thickBot="1" x14ac:dyDescent="0.25">
      <c r="A14" s="159">
        <f>IFERROR(INDEX('План-отчет отдела'!$A$1:$A$44,IF(ISEVEN(раб2),раб2,раб2-1)),"")</f>
        <v>2</v>
      </c>
      <c r="B14" s="160" t="s">
        <v>91</v>
      </c>
      <c r="C14" s="161"/>
      <c r="D14" s="266">
        <f>SUMPRODUCT(D11:D13,E11:E13,F11:F13)</f>
        <v>0</v>
      </c>
      <c r="E14" s="267"/>
      <c r="F14" s="268"/>
      <c r="G14" s="166"/>
      <c r="H14" s="166"/>
      <c r="I14" s="166"/>
      <c r="J14" s="170">
        <f>SUM(J11:J13)</f>
        <v>0.14199999999999999</v>
      </c>
      <c r="K14" s="168">
        <f>SUM(K11:K13)</f>
        <v>2</v>
      </c>
      <c r="L14" s="163"/>
    </row>
    <row r="15" spans="1:17" ht="15.75" customHeight="1" thickBot="1" x14ac:dyDescent="0.25">
      <c r="A15" s="253" t="str">
        <f>IFERROR(INDEX('План-отчет отдела'!$K$1:$K$44,IF(ISEVEN(раб3),раб3,раб3-1)),"")</f>
        <v>2016.532-ВК1-10</v>
      </c>
      <c r="B15" s="256" t="str">
        <f>IFERROR(INDEX('План-отчет отдела'!$B$1:$B$44,IF(ISEVEN(раб3),раб3,раб3-1)),"")</f>
        <v>Доменный цех.  ДП №3. Капремонт II разряда в 2018г. Замена системы охлаждения низа печи.   Бак сливной.                                                        (МВЗ 2514101539)</v>
      </c>
      <c r="C15" s="100"/>
      <c r="D15" s="99"/>
      <c r="E15" s="99">
        <v>1</v>
      </c>
      <c r="F15" s="99">
        <v>0.75</v>
      </c>
      <c r="G15" s="99">
        <v>1</v>
      </c>
      <c r="H15" s="99">
        <v>1.25</v>
      </c>
      <c r="I15" s="99">
        <v>1</v>
      </c>
      <c r="J15" s="164">
        <f>PRODUCT(E15:I15,L15)*D15</f>
        <v>0</v>
      </c>
      <c r="K15" s="169">
        <f>J15/$E$3</f>
        <v>0</v>
      </c>
      <c r="L15" s="99"/>
    </row>
    <row r="16" spans="1:17" ht="15.75" thickBot="1" x14ac:dyDescent="0.25">
      <c r="A16" s="254"/>
      <c r="B16" s="257"/>
      <c r="C16" s="100"/>
      <c r="D16" s="99"/>
      <c r="E16" s="99">
        <v>1</v>
      </c>
      <c r="F16" s="99">
        <v>0.75</v>
      </c>
      <c r="G16" s="99">
        <v>1</v>
      </c>
      <c r="H16" s="99">
        <v>1.25</v>
      </c>
      <c r="I16" s="99">
        <v>1</v>
      </c>
      <c r="J16" s="164">
        <f>PRODUCT(E16:I16,L16)*D16</f>
        <v>0</v>
      </c>
      <c r="K16" s="169">
        <f>J16/$E$3</f>
        <v>0</v>
      </c>
      <c r="L16" s="99"/>
    </row>
    <row r="17" spans="1:12" ht="59.25" customHeight="1" thickBot="1" x14ac:dyDescent="0.25">
      <c r="A17" s="255"/>
      <c r="B17" s="258"/>
      <c r="C17" s="100" t="s">
        <v>113</v>
      </c>
      <c r="D17" s="259"/>
      <c r="E17" s="260"/>
      <c r="F17" s="260"/>
      <c r="G17" s="260"/>
      <c r="H17" s="260"/>
      <c r="I17" s="261"/>
      <c r="J17" s="164">
        <f>K17*$E$3</f>
        <v>4.97</v>
      </c>
      <c r="K17" s="99">
        <v>70</v>
      </c>
      <c r="L17" s="163"/>
    </row>
    <row r="18" spans="1:12" ht="15.75" customHeight="1" thickBot="1" x14ac:dyDescent="0.25">
      <c r="A18" s="159">
        <f>IFERROR(INDEX('План-отчет отдела'!$A$1:$A$44,IF(ISEVEN(раб3),раб3,раб3-1)),"")</f>
        <v>3</v>
      </c>
      <c r="B18" s="160" t="s">
        <v>91</v>
      </c>
      <c r="C18" s="161"/>
      <c r="D18" s="266">
        <f>SUMPRODUCT(D15:D17,E15:E17,F15:F17)</f>
        <v>0</v>
      </c>
      <c r="E18" s="267"/>
      <c r="F18" s="268"/>
      <c r="G18" s="166"/>
      <c r="H18" s="166"/>
      <c r="I18" s="166"/>
      <c r="J18" s="170">
        <f>SUM(J15:J17)</f>
        <v>4.97</v>
      </c>
      <c r="K18" s="168">
        <f>SUM(K15:K17)</f>
        <v>70</v>
      </c>
      <c r="L18" s="164"/>
    </row>
    <row r="19" spans="1:12" ht="15.75" customHeight="1" thickBot="1" x14ac:dyDescent="0.25">
      <c r="A19" s="253" t="str">
        <f>IFERROR(INDEX('План-отчет отдела'!$K$1:$K$44,IF(ISEVEN(раб4),раб4,раб4-1)),"")</f>
        <v>2017.260-ТХ</v>
      </c>
      <c r="B19" s="256" t="str">
        <f>IFERROR(INDEX('План-отчет отдела'!$B$1:$B$44,IF(ISEVEN(раб4),раб4,раб4-1)),"")</f>
        <v>КХП. ЦХУиПКХП. Эстакада погрузки полимеров в железнодорожный транспорт</v>
      </c>
      <c r="C19" s="100"/>
      <c r="D19" s="99"/>
      <c r="E19" s="99">
        <v>1</v>
      </c>
      <c r="F19" s="99">
        <v>0.75</v>
      </c>
      <c r="G19" s="99">
        <v>1</v>
      </c>
      <c r="H19" s="99">
        <v>1.25</v>
      </c>
      <c r="I19" s="99">
        <v>1</v>
      </c>
      <c r="J19" s="164">
        <f>PRODUCT(E19:I19,L19)*D19</f>
        <v>0</v>
      </c>
      <c r="K19" s="169">
        <f>J19/$E$3</f>
        <v>0</v>
      </c>
      <c r="L19" s="99"/>
    </row>
    <row r="20" spans="1:12" ht="15.75" customHeight="1" thickBot="1" x14ac:dyDescent="0.25">
      <c r="A20" s="254"/>
      <c r="B20" s="257"/>
      <c r="C20" s="100"/>
      <c r="D20" s="99"/>
      <c r="E20" s="99">
        <v>1</v>
      </c>
      <c r="F20" s="99">
        <v>0.75</v>
      </c>
      <c r="G20" s="99">
        <v>1</v>
      </c>
      <c r="H20" s="99">
        <v>1.25</v>
      </c>
      <c r="I20" s="99">
        <v>1</v>
      </c>
      <c r="J20" s="164">
        <f>PRODUCT(E20:I20,L20)*D20</f>
        <v>0</v>
      </c>
      <c r="K20" s="169">
        <f>J20/$E$3</f>
        <v>0</v>
      </c>
      <c r="L20" s="99"/>
    </row>
    <row r="21" spans="1:12" ht="54" customHeight="1" thickBot="1" x14ac:dyDescent="0.25">
      <c r="A21" s="255"/>
      <c r="B21" s="258"/>
      <c r="C21" s="101" t="s">
        <v>113</v>
      </c>
      <c r="D21" s="259"/>
      <c r="E21" s="260"/>
      <c r="F21" s="260"/>
      <c r="G21" s="260"/>
      <c r="H21" s="260"/>
      <c r="I21" s="261"/>
      <c r="J21" s="164">
        <f>K21*$E$3</f>
        <v>0</v>
      </c>
      <c r="K21" s="99"/>
      <c r="L21" s="163"/>
    </row>
    <row r="22" spans="1:12" ht="15.75" customHeight="1" thickBot="1" x14ac:dyDescent="0.25">
      <c r="A22" s="159">
        <f>IFERROR(INDEX('План-отчет отдела'!$A$1:$A$44,IF(ISEVEN(раб4),раб4,раб4-1)),"")</f>
        <v>4</v>
      </c>
      <c r="B22" s="160" t="s">
        <v>91</v>
      </c>
      <c r="C22" s="161"/>
      <c r="D22" s="266">
        <f>SUMPRODUCT(D19:D21,E19:E21,F19:F21)</f>
        <v>0</v>
      </c>
      <c r="E22" s="267"/>
      <c r="F22" s="268"/>
      <c r="G22" s="166"/>
      <c r="H22" s="166"/>
      <c r="I22" s="166"/>
      <c r="J22" s="170">
        <f>SUM(J19:J21)</f>
        <v>0</v>
      </c>
      <c r="K22" s="168">
        <f>SUM(K19:K21)</f>
        <v>0</v>
      </c>
      <c r="L22" s="163"/>
    </row>
    <row r="23" spans="1:12" ht="15.75" customHeight="1" thickBot="1" x14ac:dyDescent="0.25">
      <c r="A23" s="253" t="str">
        <f>IFERROR(INDEX('План-отчет отдела'!$K$1:$K$44,IF(ISEVEN(раб5),раб5,раб5-1)),"")</f>
        <v>2017.325-ТХ</v>
      </c>
      <c r="B23" s="256" t="str">
        <f>IFERROR(INDEX('План-отчет отдела'!$B$1:$B$44,IF(ISEVEN(раб5),раб5,раб5-1)),"")</f>
        <v xml:space="preserve">ЭСПЦ. Опасные зоны нахождения работников возле печей. (Предписание РТН). МВЗ 2512701510, МВЗ 2512702510,                 МВЗ 2512703510.  </v>
      </c>
      <c r="C23" s="100"/>
      <c r="D23" s="99"/>
      <c r="E23" s="99">
        <v>1</v>
      </c>
      <c r="F23" s="99">
        <v>0.75</v>
      </c>
      <c r="G23" s="99">
        <v>1</v>
      </c>
      <c r="H23" s="99">
        <v>1.25</v>
      </c>
      <c r="I23" s="99">
        <v>1</v>
      </c>
      <c r="J23" s="164">
        <f>PRODUCT(E23:I23,L23)*D23</f>
        <v>0</v>
      </c>
      <c r="K23" s="169">
        <f>J23/$E$3</f>
        <v>0</v>
      </c>
      <c r="L23" s="99"/>
    </row>
    <row r="24" spans="1:12" ht="15.75" thickBot="1" x14ac:dyDescent="0.25">
      <c r="A24" s="254"/>
      <c r="B24" s="257"/>
      <c r="C24" s="100"/>
      <c r="D24" s="99"/>
      <c r="E24" s="99">
        <v>1</v>
      </c>
      <c r="F24" s="99">
        <v>0.75</v>
      </c>
      <c r="G24" s="99">
        <v>1</v>
      </c>
      <c r="H24" s="99">
        <v>1.25</v>
      </c>
      <c r="I24" s="99">
        <v>1</v>
      </c>
      <c r="J24" s="164">
        <f>PRODUCT(E24:I24,L24)*D24</f>
        <v>0</v>
      </c>
      <c r="K24" s="169">
        <f>J24/$E$3</f>
        <v>0</v>
      </c>
      <c r="L24" s="99"/>
    </row>
    <row r="25" spans="1:12" ht="45.75" thickBot="1" x14ac:dyDescent="0.25">
      <c r="A25" s="255"/>
      <c r="B25" s="258"/>
      <c r="C25" s="101" t="s">
        <v>113</v>
      </c>
      <c r="D25" s="259"/>
      <c r="E25" s="260"/>
      <c r="F25" s="260"/>
      <c r="G25" s="260"/>
      <c r="H25" s="260"/>
      <c r="I25" s="261"/>
      <c r="J25" s="164">
        <f>K25*$E$3</f>
        <v>0</v>
      </c>
      <c r="K25" s="99"/>
      <c r="L25" s="163"/>
    </row>
    <row r="26" spans="1:12" ht="15.75" thickBot="1" x14ac:dyDescent="0.25">
      <c r="A26" s="159">
        <f>IFERROR(INDEX('План-отчет отдела'!$A$1:$A$44,IF(ISEVEN(раб5),раб5,раб5-1)),"")</f>
        <v>5</v>
      </c>
      <c r="B26" s="160" t="s">
        <v>91</v>
      </c>
      <c r="C26" s="161"/>
      <c r="D26" s="266">
        <f>SUMPRODUCT(D23:D25,E23:E25,F23:F25)</f>
        <v>0</v>
      </c>
      <c r="E26" s="267"/>
      <c r="F26" s="268"/>
      <c r="G26" s="166"/>
      <c r="H26" s="166"/>
      <c r="I26" s="166"/>
      <c r="J26" s="170">
        <f>SUM(J23:J25)</f>
        <v>0</v>
      </c>
      <c r="K26" s="168">
        <f>SUM(K23:K25)</f>
        <v>0</v>
      </c>
      <c r="L26" s="163"/>
    </row>
    <row r="27" spans="1:12" ht="15.75" thickBot="1" x14ac:dyDescent="0.25">
      <c r="A27" s="253" t="str">
        <f>IFERROR(INDEX('План-отчет отдела'!$K$1:$K$44,IF(ISEVEN(раб6),раб6,раб6-1)),"")</f>
        <v>2017.326-ТХ</v>
      </c>
      <c r="B27" s="256" t="str">
        <f>IFERROR(INDEX('План-отчет отдела'!$B$1:$B$44,IF(ISEVEN(раб6),раб6,раб6-1)),"")</f>
        <v>Аглофабрика. Футеровка окомкователей ОБ 3,2х12,5 высокомолекулярным полиэтиленом</v>
      </c>
      <c r="C27" s="100"/>
      <c r="D27" s="99"/>
      <c r="E27" s="99">
        <v>1</v>
      </c>
      <c r="F27" s="99">
        <v>0.75</v>
      </c>
      <c r="G27" s="99">
        <v>1</v>
      </c>
      <c r="H27" s="99">
        <v>1.25</v>
      </c>
      <c r="I27" s="99">
        <v>1</v>
      </c>
      <c r="J27" s="164">
        <f>PRODUCT(E27:I27,L27)*D27</f>
        <v>0</v>
      </c>
      <c r="K27" s="169">
        <f>J27/$E$3</f>
        <v>0</v>
      </c>
      <c r="L27" s="99"/>
    </row>
    <row r="28" spans="1:12" ht="15.75" thickBot="1" x14ac:dyDescent="0.25">
      <c r="A28" s="254"/>
      <c r="B28" s="257"/>
      <c r="C28" s="100"/>
      <c r="D28" s="99"/>
      <c r="E28" s="99">
        <v>1</v>
      </c>
      <c r="F28" s="99">
        <v>0.75</v>
      </c>
      <c r="G28" s="99">
        <v>1</v>
      </c>
      <c r="H28" s="99">
        <v>1.25</v>
      </c>
      <c r="I28" s="99">
        <v>1</v>
      </c>
      <c r="J28" s="164">
        <f>PRODUCT(E28:I28,L28)*D28</f>
        <v>0</v>
      </c>
      <c r="K28" s="169">
        <f>J28/$E$3</f>
        <v>0</v>
      </c>
      <c r="L28" s="99"/>
    </row>
    <row r="29" spans="1:12" ht="45.75" thickBot="1" x14ac:dyDescent="0.25">
      <c r="A29" s="255"/>
      <c r="B29" s="258"/>
      <c r="C29" s="101" t="s">
        <v>113</v>
      </c>
      <c r="D29" s="259"/>
      <c r="E29" s="260"/>
      <c r="F29" s="260"/>
      <c r="G29" s="260"/>
      <c r="H29" s="260"/>
      <c r="I29" s="261"/>
      <c r="J29" s="164">
        <f>K29*$E$3</f>
        <v>0</v>
      </c>
      <c r="K29" s="99"/>
      <c r="L29" s="163"/>
    </row>
    <row r="30" spans="1:12" ht="15.75" thickBot="1" x14ac:dyDescent="0.25">
      <c r="A30" s="159">
        <f>IFERROR(INDEX('План-отчет отдела'!$A$1:$A$44,IF(ISEVEN(раб6),раб6,раб6-1)),"")</f>
        <v>6</v>
      </c>
      <c r="B30" s="160" t="s">
        <v>91</v>
      </c>
      <c r="C30" s="161"/>
      <c r="D30" s="266">
        <f>SUMPRODUCT(D27:D29,E27:E29,F27:F29)</f>
        <v>0</v>
      </c>
      <c r="E30" s="267"/>
      <c r="F30" s="268"/>
      <c r="G30" s="166"/>
      <c r="H30" s="166"/>
      <c r="I30" s="166"/>
      <c r="J30" s="170">
        <f>SUM(J27:J29)</f>
        <v>0</v>
      </c>
      <c r="K30" s="168">
        <f>SUM(K27:K29)</f>
        <v>0</v>
      </c>
      <c r="L30" s="163"/>
    </row>
    <row r="31" spans="1:12" ht="15.75" thickBot="1" x14ac:dyDescent="0.25">
      <c r="A31" s="253" t="str">
        <f>IFERROR(INDEX('План-отчет отдела'!$K$1:$K$44,IF(ISEVEN(раб7),раб7,раб7-1)),"")</f>
        <v>2016.533-ТХ</v>
      </c>
      <c r="B31" s="256" t="str">
        <f>IFERROR(INDEX('План-отчет отдела'!$B$1:$B$44,IF(ISEVEN(раб7),раб7,раб7-1)),"")</f>
        <v>Доменный цех.  ДП №3. Капремонт II разряда в 2018г. Замена весоповерочного оборудования бункеров агломерата и кокса.</v>
      </c>
      <c r="C31" s="100"/>
      <c r="D31" s="99"/>
      <c r="E31" s="99">
        <v>1</v>
      </c>
      <c r="F31" s="99">
        <v>0.75</v>
      </c>
      <c r="G31" s="99">
        <v>1</v>
      </c>
      <c r="H31" s="99">
        <v>1.25</v>
      </c>
      <c r="I31" s="99">
        <v>1</v>
      </c>
      <c r="J31" s="164">
        <f>PRODUCT(E31:I31,L31)*D31</f>
        <v>0</v>
      </c>
      <c r="K31" s="169">
        <f>J31/$E$3</f>
        <v>0</v>
      </c>
      <c r="L31" s="99"/>
    </row>
    <row r="32" spans="1:12" ht="15.75" thickBot="1" x14ac:dyDescent="0.25">
      <c r="A32" s="254"/>
      <c r="B32" s="257"/>
      <c r="C32" s="100"/>
      <c r="D32" s="99"/>
      <c r="E32" s="99">
        <v>1</v>
      </c>
      <c r="F32" s="99">
        <v>0.75</v>
      </c>
      <c r="G32" s="99">
        <v>1</v>
      </c>
      <c r="H32" s="99">
        <v>1.25</v>
      </c>
      <c r="I32" s="99">
        <v>1</v>
      </c>
      <c r="J32" s="164">
        <f>PRODUCT(E32:I32,L32)*D32</f>
        <v>0</v>
      </c>
      <c r="K32" s="169">
        <f>J32/$E$3</f>
        <v>0</v>
      </c>
      <c r="L32" s="99"/>
    </row>
    <row r="33" spans="1:12" ht="45.75" thickBot="1" x14ac:dyDescent="0.25">
      <c r="A33" s="255"/>
      <c r="B33" s="258"/>
      <c r="C33" s="101" t="s">
        <v>113</v>
      </c>
      <c r="D33" s="259"/>
      <c r="E33" s="260"/>
      <c r="F33" s="260"/>
      <c r="G33" s="260"/>
      <c r="H33" s="260"/>
      <c r="I33" s="261"/>
      <c r="J33" s="164">
        <f>K33*$E$3</f>
        <v>0</v>
      </c>
      <c r="K33" s="99"/>
      <c r="L33" s="163"/>
    </row>
    <row r="34" spans="1:12" ht="15.75" thickBot="1" x14ac:dyDescent="0.25">
      <c r="A34" s="159">
        <f>IFERROR(INDEX('План-отчет отдела'!$A$1:$A$44,IF(ISEVEN(раб7),раб7,раб7-1)),"")</f>
        <v>10</v>
      </c>
      <c r="B34" s="160" t="s">
        <v>91</v>
      </c>
      <c r="C34" s="161"/>
      <c r="D34" s="266">
        <f>SUMPRODUCT(D31:D33,E31:E33,F31:F33)</f>
        <v>0</v>
      </c>
      <c r="E34" s="267"/>
      <c r="F34" s="268"/>
      <c r="G34" s="166"/>
      <c r="H34" s="166"/>
      <c r="I34" s="166"/>
      <c r="J34" s="170">
        <f>SUM(J31:J33)</f>
        <v>0</v>
      </c>
      <c r="K34" s="168">
        <f>SUM(K31:K33)</f>
        <v>0</v>
      </c>
      <c r="L34" s="163"/>
    </row>
    <row r="35" spans="1:12" ht="15.75" thickBot="1" x14ac:dyDescent="0.25">
      <c r="A35" s="253" t="str">
        <f>IFERROR(INDEX('План-отчет отдела'!$K$1:$K$44,IF(ISEVEN(раб8),раб8,раб8-1)),"")</f>
        <v>2016.559-ТХ</v>
      </c>
      <c r="B35" s="256" t="str">
        <f>IFERROR(INDEX('План-отчет отдела'!$B$1:$B$44,IF(ISEVEN(раб8),раб8,раб8-1)),"")</f>
        <v>Доменный цех.  ДП №3. Капремонт II разряда в 2018г.  Централизованная смазка оборудования воздухонагревателей №10, №11 и №12.                                       (МВЗ 2514101539)</v>
      </c>
      <c r="C35" s="100"/>
      <c r="D35" s="99"/>
      <c r="E35" s="99">
        <v>1</v>
      </c>
      <c r="F35" s="99">
        <v>0.75</v>
      </c>
      <c r="G35" s="99">
        <v>1</v>
      </c>
      <c r="H35" s="99">
        <v>1.25</v>
      </c>
      <c r="I35" s="99">
        <v>1</v>
      </c>
      <c r="J35" s="164">
        <f>PRODUCT(E35:I35,L35)*D35</f>
        <v>0</v>
      </c>
      <c r="K35" s="169">
        <f>J35/$E$3</f>
        <v>0</v>
      </c>
      <c r="L35" s="99"/>
    </row>
    <row r="36" spans="1:12" ht="15.75" thickBot="1" x14ac:dyDescent="0.25">
      <c r="A36" s="254"/>
      <c r="B36" s="257"/>
      <c r="C36" s="100"/>
      <c r="D36" s="99"/>
      <c r="E36" s="99">
        <v>1</v>
      </c>
      <c r="F36" s="99">
        <v>0.75</v>
      </c>
      <c r="G36" s="99">
        <v>1</v>
      </c>
      <c r="H36" s="99">
        <v>1.25</v>
      </c>
      <c r="I36" s="99">
        <v>1</v>
      </c>
      <c r="J36" s="164">
        <f>PRODUCT(E36:I36,L36)*D36</f>
        <v>0</v>
      </c>
      <c r="K36" s="169">
        <f>J36/$E$3</f>
        <v>0</v>
      </c>
      <c r="L36" s="99"/>
    </row>
    <row r="37" spans="1:12" ht="45.75" thickBot="1" x14ac:dyDescent="0.25">
      <c r="A37" s="255"/>
      <c r="B37" s="258"/>
      <c r="C37" s="101" t="s">
        <v>113</v>
      </c>
      <c r="D37" s="259"/>
      <c r="E37" s="260"/>
      <c r="F37" s="260"/>
      <c r="G37" s="260"/>
      <c r="H37" s="260"/>
      <c r="I37" s="261"/>
      <c r="J37" s="164">
        <f>K37*$E$3</f>
        <v>0</v>
      </c>
      <c r="K37" s="99"/>
      <c r="L37" s="163"/>
    </row>
    <row r="38" spans="1:12" ht="15.75" thickBot="1" x14ac:dyDescent="0.25">
      <c r="A38" s="159">
        <f>IFERROR(INDEX('План-отчет отдела'!$A$1:$A$44,IF(ISEVEN(раб8),раб8,раб8-1)),"")</f>
        <v>12</v>
      </c>
      <c r="B38" s="160" t="s">
        <v>91</v>
      </c>
      <c r="C38" s="161"/>
      <c r="D38" s="266">
        <f>SUMPRODUCT(D35:D37,E35:E37,F35:F37)</f>
        <v>0</v>
      </c>
      <c r="E38" s="267"/>
      <c r="F38" s="268"/>
      <c r="G38" s="166"/>
      <c r="H38" s="166"/>
      <c r="I38" s="166"/>
      <c r="J38" s="170">
        <f>SUM(J35:J37)</f>
        <v>0</v>
      </c>
      <c r="K38" s="168">
        <f>SUM(K35:K37)</f>
        <v>0</v>
      </c>
      <c r="L38" s="163"/>
    </row>
    <row r="39" spans="1:12" ht="15.75" thickBot="1" x14ac:dyDescent="0.25">
      <c r="A39" s="253" t="str">
        <f>IFERROR(INDEX('План-отчет отдела'!$K$1:$K$44,IF(ISEVEN(раб9),раб9,раб9-1)),"")</f>
        <v>2017.295-ТХ</v>
      </c>
      <c r="B39" s="256" t="str">
        <f>IFERROR(INDEX('План-отчет отдела'!$B$1:$B$44,IF(ISEVEN(раб9),раб9,раб9-1)),"")</f>
        <v>Доменный цех. Разливочные машины №1 и №2. Механизация перекидных лотков.   (МВЗ 2514101539)</v>
      </c>
      <c r="C39" s="100"/>
      <c r="D39" s="99"/>
      <c r="E39" s="99">
        <v>1</v>
      </c>
      <c r="F39" s="99">
        <v>0.75</v>
      </c>
      <c r="G39" s="99">
        <v>1</v>
      </c>
      <c r="H39" s="99">
        <v>1.25</v>
      </c>
      <c r="I39" s="99">
        <v>1</v>
      </c>
      <c r="J39" s="164">
        <f>PRODUCT(E39:I39,L39)*D39</f>
        <v>0</v>
      </c>
      <c r="K39" s="169">
        <f>J39/$E$3</f>
        <v>0</v>
      </c>
      <c r="L39" s="99"/>
    </row>
    <row r="40" spans="1:12" ht="15.75" thickBot="1" x14ac:dyDescent="0.25">
      <c r="A40" s="254"/>
      <c r="B40" s="257"/>
      <c r="C40" s="100"/>
      <c r="D40" s="99"/>
      <c r="E40" s="99">
        <v>1</v>
      </c>
      <c r="F40" s="99">
        <v>0.75</v>
      </c>
      <c r="G40" s="99">
        <v>1</v>
      </c>
      <c r="H40" s="99">
        <v>1.25</v>
      </c>
      <c r="I40" s="99">
        <v>1</v>
      </c>
      <c r="J40" s="164">
        <f>PRODUCT(E40:I40,L40)*D40</f>
        <v>0</v>
      </c>
      <c r="K40" s="169">
        <f>J40/$E$3</f>
        <v>0</v>
      </c>
      <c r="L40" s="99"/>
    </row>
    <row r="41" spans="1:12" ht="45.75" thickBot="1" x14ac:dyDescent="0.25">
      <c r="A41" s="255"/>
      <c r="B41" s="258"/>
      <c r="C41" s="101" t="s">
        <v>113</v>
      </c>
      <c r="D41" s="259"/>
      <c r="E41" s="260"/>
      <c r="F41" s="260"/>
      <c r="G41" s="260"/>
      <c r="H41" s="260"/>
      <c r="I41" s="261"/>
      <c r="J41" s="164">
        <f>K41*$E$3</f>
        <v>0</v>
      </c>
      <c r="K41" s="99"/>
      <c r="L41" s="163"/>
    </row>
    <row r="42" spans="1:12" ht="15.75" thickBot="1" x14ac:dyDescent="0.25">
      <c r="A42" s="159">
        <f>IFERROR(INDEX('План-отчет отдела'!$A$1:$A$44,IF(ISEVEN(раб9),раб9,раб9-1)),"")</f>
        <v>13</v>
      </c>
      <c r="B42" s="160" t="s">
        <v>91</v>
      </c>
      <c r="C42" s="161"/>
      <c r="D42" s="266">
        <f>SUMPRODUCT(D39:D41,E39:E41,F39:F41)</f>
        <v>0</v>
      </c>
      <c r="E42" s="267"/>
      <c r="F42" s="268"/>
      <c r="G42" s="166"/>
      <c r="H42" s="166"/>
      <c r="I42" s="166"/>
      <c r="J42" s="170">
        <f>SUM(J39:J41)</f>
        <v>0</v>
      </c>
      <c r="K42" s="168">
        <f>SUM(K39:K41)</f>
        <v>0</v>
      </c>
      <c r="L42" s="163"/>
    </row>
    <row r="43" spans="1:12" ht="15.75" thickBot="1" x14ac:dyDescent="0.25">
      <c r="A43" s="253" t="str">
        <f>IFERROR(INDEX('План-отчет отдела'!$K$1:$K$44,IF(ISEVEN(раб10),раб10,раб10-1)),"")</f>
        <v>2016.548-ТХ.ЗД</v>
      </c>
      <c r="B43" s="256" t="str">
        <f>IFERROR(INDEX('План-отчет отдела'!$B$1:$B$44,IF(ISEVEN(раб10),раб10,раб10-1)),"")</f>
        <v>Доменный цех.  ДП №3. Капремонт II разряда в 2018г. Установка защиты площадок фурменных приборов над летками.           (МВЗ 2514101539)</v>
      </c>
      <c r="C43" s="100"/>
      <c r="D43" s="99"/>
      <c r="E43" s="99">
        <v>1</v>
      </c>
      <c r="F43" s="99">
        <v>0.75</v>
      </c>
      <c r="G43" s="99">
        <v>1</v>
      </c>
      <c r="H43" s="99">
        <v>1.25</v>
      </c>
      <c r="I43" s="99">
        <v>1</v>
      </c>
      <c r="J43" s="164">
        <f>PRODUCT(E43:I43,L43)*D43</f>
        <v>0</v>
      </c>
      <c r="K43" s="169">
        <f>J43/$E$3</f>
        <v>0</v>
      </c>
      <c r="L43" s="99"/>
    </row>
    <row r="44" spans="1:12" ht="15.75" thickBot="1" x14ac:dyDescent="0.25">
      <c r="A44" s="254"/>
      <c r="B44" s="257"/>
      <c r="C44" s="100"/>
      <c r="D44" s="99"/>
      <c r="E44" s="99">
        <v>1</v>
      </c>
      <c r="F44" s="99">
        <v>0.75</v>
      </c>
      <c r="G44" s="99">
        <v>1</v>
      </c>
      <c r="H44" s="99">
        <v>1.25</v>
      </c>
      <c r="I44" s="99">
        <v>1</v>
      </c>
      <c r="J44" s="164">
        <f>PRODUCT(E44:I44,L44)*D44</f>
        <v>0</v>
      </c>
      <c r="K44" s="169">
        <f>J44/$E$3</f>
        <v>0</v>
      </c>
      <c r="L44" s="99"/>
    </row>
    <row r="45" spans="1:12" ht="45.75" thickBot="1" x14ac:dyDescent="0.25">
      <c r="A45" s="255"/>
      <c r="B45" s="258"/>
      <c r="C45" s="101" t="s">
        <v>113</v>
      </c>
      <c r="D45" s="259"/>
      <c r="E45" s="260"/>
      <c r="F45" s="260"/>
      <c r="G45" s="260"/>
      <c r="H45" s="260"/>
      <c r="I45" s="261"/>
      <c r="J45" s="164">
        <f>K45*$E$3</f>
        <v>0</v>
      </c>
      <c r="K45" s="99"/>
      <c r="L45" s="163"/>
    </row>
    <row r="46" spans="1:12" ht="15.75" thickBot="1" x14ac:dyDescent="0.25">
      <c r="A46" s="159">
        <f>IFERROR(INDEX('План-отчет отдела'!$A$1:$A$44,IF(ISEVEN(раб10),раб10,раб10-1)),"")</f>
        <v>14</v>
      </c>
      <c r="B46" s="160" t="s">
        <v>91</v>
      </c>
      <c r="C46" s="161"/>
      <c r="D46" s="266">
        <f>SUMPRODUCT(D43:D45,E43:E45,F43:F45)</f>
        <v>0</v>
      </c>
      <c r="E46" s="267"/>
      <c r="F46" s="268"/>
      <c r="G46" s="166"/>
      <c r="H46" s="166"/>
      <c r="I46" s="166"/>
      <c r="J46" s="170">
        <f>SUM(J43:J45)</f>
        <v>0</v>
      </c>
      <c r="K46" s="168">
        <f>SUM(K43:K45)</f>
        <v>0</v>
      </c>
      <c r="L46" s="163"/>
    </row>
    <row r="47" spans="1:12" ht="15.75" thickBot="1" x14ac:dyDescent="0.25">
      <c r="A47" s="162"/>
      <c r="B47" s="160"/>
      <c r="C47" s="161"/>
      <c r="D47" s="171"/>
      <c r="E47" s="172"/>
      <c r="F47" s="172"/>
      <c r="G47" s="173"/>
      <c r="H47" s="173"/>
      <c r="I47" s="174"/>
      <c r="J47" s="170"/>
      <c r="K47" s="168"/>
      <c r="L47" s="163"/>
    </row>
    <row r="48" spans="1:12" ht="15.75" thickBot="1" x14ac:dyDescent="0.25">
      <c r="A48" s="162"/>
      <c r="B48" s="160" t="s">
        <v>101</v>
      </c>
      <c r="C48" s="141"/>
      <c r="D48" s="266">
        <f>SUMIFS($D$7:$D$47,$B$7:$B$47,"всего")</f>
        <v>0</v>
      </c>
      <c r="E48" s="267"/>
      <c r="F48" s="268"/>
      <c r="G48" s="166"/>
      <c r="H48" s="166"/>
      <c r="I48" s="166"/>
      <c r="J48" s="167">
        <f>SUMIF($B$7:$B$47,"всего",J7:J47)</f>
        <v>5.1829999999999998</v>
      </c>
      <c r="K48" s="168">
        <f>SUMIFS($K$7:$K$47,$B$7:$B$47,"всего")</f>
        <v>73</v>
      </c>
      <c r="L48" s="165"/>
    </row>
    <row r="50" spans="1:1" ht="15.75" x14ac:dyDescent="0.25">
      <c r="A50" s="106"/>
    </row>
    <row r="51" spans="1:1" ht="15.75" x14ac:dyDescent="0.25">
      <c r="A51" s="106"/>
    </row>
    <row r="52" spans="1:1" ht="15.75" x14ac:dyDescent="0.25">
      <c r="A52" s="106"/>
    </row>
    <row r="53" spans="1:1" ht="15.75" x14ac:dyDescent="0.25">
      <c r="A53" s="106"/>
    </row>
    <row r="54" spans="1:1" ht="15.75" x14ac:dyDescent="0.25">
      <c r="A54" s="106"/>
    </row>
    <row r="55" spans="1:1" ht="15.75" x14ac:dyDescent="0.25">
      <c r="A55" s="106"/>
    </row>
    <row r="56" spans="1:1" ht="15.75" x14ac:dyDescent="0.25">
      <c r="A56" s="106"/>
    </row>
    <row r="57" spans="1:1" ht="15.75" x14ac:dyDescent="0.25">
      <c r="A57" s="106"/>
    </row>
  </sheetData>
  <sheetProtection insertRows="0"/>
  <autoFilter ref="A6:L6"/>
  <mergeCells count="45">
    <mergeCell ref="D48:F48"/>
    <mergeCell ref="D34:F34"/>
    <mergeCell ref="A35:A37"/>
    <mergeCell ref="B35:B37"/>
    <mergeCell ref="D37:I37"/>
    <mergeCell ref="D38:F38"/>
    <mergeCell ref="A39:A41"/>
    <mergeCell ref="B39:B41"/>
    <mergeCell ref="D41:I41"/>
    <mergeCell ref="D42:F42"/>
    <mergeCell ref="A43:A45"/>
    <mergeCell ref="B43:B45"/>
    <mergeCell ref="D45:I45"/>
    <mergeCell ref="D46:F46"/>
    <mergeCell ref="A31:A33"/>
    <mergeCell ref="B31:B33"/>
    <mergeCell ref="D33:I33"/>
    <mergeCell ref="D18:F18"/>
    <mergeCell ref="A19:A21"/>
    <mergeCell ref="B19:B21"/>
    <mergeCell ref="D21:I21"/>
    <mergeCell ref="D22:F22"/>
    <mergeCell ref="A23:A25"/>
    <mergeCell ref="B23:B25"/>
    <mergeCell ref="D25:I25"/>
    <mergeCell ref="D26:F26"/>
    <mergeCell ref="A27:A29"/>
    <mergeCell ref="B27:B29"/>
    <mergeCell ref="D29:I29"/>
    <mergeCell ref="D30:F30"/>
    <mergeCell ref="A15:A17"/>
    <mergeCell ref="B15:B17"/>
    <mergeCell ref="D17:I17"/>
    <mergeCell ref="A1:L1"/>
    <mergeCell ref="F3:G3"/>
    <mergeCell ref="H3:J3"/>
    <mergeCell ref="A4:F4"/>
    <mergeCell ref="A7:A9"/>
    <mergeCell ref="B7:B9"/>
    <mergeCell ref="D9:I9"/>
    <mergeCell ref="D10:F10"/>
    <mergeCell ref="A11:A13"/>
    <mergeCell ref="B11:B13"/>
    <mergeCell ref="D13:I13"/>
    <mergeCell ref="D14:F14"/>
  </mergeCells>
  <dataValidations count="1">
    <dataValidation type="list" allowBlank="1" showInputMessage="1" showErrorMessage="1" sqref="B3">
      <formula1>Исп</formula1>
    </dataValidation>
  </dataValidation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B17" sqref="B17"/>
    </sheetView>
  </sheetViews>
  <sheetFormatPr defaultRowHeight="12.75" x14ac:dyDescent="0.2"/>
  <cols>
    <col min="1" max="1" width="6" customWidth="1"/>
    <col min="2" max="2" width="39.5703125" customWidth="1"/>
    <col min="3" max="3" width="19.28515625" customWidth="1"/>
    <col min="4" max="4" width="7.28515625" customWidth="1"/>
    <col min="5" max="5" width="5.42578125" customWidth="1"/>
    <col min="6" max="6" width="7.28515625" customWidth="1"/>
    <col min="7" max="7" width="5" customWidth="1"/>
    <col min="8" max="8" width="15" customWidth="1"/>
    <col min="9" max="9" width="7" bestFit="1" customWidth="1"/>
    <col min="10" max="10" width="9.28515625" customWidth="1"/>
    <col min="11" max="11" width="18.5703125" customWidth="1"/>
    <col min="12" max="12" width="20" customWidth="1"/>
  </cols>
  <sheetData>
    <row r="1" spans="1:12" ht="15.75" x14ac:dyDescent="0.2">
      <c r="A1" s="269" t="s">
        <v>102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2" ht="18.75" x14ac:dyDescent="0.2">
      <c r="A2" s="55" t="s">
        <v>103</v>
      </c>
      <c r="B2" s="271" t="s">
        <v>104</v>
      </c>
      <c r="C2" s="271"/>
      <c r="D2" s="54"/>
      <c r="E2" s="54"/>
      <c r="F2" s="54"/>
      <c r="G2" s="54"/>
      <c r="H2" s="54"/>
      <c r="I2" s="54"/>
      <c r="J2" s="54"/>
      <c r="K2" s="54"/>
      <c r="L2" s="54"/>
    </row>
    <row r="3" spans="1:12" ht="19.5" thickBot="1" x14ac:dyDescent="0.25">
      <c r="A3" s="272" t="s">
        <v>105</v>
      </c>
      <c r="B3" s="271"/>
      <c r="C3" s="56" t="s">
        <v>106</v>
      </c>
      <c r="D3" s="57">
        <v>7.0999999999999994E-2</v>
      </c>
      <c r="E3" s="270" t="s">
        <v>107</v>
      </c>
      <c r="F3" s="270"/>
      <c r="G3" s="273"/>
      <c r="H3" s="273"/>
      <c r="I3" s="273"/>
      <c r="J3" s="58"/>
      <c r="K3" s="59" t="s">
        <v>108</v>
      </c>
      <c r="L3" s="60" t="s">
        <v>109</v>
      </c>
    </row>
    <row r="4" spans="1:12" ht="15.75" thickBot="1" x14ac:dyDescent="0.25">
      <c r="A4" s="277"/>
      <c r="B4" s="277"/>
      <c r="C4" s="277"/>
      <c r="D4" s="277"/>
      <c r="E4" s="277"/>
      <c r="F4" s="56" t="s">
        <v>110</v>
      </c>
      <c r="G4" s="278">
        <v>168</v>
      </c>
      <c r="H4" s="278"/>
      <c r="I4" s="278"/>
      <c r="J4" s="61">
        <f>G4*D3</f>
        <v>11.928000000000001</v>
      </c>
      <c r="K4" s="62" t="s">
        <v>111</v>
      </c>
      <c r="L4" s="63"/>
    </row>
    <row r="5" spans="1:12" ht="114.75" thickBot="1" x14ac:dyDescent="0.25">
      <c r="A5" s="64" t="s">
        <v>27</v>
      </c>
      <c r="B5" s="65" t="s">
        <v>76</v>
      </c>
      <c r="C5" s="66" t="s">
        <v>77</v>
      </c>
      <c r="D5" s="67" t="s">
        <v>78</v>
      </c>
      <c r="E5" s="68" t="s">
        <v>79</v>
      </c>
      <c r="F5" s="67" t="s">
        <v>80</v>
      </c>
      <c r="G5" s="68" t="s">
        <v>81</v>
      </c>
      <c r="H5" s="67" t="s">
        <v>82</v>
      </c>
      <c r="I5" s="68" t="s">
        <v>83</v>
      </c>
      <c r="J5" s="69" t="s">
        <v>84</v>
      </c>
      <c r="K5" s="67" t="s">
        <v>85</v>
      </c>
      <c r="L5" s="67" t="s">
        <v>4</v>
      </c>
    </row>
    <row r="6" spans="1:12" ht="38.25" customHeight="1" thickBot="1" x14ac:dyDescent="0.25">
      <c r="A6" s="284" t="s">
        <v>86</v>
      </c>
      <c r="B6" s="97" t="str">
        <f>VLOOKUP('План-отчет отдела'!K16,'План-отчет отдела'!K6:M25,1,0)</f>
        <v>2017.326-ТХ</v>
      </c>
      <c r="C6" s="70" t="s">
        <v>88</v>
      </c>
      <c r="D6" s="71">
        <v>1</v>
      </c>
      <c r="E6" s="72">
        <v>0.5</v>
      </c>
      <c r="F6" s="73">
        <v>0.75</v>
      </c>
      <c r="G6" s="64">
        <v>1</v>
      </c>
      <c r="H6" s="74">
        <v>1.25</v>
      </c>
      <c r="I6" s="75">
        <v>1</v>
      </c>
      <c r="J6" s="76">
        <f>I6*D6*F6*G6*H6*E6*L6</f>
        <v>0.60899999999999999</v>
      </c>
      <c r="K6" s="77">
        <f>J6/$D$3</f>
        <v>8.6</v>
      </c>
      <c r="L6" s="78">
        <v>1.3</v>
      </c>
    </row>
    <row r="7" spans="1:12" ht="27" customHeight="1" thickBot="1" x14ac:dyDescent="0.25">
      <c r="A7" s="285"/>
      <c r="B7" s="282" t="s">
        <v>87</v>
      </c>
      <c r="C7" s="70" t="s">
        <v>89</v>
      </c>
      <c r="D7" s="71">
        <v>1</v>
      </c>
      <c r="E7" s="72">
        <v>0.5</v>
      </c>
      <c r="F7" s="73">
        <v>0.75</v>
      </c>
      <c r="G7" s="64">
        <v>1</v>
      </c>
      <c r="H7" s="74">
        <v>1.25</v>
      </c>
      <c r="I7" s="75">
        <v>1</v>
      </c>
      <c r="J7" s="76">
        <f>I7*D7*F7*G7*H7*E7*L7</f>
        <v>0.60899999999999999</v>
      </c>
      <c r="K7" s="77">
        <f>J7/$D$3</f>
        <v>8.6</v>
      </c>
      <c r="L7" s="78">
        <v>1.3</v>
      </c>
    </row>
    <row r="8" spans="1:12" ht="75.75" thickBot="1" x14ac:dyDescent="0.25">
      <c r="A8" s="285"/>
      <c r="B8" s="283"/>
      <c r="C8" s="70" t="s">
        <v>90</v>
      </c>
      <c r="D8" s="274"/>
      <c r="E8" s="275"/>
      <c r="F8" s="275"/>
      <c r="G8" s="275"/>
      <c r="H8" s="275"/>
      <c r="I8" s="276"/>
      <c r="J8" s="76">
        <f>D3*K8</f>
        <v>1.278</v>
      </c>
      <c r="K8" s="77">
        <v>18</v>
      </c>
      <c r="L8" s="78"/>
    </row>
    <row r="9" spans="1:12" ht="16.5" thickBot="1" x14ac:dyDescent="0.25">
      <c r="A9" s="286"/>
      <c r="B9" s="80" t="s">
        <v>91</v>
      </c>
      <c r="C9" s="70"/>
      <c r="D9" s="279">
        <f>D6*E6*F6</f>
        <v>0.375</v>
      </c>
      <c r="E9" s="280"/>
      <c r="F9" s="281"/>
      <c r="G9" s="81"/>
      <c r="H9" s="81"/>
      <c r="I9" s="81"/>
      <c r="J9" s="82">
        <f>SUM(J6:J8)</f>
        <v>2.496</v>
      </c>
      <c r="K9" s="83">
        <f>SUM(K6:K8)</f>
        <v>35.200000000000003</v>
      </c>
      <c r="L9" s="78"/>
    </row>
    <row r="10" spans="1:12" ht="45.75" customHeight="1" thickBot="1" x14ac:dyDescent="0.25">
      <c r="A10" s="284" t="s">
        <v>92</v>
      </c>
      <c r="B10" s="98"/>
      <c r="C10" s="70" t="s">
        <v>94</v>
      </c>
      <c r="D10" s="71">
        <v>1</v>
      </c>
      <c r="E10" s="72">
        <v>1</v>
      </c>
      <c r="F10" s="73">
        <v>0.75</v>
      </c>
      <c r="G10" s="64">
        <v>1</v>
      </c>
      <c r="H10" s="74">
        <v>1.25</v>
      </c>
      <c r="I10" s="75">
        <v>1</v>
      </c>
      <c r="J10" s="76">
        <f>I10*D10*F10*G10*H10*E10*L10</f>
        <v>1.2190000000000001</v>
      </c>
      <c r="K10" s="77">
        <f>J10/$D$3</f>
        <v>17.2</v>
      </c>
      <c r="L10" s="78">
        <v>1.3</v>
      </c>
    </row>
    <row r="11" spans="1:12" ht="75.75" thickBot="1" x14ac:dyDescent="0.25">
      <c r="A11" s="285"/>
      <c r="B11" s="98" t="s">
        <v>93</v>
      </c>
      <c r="C11" s="70" t="s">
        <v>90</v>
      </c>
      <c r="D11" s="274"/>
      <c r="E11" s="275"/>
      <c r="F11" s="275"/>
      <c r="G11" s="275"/>
      <c r="H11" s="275"/>
      <c r="I11" s="276"/>
      <c r="J11" s="76">
        <f>D3*K11</f>
        <v>1.42</v>
      </c>
      <c r="K11" s="77">
        <v>20</v>
      </c>
      <c r="L11" s="78"/>
    </row>
    <row r="12" spans="1:12" ht="16.5" thickBot="1" x14ac:dyDescent="0.25">
      <c r="A12" s="286"/>
      <c r="B12" s="80" t="s">
        <v>91</v>
      </c>
      <c r="C12" s="70"/>
      <c r="D12" s="279">
        <f>D10*E10*F10</f>
        <v>0.75</v>
      </c>
      <c r="E12" s="280"/>
      <c r="F12" s="281"/>
      <c r="G12" s="81"/>
      <c r="H12" s="81"/>
      <c r="I12" s="81"/>
      <c r="J12" s="82">
        <f>SUM(J10:J11)</f>
        <v>2.6389999999999998</v>
      </c>
      <c r="K12" s="83">
        <f>SUM(K10:K11)</f>
        <v>37.200000000000003</v>
      </c>
      <c r="L12" s="78"/>
    </row>
    <row r="13" spans="1:12" ht="16.5" thickBot="1" x14ac:dyDescent="0.25">
      <c r="A13" s="79" t="s">
        <v>95</v>
      </c>
      <c r="B13" s="84" t="s">
        <v>96</v>
      </c>
      <c r="C13" s="70"/>
      <c r="D13" s="274"/>
      <c r="E13" s="275"/>
      <c r="F13" s="275"/>
      <c r="G13" s="275"/>
      <c r="H13" s="275"/>
      <c r="I13" s="276"/>
      <c r="J13" s="85">
        <f>K13*D3</f>
        <v>3.4079999999999999</v>
      </c>
      <c r="K13" s="83">
        <v>48</v>
      </c>
      <c r="L13" s="78"/>
    </row>
    <row r="14" spans="1:12" ht="36.75" thickBot="1" x14ac:dyDescent="0.25">
      <c r="A14" s="86" t="s">
        <v>97</v>
      </c>
      <c r="B14" s="84" t="s">
        <v>98</v>
      </c>
      <c r="C14" s="84"/>
      <c r="D14" s="287"/>
      <c r="E14" s="288"/>
      <c r="F14" s="288"/>
      <c r="G14" s="288"/>
      <c r="H14" s="288"/>
      <c r="I14" s="289"/>
      <c r="J14" s="87">
        <f>K14*D3</f>
        <v>3.4079999999999999</v>
      </c>
      <c r="K14" s="88">
        <f>(G4-K13)*0.4</f>
        <v>48</v>
      </c>
      <c r="L14" s="89" t="s">
        <v>99</v>
      </c>
    </row>
    <row r="15" spans="1:12" ht="16.5" thickBot="1" x14ac:dyDescent="0.25">
      <c r="A15" s="86" t="s">
        <v>100</v>
      </c>
      <c r="B15" s="90" t="s">
        <v>101</v>
      </c>
      <c r="C15" s="91"/>
      <c r="D15" s="279">
        <f>D12+D9</f>
        <v>1.125</v>
      </c>
      <c r="E15" s="280"/>
      <c r="F15" s="281"/>
      <c r="G15" s="92"/>
      <c r="H15" s="93"/>
      <c r="I15" s="92"/>
      <c r="J15" s="94">
        <f>J9+J12+J13+J14</f>
        <v>11.951000000000001</v>
      </c>
      <c r="K15" s="95">
        <f>K9+K12+K13+K14</f>
        <v>168</v>
      </c>
      <c r="L15" s="96"/>
    </row>
  </sheetData>
  <mergeCells count="17">
    <mergeCell ref="D8:I8"/>
    <mergeCell ref="A4:E4"/>
    <mergeCell ref="G4:I4"/>
    <mergeCell ref="D15:F15"/>
    <mergeCell ref="B7:B8"/>
    <mergeCell ref="A10:A12"/>
    <mergeCell ref="A6:A9"/>
    <mergeCell ref="D9:F9"/>
    <mergeCell ref="D11:I11"/>
    <mergeCell ref="D12:F12"/>
    <mergeCell ref="D13:I13"/>
    <mergeCell ref="D14:I14"/>
    <mergeCell ref="A1:L1"/>
    <mergeCell ref="E3:F3"/>
    <mergeCell ref="B2:C2"/>
    <mergeCell ref="A3:B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состав отдела</vt:lpstr>
      <vt:lpstr>План-отчет отдела</vt:lpstr>
      <vt:lpstr>Аршавский</vt:lpstr>
      <vt:lpstr>Синигаев</vt:lpstr>
      <vt:lpstr>Старая рабочая карточка</vt:lpstr>
      <vt:lpstr>'состав отдела'!Область_печати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Admin</cp:lastModifiedBy>
  <cp:lastPrinted>2017-10-20T04:52:30Z</cp:lastPrinted>
  <dcterms:created xsi:type="dcterms:W3CDTF">2010-01-10T11:41:30Z</dcterms:created>
  <dcterms:modified xsi:type="dcterms:W3CDTF">2017-10-24T14:57:25Z</dcterms:modified>
</cp:coreProperties>
</file>