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610" yWindow="255" windowWidth="17235" windowHeight="11760" firstSheet="1" activeTab="4"/>
  </bookViews>
  <sheets>
    <sheet name="состав отдела" sheetId="1" state="hidden" r:id="rId1"/>
    <sheet name="План-отчет отдела" sheetId="2" r:id="rId2"/>
    <sheet name="Аршавский" sheetId="6" r:id="rId3"/>
    <sheet name="Измайлова" sheetId="7" r:id="rId4"/>
    <sheet name="Синигаев" sheetId="9" r:id="rId5"/>
    <sheet name="Старая рабочая карточка" sheetId="3" state="hidden" r:id="rId6"/>
  </sheets>
  <definedNames>
    <definedName name="_xlnm._FilterDatabase" localSheetId="2" hidden="1">Аршавский!$A$6:$L$29</definedName>
    <definedName name="_xlnm._FilterDatabase" localSheetId="3" hidden="1">Измайлова!$A$6:$L$29</definedName>
    <definedName name="_xlnm._FilterDatabase" localSheetId="4" hidden="1">Синигаев!$A$6:$L$29</definedName>
    <definedName name="Исп">'План-отчет отдела'!$O$2:INDEX('План-отчет отдела'!$O$2:$O$13,COUNTIF('План-отчет отдела'!$O$2:$O$13,"&lt;&gt;0"))</definedName>
    <definedName name="_xlnm.Print_Area" localSheetId="0">'состав отдела'!$A$1:$I$17</definedName>
    <definedName name="Стр" localSheetId="4">SUMPRODUCT(LARGE(('План-отчет отдела'!$M$6:$M$40=Синигаев!$B$3)*ROW(Синигаев!$M$6:$M$40),COUNTIF('План-отчет отдела'!$M$6:$M$40,Синигаев!$B$3)-ROW(Синигаев!A1048574)/4+1))</definedName>
    <definedName name="Стр">SUMPRODUCT(LARGE(('План-отчет отдела'!$M$6:$M$40=Аршавский!$B$3)*ROW(Аршавский!$M$6:$M$40),COUNTIF('План-отчет отдела'!$M$6:$M$40,Аршавский!$B$3)-ROW(Аршавский!A1048574)/4+1))</definedName>
  </definedNames>
  <calcPr calcId="144525" fullPrecision="0"/>
</workbook>
</file>

<file path=xl/calcChain.xml><?xml version="1.0" encoding="utf-8"?>
<calcChain xmlns="http://schemas.openxmlformats.org/spreadsheetml/2006/main">
  <c r="A26" i="9" l="1"/>
  <c r="B23" i="9"/>
  <c r="A23" i="9"/>
  <c r="A22" i="9"/>
  <c r="B19" i="9"/>
  <c r="A19" i="9"/>
  <c r="A18" i="9"/>
  <c r="B15" i="9"/>
  <c r="A15" i="9"/>
  <c r="A14" i="9"/>
  <c r="B11" i="9"/>
  <c r="A11" i="9"/>
  <c r="A10" i="9"/>
  <c r="A7" i="9"/>
  <c r="B7" i="9"/>
  <c r="D26" i="9"/>
  <c r="J24" i="9"/>
  <c r="L23" i="9"/>
  <c r="J23" i="9"/>
  <c r="D22" i="9"/>
  <c r="J20" i="9"/>
  <c r="L19" i="9"/>
  <c r="J19" i="9"/>
  <c r="D18" i="9"/>
  <c r="J16" i="9"/>
  <c r="K16" i="9" s="1"/>
  <c r="L15" i="9"/>
  <c r="J15" i="9"/>
  <c r="D14" i="9"/>
  <c r="L11" i="9"/>
  <c r="J11" i="9"/>
  <c r="D10" i="9"/>
  <c r="J8" i="9"/>
  <c r="L7" i="9"/>
  <c r="J7" i="9"/>
  <c r="K7" i="9" s="1"/>
  <c r="K4" i="9"/>
  <c r="H4" i="9"/>
  <c r="K21" i="9" s="1"/>
  <c r="J21" i="9" s="1"/>
  <c r="H3" i="9"/>
  <c r="E3" i="9"/>
  <c r="J27" i="9" s="1"/>
  <c r="B7" i="6"/>
  <c r="A19" i="6"/>
  <c r="B19" i="6"/>
  <c r="J22" i="9" l="1"/>
  <c r="K8" i="9"/>
  <c r="K10" i="9" s="1"/>
  <c r="K20" i="9"/>
  <c r="K23" i="9"/>
  <c r="J25" i="9"/>
  <c r="J26" i="9" s="1"/>
  <c r="J9" i="9"/>
  <c r="J10" i="9" s="1"/>
  <c r="K11" i="9"/>
  <c r="K14" i="9" s="1"/>
  <c r="J13" i="9"/>
  <c r="J14" i="9" s="1"/>
  <c r="K15" i="9"/>
  <c r="K18" i="9" s="1"/>
  <c r="J17" i="9"/>
  <c r="J18" i="9" s="1"/>
  <c r="K19" i="9"/>
  <c r="K22" i="9" s="1"/>
  <c r="K24" i="9"/>
  <c r="D29" i="9"/>
  <c r="A28" i="7"/>
  <c r="D26" i="7"/>
  <c r="A26" i="7"/>
  <c r="J24" i="7"/>
  <c r="L23" i="7"/>
  <c r="J23" i="7"/>
  <c r="B23" i="7"/>
  <c r="A23" i="7"/>
  <c r="D22" i="7"/>
  <c r="A22" i="7"/>
  <c r="J20" i="7"/>
  <c r="L19" i="7"/>
  <c r="J19" i="7"/>
  <c r="B19" i="7"/>
  <c r="A19" i="7"/>
  <c r="D18" i="7"/>
  <c r="A18" i="7"/>
  <c r="J16" i="7"/>
  <c r="K16" i="7" s="1"/>
  <c r="L15" i="7"/>
  <c r="J15" i="7"/>
  <c r="B15" i="7"/>
  <c r="A15" i="7"/>
  <c r="D14" i="7"/>
  <c r="A14" i="7"/>
  <c r="L11" i="7"/>
  <c r="J11" i="7"/>
  <c r="B11" i="7"/>
  <c r="A11" i="7"/>
  <c r="D10" i="7"/>
  <c r="A10" i="7"/>
  <c r="J8" i="7"/>
  <c r="L7" i="7"/>
  <c r="J7" i="7"/>
  <c r="K7" i="7" s="1"/>
  <c r="B7" i="7"/>
  <c r="A7" i="7"/>
  <c r="H4" i="7"/>
  <c r="K4" i="7" s="1"/>
  <c r="H3" i="7"/>
  <c r="E3" i="7"/>
  <c r="J27" i="7" s="1"/>
  <c r="A26" i="6"/>
  <c r="B23" i="6"/>
  <c r="A23" i="6"/>
  <c r="A22" i="6"/>
  <c r="A18" i="6"/>
  <c r="B15" i="6"/>
  <c r="A15" i="6"/>
  <c r="A14" i="6"/>
  <c r="B11" i="6"/>
  <c r="A11" i="6"/>
  <c r="A10" i="6"/>
  <c r="A7" i="6"/>
  <c r="A28" i="6"/>
  <c r="D26" i="6"/>
  <c r="J24" i="6"/>
  <c r="K24" i="6" s="1"/>
  <c r="L23" i="6"/>
  <c r="J23" i="6"/>
  <c r="D22" i="6"/>
  <c r="J20" i="6"/>
  <c r="L19" i="6"/>
  <c r="J19" i="6"/>
  <c r="D18" i="6"/>
  <c r="J16" i="6"/>
  <c r="K16" i="6" s="1"/>
  <c r="L15" i="6"/>
  <c r="J15" i="6"/>
  <c r="D14" i="6"/>
  <c r="L11" i="6"/>
  <c r="J11" i="6"/>
  <c r="D10" i="6"/>
  <c r="J8" i="6"/>
  <c r="K8" i="6" s="1"/>
  <c r="L7" i="6"/>
  <c r="J7" i="6"/>
  <c r="K4" i="6"/>
  <c r="H4" i="6"/>
  <c r="K21" i="6" s="1"/>
  <c r="J21" i="6" s="1"/>
  <c r="H3" i="6"/>
  <c r="E3" i="6"/>
  <c r="J27" i="6" s="1"/>
  <c r="J24" i="2"/>
  <c r="J16" i="2"/>
  <c r="J8" i="2"/>
  <c r="J26" i="2"/>
  <c r="J18" i="2"/>
  <c r="J10" i="2"/>
  <c r="J20" i="2"/>
  <c r="J30" i="2"/>
  <c r="J22" i="2"/>
  <c r="J14" i="2"/>
  <c r="J6" i="2"/>
  <c r="J28" i="2"/>
  <c r="J12" i="2"/>
  <c r="K26" i="9" l="1"/>
  <c r="K28" i="9" s="1"/>
  <c r="J28" i="9"/>
  <c r="J29" i="9" s="1"/>
  <c r="K8" i="7"/>
  <c r="K10" i="7" s="1"/>
  <c r="K29" i="7" s="1"/>
  <c r="K20" i="7"/>
  <c r="K21" i="7"/>
  <c r="J21" i="7" s="1"/>
  <c r="J22" i="7" s="1"/>
  <c r="K23" i="7"/>
  <c r="K26" i="7" s="1"/>
  <c r="K28" i="7" s="1"/>
  <c r="J25" i="7"/>
  <c r="J9" i="7"/>
  <c r="J10" i="7" s="1"/>
  <c r="K11" i="7"/>
  <c r="K14" i="7" s="1"/>
  <c r="J13" i="7"/>
  <c r="J14" i="7" s="1"/>
  <c r="K15" i="7"/>
  <c r="K18" i="7" s="1"/>
  <c r="J17" i="7"/>
  <c r="J18" i="7" s="1"/>
  <c r="K19" i="7"/>
  <c r="K22" i="7" s="1"/>
  <c r="K24" i="7"/>
  <c r="D29" i="7"/>
  <c r="J22" i="6"/>
  <c r="K20" i="6"/>
  <c r="K23" i="6"/>
  <c r="K26" i="6" s="1"/>
  <c r="K28" i="6" s="1"/>
  <c r="J25" i="6"/>
  <c r="J26" i="6" s="1"/>
  <c r="K7" i="6"/>
  <c r="K10" i="6" s="1"/>
  <c r="K29" i="6" s="1"/>
  <c r="J9" i="6"/>
  <c r="J10" i="6" s="1"/>
  <c r="K11" i="6"/>
  <c r="K14" i="6" s="1"/>
  <c r="J13" i="6"/>
  <c r="J14" i="6" s="1"/>
  <c r="K15" i="6"/>
  <c r="K18" i="6" s="1"/>
  <c r="J17" i="6"/>
  <c r="J18" i="6" s="1"/>
  <c r="K19" i="6"/>
  <c r="K22" i="6" s="1"/>
  <c r="D29" i="6"/>
  <c r="K29" i="9" l="1"/>
  <c r="J26" i="7"/>
  <c r="J29" i="6"/>
  <c r="J28" i="6"/>
  <c r="O2" i="2"/>
  <c r="O3" i="2" s="1"/>
  <c r="O4" i="2" s="1"/>
  <c r="J29" i="7" l="1"/>
  <c r="J28" i="7"/>
  <c r="O5" i="2"/>
  <c r="O6" i="2" s="1"/>
  <c r="O7" i="2" l="1"/>
  <c r="O8" i="2" s="1"/>
  <c r="O9" i="2" s="1"/>
  <c r="O10" i="2" l="1"/>
  <c r="O11" i="2" l="1"/>
  <c r="O12" i="2" s="1"/>
  <c r="O13" i="2" s="1"/>
  <c r="B6" i="3" l="1"/>
  <c r="K14" i="3"/>
  <c r="J14" i="3"/>
  <c r="J13" i="3"/>
  <c r="D12" i="3"/>
  <c r="D15" i="3" s="1"/>
  <c r="J11" i="3"/>
  <c r="J10" i="3"/>
  <c r="K10" i="3"/>
  <c r="K12" i="3" s="1"/>
  <c r="D9" i="3"/>
  <c r="J8" i="3"/>
  <c r="J7" i="3"/>
  <c r="K7" i="3" s="1"/>
  <c r="J6" i="3"/>
  <c r="K6" i="3" s="1"/>
  <c r="J4" i="3"/>
  <c r="I32" i="2"/>
  <c r="H32" i="2"/>
  <c r="G32" i="2"/>
  <c r="J12" i="3"/>
  <c r="F6" i="1"/>
  <c r="F15" i="1" s="1"/>
  <c r="E15" i="1"/>
  <c r="F13" i="1"/>
  <c r="F10" i="1"/>
  <c r="H15" i="1"/>
  <c r="G15" i="1"/>
  <c r="F9" i="1"/>
  <c r="F7" i="1"/>
  <c r="F8" i="1"/>
  <c r="F11" i="1"/>
  <c r="F12" i="1"/>
  <c r="K9" i="3" l="1"/>
  <c r="K15" i="3" s="1"/>
  <c r="J9" i="3"/>
  <c r="J15" i="3" s="1"/>
  <c r="J32" i="2" l="1"/>
</calcChain>
</file>

<file path=xl/sharedStrings.xml><?xml version="1.0" encoding="utf-8"?>
<sst xmlns="http://schemas.openxmlformats.org/spreadsheetml/2006/main" count="304" uniqueCount="153">
  <si>
    <t>Итого:</t>
  </si>
  <si>
    <t xml:space="preserve">Ведущий инженер </t>
  </si>
  <si>
    <t>у.л.</t>
  </si>
  <si>
    <t>Час.</t>
  </si>
  <si>
    <t>Примечание</t>
  </si>
  <si>
    <t>Планируемое количество</t>
  </si>
  <si>
    <t>Норма выработки у.л./час</t>
  </si>
  <si>
    <t>Должность</t>
  </si>
  <si>
    <t>Ф.И.О.</t>
  </si>
  <si>
    <t>№ п./п.</t>
  </si>
  <si>
    <t>Фактическое количество</t>
  </si>
  <si>
    <t>Главный спец.</t>
  </si>
  <si>
    <t>Губанова Наталья Васильевна</t>
  </si>
  <si>
    <t>Половодова Наталья Георгиевна</t>
  </si>
  <si>
    <t>Синигаев Сергей Викторович</t>
  </si>
  <si>
    <t>Инженер I кат.</t>
  </si>
  <si>
    <t>Базайкин Юрий Ильич</t>
  </si>
  <si>
    <t>Козин Вадим Васильевич</t>
  </si>
  <si>
    <t>Аршавский Дмитрий Вячеславович</t>
  </si>
  <si>
    <t>Нач. отдела _______________________________             О. А. Фролов</t>
  </si>
  <si>
    <t>Веденяпина Анжелика Петровна</t>
  </si>
  <si>
    <t>Нач. ОПиОП _______________________________             Т. В. Бедарева</t>
  </si>
  <si>
    <t>Измайлова Жанна Владимировна</t>
  </si>
  <si>
    <t>Инженер II кат.</t>
  </si>
  <si>
    <t>Состав технологического отдела - ПЛАН</t>
  </si>
  <si>
    <t>Фролов Олег Александрович</t>
  </si>
  <si>
    <t>Нач. отдела</t>
  </si>
  <si>
    <t xml:space="preserve">Отпуск с 28.08.17                               по 15.09.17 </t>
  </si>
  <si>
    <t xml:space="preserve">Отпуск с 21.08.17                               по 08.09.17 </t>
  </si>
  <si>
    <t>сентябрь 2017 г.</t>
  </si>
  <si>
    <t xml:space="preserve">Отпуск с 04.09.17                               по 22.09.17 </t>
  </si>
  <si>
    <r>
      <t xml:space="preserve">                                              План работ </t>
    </r>
    <r>
      <rPr>
        <b/>
        <u/>
        <sz val="12"/>
        <rFont val="Arial"/>
        <family val="2"/>
        <charset val="204"/>
      </rPr>
      <t>технологического отдела</t>
    </r>
    <r>
      <rPr>
        <b/>
        <sz val="12"/>
        <rFont val="Arial"/>
        <family val="2"/>
        <charset val="204"/>
      </rPr>
      <t xml:space="preserve"> на сентябрь 2017г.</t>
    </r>
  </si>
  <si>
    <t>№ п/п</t>
  </si>
  <si>
    <t xml:space="preserve">Наименование: Предприятие. Подразделение. Работа. </t>
  </si>
  <si>
    <t>№ задания цеха</t>
  </si>
  <si>
    <t xml:space="preserve">Вх. № РПКЦ </t>
  </si>
  <si>
    <t>Срок выполнения</t>
  </si>
  <si>
    <t>Объем работы</t>
  </si>
  <si>
    <t>Архивный номер</t>
  </si>
  <si>
    <t>№ накладной, дата или % вып.</t>
  </si>
  <si>
    <t>Исполнитель</t>
  </si>
  <si>
    <t xml:space="preserve">начало </t>
  </si>
  <si>
    <t>оконч.</t>
  </si>
  <si>
    <t>план</t>
  </si>
  <si>
    <t>отчет</t>
  </si>
  <si>
    <t>час</t>
  </si>
  <si>
    <t>физ.л.</t>
  </si>
  <si>
    <t>Доменный цех.  ДП №3. Капремонт II разряда в 2018г. Замена защитных плит купола печи. (МВЗ 2514101539)</t>
  </si>
  <si>
    <t>№141/1746 от 16.12.2016г.</t>
  </si>
  <si>
    <t>022/585 от 16.12.2016г.</t>
  </si>
  <si>
    <t>01.2017г.</t>
  </si>
  <si>
    <t>09.2017г.</t>
  </si>
  <si>
    <t>2016.529-ТХ</t>
  </si>
  <si>
    <t>Губанова</t>
  </si>
  <si>
    <t>Синигаев</t>
  </si>
  <si>
    <t>КХП. ЦХУиПКХП. Эстакада погрузки полимеров в железнодорожный транспорт</t>
  </si>
  <si>
    <t>№138/51 от 07.02.2017г.</t>
  </si>
  <si>
    <t>022/96 от 13.02.2017г.</t>
  </si>
  <si>
    <t>08.2017г.</t>
  </si>
  <si>
    <t>2017.260-ТХ</t>
  </si>
  <si>
    <t>Измайлова</t>
  </si>
  <si>
    <t>Аглофабрка. Футеровка окомкователей ОБ 3,2х12,5 высокомолекулярным полиэтиленом</t>
  </si>
  <si>
    <t>№122/786 от 16.06.2017г.</t>
  </si>
  <si>
    <t>022/535 от 19.06.2017г.</t>
  </si>
  <si>
    <t>10.2017г.</t>
  </si>
  <si>
    <t>2017.326-ТХ</t>
  </si>
  <si>
    <t>Базайкин</t>
  </si>
  <si>
    <t>РП. ЭСПЦ. Дуговая сталеплавильная печь №1 (ДСП100И7).     Демонтаж оборудования.     (МВЗ 2512701510).</t>
  </si>
  <si>
    <t xml:space="preserve">№127/854 от 25.051.2017г. </t>
  </si>
  <si>
    <t>022/506 от 30.05.2017г.</t>
  </si>
  <si>
    <t>07.05.17г.</t>
  </si>
  <si>
    <t>2017.294-ТХ1</t>
  </si>
  <si>
    <t>Веденяпина</t>
  </si>
  <si>
    <t>Доменный цех.  ДП №3. Капремонт II разряда в 2018г. Установка радарных уровнемеров. (МВЗ 2514101539)</t>
  </si>
  <si>
    <t>№141/248 от 13.02.2017г.</t>
  </si>
  <si>
    <t>022/109 от 14.02.2017г.</t>
  </si>
  <si>
    <t>07.2017г.</t>
  </si>
  <si>
    <t>2016.557-ТХ</t>
  </si>
  <si>
    <t>Доменный цех.  ДП №3. Капремонт II разряда в 2018г. Замена весоповерочного оборудования бункеров агломерата и кокса.</t>
  </si>
  <si>
    <t>№141/246 от 13.02.2017г.</t>
  </si>
  <si>
    <t>022/103 от 13.02.2017г.</t>
  </si>
  <si>
    <t>2016.533-ТХ</t>
  </si>
  <si>
    <t>Аршавский</t>
  </si>
  <si>
    <t>Доменный цех.  ДП №3. Капремонт II разряда в 2018г. Разводка трубопроводов гидравлики припечного оборудования. (МВЗ 2514101539)</t>
  </si>
  <si>
    <t>2016.561-ТХ</t>
  </si>
  <si>
    <t>Козин</t>
  </si>
  <si>
    <t>Доменный цех.  ДП №3. Капремонт II разряда в 2018г.  Централизованная смазка оборудования воздухонагревателей №10, №11 и №12.                                       (МВЗ 2514101539)</t>
  </si>
  <si>
    <t>№141/927 от 30.052.2017г.</t>
  </si>
  <si>
    <t>022/509 от 01.06.2017г.</t>
  </si>
  <si>
    <t>2016.559-ТХ</t>
  </si>
  <si>
    <t>Доменный цех.  ДП №3. Капремонт II разряда в 2018г.  Установка системы автоматической подачи пластичной смазки к УРЗУ.  (МВЗ 2514101539)</t>
  </si>
  <si>
    <t>№141/928 от 30.052.2017г.</t>
  </si>
  <si>
    <t>022/510 от 01.06.2017г.</t>
  </si>
  <si>
    <t>2016.560-ТХ</t>
  </si>
  <si>
    <t>ДЦ. ПУТ. Изменение конструкции укрытии перегрузочных узлов конвейера П-4, П-5.</t>
  </si>
  <si>
    <t>141/987,988 от 17.07.2015г.</t>
  </si>
  <si>
    <t>022/417,418 от 14.08.2015г.</t>
  </si>
  <si>
    <t>2015.453-ТХ</t>
  </si>
  <si>
    <t>ДЦ. ПУТ. Изменение конструкции укрытии перегрузочных узлов конвейера П-6.</t>
  </si>
  <si>
    <t>141/986 от 17.07.2015г.</t>
  </si>
  <si>
    <t>022/416 от 14.08.2015г.</t>
  </si>
  <si>
    <t>2015.452-ТХ</t>
  </si>
  <si>
    <t>Доменный цех.  ДП №3. Капремонт II разряда в 2018г. Установка защиты площадок фурменных приборов над летками. Задание на проектирование.                                                                                 (МВЗ 2514101539)</t>
  </si>
  <si>
    <t>№141/164 от 31.01.2017г.</t>
  </si>
  <si>
    <t>022/69 от 31.01.2017г.</t>
  </si>
  <si>
    <t>2016.548-ТХ.ЗД</t>
  </si>
  <si>
    <t>Половодова</t>
  </si>
  <si>
    <t>Работа в группе проекта "Унификация оборудования ЕВРАЗ ЗСМК"</t>
  </si>
  <si>
    <t>Распоряжение Технического директора  от 22.05.2017г. №035/0150</t>
  </si>
  <si>
    <t>ВСЕГО</t>
  </si>
  <si>
    <t>Наименование объекта и вид работы</t>
  </si>
  <si>
    <t>№ чертежа</t>
  </si>
  <si>
    <t>Доля листа</t>
  </si>
  <si>
    <t>Степень готовн.</t>
  </si>
  <si>
    <t>Элемент работы</t>
  </si>
  <si>
    <t>Коэффиц. плотности</t>
  </si>
  <si>
    <t>Коэффиц. Сложности</t>
  </si>
  <si>
    <t>Коэфициент аналогии</t>
  </si>
  <si>
    <t>Объем в условных листах</t>
  </si>
  <si>
    <t>Кол-во часов</t>
  </si>
  <si>
    <t>1</t>
  </si>
  <si>
    <t>2016.553-ТХ.ЗД                                             АО "ЕВРАЗ ЗСМК". Доменный цех. ДП №3. Капремонт II разряда в 2018г. Замена весоповерочного оборудования бункеров агломерата и кокса</t>
  </si>
  <si>
    <t xml:space="preserve">2016.553-ТХ.ЗД1(л.1) </t>
  </si>
  <si>
    <t xml:space="preserve">2016.553-ТХ.ЗД1(л.2) </t>
  </si>
  <si>
    <t>Сбор исходных данных, поиск чертежей, выход в цех</t>
  </si>
  <si>
    <t>Всего</t>
  </si>
  <si>
    <t>2</t>
  </si>
  <si>
    <t>2013.554-ТХ                                              АО "ЕВРАЗ ЗСМК". Доменный цех. ДП №2. Вакуумная пылеуборка перегрузочной станции №3</t>
  </si>
  <si>
    <t xml:space="preserve">Эскиз №1 к 2013.554-ТХ по ходу ремонта </t>
  </si>
  <si>
    <t>3</t>
  </si>
  <si>
    <t>Отпуск</t>
  </si>
  <si>
    <t>4</t>
  </si>
  <si>
    <t>Унификация оборудования</t>
  </si>
  <si>
    <t>40%, Распоряжение 035/0150 от 22.05.2017</t>
  </si>
  <si>
    <t>5</t>
  </si>
  <si>
    <t>ИТОГО</t>
  </si>
  <si>
    <t>Р А Б О Ч А Я  К А Р Т О Ч К А</t>
  </si>
  <si>
    <t>Отдел</t>
  </si>
  <si>
    <t xml:space="preserve">  технологический</t>
  </si>
  <si>
    <r>
      <t>Фамилия И.О.</t>
    </r>
    <r>
      <rPr>
        <i/>
        <sz val="14"/>
        <rFont val="Arial"/>
        <family val="2"/>
        <charset val="204"/>
      </rPr>
      <t xml:space="preserve"> </t>
    </r>
    <r>
      <rPr>
        <b/>
        <i/>
        <sz val="14"/>
        <rFont val="Arial"/>
        <family val="2"/>
        <charset val="204"/>
      </rPr>
      <t xml:space="preserve">         Аршавский Д.В.</t>
    </r>
  </si>
  <si>
    <t>к =</t>
  </si>
  <si>
    <t>месяц</t>
  </si>
  <si>
    <t>2017 г.</t>
  </si>
  <si>
    <t>.</t>
  </si>
  <si>
    <t>ч =</t>
  </si>
  <si>
    <t>листов</t>
  </si>
  <si>
    <t>Технологический отдел</t>
  </si>
  <si>
    <t>Сбор исходных данных, выход в цех</t>
  </si>
  <si>
    <t>Дополнительный Коэффициент</t>
  </si>
  <si>
    <t>Архивный №</t>
  </si>
  <si>
    <t>2016-529-ТХ.ЗД1</t>
  </si>
  <si>
    <t>2016-529-1</t>
  </si>
  <si>
    <t>2016.533-1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</si>
</sst>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1" x14ac:knownFonts="1">
    <font>
      <sz val="10"/>
      <name val="Arial"/>
    </font>
    <font>
      <sz val="10"/>
      <name val="Arial Cyr"/>
      <charset val="204"/>
    </font>
    <font>
      <sz val="14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4"/>
      <name val="Times New Roman"/>
      <family val="1"/>
      <charset val="204"/>
    </font>
    <font>
      <sz val="8"/>
      <name val="Arial"/>
    </font>
    <font>
      <sz val="11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u/>
      <sz val="12"/>
      <name val="Arial"/>
      <family val="2"/>
      <charset val="204"/>
    </font>
    <font>
      <b/>
      <sz val="11"/>
      <name val="Arial"/>
      <family val="2"/>
      <charset val="204"/>
    </font>
    <font>
      <b/>
      <i/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4"/>
      <name val="Arial"/>
      <family val="2"/>
      <charset val="204"/>
    </font>
    <font>
      <i/>
      <sz val="14"/>
      <name val="Arial"/>
      <family val="2"/>
      <charset val="204"/>
    </font>
    <font>
      <b/>
      <i/>
      <u/>
      <sz val="11"/>
      <name val="Arial"/>
      <family val="2"/>
      <charset val="204"/>
    </font>
    <font>
      <b/>
      <i/>
      <sz val="11"/>
      <name val="Arial Cyr"/>
      <charset val="204"/>
    </font>
    <font>
      <b/>
      <i/>
      <sz val="1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33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3" fillId="0" borderId="0" xfId="0" applyFont="1" applyBorder="1"/>
    <xf numFmtId="0" fontId="4" fillId="0" borderId="0" xfId="0" applyFont="1" applyBorder="1"/>
    <xf numFmtId="0" fontId="3" fillId="0" borderId="0" xfId="1" applyFont="1"/>
    <xf numFmtId="0" fontId="3" fillId="0" borderId="0" xfId="1" applyFont="1" applyAlignment="1">
      <alignment horizontal="center" vertical="center"/>
    </xf>
    <xf numFmtId="9" fontId="3" fillId="0" borderId="0" xfId="2" applyFont="1"/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/>
    </xf>
    <xf numFmtId="0" fontId="4" fillId="2" borderId="3" xfId="1" applyNumberFormat="1" applyFont="1" applyFill="1" applyBorder="1" applyAlignment="1">
      <alignment horizontal="center" vertical="top" wrapText="1"/>
    </xf>
    <xf numFmtId="0" fontId="7" fillId="0" borderId="7" xfId="1" applyFont="1" applyBorder="1" applyAlignment="1">
      <alignment horizontal="left" vertical="center"/>
    </xf>
    <xf numFmtId="0" fontId="3" fillId="0" borderId="7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left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left" vertical="top" wrapText="1"/>
    </xf>
    <xf numFmtId="0" fontId="3" fillId="0" borderId="10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3" fillId="0" borderId="0" xfId="1" applyFont="1" applyProtection="1">
      <protection locked="0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3" fillId="0" borderId="5" xfId="1" applyFont="1" applyBorder="1" applyAlignment="1" applyProtection="1">
      <alignment horizontal="center" vertical="center" wrapText="1"/>
      <protection locked="0"/>
    </xf>
    <xf numFmtId="0" fontId="3" fillId="3" borderId="1" xfId="1" applyFont="1" applyFill="1" applyBorder="1" applyAlignment="1" applyProtection="1">
      <alignment horizontal="center" vertical="center" wrapText="1"/>
      <protection locked="0"/>
    </xf>
    <xf numFmtId="0" fontId="3" fillId="0" borderId="12" xfId="1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horizontal="center" vertical="center"/>
      <protection locked="0"/>
    </xf>
    <xf numFmtId="0" fontId="10" fillId="0" borderId="1" xfId="1" applyFont="1" applyBorder="1" applyAlignment="1" applyProtection="1">
      <alignment horizontal="center" vertical="center" wrapText="1"/>
      <protection locked="0"/>
    </xf>
    <xf numFmtId="0" fontId="8" fillId="0" borderId="1" xfId="1" applyFont="1" applyBorder="1" applyAlignment="1" applyProtection="1">
      <alignment horizontal="center" vertical="center" wrapText="1"/>
      <protection locked="0"/>
    </xf>
    <xf numFmtId="0" fontId="4" fillId="2" borderId="2" xfId="1" applyNumberFormat="1" applyFont="1" applyFill="1" applyBorder="1" applyAlignment="1" applyProtection="1">
      <alignment horizontal="center" vertical="top" wrapText="1"/>
      <protection locked="0"/>
    </xf>
    <xf numFmtId="0" fontId="4" fillId="2" borderId="3" xfId="1" applyNumberFormat="1" applyFont="1" applyFill="1" applyBorder="1" applyAlignment="1" applyProtection="1">
      <alignment horizontal="center" vertical="top" wrapText="1"/>
      <protection locked="0"/>
    </xf>
    <xf numFmtId="0" fontId="3" fillId="0" borderId="2" xfId="1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3" borderId="18" xfId="0" applyNumberFormat="1" applyFont="1" applyFill="1" applyBorder="1" applyAlignment="1">
      <alignment horizontal="center" vertical="center"/>
    </xf>
    <xf numFmtId="164" fontId="7" fillId="3" borderId="19" xfId="0" applyNumberFormat="1" applyFont="1" applyFill="1" applyBorder="1" applyAlignment="1">
      <alignment horizontal="center" vertical="center"/>
    </xf>
    <xf numFmtId="164" fontId="7" fillId="3" borderId="18" xfId="0" applyNumberFormat="1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49" fontId="10" fillId="3" borderId="20" xfId="0" applyNumberFormat="1" applyFont="1" applyFill="1" applyBorder="1" applyAlignment="1">
      <alignment horizontal="center" vertical="center"/>
    </xf>
    <xf numFmtId="49" fontId="10" fillId="3" borderId="15" xfId="0" applyNumberFormat="1" applyFont="1" applyFill="1" applyBorder="1" applyAlignment="1">
      <alignment horizontal="center" vertical="center"/>
    </xf>
    <xf numFmtId="0" fontId="7" fillId="3" borderId="21" xfId="0" applyNumberFormat="1" applyFont="1" applyFill="1" applyBorder="1" applyAlignment="1">
      <alignment horizontal="center" vertical="center"/>
    </xf>
    <xf numFmtId="164" fontId="7" fillId="3" borderId="22" xfId="0" applyNumberFormat="1" applyFont="1" applyFill="1" applyBorder="1" applyAlignment="1">
      <alignment horizontal="center" vertical="center"/>
    </xf>
    <xf numFmtId="164" fontId="7" fillId="3" borderId="20" xfId="0" applyNumberFormat="1" applyFont="1" applyFill="1" applyBorder="1" applyAlignment="1">
      <alignment horizontal="center" vertical="center"/>
    </xf>
    <xf numFmtId="1" fontId="7" fillId="3" borderId="22" xfId="0" applyNumberFormat="1" applyFont="1" applyFill="1" applyBorder="1" applyAlignment="1">
      <alignment horizontal="center" vertical="center"/>
    </xf>
    <xf numFmtId="0" fontId="3" fillId="3" borderId="20" xfId="0" applyNumberFormat="1" applyFont="1" applyFill="1" applyBorder="1" applyAlignment="1">
      <alignment horizontal="center" vertical="center" wrapText="1"/>
    </xf>
    <xf numFmtId="9" fontId="3" fillId="3" borderId="15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5" xfId="0" applyNumberFormat="1" applyFont="1" applyFill="1" applyBorder="1" applyAlignment="1">
      <alignment horizontal="center" vertical="center"/>
    </xf>
    <xf numFmtId="164" fontId="7" fillId="3" borderId="11" xfId="0" applyNumberFormat="1" applyFont="1" applyFill="1" applyBorder="1" applyAlignment="1">
      <alignment horizontal="center" vertical="center"/>
    </xf>
    <xf numFmtId="164" fontId="7" fillId="3" borderId="23" xfId="0" applyNumberFormat="1" applyFont="1" applyFill="1" applyBorder="1" applyAlignment="1">
      <alignment horizontal="center" vertical="center"/>
    </xf>
    <xf numFmtId="1" fontId="7" fillId="3" borderId="11" xfId="0" applyNumberFormat="1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 wrapText="1"/>
    </xf>
    <xf numFmtId="49" fontId="10" fillId="3" borderId="2" xfId="0" applyNumberFormat="1" applyFont="1" applyFill="1" applyBorder="1" applyAlignment="1">
      <alignment horizontal="center" vertical="center"/>
    </xf>
    <xf numFmtId="49" fontId="10" fillId="3" borderId="3" xfId="0" applyNumberFormat="1" applyFont="1" applyFill="1" applyBorder="1" applyAlignment="1">
      <alignment horizontal="center" vertical="center"/>
    </xf>
    <xf numFmtId="0" fontId="10" fillId="3" borderId="2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 wrapText="1"/>
    </xf>
    <xf numFmtId="9" fontId="3" fillId="3" borderId="3" xfId="0" applyNumberFormat="1" applyFont="1" applyFill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10" fillId="3" borderId="20" xfId="0" applyNumberFormat="1" applyFont="1" applyFill="1" applyBorder="1" applyAlignment="1">
      <alignment horizontal="center" vertical="center"/>
    </xf>
    <xf numFmtId="164" fontId="7" fillId="2" borderId="15" xfId="0" applyNumberFormat="1" applyFont="1" applyFill="1" applyBorder="1" applyAlignment="1">
      <alignment horizontal="center" vertical="center"/>
    </xf>
    <xf numFmtId="1" fontId="7" fillId="2" borderId="15" xfId="0" applyNumberFormat="1" applyFont="1" applyFill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5" fontId="4" fillId="2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164" fontId="18" fillId="0" borderId="0" xfId="0" applyNumberFormat="1" applyFont="1" applyBorder="1" applyAlignment="1">
      <alignment horizontal="left" vertical="center"/>
    </xf>
    <xf numFmtId="0" fontId="10" fillId="0" borderId="0" xfId="0" applyFont="1"/>
    <xf numFmtId="0" fontId="16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13" fillId="0" borderId="0" xfId="0" applyFont="1" applyBorder="1" applyAlignment="1">
      <alignment horizontal="center"/>
    </xf>
    <xf numFmtId="0" fontId="3" fillId="0" borderId="24" xfId="0" applyFont="1" applyBorder="1" applyAlignment="1"/>
    <xf numFmtId="0" fontId="3" fillId="0" borderId="0" xfId="0" applyFont="1" applyBorder="1" applyAlignment="1">
      <alignment horizontal="left"/>
    </xf>
    <xf numFmtId="2" fontId="7" fillId="0" borderId="2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2" fontId="7" fillId="0" borderId="9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textRotation="90" wrapText="1"/>
    </xf>
    <xf numFmtId="2" fontId="7" fillId="0" borderId="3" xfId="0" applyNumberFormat="1" applyFont="1" applyBorder="1" applyAlignment="1">
      <alignment horizontal="center" vertical="center" textRotation="90" wrapText="1"/>
    </xf>
    <xf numFmtId="164" fontId="7" fillId="0" borderId="9" xfId="0" applyNumberFormat="1" applyFont="1" applyBorder="1" applyAlignment="1">
      <alignment horizontal="center" vertical="center" textRotation="90" wrapText="1"/>
    </xf>
    <xf numFmtId="2" fontId="13" fillId="0" borderId="2" xfId="0" applyNumberFormat="1" applyFont="1" applyFill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/>
    </xf>
    <xf numFmtId="2" fontId="7" fillId="0" borderId="25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/>
    </xf>
    <xf numFmtId="164" fontId="3" fillId="0" borderId="9" xfId="0" applyNumberFormat="1" applyFont="1" applyFill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49" fontId="4" fillId="0" borderId="23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wrapText="1"/>
    </xf>
    <xf numFmtId="164" fontId="7" fillId="0" borderId="2" xfId="0" applyNumberFormat="1" applyFont="1" applyBorder="1" applyAlignment="1">
      <alignment vertical="center" wrapText="1"/>
    </xf>
    <xf numFmtId="164" fontId="15" fillId="0" borderId="2" xfId="0" applyNumberFormat="1" applyFont="1" applyFill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64" fontId="4" fillId="0" borderId="23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9" fontId="14" fillId="0" borderId="2" xfId="0" applyNumberFormat="1" applyFont="1" applyBorder="1" applyAlignment="1">
      <alignment horizontal="center" vertical="center" wrapText="1"/>
    </xf>
    <xf numFmtId="2" fontId="13" fillId="0" borderId="3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right" vertical="center"/>
    </xf>
    <xf numFmtId="49" fontId="4" fillId="0" borderId="3" xfId="0" applyNumberFormat="1" applyFont="1" applyBorder="1" applyAlignment="1">
      <alignment horizontal="right" vertical="center"/>
    </xf>
    <xf numFmtId="164" fontId="15" fillId="0" borderId="9" xfId="0" applyNumberFormat="1" applyFont="1" applyFill="1" applyBorder="1" applyAlignment="1">
      <alignment horizontal="center" vertical="center"/>
    </xf>
    <xf numFmtId="1" fontId="4" fillId="0" borderId="20" xfId="0" applyNumberFormat="1" applyFont="1" applyBorder="1" applyAlignment="1">
      <alignment horizontal="center" vertical="center" wrapText="1"/>
    </xf>
    <xf numFmtId="0" fontId="8" fillId="0" borderId="20" xfId="0" applyNumberFormat="1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17" xfId="0" applyFont="1" applyBorder="1" applyAlignment="1">
      <alignment vertical="center" wrapText="1"/>
    </xf>
    <xf numFmtId="0" fontId="9" fillId="0" borderId="0" xfId="0" applyFont="1"/>
    <xf numFmtId="0" fontId="0" fillId="0" borderId="0" xfId="0" applyAlignment="1">
      <alignment wrapText="1"/>
    </xf>
    <xf numFmtId="0" fontId="4" fillId="0" borderId="0" xfId="1" applyFont="1" applyAlignment="1">
      <alignment vertical="top"/>
    </xf>
    <xf numFmtId="0" fontId="3" fillId="0" borderId="2" xfId="0" applyFont="1" applyBorder="1" applyAlignment="1" applyProtection="1">
      <alignment horizontal="center" vertical="center"/>
      <protection locked="0"/>
    </xf>
    <xf numFmtId="165" fontId="3" fillId="0" borderId="2" xfId="0" applyNumberFormat="1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0" borderId="2" xfId="0" applyFont="1" applyBorder="1" applyAlignment="1" applyProtection="1">
      <alignment horizontal="center" vertical="center"/>
      <protection locked="0"/>
    </xf>
    <xf numFmtId="165" fontId="1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/>
    </xf>
    <xf numFmtId="164" fontId="13" fillId="0" borderId="2" xfId="0" applyNumberFormat="1" applyFont="1" applyBorder="1" applyAlignment="1">
      <alignment horizontal="center" vertical="center"/>
    </xf>
    <xf numFmtId="0" fontId="0" fillId="0" borderId="0" xfId="0" applyProtection="1"/>
    <xf numFmtId="0" fontId="20" fillId="0" borderId="0" xfId="0" applyFont="1" applyProtection="1"/>
    <xf numFmtId="0" fontId="0" fillId="0" borderId="0" xfId="0" applyAlignment="1" applyProtection="1">
      <alignment wrapText="1"/>
    </xf>
    <xf numFmtId="0" fontId="13" fillId="0" borderId="16" xfId="0" applyFont="1" applyBorder="1" applyAlignment="1">
      <alignment horizontal="center" vertical="center"/>
    </xf>
    <xf numFmtId="2" fontId="15" fillId="4" borderId="3" xfId="0" applyNumberFormat="1" applyFont="1" applyFill="1" applyBorder="1" applyAlignment="1">
      <alignment horizontal="center" vertical="center" textRotation="90" wrapText="1"/>
    </xf>
    <xf numFmtId="2" fontId="7" fillId="4" borderId="9" xfId="0" applyNumberFormat="1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left" vertical="center" wrapText="1"/>
    </xf>
    <xf numFmtId="0" fontId="13" fillId="4" borderId="20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textRotation="90"/>
    </xf>
    <xf numFmtId="2" fontId="3" fillId="4" borderId="2" xfId="0" applyNumberFormat="1" applyFont="1" applyFill="1" applyBorder="1" applyAlignment="1">
      <alignment horizontal="center" vertical="center" textRotation="90" wrapText="1"/>
    </xf>
    <xf numFmtId="2" fontId="3" fillId="4" borderId="3" xfId="0" applyNumberFormat="1" applyFont="1" applyFill="1" applyBorder="1" applyAlignment="1">
      <alignment horizontal="center" vertical="center" textRotation="90" wrapText="1"/>
    </xf>
    <xf numFmtId="164" fontId="3" fillId="4" borderId="9" xfId="0" applyNumberFormat="1" applyFont="1" applyFill="1" applyBorder="1" applyAlignment="1">
      <alignment horizontal="center" vertical="center" textRotation="90" wrapText="1"/>
    </xf>
    <xf numFmtId="164" fontId="3" fillId="4" borderId="2" xfId="0" applyNumberFormat="1" applyFont="1" applyFill="1" applyBorder="1" applyAlignment="1">
      <alignment horizontal="center" vertical="center"/>
    </xf>
    <xf numFmtId="165" fontId="3" fillId="4" borderId="2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 applyProtection="1">
      <alignment horizontal="center" vertical="center"/>
      <protection locked="0"/>
    </xf>
    <xf numFmtId="165" fontId="13" fillId="4" borderId="2" xfId="0" applyNumberFormat="1" applyFont="1" applyFill="1" applyBorder="1" applyAlignment="1">
      <alignment horizontal="center" vertical="center"/>
    </xf>
    <xf numFmtId="2" fontId="3" fillId="4" borderId="2" xfId="0" applyNumberFormat="1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/>
    </xf>
    <xf numFmtId="2" fontId="13" fillId="4" borderId="2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 applyProtection="1">
      <alignment horizontal="center" vertical="center"/>
      <protection locked="0"/>
    </xf>
    <xf numFmtId="2" fontId="3" fillId="5" borderId="2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0" fillId="6" borderId="0" xfId="0" applyFill="1" applyProtection="1"/>
    <xf numFmtId="0" fontId="13" fillId="6" borderId="0" xfId="0" applyFont="1" applyFill="1" applyAlignment="1" applyProtection="1">
      <alignment vertical="center"/>
    </xf>
    <xf numFmtId="0" fontId="14" fillId="6" borderId="0" xfId="0" applyFont="1" applyFill="1" applyAlignment="1" applyProtection="1">
      <alignment vertical="center"/>
    </xf>
    <xf numFmtId="0" fontId="13" fillId="6" borderId="0" xfId="0" applyFont="1" applyFill="1" applyAlignment="1" applyProtection="1">
      <alignment horizontal="center" vertical="center"/>
    </xf>
    <xf numFmtId="0" fontId="3" fillId="6" borderId="0" xfId="0" applyFont="1" applyFill="1" applyBorder="1" applyAlignment="1" applyProtection="1">
      <alignment horizontal="right" vertical="center"/>
    </xf>
    <xf numFmtId="164" fontId="18" fillId="6" borderId="0" xfId="0" applyNumberFormat="1" applyFont="1" applyFill="1" applyBorder="1" applyAlignment="1" applyProtection="1">
      <alignment horizontal="left" vertical="center"/>
    </xf>
    <xf numFmtId="0" fontId="10" fillId="6" borderId="0" xfId="0" applyFont="1" applyFill="1" applyProtection="1"/>
    <xf numFmtId="0" fontId="16" fillId="6" borderId="15" xfId="0" applyNumberFormat="1" applyFont="1" applyFill="1" applyBorder="1" applyAlignment="1" applyProtection="1">
      <alignment vertical="center"/>
    </xf>
    <xf numFmtId="0" fontId="3" fillId="6" borderId="0" xfId="0" applyFont="1" applyFill="1" applyAlignment="1" applyProtection="1">
      <alignment horizontal="right" vertical="center"/>
    </xf>
    <xf numFmtId="164" fontId="13" fillId="6" borderId="0" xfId="0" applyNumberFormat="1" applyFont="1" applyFill="1" applyBorder="1" applyAlignment="1" applyProtection="1">
      <alignment horizontal="left" indent="1"/>
    </xf>
    <xf numFmtId="0" fontId="3" fillId="6" borderId="24" xfId="0" applyFont="1" applyFill="1" applyBorder="1" applyAlignment="1" applyProtection="1"/>
    <xf numFmtId="0" fontId="3" fillId="6" borderId="0" xfId="0" applyFont="1" applyFill="1" applyBorder="1" applyAlignment="1" applyProtection="1">
      <alignment horizontal="left"/>
    </xf>
    <xf numFmtId="164" fontId="13" fillId="8" borderId="2" xfId="0" applyNumberFormat="1" applyFont="1" applyFill="1" applyBorder="1" applyAlignment="1">
      <alignment horizontal="center" vertical="center"/>
    </xf>
    <xf numFmtId="165" fontId="13" fillId="8" borderId="2" xfId="0" applyNumberFormat="1" applyFont="1" applyFill="1" applyBorder="1" applyAlignment="1">
      <alignment horizontal="center" vertical="center"/>
    </xf>
    <xf numFmtId="164" fontId="7" fillId="8" borderId="19" xfId="0" applyNumberFormat="1" applyFont="1" applyFill="1" applyBorder="1" applyAlignment="1">
      <alignment horizontal="center" vertical="center"/>
    </xf>
    <xf numFmtId="164" fontId="7" fillId="8" borderId="18" xfId="0" applyNumberFormat="1" applyFont="1" applyFill="1" applyBorder="1" applyAlignment="1">
      <alignment horizontal="center" vertical="center"/>
    </xf>
    <xf numFmtId="1" fontId="7" fillId="8" borderId="19" xfId="0" applyNumberFormat="1" applyFont="1" applyFill="1" applyBorder="1" applyAlignment="1">
      <alignment horizontal="center" vertical="center"/>
    </xf>
    <xf numFmtId="164" fontId="7" fillId="8" borderId="3" xfId="0" applyNumberFormat="1" applyFont="1" applyFill="1" applyBorder="1" applyAlignment="1">
      <alignment horizontal="center" vertical="center"/>
    </xf>
    <xf numFmtId="164" fontId="7" fillId="8" borderId="2" xfId="0" applyNumberFormat="1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13" fillId="7" borderId="16" xfId="0" applyFont="1" applyFill="1" applyBorder="1" applyAlignment="1">
      <alignment horizontal="center" vertical="center"/>
    </xf>
    <xf numFmtId="0" fontId="0" fillId="9" borderId="0" xfId="0" applyFill="1"/>
    <xf numFmtId="0" fontId="7" fillId="9" borderId="18" xfId="0" applyFont="1" applyFill="1" applyBorder="1" applyAlignment="1">
      <alignment horizontal="center" vertical="center" wrapText="1"/>
    </xf>
    <xf numFmtId="0" fontId="7" fillId="9" borderId="17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textRotation="90"/>
    </xf>
    <xf numFmtId="0" fontId="3" fillId="0" borderId="20" xfId="0" applyFont="1" applyBorder="1" applyAlignment="1">
      <alignment horizontal="left" vertical="center" wrapText="1"/>
    </xf>
    <xf numFmtId="0" fontId="4" fillId="6" borderId="0" xfId="0" applyFont="1" applyFill="1" applyAlignment="1" applyProtection="1">
      <alignment horizontal="center" vertical="center"/>
    </xf>
    <xf numFmtId="0" fontId="3" fillId="5" borderId="9" xfId="0" applyFont="1" applyFill="1" applyBorder="1" applyAlignment="1" applyProtection="1">
      <alignment horizontal="center" vertical="center"/>
      <protection locked="0"/>
    </xf>
    <xf numFmtId="0" fontId="3" fillId="5" borderId="3" xfId="0" applyFont="1" applyFill="1" applyBorder="1" applyAlignment="1" applyProtection="1">
      <alignment horizontal="center" vertical="center"/>
      <protection locked="0"/>
    </xf>
    <xf numFmtId="0" fontId="3" fillId="5" borderId="25" xfId="0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textRotation="90"/>
    </xf>
    <xf numFmtId="0" fontId="3" fillId="0" borderId="20" xfId="0" applyFont="1" applyBorder="1" applyAlignment="1">
      <alignment horizontal="left" vertical="center" wrapText="1"/>
    </xf>
    <xf numFmtId="0" fontId="4" fillId="6" borderId="0" xfId="0" applyFont="1" applyFill="1" applyAlignment="1" applyProtection="1">
      <alignment horizontal="center" vertical="center"/>
    </xf>
    <xf numFmtId="0" fontId="4" fillId="0" borderId="17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3" fillId="0" borderId="0" xfId="0" applyFont="1" applyBorder="1" applyAlignment="1"/>
    <xf numFmtId="0" fontId="4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3" fillId="0" borderId="0" xfId="1" applyFont="1" applyAlignment="1"/>
    <xf numFmtId="0" fontId="4" fillId="0" borderId="30" xfId="1" applyFont="1" applyBorder="1" applyAlignment="1">
      <alignment horizontal="center" vertical="center" wrapText="1"/>
    </xf>
    <xf numFmtId="0" fontId="4" fillId="0" borderId="31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0" fontId="4" fillId="0" borderId="32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0" fontId="4" fillId="0" borderId="0" xfId="1" applyFont="1" applyAlignment="1">
      <alignment horizontal="right" wrapText="1"/>
    </xf>
    <xf numFmtId="0" fontId="0" fillId="0" borderId="0" xfId="0" applyAlignment="1">
      <alignment wrapText="1"/>
    </xf>
    <xf numFmtId="0" fontId="5" fillId="0" borderId="26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top" wrapText="1"/>
    </xf>
    <xf numFmtId="0" fontId="5" fillId="0" borderId="29" xfId="0" applyFont="1" applyBorder="1" applyAlignment="1">
      <alignment horizontal="center" vertical="top" wrapText="1"/>
    </xf>
    <xf numFmtId="0" fontId="4" fillId="0" borderId="33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/>
    </xf>
    <xf numFmtId="0" fontId="3" fillId="0" borderId="38" xfId="0" applyFont="1" applyBorder="1"/>
    <xf numFmtId="0" fontId="3" fillId="0" borderId="26" xfId="0" applyFont="1" applyBorder="1" applyAlignment="1">
      <alignment horizontal="center"/>
    </xf>
    <xf numFmtId="0" fontId="3" fillId="0" borderId="36" xfId="0" applyFont="1" applyBorder="1"/>
    <xf numFmtId="0" fontId="3" fillId="0" borderId="27" xfId="0" applyFont="1" applyBorder="1"/>
    <xf numFmtId="0" fontId="3" fillId="0" borderId="1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/>
    </xf>
    <xf numFmtId="0" fontId="3" fillId="7" borderId="17" xfId="0" applyFont="1" applyFill="1" applyBorder="1" applyAlignment="1">
      <alignment horizontal="center" vertical="center" wrapText="1"/>
    </xf>
    <xf numFmtId="0" fontId="3" fillId="7" borderId="20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49" fontId="10" fillId="3" borderId="17" xfId="0" applyNumberFormat="1" applyFont="1" applyFill="1" applyBorder="1" applyAlignment="1">
      <alignment horizontal="center" vertical="center"/>
    </xf>
    <xf numFmtId="49" fontId="10" fillId="3" borderId="20" xfId="0" applyNumberFormat="1" applyFont="1" applyFill="1" applyBorder="1" applyAlignment="1">
      <alignment horizontal="center" vertical="center"/>
    </xf>
    <xf numFmtId="49" fontId="10" fillId="3" borderId="24" xfId="0" applyNumberFormat="1" applyFont="1" applyFill="1" applyBorder="1" applyAlignment="1">
      <alignment horizontal="center" vertical="center"/>
    </xf>
    <xf numFmtId="49" fontId="10" fillId="3" borderId="15" xfId="0" applyNumberFormat="1" applyFont="1" applyFill="1" applyBorder="1" applyAlignment="1">
      <alignment horizontal="center" vertical="center"/>
    </xf>
    <xf numFmtId="0" fontId="3" fillId="7" borderId="17" xfId="0" applyNumberFormat="1" applyFont="1" applyFill="1" applyBorder="1" applyAlignment="1">
      <alignment horizontal="center" vertical="center" wrapText="1"/>
    </xf>
    <xf numFmtId="0" fontId="3" fillId="7" borderId="20" xfId="0" applyNumberFormat="1" applyFont="1" applyFill="1" applyBorder="1" applyAlignment="1">
      <alignment horizontal="center" vertical="center" wrapText="1"/>
    </xf>
    <xf numFmtId="9" fontId="3" fillId="3" borderId="24" xfId="0" applyNumberFormat="1" applyFont="1" applyFill="1" applyBorder="1" applyAlignment="1">
      <alignment horizontal="center" vertical="center" wrapText="1"/>
    </xf>
    <xf numFmtId="9" fontId="3" fillId="3" borderId="15" xfId="0" applyNumberFormat="1" applyFont="1" applyFill="1" applyBorder="1" applyAlignment="1">
      <alignment horizontal="center" vertical="center" wrapText="1"/>
    </xf>
    <xf numFmtId="0" fontId="3" fillId="7" borderId="3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23" xfId="0" applyNumberFormat="1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3" fillId="7" borderId="34" xfId="0" applyFont="1" applyFill="1" applyBorder="1" applyAlignment="1">
      <alignment horizontal="center" vertical="center" wrapText="1"/>
    </xf>
    <xf numFmtId="0" fontId="7" fillId="7" borderId="23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49" fontId="10" fillId="3" borderId="23" xfId="0" applyNumberFormat="1" applyFont="1" applyFill="1" applyBorder="1" applyAlignment="1">
      <alignment horizontal="center" vertical="center"/>
    </xf>
    <xf numFmtId="49" fontId="10" fillId="3" borderId="0" xfId="0" applyNumberFormat="1" applyFont="1" applyFill="1" applyBorder="1" applyAlignment="1">
      <alignment horizontal="center" vertical="center"/>
    </xf>
    <xf numFmtId="9" fontId="3" fillId="3" borderId="0" xfId="0" applyNumberFormat="1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textRotation="90"/>
    </xf>
    <xf numFmtId="0" fontId="13" fillId="0" borderId="35" xfId="0" applyFont="1" applyBorder="1" applyAlignment="1">
      <alignment horizontal="center" vertical="center" textRotation="90"/>
    </xf>
    <xf numFmtId="0" fontId="13" fillId="0" borderId="16" xfId="0" applyFont="1" applyBorder="1" applyAlignment="1">
      <alignment horizontal="center" vertical="center" textRotation="90"/>
    </xf>
    <xf numFmtId="0" fontId="3" fillId="0" borderId="17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4" fillId="6" borderId="0" xfId="0" applyFont="1" applyFill="1" applyAlignment="1" applyProtection="1">
      <alignment horizontal="center" vertical="center"/>
    </xf>
    <xf numFmtId="0" fontId="3" fillId="6" borderId="0" xfId="0" applyFont="1" applyFill="1" applyBorder="1" applyAlignment="1" applyProtection="1">
      <alignment horizontal="center" vertical="center"/>
    </xf>
    <xf numFmtId="0" fontId="16" fillId="6" borderId="15" xfId="0" applyFont="1" applyFill="1" applyBorder="1" applyAlignment="1" applyProtection="1">
      <alignment horizontal="center" vertical="center"/>
    </xf>
    <xf numFmtId="0" fontId="3" fillId="6" borderId="0" xfId="0" applyFont="1" applyFill="1" applyBorder="1" applyAlignment="1" applyProtection="1">
      <alignment horizontal="center"/>
    </xf>
    <xf numFmtId="0" fontId="13" fillId="6" borderId="24" xfId="0" applyFont="1" applyFill="1" applyBorder="1" applyAlignment="1" applyProtection="1">
      <alignment horizontal="left" vertical="center"/>
    </xf>
    <xf numFmtId="0" fontId="13" fillId="7" borderId="13" xfId="0" applyFont="1" applyFill="1" applyBorder="1" applyAlignment="1">
      <alignment horizontal="center" vertical="center" textRotation="90"/>
    </xf>
    <xf numFmtId="0" fontId="13" fillId="7" borderId="35" xfId="0" applyFont="1" applyFill="1" applyBorder="1" applyAlignment="1">
      <alignment horizontal="center" vertical="center" textRotation="90"/>
    </xf>
    <xf numFmtId="0" fontId="13" fillId="7" borderId="16" xfId="0" applyFont="1" applyFill="1" applyBorder="1" applyAlignment="1">
      <alignment horizontal="center" vertical="center" textRotation="90"/>
    </xf>
    <xf numFmtId="0" fontId="3" fillId="7" borderId="17" xfId="0" applyFont="1" applyFill="1" applyBorder="1" applyAlignment="1">
      <alignment horizontal="left" vertical="center" wrapText="1"/>
    </xf>
    <xf numFmtId="0" fontId="3" fillId="7" borderId="23" xfId="0" applyFont="1" applyFill="1" applyBorder="1" applyAlignment="1">
      <alignment horizontal="left" vertical="center" wrapText="1"/>
    </xf>
    <xf numFmtId="0" fontId="3" fillId="7" borderId="20" xfId="0" applyFont="1" applyFill="1" applyBorder="1" applyAlignment="1">
      <alignment horizontal="left" vertical="center" wrapText="1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13" fillId="8" borderId="9" xfId="0" applyFont="1" applyFill="1" applyBorder="1" applyAlignment="1" applyProtection="1">
      <alignment horizontal="center" vertical="center"/>
      <protection locked="0"/>
    </xf>
    <xf numFmtId="0" fontId="13" fillId="8" borderId="3" xfId="0" applyFont="1" applyFill="1" applyBorder="1" applyAlignment="1" applyProtection="1">
      <alignment horizontal="center" vertical="center"/>
      <protection locked="0"/>
    </xf>
    <xf numFmtId="0" fontId="13" fillId="8" borderId="25" xfId="0" applyFont="1" applyFill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25" xfId="0" applyFont="1" applyBorder="1" applyAlignment="1" applyProtection="1">
      <alignment horizontal="center" vertical="center"/>
      <protection locked="0"/>
    </xf>
    <xf numFmtId="0" fontId="13" fillId="4" borderId="9" xfId="0" applyFont="1" applyFill="1" applyBorder="1" applyAlignment="1" applyProtection="1">
      <alignment horizontal="center" vertical="center"/>
      <protection locked="0"/>
    </xf>
    <xf numFmtId="0" fontId="13" fillId="4" borderId="3" xfId="0" applyFont="1" applyFill="1" applyBorder="1" applyAlignment="1" applyProtection="1">
      <alignment horizontal="center" vertical="center"/>
      <protection locked="0"/>
    </xf>
    <xf numFmtId="0" fontId="13" fillId="4" borderId="25" xfId="0" applyFont="1" applyFill="1" applyBorder="1" applyAlignment="1" applyProtection="1">
      <alignment horizontal="center" vertical="center"/>
      <protection locked="0"/>
    </xf>
    <xf numFmtId="164" fontId="7" fillId="0" borderId="9" xfId="0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164" fontId="7" fillId="0" borderId="25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3" fillId="0" borderId="24" xfId="0" applyFont="1" applyBorder="1" applyAlignment="1">
      <alignment horizontal="left" vertical="center"/>
    </xf>
    <xf numFmtId="164" fontId="15" fillId="0" borderId="9" xfId="0" applyNumberFormat="1" applyFont="1" applyBorder="1" applyAlignment="1">
      <alignment horizontal="center" vertical="center" wrapText="1"/>
    </xf>
    <xf numFmtId="164" fontId="15" fillId="0" borderId="3" xfId="0" applyNumberFormat="1" applyFont="1" applyBorder="1" applyAlignment="1">
      <alignment horizontal="center" vertical="center" wrapText="1"/>
    </xf>
    <xf numFmtId="164" fontId="15" fillId="0" borderId="25" xfId="0" applyNumberFormat="1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164" fontId="15" fillId="0" borderId="33" xfId="0" applyNumberFormat="1" applyFont="1" applyBorder="1" applyAlignment="1">
      <alignment horizontal="center" vertical="center" wrapText="1"/>
    </xf>
    <xf numFmtId="164" fontId="15" fillId="0" borderId="24" xfId="0" applyNumberFormat="1" applyFont="1" applyBorder="1" applyAlignment="1">
      <alignment horizontal="center" vertical="center" wrapText="1"/>
    </xf>
    <xf numFmtId="164" fontId="15" fillId="0" borderId="1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6" fillId="0" borderId="15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L17"/>
  <sheetViews>
    <sheetView zoomScaleNormal="100" zoomScaleSheetLayoutView="100" workbookViewId="0">
      <selection activeCell="P9" sqref="P9"/>
    </sheetView>
  </sheetViews>
  <sheetFormatPr defaultRowHeight="18" x14ac:dyDescent="0.25"/>
  <cols>
    <col min="1" max="1" width="8.28515625" style="1" customWidth="1"/>
    <col min="2" max="2" width="37.42578125" style="1" customWidth="1"/>
    <col min="3" max="3" width="20.28515625" style="1" customWidth="1"/>
    <col min="4" max="4" width="14.5703125" style="2" customWidth="1"/>
    <col min="5" max="5" width="12" style="1" customWidth="1"/>
    <col min="6" max="6" width="10.7109375" style="1" customWidth="1"/>
    <col min="7" max="7" width="10.28515625" style="1" customWidth="1"/>
    <col min="8" max="8" width="9.140625" style="1"/>
    <col min="9" max="9" width="28.28515625" style="1" customWidth="1"/>
    <col min="10" max="12" width="9.140625" style="1" hidden="1" customWidth="1"/>
    <col min="13" max="16384" width="9.140625" style="1"/>
  </cols>
  <sheetData>
    <row r="1" spans="1:10" s="5" customFormat="1" ht="18.75" customHeight="1" x14ac:dyDescent="0.25">
      <c r="A1" s="215" t="s">
        <v>24</v>
      </c>
      <c r="B1" s="216"/>
      <c r="C1" s="216"/>
      <c r="D1" s="217"/>
      <c r="E1" s="217"/>
      <c r="F1" s="224"/>
      <c r="G1" s="225"/>
      <c r="H1" s="139" t="s">
        <v>29</v>
      </c>
      <c r="I1" s="138"/>
    </row>
    <row r="2" spans="1:10" s="5" customFormat="1" ht="15.75" thickBot="1" x14ac:dyDescent="0.25">
      <c r="A2" s="8"/>
      <c r="D2" s="6"/>
    </row>
    <row r="3" spans="1:10" s="5" customFormat="1" ht="37.5" customHeight="1" thickBot="1" x14ac:dyDescent="0.25">
      <c r="A3" s="220" t="s">
        <v>9</v>
      </c>
      <c r="B3" s="218" t="s">
        <v>8</v>
      </c>
      <c r="C3" s="220" t="s">
        <v>7</v>
      </c>
      <c r="D3" s="222" t="s">
        <v>6</v>
      </c>
      <c r="E3" s="229" t="s">
        <v>5</v>
      </c>
      <c r="F3" s="230"/>
      <c r="G3" s="226" t="s">
        <v>10</v>
      </c>
      <c r="H3" s="227"/>
      <c r="I3" s="212" t="s">
        <v>4</v>
      </c>
    </row>
    <row r="4" spans="1:10" s="5" customFormat="1" ht="21.75" customHeight="1" thickBot="1" x14ac:dyDescent="0.25">
      <c r="A4" s="228"/>
      <c r="B4" s="219"/>
      <c r="C4" s="221"/>
      <c r="D4" s="223"/>
      <c r="E4" s="10" t="s">
        <v>3</v>
      </c>
      <c r="F4" s="11" t="s">
        <v>2</v>
      </c>
      <c r="G4" s="10" t="s">
        <v>3</v>
      </c>
      <c r="H4" s="10" t="s">
        <v>2</v>
      </c>
      <c r="I4" s="213"/>
    </row>
    <row r="5" spans="1:10" s="5" customFormat="1" ht="33.75" customHeight="1" x14ac:dyDescent="0.2">
      <c r="A5" s="20">
        <v>1</v>
      </c>
      <c r="B5" s="27" t="s">
        <v>25</v>
      </c>
      <c r="C5" s="9" t="s">
        <v>26</v>
      </c>
      <c r="E5" s="28">
        <v>80</v>
      </c>
      <c r="F5" s="29"/>
      <c r="G5" s="28"/>
      <c r="H5" s="28"/>
      <c r="I5" s="28" t="s">
        <v>27</v>
      </c>
    </row>
    <row r="6" spans="1:10" s="5" customFormat="1" ht="33.75" customHeight="1" x14ac:dyDescent="0.2">
      <c r="A6" s="9">
        <v>2</v>
      </c>
      <c r="B6" s="14" t="s">
        <v>17</v>
      </c>
      <c r="C6" s="9" t="s">
        <v>11</v>
      </c>
      <c r="D6" s="25">
        <v>8.5000000000000006E-2</v>
      </c>
      <c r="E6" s="28">
        <v>168</v>
      </c>
      <c r="F6" s="30">
        <f>D6*E6</f>
        <v>14.28</v>
      </c>
      <c r="G6" s="28"/>
      <c r="H6" s="28"/>
      <c r="I6" s="28"/>
    </row>
    <row r="7" spans="1:10" s="5" customFormat="1" ht="34.5" customHeight="1" x14ac:dyDescent="0.2">
      <c r="A7" s="9">
        <v>3</v>
      </c>
      <c r="B7" s="18" t="s">
        <v>14</v>
      </c>
      <c r="C7" s="9" t="s">
        <v>11</v>
      </c>
      <c r="D7" s="25">
        <v>8.5000000000000006E-2</v>
      </c>
      <c r="E7" s="28">
        <v>168</v>
      </c>
      <c r="F7" s="30">
        <f>D7*E7</f>
        <v>14.28</v>
      </c>
      <c r="G7" s="28"/>
      <c r="H7" s="31"/>
      <c r="I7" s="28"/>
    </row>
    <row r="8" spans="1:10" s="5" customFormat="1" ht="33.75" customHeight="1" x14ac:dyDescent="0.2">
      <c r="A8" s="9">
        <v>4</v>
      </c>
      <c r="B8" s="15" t="s">
        <v>16</v>
      </c>
      <c r="C8" s="9" t="s">
        <v>1</v>
      </c>
      <c r="D8" s="25">
        <v>7.4999999999999997E-2</v>
      </c>
      <c r="E8" s="32">
        <v>168</v>
      </c>
      <c r="F8" s="33">
        <f>E8*D8</f>
        <v>12.6</v>
      </c>
      <c r="G8" s="28"/>
      <c r="H8" s="28"/>
      <c r="I8" s="28"/>
    </row>
    <row r="9" spans="1:10" s="5" customFormat="1" ht="33.75" customHeight="1" x14ac:dyDescent="0.2">
      <c r="A9" s="9">
        <v>5</v>
      </c>
      <c r="B9" s="19" t="s">
        <v>13</v>
      </c>
      <c r="C9" s="9" t="s">
        <v>1</v>
      </c>
      <c r="D9" s="25">
        <v>7.4999999999999997E-2</v>
      </c>
      <c r="E9" s="32">
        <v>48</v>
      </c>
      <c r="F9" s="30">
        <f>E9*D9</f>
        <v>3.6</v>
      </c>
      <c r="G9" s="28"/>
      <c r="H9" s="34"/>
      <c r="I9" s="28" t="s">
        <v>30</v>
      </c>
    </row>
    <row r="10" spans="1:10" s="5" customFormat="1" ht="33.75" customHeight="1" x14ac:dyDescent="0.2">
      <c r="A10" s="9">
        <v>6</v>
      </c>
      <c r="B10" s="17" t="s">
        <v>20</v>
      </c>
      <c r="C10" s="9" t="s">
        <v>1</v>
      </c>
      <c r="D10" s="25">
        <v>7.4999999999999997E-2</v>
      </c>
      <c r="E10" s="32">
        <v>168</v>
      </c>
      <c r="F10" s="35">
        <f>D10*E10</f>
        <v>12.6</v>
      </c>
      <c r="G10" s="28"/>
      <c r="H10" s="28"/>
      <c r="I10" s="28"/>
    </row>
    <row r="11" spans="1:10" s="5" customFormat="1" ht="34.5" customHeight="1" x14ac:dyDescent="0.2">
      <c r="A11" s="13">
        <v>7</v>
      </c>
      <c r="B11" s="14" t="s">
        <v>12</v>
      </c>
      <c r="C11" s="13" t="s">
        <v>15</v>
      </c>
      <c r="D11" s="26">
        <v>7.0999999999999994E-2</v>
      </c>
      <c r="E11" s="32">
        <v>168</v>
      </c>
      <c r="F11" s="30">
        <f>E11*D11</f>
        <v>11.928000000000001</v>
      </c>
      <c r="G11" s="28"/>
      <c r="H11" s="28"/>
      <c r="I11" s="28"/>
    </row>
    <row r="12" spans="1:10" s="5" customFormat="1" ht="34.5" customHeight="1" x14ac:dyDescent="0.2">
      <c r="A12" s="9">
        <v>8</v>
      </c>
      <c r="B12" s="17" t="s">
        <v>18</v>
      </c>
      <c r="C12" s="9" t="s">
        <v>15</v>
      </c>
      <c r="D12" s="25">
        <v>7.0999999999999994E-2</v>
      </c>
      <c r="E12" s="32">
        <v>120</v>
      </c>
      <c r="F12" s="35">
        <f>E12*D12</f>
        <v>8.52</v>
      </c>
      <c r="G12" s="28"/>
      <c r="H12" s="28"/>
      <c r="I12" s="28" t="s">
        <v>28</v>
      </c>
      <c r="J12" s="7"/>
    </row>
    <row r="13" spans="1:10" ht="33.75" customHeight="1" x14ac:dyDescent="0.25">
      <c r="A13" s="9">
        <v>9</v>
      </c>
      <c r="B13" s="14" t="s">
        <v>22</v>
      </c>
      <c r="C13" s="13" t="s">
        <v>23</v>
      </c>
      <c r="D13" s="26">
        <v>6.5000000000000002E-2</v>
      </c>
      <c r="E13" s="32">
        <v>168</v>
      </c>
      <c r="F13" s="30">
        <f>E13*D13</f>
        <v>10.92</v>
      </c>
      <c r="G13" s="28"/>
      <c r="H13" s="28"/>
      <c r="I13" s="36"/>
    </row>
    <row r="14" spans="1:10" ht="33.75" customHeight="1" thickBot="1" x14ac:dyDescent="0.3">
      <c r="A14" s="9">
        <v>10</v>
      </c>
      <c r="B14" s="23"/>
      <c r="C14" s="9"/>
      <c r="D14" s="12"/>
      <c r="E14" s="28"/>
      <c r="F14" s="30"/>
      <c r="G14" s="28"/>
      <c r="H14" s="28"/>
      <c r="I14" s="37"/>
    </row>
    <row r="15" spans="1:10" ht="22.5" customHeight="1" thickBot="1" x14ac:dyDescent="0.3">
      <c r="A15" s="21">
        <v>11</v>
      </c>
      <c r="B15" s="22" t="s">
        <v>0</v>
      </c>
      <c r="C15" s="24"/>
      <c r="D15" s="16"/>
      <c r="E15" s="38">
        <f>SUM(E5:E14)</f>
        <v>1256</v>
      </c>
      <c r="F15" s="39">
        <f>SUM(F6:F14)</f>
        <v>88.727999999999994</v>
      </c>
      <c r="G15" s="38">
        <f>SUM(G5:G14)</f>
        <v>0</v>
      </c>
      <c r="H15" s="38">
        <f>SUM(H5:H14)</f>
        <v>0</v>
      </c>
      <c r="I15" s="40"/>
    </row>
    <row r="16" spans="1:10" ht="26.25" customHeight="1" x14ac:dyDescent="0.25">
      <c r="A16" s="5"/>
      <c r="B16" s="214" t="s">
        <v>21</v>
      </c>
      <c r="C16" s="214"/>
      <c r="D16" s="214"/>
      <c r="E16" s="214"/>
      <c r="F16" s="214"/>
      <c r="G16" s="214"/>
      <c r="H16" s="5"/>
      <c r="I16" s="5"/>
    </row>
    <row r="17" spans="1:9" ht="26.25" customHeight="1" x14ac:dyDescent="0.25">
      <c r="A17" s="3"/>
      <c r="B17" s="214" t="s">
        <v>19</v>
      </c>
      <c r="C17" s="214"/>
      <c r="D17" s="214"/>
      <c r="E17" s="214"/>
      <c r="F17" s="214"/>
      <c r="G17" s="214"/>
      <c r="H17" s="4"/>
      <c r="I17" s="4"/>
    </row>
  </sheetData>
  <mergeCells count="11">
    <mergeCell ref="I3:I4"/>
    <mergeCell ref="B16:G16"/>
    <mergeCell ref="B17:G17"/>
    <mergeCell ref="A1:E1"/>
    <mergeCell ref="B3:B4"/>
    <mergeCell ref="C3:C4"/>
    <mergeCell ref="D3:D4"/>
    <mergeCell ref="F1:G1"/>
    <mergeCell ref="G3:H3"/>
    <mergeCell ref="A3:A4"/>
    <mergeCell ref="E3:F3"/>
  </mergeCells>
  <phoneticPr fontId="6" type="noConversion"/>
  <pageMargins left="0.86614173228346458" right="0.23622047244094491" top="0.74803149606299213" bottom="0.74803149606299213" header="0.31496062992125984" footer="0.31496062992125984"/>
  <pageSetup paperSize="9" scale="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opLeftCell="A11" zoomScaleNormal="100" workbookViewId="0">
      <selection activeCell="M28" sqref="M28"/>
    </sheetView>
  </sheetViews>
  <sheetFormatPr defaultRowHeight="12.75" x14ac:dyDescent="0.2"/>
  <cols>
    <col min="1" max="1" width="6.140625" customWidth="1"/>
    <col min="2" max="2" width="60.42578125" customWidth="1"/>
    <col min="3" max="3" width="14.85546875" customWidth="1"/>
    <col min="4" max="4" width="14.28515625" customWidth="1"/>
    <col min="5" max="6" width="11.28515625" customWidth="1"/>
    <col min="7" max="7" width="10.7109375" customWidth="1"/>
    <col min="8" max="8" width="11.140625" customWidth="1"/>
    <col min="9" max="9" width="11.7109375" customWidth="1"/>
    <col min="10" max="10" width="8.85546875" customWidth="1"/>
    <col min="11" max="11" width="16" customWidth="1"/>
    <col min="12" max="12" width="15.7109375" customWidth="1"/>
    <col min="13" max="13" width="19.28515625" customWidth="1"/>
    <col min="15" max="15" width="14.140625" customWidth="1"/>
  </cols>
  <sheetData>
    <row r="1" spans="1:15" ht="15.75" x14ac:dyDescent="0.25">
      <c r="A1" s="231" t="s">
        <v>31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41"/>
      <c r="O1" t="s">
        <v>40</v>
      </c>
    </row>
    <row r="2" spans="1:15" ht="16.5" thickBot="1" x14ac:dyDescent="0.3">
      <c r="A2" s="42"/>
      <c r="B2" s="43"/>
      <c r="C2" s="43"/>
      <c r="D2" s="44"/>
      <c r="E2" s="43"/>
      <c r="F2" s="43"/>
      <c r="G2" s="43"/>
      <c r="H2" s="43"/>
      <c r="I2" s="43"/>
      <c r="J2" s="43"/>
      <c r="K2" s="43"/>
      <c r="L2" s="43"/>
      <c r="M2" s="45"/>
      <c r="O2" s="197" t="str">
        <f>IFERROR(INDEX($M$6:$M$32,MATCH(1,INDEX((COUNTIF($O$1:$O1,$M$6:$M$32)=0)*($M$6:$M$32&lt;&gt;""),0),0)),)</f>
        <v>Аршавский</v>
      </c>
    </row>
    <row r="3" spans="1:15" ht="15.75" thickBot="1" x14ac:dyDescent="0.25">
      <c r="A3" s="233" t="s">
        <v>32</v>
      </c>
      <c r="B3" s="236" t="s">
        <v>33</v>
      </c>
      <c r="C3" s="236" t="s">
        <v>34</v>
      </c>
      <c r="D3" s="239" t="s">
        <v>35</v>
      </c>
      <c r="E3" s="242" t="s">
        <v>36</v>
      </c>
      <c r="F3" s="243"/>
      <c r="G3" s="244" t="s">
        <v>37</v>
      </c>
      <c r="H3" s="245"/>
      <c r="I3" s="245"/>
      <c r="J3" s="246"/>
      <c r="K3" s="236" t="s">
        <v>38</v>
      </c>
      <c r="L3" s="247" t="s">
        <v>39</v>
      </c>
      <c r="M3" s="247" t="s">
        <v>40</v>
      </c>
      <c r="O3" s="197" t="str">
        <f>IFERROR(INDEX($M$6:$M$32,MATCH(1,INDEX((COUNTIF($O$1:$O2,$M$6:$M$32)=0)*($M$6:$M$32&lt;&gt;""),0),0)),)</f>
        <v>Синигаев</v>
      </c>
    </row>
    <row r="4" spans="1:15" ht="15.75" thickBot="1" x14ac:dyDescent="0.25">
      <c r="A4" s="234"/>
      <c r="B4" s="237"/>
      <c r="C4" s="237"/>
      <c r="D4" s="240"/>
      <c r="E4" s="250" t="s">
        <v>41</v>
      </c>
      <c r="F4" s="252" t="s">
        <v>42</v>
      </c>
      <c r="G4" s="46" t="s">
        <v>43</v>
      </c>
      <c r="H4" s="254" t="s">
        <v>44</v>
      </c>
      <c r="I4" s="245"/>
      <c r="J4" s="246"/>
      <c r="K4" s="237"/>
      <c r="L4" s="248"/>
      <c r="M4" s="248"/>
      <c r="O4" s="197" t="str">
        <f>IFERROR(INDEX($M$6:$M$32,MATCH(1,INDEX((COUNTIF($O$1:$O3,$M$6:$M$32)=0)*($M$6:$M$32&lt;&gt;""),0),0)),)</f>
        <v>Измайлова</v>
      </c>
    </row>
    <row r="5" spans="1:15" ht="15.75" thickBot="1" x14ac:dyDescent="0.25">
      <c r="A5" s="235"/>
      <c r="B5" s="238"/>
      <c r="C5" s="238"/>
      <c r="D5" s="241"/>
      <c r="E5" s="251"/>
      <c r="F5" s="253"/>
      <c r="G5" s="47" t="s">
        <v>45</v>
      </c>
      <c r="H5" s="48" t="s">
        <v>46</v>
      </c>
      <c r="I5" s="49" t="s">
        <v>2</v>
      </c>
      <c r="J5" s="48" t="s">
        <v>45</v>
      </c>
      <c r="K5" s="238"/>
      <c r="L5" s="249"/>
      <c r="M5" s="249"/>
      <c r="O5" s="197" t="str">
        <f>IFERROR(INDEX($M$6:$M$32,MATCH(1,INDEX((COUNTIF($O$1:$O4,$M$6:$M$32)=0)*($M$6:$M$32&lt;&gt;""),0),0)),)</f>
        <v>Базайкин</v>
      </c>
    </row>
    <row r="6" spans="1:15" ht="14.25" x14ac:dyDescent="0.2">
      <c r="A6" s="255">
        <v>1</v>
      </c>
      <c r="B6" s="257" t="s">
        <v>47</v>
      </c>
      <c r="C6" s="259" t="s">
        <v>48</v>
      </c>
      <c r="D6" s="261" t="s">
        <v>49</v>
      </c>
      <c r="E6" s="263" t="s">
        <v>50</v>
      </c>
      <c r="F6" s="265" t="s">
        <v>51</v>
      </c>
      <c r="G6" s="50">
        <v>40</v>
      </c>
      <c r="H6" s="189"/>
      <c r="I6" s="190"/>
      <c r="J6" s="191">
        <f ca="1">INDEX(INDIRECT("'"&amp;M6&amp;"'!A1:L40"),MATCH(A6,INDIRECT("'"&amp;M6&amp;"'!A1:A40"),),11)</f>
        <v>53</v>
      </c>
      <c r="K6" s="267" t="s">
        <v>52</v>
      </c>
      <c r="L6" s="269"/>
      <c r="M6" s="198" t="s">
        <v>82</v>
      </c>
      <c r="O6" s="197" t="str">
        <f>IFERROR(INDEX($M$6:$M$32,MATCH(1,INDEX((COUNTIF($O$1:$O5,$M$6:$M$32)=0)*($M$6:$M$32&lt;&gt;""),0),0)),)</f>
        <v>Веденяпина</v>
      </c>
    </row>
    <row r="7" spans="1:15" ht="15" thickBot="1" x14ac:dyDescent="0.25">
      <c r="A7" s="256"/>
      <c r="B7" s="258"/>
      <c r="C7" s="260"/>
      <c r="D7" s="262"/>
      <c r="E7" s="264"/>
      <c r="F7" s="266"/>
      <c r="G7" s="59">
        <v>20</v>
      </c>
      <c r="H7" s="60"/>
      <c r="I7" s="61"/>
      <c r="J7" s="62"/>
      <c r="K7" s="268"/>
      <c r="L7" s="270"/>
      <c r="M7" s="65" t="s">
        <v>54</v>
      </c>
      <c r="O7" s="197" t="str">
        <f>IFERROR(INDEX($M$6:$M$32,MATCH(1,INDEX((COUNTIF($O$1:$O6,$M$6:$M$32)=0)*($M$6:$M$32&lt;&gt;""),0),0)),)</f>
        <v>Козин</v>
      </c>
    </row>
    <row r="8" spans="1:15" ht="14.25" x14ac:dyDescent="0.2">
      <c r="A8" s="271">
        <v>2</v>
      </c>
      <c r="B8" s="257" t="s">
        <v>55</v>
      </c>
      <c r="C8" s="259" t="s">
        <v>56</v>
      </c>
      <c r="D8" s="261" t="s">
        <v>57</v>
      </c>
      <c r="E8" s="263" t="s">
        <v>58</v>
      </c>
      <c r="F8" s="263" t="s">
        <v>51</v>
      </c>
      <c r="G8" s="50">
        <v>54</v>
      </c>
      <c r="H8" s="51"/>
      <c r="I8" s="52"/>
      <c r="J8" s="191">
        <f ca="1">INDEX(INDIRECT("'"&amp;M8&amp;"'!A1:L40"),MATCH(A8,INDIRECT("'"&amp;M8&amp;"'!A1:A40"),),11)</f>
        <v>74</v>
      </c>
      <c r="K8" s="267" t="s">
        <v>59</v>
      </c>
      <c r="L8" s="269"/>
      <c r="M8" s="53" t="s">
        <v>60</v>
      </c>
      <c r="O8" s="197" t="str">
        <f>IFERROR(INDEX($M$6:$M$32,MATCH(1,INDEX((COUNTIF($O$1:$O7,$M$6:$M$32)=0)*($M$6:$M$32&lt;&gt;""),0),0)),)</f>
        <v>Губанова</v>
      </c>
    </row>
    <row r="9" spans="1:15" ht="15" thickBot="1" x14ac:dyDescent="0.25">
      <c r="A9" s="272"/>
      <c r="B9" s="258"/>
      <c r="C9" s="260"/>
      <c r="D9" s="262"/>
      <c r="E9" s="264"/>
      <c r="F9" s="264"/>
      <c r="G9" s="59">
        <v>10</v>
      </c>
      <c r="H9" s="60"/>
      <c r="I9" s="61"/>
      <c r="J9" s="62"/>
      <c r="K9" s="268"/>
      <c r="L9" s="270"/>
      <c r="M9" s="66" t="s">
        <v>54</v>
      </c>
      <c r="O9" s="197" t="str">
        <f>IFERROR(INDEX($M$6:$M$32,MATCH(1,INDEX((COUNTIF($O$1:$O8,$M$6:$M$32)=0)*($M$6:$M$32&lt;&gt;""),0),0)),)</f>
        <v>Половодова</v>
      </c>
    </row>
    <row r="10" spans="1:15" ht="14.25" x14ac:dyDescent="0.2">
      <c r="A10" s="271">
        <v>3</v>
      </c>
      <c r="B10" s="257" t="s">
        <v>61</v>
      </c>
      <c r="C10" s="259" t="s">
        <v>62</v>
      </c>
      <c r="D10" s="261" t="s">
        <v>63</v>
      </c>
      <c r="E10" s="263" t="s">
        <v>51</v>
      </c>
      <c r="F10" s="263" t="s">
        <v>64</v>
      </c>
      <c r="G10" s="50">
        <v>70</v>
      </c>
      <c r="H10" s="51"/>
      <c r="I10" s="52"/>
      <c r="J10" s="191" t="e">
        <f ca="1">INDEX(INDIRECT("'"&amp;M10&amp;"'!A1:L40"),MATCH(A10,INDIRECT("'"&amp;M10&amp;"'!A1:A40"),),11)</f>
        <v>#REF!</v>
      </c>
      <c r="K10" s="267" t="s">
        <v>65</v>
      </c>
      <c r="L10" s="269"/>
      <c r="M10" s="53" t="s">
        <v>66</v>
      </c>
      <c r="O10" s="197">
        <f>IFERROR(INDEX($M$6:$M$32,MATCH(1,INDEX((COUNTIF($O$1:$O9,$M$6:$M$32)=0)*($M$6:$M$32&lt;&gt;""),0),0)),)</f>
        <v>0</v>
      </c>
    </row>
    <row r="11" spans="1:15" ht="15" thickBot="1" x14ac:dyDescent="0.25">
      <c r="A11" s="272"/>
      <c r="B11" s="258"/>
      <c r="C11" s="260"/>
      <c r="D11" s="262"/>
      <c r="E11" s="264"/>
      <c r="F11" s="264"/>
      <c r="G11" s="59">
        <v>10</v>
      </c>
      <c r="H11" s="60"/>
      <c r="I11" s="61"/>
      <c r="J11" s="62"/>
      <c r="K11" s="268"/>
      <c r="L11" s="270"/>
      <c r="M11" s="66" t="s">
        <v>54</v>
      </c>
      <c r="O11" s="197">
        <f>IFERROR(INDEX($M$6:$M$32,MATCH(1,INDEX((COUNTIF($O$1:$O10,$M$6:$M$32)=0)*($M$6:$M$32&lt;&gt;""),0),0)),)</f>
        <v>0</v>
      </c>
    </row>
    <row r="12" spans="1:15" ht="14.25" x14ac:dyDescent="0.2">
      <c r="A12" s="271">
        <v>4</v>
      </c>
      <c r="B12" s="257" t="s">
        <v>67</v>
      </c>
      <c r="C12" s="259" t="s">
        <v>68</v>
      </c>
      <c r="D12" s="261" t="s">
        <v>69</v>
      </c>
      <c r="E12" s="263" t="s">
        <v>70</v>
      </c>
      <c r="F12" s="265" t="s">
        <v>51</v>
      </c>
      <c r="G12" s="50"/>
      <c r="H12" s="51"/>
      <c r="I12" s="52"/>
      <c r="J12" s="191" t="e">
        <f ca="1">INDEX(INDIRECT("'"&amp;M12&amp;"'!A1:L40"),MATCH(A12,INDIRECT("'"&amp;M12&amp;"'!A1:A40"),),11)</f>
        <v>#REF!</v>
      </c>
      <c r="K12" s="267" t="s">
        <v>71</v>
      </c>
      <c r="L12" s="269"/>
      <c r="M12" s="53"/>
      <c r="O12" s="197">
        <f>IFERROR(INDEX($M$6:$M$32,MATCH(1,INDEX((COUNTIF($O$1:$O11,$M$6:$M$32)=0)*($M$6:$M$32&lt;&gt;""),0),0)),)</f>
        <v>0</v>
      </c>
    </row>
    <row r="13" spans="1:15" ht="15" thickBot="1" x14ac:dyDescent="0.25">
      <c r="A13" s="272"/>
      <c r="B13" s="258"/>
      <c r="C13" s="260"/>
      <c r="D13" s="262"/>
      <c r="E13" s="264"/>
      <c r="F13" s="266"/>
      <c r="G13" s="59">
        <v>168</v>
      </c>
      <c r="H13" s="60"/>
      <c r="I13" s="61"/>
      <c r="J13" s="62"/>
      <c r="K13" s="268"/>
      <c r="L13" s="270"/>
      <c r="M13" s="66" t="s">
        <v>72</v>
      </c>
      <c r="O13" s="197">
        <f>IFERROR(INDEX($M$6:$M$32,MATCH(1,INDEX((COUNTIF($O$1:$O12,$M$6:$M$32)=0)*($M$6:$M$32&lt;&gt;""),0),0)),)</f>
        <v>0</v>
      </c>
    </row>
    <row r="14" spans="1:15" ht="14.25" x14ac:dyDescent="0.2">
      <c r="A14" s="267">
        <v>5</v>
      </c>
      <c r="B14" s="257" t="s">
        <v>73</v>
      </c>
      <c r="C14" s="259" t="s">
        <v>74</v>
      </c>
      <c r="D14" s="261" t="s">
        <v>75</v>
      </c>
      <c r="E14" s="263" t="s">
        <v>76</v>
      </c>
      <c r="F14" s="265" t="s">
        <v>51</v>
      </c>
      <c r="G14" s="50">
        <v>50</v>
      </c>
      <c r="H14" s="51"/>
      <c r="I14" s="52"/>
      <c r="J14" s="191">
        <f ca="1">INDEX(INDIRECT("'"&amp;M14&amp;"'!A1:L40"),MATCH(A14,INDIRECT("'"&amp;M14&amp;"'!A1:A40"),),11)</f>
        <v>19</v>
      </c>
      <c r="K14" s="267" t="s">
        <v>77</v>
      </c>
      <c r="L14" s="269"/>
      <c r="M14" s="53" t="s">
        <v>60</v>
      </c>
    </row>
    <row r="15" spans="1:15" ht="15" thickBot="1" x14ac:dyDescent="0.25">
      <c r="A15" s="273"/>
      <c r="B15" s="258"/>
      <c r="C15" s="260"/>
      <c r="D15" s="262"/>
      <c r="E15" s="264"/>
      <c r="F15" s="266"/>
      <c r="G15" s="59">
        <v>20</v>
      </c>
      <c r="H15" s="60"/>
      <c r="I15" s="61"/>
      <c r="J15" s="62"/>
      <c r="K15" s="268"/>
      <c r="L15" s="270"/>
      <c r="M15" s="65" t="s">
        <v>54</v>
      </c>
    </row>
    <row r="16" spans="1:15" ht="14.25" x14ac:dyDescent="0.2">
      <c r="A16" s="267">
        <v>6</v>
      </c>
      <c r="B16" s="257" t="s">
        <v>78</v>
      </c>
      <c r="C16" s="259" t="s">
        <v>79</v>
      </c>
      <c r="D16" s="261" t="s">
        <v>80</v>
      </c>
      <c r="E16" s="263" t="s">
        <v>58</v>
      </c>
      <c r="F16" s="263" t="s">
        <v>51</v>
      </c>
      <c r="G16" s="50">
        <v>72</v>
      </c>
      <c r="H16" s="189"/>
      <c r="I16" s="190"/>
      <c r="J16" s="191">
        <f ca="1">INDEX(INDIRECT("'"&amp;M16&amp;"'!A1:L40"),MATCH(A16,INDIRECT("'"&amp;M16&amp;"'!A1:A40"),),11)</f>
        <v>19</v>
      </c>
      <c r="K16" s="267" t="s">
        <v>81</v>
      </c>
      <c r="L16" s="269"/>
      <c r="M16" s="198" t="s">
        <v>82</v>
      </c>
    </row>
    <row r="17" spans="1:13" ht="15" thickBot="1" x14ac:dyDescent="0.25">
      <c r="A17" s="268"/>
      <c r="B17" s="258"/>
      <c r="C17" s="260"/>
      <c r="D17" s="262"/>
      <c r="E17" s="264"/>
      <c r="F17" s="264"/>
      <c r="G17" s="59">
        <v>10</v>
      </c>
      <c r="H17" s="60"/>
      <c r="I17" s="61"/>
      <c r="J17" s="62"/>
      <c r="K17" s="268"/>
      <c r="L17" s="270"/>
      <c r="M17" s="66" t="s">
        <v>54</v>
      </c>
    </row>
    <row r="18" spans="1:13" ht="14.25" x14ac:dyDescent="0.2">
      <c r="A18" s="267">
        <v>7</v>
      </c>
      <c r="B18" s="257" t="s">
        <v>83</v>
      </c>
      <c r="C18" s="259"/>
      <c r="D18" s="261"/>
      <c r="E18" s="263" t="s">
        <v>76</v>
      </c>
      <c r="F18" s="265" t="s">
        <v>51</v>
      </c>
      <c r="G18" s="50">
        <v>0</v>
      </c>
      <c r="H18" s="189"/>
      <c r="I18" s="190"/>
      <c r="J18" s="191">
        <f ca="1">INDEX(INDIRECT("'"&amp;M18&amp;"'!A1:L40"),MATCH(A18,INDIRECT("'"&amp;M18&amp;"'!A1:A40"),),11)</f>
        <v>0</v>
      </c>
      <c r="K18" s="267" t="s">
        <v>84</v>
      </c>
      <c r="L18" s="269"/>
      <c r="M18" s="199" t="s">
        <v>82</v>
      </c>
    </row>
    <row r="19" spans="1:13" ht="15" thickBot="1" x14ac:dyDescent="0.25">
      <c r="A19" s="268"/>
      <c r="B19" s="258"/>
      <c r="C19" s="260"/>
      <c r="D19" s="262"/>
      <c r="E19" s="264"/>
      <c r="F19" s="266"/>
      <c r="G19" s="59">
        <v>0</v>
      </c>
      <c r="H19" s="60"/>
      <c r="I19" s="61"/>
      <c r="J19" s="62"/>
      <c r="K19" s="268"/>
      <c r="L19" s="270"/>
      <c r="M19" s="66" t="s">
        <v>85</v>
      </c>
    </row>
    <row r="20" spans="1:13" ht="14.25" x14ac:dyDescent="0.2">
      <c r="A20" s="267">
        <v>8</v>
      </c>
      <c r="B20" s="257" t="s">
        <v>86</v>
      </c>
      <c r="C20" s="259" t="s">
        <v>87</v>
      </c>
      <c r="D20" s="261" t="s">
        <v>88</v>
      </c>
      <c r="E20" s="263" t="s">
        <v>58</v>
      </c>
      <c r="F20" s="265" t="s">
        <v>51</v>
      </c>
      <c r="G20" s="50">
        <v>64</v>
      </c>
      <c r="H20" s="51"/>
      <c r="I20" s="52"/>
      <c r="J20" s="191">
        <f ca="1">INDEX(INDIRECT("'"&amp;M20&amp;"'!A1:L40"),MATCH(A20,INDIRECT("'"&amp;M20&amp;"'!A1:A40"),),11)</f>
        <v>0</v>
      </c>
      <c r="K20" s="267" t="s">
        <v>89</v>
      </c>
      <c r="L20" s="269"/>
      <c r="M20" s="53" t="s">
        <v>60</v>
      </c>
    </row>
    <row r="21" spans="1:13" ht="15" thickBot="1" x14ac:dyDescent="0.25">
      <c r="A21" s="268"/>
      <c r="B21" s="258"/>
      <c r="C21" s="260"/>
      <c r="D21" s="262"/>
      <c r="E21" s="264"/>
      <c r="F21" s="266"/>
      <c r="G21" s="59">
        <v>20</v>
      </c>
      <c r="H21" s="60"/>
      <c r="I21" s="61"/>
      <c r="J21" s="62"/>
      <c r="K21" s="268"/>
      <c r="L21" s="270"/>
      <c r="M21" s="66" t="s">
        <v>54</v>
      </c>
    </row>
    <row r="22" spans="1:13" ht="14.25" x14ac:dyDescent="0.2">
      <c r="A22" s="267">
        <v>9</v>
      </c>
      <c r="B22" s="257" t="s">
        <v>90</v>
      </c>
      <c r="C22" s="259" t="s">
        <v>91</v>
      </c>
      <c r="D22" s="261" t="s">
        <v>92</v>
      </c>
      <c r="E22" s="263" t="s">
        <v>58</v>
      </c>
      <c r="F22" s="265" t="s">
        <v>51</v>
      </c>
      <c r="G22" s="50">
        <v>128</v>
      </c>
      <c r="H22" s="51"/>
      <c r="I22" s="52"/>
      <c r="J22" s="191" t="e">
        <f ca="1">INDEX(INDIRECT("'"&amp;M22&amp;"'!A1:L40"),MATCH(A22,INDIRECT("'"&amp;M22&amp;"'!A1:A40"),),11)</f>
        <v>#REF!</v>
      </c>
      <c r="K22" s="267" t="s">
        <v>93</v>
      </c>
      <c r="L22" s="269"/>
      <c r="M22" s="53" t="s">
        <v>53</v>
      </c>
    </row>
    <row r="23" spans="1:13" ht="15" thickBot="1" x14ac:dyDescent="0.25">
      <c r="A23" s="268"/>
      <c r="B23" s="258"/>
      <c r="C23" s="260"/>
      <c r="D23" s="262"/>
      <c r="E23" s="264"/>
      <c r="F23" s="266"/>
      <c r="G23" s="59">
        <v>20</v>
      </c>
      <c r="H23" s="60"/>
      <c r="I23" s="61"/>
      <c r="J23" s="62"/>
      <c r="K23" s="268"/>
      <c r="L23" s="270"/>
      <c r="M23" s="66" t="s">
        <v>54</v>
      </c>
    </row>
    <row r="24" spans="1:13" ht="14.25" x14ac:dyDescent="0.2">
      <c r="A24" s="255">
        <v>10</v>
      </c>
      <c r="B24" s="257" t="s">
        <v>94</v>
      </c>
      <c r="C24" s="259" t="s">
        <v>95</v>
      </c>
      <c r="D24" s="261" t="s">
        <v>96</v>
      </c>
      <c r="E24" s="263" t="s">
        <v>58</v>
      </c>
      <c r="F24" s="265" t="s">
        <v>51</v>
      </c>
      <c r="G24" s="50">
        <v>98</v>
      </c>
      <c r="H24" s="51"/>
      <c r="I24" s="52"/>
      <c r="J24" s="191" t="e">
        <f ca="1">INDEX(INDIRECT("'"&amp;M24&amp;"'!A1:L40"),MATCH(A24,INDIRECT("'"&amp;M24&amp;"'!A1:A40"),),11)</f>
        <v>#REF!</v>
      </c>
      <c r="K24" s="267" t="s">
        <v>97</v>
      </c>
      <c r="L24" s="269"/>
      <c r="M24" s="53" t="s">
        <v>66</v>
      </c>
    </row>
    <row r="25" spans="1:13" ht="15" thickBot="1" x14ac:dyDescent="0.25">
      <c r="A25" s="256"/>
      <c r="B25" s="258"/>
      <c r="C25" s="260"/>
      <c r="D25" s="262"/>
      <c r="E25" s="264"/>
      <c r="F25" s="266"/>
      <c r="G25" s="59">
        <v>18</v>
      </c>
      <c r="H25" s="60"/>
      <c r="I25" s="61"/>
      <c r="J25" s="62"/>
      <c r="K25" s="268"/>
      <c r="L25" s="270"/>
      <c r="M25" s="66" t="s">
        <v>54</v>
      </c>
    </row>
    <row r="26" spans="1:13" ht="14.25" x14ac:dyDescent="0.2">
      <c r="A26" s="271">
        <v>11</v>
      </c>
      <c r="B26" s="257" t="s">
        <v>98</v>
      </c>
      <c r="C26" s="259" t="s">
        <v>99</v>
      </c>
      <c r="D26" s="261" t="s">
        <v>100</v>
      </c>
      <c r="E26" s="263" t="s">
        <v>58</v>
      </c>
      <c r="F26" s="265" t="s">
        <v>51</v>
      </c>
      <c r="G26" s="50">
        <v>168</v>
      </c>
      <c r="H26" s="51"/>
      <c r="I26" s="52"/>
      <c r="J26" s="191" t="e">
        <f ca="1">INDEX(INDIRECT("'"&amp;M26&amp;"'!A1:L40"),MATCH(A26,INDIRECT("'"&amp;M26&amp;"'!A1:A40"),),11)</f>
        <v>#REF!</v>
      </c>
      <c r="K26" s="267" t="s">
        <v>101</v>
      </c>
      <c r="L26" s="269"/>
      <c r="M26" s="53" t="s">
        <v>85</v>
      </c>
    </row>
    <row r="27" spans="1:13" ht="15" thickBot="1" x14ac:dyDescent="0.25">
      <c r="A27" s="272"/>
      <c r="B27" s="258"/>
      <c r="C27" s="260"/>
      <c r="D27" s="262"/>
      <c r="E27" s="264"/>
      <c r="F27" s="266"/>
      <c r="G27" s="59">
        <v>20</v>
      </c>
      <c r="H27" s="60"/>
      <c r="I27" s="61"/>
      <c r="J27" s="62"/>
      <c r="K27" s="268"/>
      <c r="L27" s="270"/>
      <c r="M27" s="66" t="s">
        <v>54</v>
      </c>
    </row>
    <row r="28" spans="1:13" ht="14.25" x14ac:dyDescent="0.2">
      <c r="A28" s="271">
        <v>12</v>
      </c>
      <c r="B28" s="257" t="s">
        <v>102</v>
      </c>
      <c r="C28" s="259" t="s">
        <v>103</v>
      </c>
      <c r="D28" s="261" t="s">
        <v>104</v>
      </c>
      <c r="E28" s="263" t="s">
        <v>76</v>
      </c>
      <c r="F28" s="265" t="s">
        <v>51</v>
      </c>
      <c r="G28" s="50">
        <v>48</v>
      </c>
      <c r="H28" s="51"/>
      <c r="I28" s="52"/>
      <c r="J28" s="191" t="e">
        <f ca="1">INDEX(INDIRECT("'"&amp;M28&amp;"'!A1:L40"),MATCH(A28,INDIRECT("'"&amp;M28&amp;"'!A1:A40"),),11)</f>
        <v>#REF!</v>
      </c>
      <c r="K28" s="267" t="s">
        <v>105</v>
      </c>
      <c r="L28" s="269"/>
      <c r="M28" s="53" t="s">
        <v>106</v>
      </c>
    </row>
    <row r="29" spans="1:13" ht="15" thickBot="1" x14ac:dyDescent="0.25">
      <c r="A29" s="276"/>
      <c r="B29" s="277"/>
      <c r="C29" s="278"/>
      <c r="D29" s="279"/>
      <c r="E29" s="280"/>
      <c r="F29" s="281"/>
      <c r="G29" s="67">
        <v>20</v>
      </c>
      <c r="H29" s="68"/>
      <c r="I29" s="69"/>
      <c r="J29" s="70"/>
      <c r="K29" s="273"/>
      <c r="L29" s="282"/>
      <c r="M29" s="71" t="s">
        <v>54</v>
      </c>
    </row>
    <row r="30" spans="1:13" ht="29.25" thickBot="1" x14ac:dyDescent="0.25">
      <c r="A30" s="194">
        <v>13</v>
      </c>
      <c r="B30" s="195" t="s">
        <v>107</v>
      </c>
      <c r="C30" s="274" t="s">
        <v>108</v>
      </c>
      <c r="D30" s="275"/>
      <c r="E30" s="72"/>
      <c r="F30" s="73"/>
      <c r="G30" s="74">
        <v>48</v>
      </c>
      <c r="H30" s="192"/>
      <c r="I30" s="193"/>
      <c r="J30" s="191">
        <f ca="1">INDEX(INDIRECT("'"&amp;M30&amp;"'!A1:L40"),MATCH(A30,INDIRECT("'"&amp;M30&amp;"'!A1:A40"),),11)</f>
        <v>48</v>
      </c>
      <c r="K30" s="75"/>
      <c r="L30" s="76"/>
      <c r="M30" s="200" t="s">
        <v>82</v>
      </c>
    </row>
    <row r="31" spans="1:13" ht="15.75" thickBot="1" x14ac:dyDescent="0.25">
      <c r="A31" s="77">
        <v>14</v>
      </c>
      <c r="B31" s="54"/>
      <c r="C31" s="55"/>
      <c r="D31" s="56"/>
      <c r="E31" s="57"/>
      <c r="F31" s="58"/>
      <c r="G31" s="78"/>
      <c r="H31" s="79"/>
      <c r="I31" s="61"/>
      <c r="J31" s="80"/>
      <c r="K31" s="63"/>
      <c r="L31" s="64"/>
      <c r="M31" s="71"/>
    </row>
    <row r="32" spans="1:13" ht="16.5" thickBot="1" x14ac:dyDescent="0.25">
      <c r="A32" s="81">
        <v>15</v>
      </c>
      <c r="B32" s="82" t="s">
        <v>109</v>
      </c>
      <c r="C32" s="83"/>
      <c r="D32" s="84"/>
      <c r="E32" s="85"/>
      <c r="F32" s="84"/>
      <c r="G32" s="86">
        <f>SUM(G6:G31)</f>
        <v>1176</v>
      </c>
      <c r="H32" s="87">
        <f>SUM(H6:H19)</f>
        <v>0</v>
      </c>
      <c r="I32" s="88">
        <f>SUM(I6:I19)</f>
        <v>0</v>
      </c>
      <c r="J32" s="89" t="e">
        <f ca="1">SUM(J6:J31)</f>
        <v>#REF!</v>
      </c>
      <c r="K32" s="81"/>
      <c r="L32" s="90"/>
      <c r="M32" s="91"/>
    </row>
  </sheetData>
  <mergeCells count="110">
    <mergeCell ref="C30:D30"/>
    <mergeCell ref="K26:K27"/>
    <mergeCell ref="L26:L27"/>
    <mergeCell ref="A28:A29"/>
    <mergeCell ref="B28:B29"/>
    <mergeCell ref="C28:C29"/>
    <mergeCell ref="D28:D29"/>
    <mergeCell ref="E28:E29"/>
    <mergeCell ref="F28:F29"/>
    <mergeCell ref="K28:K29"/>
    <mergeCell ref="L28:L29"/>
    <mergeCell ref="A26:A27"/>
    <mergeCell ref="B26:B27"/>
    <mergeCell ref="C26:C27"/>
    <mergeCell ref="D26:D27"/>
    <mergeCell ref="E26:E27"/>
    <mergeCell ref="F26:F27"/>
    <mergeCell ref="K22:K23"/>
    <mergeCell ref="L22:L23"/>
    <mergeCell ref="A24:A25"/>
    <mergeCell ref="B24:B25"/>
    <mergeCell ref="C24:C25"/>
    <mergeCell ref="D24:D25"/>
    <mergeCell ref="E24:E25"/>
    <mergeCell ref="F24:F25"/>
    <mergeCell ref="K24:K25"/>
    <mergeCell ref="L24:L25"/>
    <mergeCell ref="A22:A23"/>
    <mergeCell ref="B22:B23"/>
    <mergeCell ref="C22:C23"/>
    <mergeCell ref="D22:D23"/>
    <mergeCell ref="E22:E23"/>
    <mergeCell ref="F22:F23"/>
    <mergeCell ref="K18:K19"/>
    <mergeCell ref="L18:L19"/>
    <mergeCell ref="A20:A21"/>
    <mergeCell ref="B20:B21"/>
    <mergeCell ref="C20:C21"/>
    <mergeCell ref="D20:D21"/>
    <mergeCell ref="E20:E21"/>
    <mergeCell ref="F20:F21"/>
    <mergeCell ref="K20:K21"/>
    <mergeCell ref="L20:L21"/>
    <mergeCell ref="A18:A19"/>
    <mergeCell ref="B18:B19"/>
    <mergeCell ref="C18:C19"/>
    <mergeCell ref="D18:D19"/>
    <mergeCell ref="E18:E19"/>
    <mergeCell ref="F18:F19"/>
    <mergeCell ref="K14:K15"/>
    <mergeCell ref="L14:L15"/>
    <mergeCell ref="A16:A17"/>
    <mergeCell ref="B16:B17"/>
    <mergeCell ref="C16:C17"/>
    <mergeCell ref="D16:D17"/>
    <mergeCell ref="E16:E17"/>
    <mergeCell ref="F16:F17"/>
    <mergeCell ref="K16:K17"/>
    <mergeCell ref="L16:L17"/>
    <mergeCell ref="A14:A15"/>
    <mergeCell ref="B14:B15"/>
    <mergeCell ref="C14:C15"/>
    <mergeCell ref="D14:D15"/>
    <mergeCell ref="E14:E15"/>
    <mergeCell ref="F14:F15"/>
    <mergeCell ref="A12:A13"/>
    <mergeCell ref="B12:B13"/>
    <mergeCell ref="C12:C13"/>
    <mergeCell ref="D12:D13"/>
    <mergeCell ref="E12:E13"/>
    <mergeCell ref="F12:F13"/>
    <mergeCell ref="K12:K13"/>
    <mergeCell ref="L12:L13"/>
    <mergeCell ref="A10:A11"/>
    <mergeCell ref="B10:B11"/>
    <mergeCell ref="C10:C11"/>
    <mergeCell ref="D10:D11"/>
    <mergeCell ref="E10:E11"/>
    <mergeCell ref="F10:F11"/>
    <mergeCell ref="A8:A9"/>
    <mergeCell ref="B8:B9"/>
    <mergeCell ref="C8:C9"/>
    <mergeCell ref="D8:D9"/>
    <mergeCell ref="E8:E9"/>
    <mergeCell ref="F8:F9"/>
    <mergeCell ref="K8:K9"/>
    <mergeCell ref="L8:L9"/>
    <mergeCell ref="K10:K11"/>
    <mergeCell ref="L10:L11"/>
    <mergeCell ref="M3:M5"/>
    <mergeCell ref="E4:E5"/>
    <mergeCell ref="F4:F5"/>
    <mergeCell ref="H4:J4"/>
    <mergeCell ref="A6:A7"/>
    <mergeCell ref="B6:B7"/>
    <mergeCell ref="C6:C7"/>
    <mergeCell ref="D6:D7"/>
    <mergeCell ref="E6:E7"/>
    <mergeCell ref="F6:F7"/>
    <mergeCell ref="K6:K7"/>
    <mergeCell ref="L6:L7"/>
    <mergeCell ref="A1:L1"/>
    <mergeCell ref="A3:A5"/>
    <mergeCell ref="B3:B5"/>
    <mergeCell ref="C3:C5"/>
    <mergeCell ref="D3:D5"/>
    <mergeCell ref="E3:F3"/>
    <mergeCell ref="G3:J3"/>
    <mergeCell ref="K3:K5"/>
    <mergeCell ref="L3:L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:B9"/>
    </sheetView>
  </sheetViews>
  <sheetFormatPr defaultRowHeight="12.75" x14ac:dyDescent="0.2"/>
  <cols>
    <col min="1" max="1" width="4.5703125" customWidth="1"/>
    <col min="2" max="2" width="30.7109375" customWidth="1"/>
    <col min="3" max="3" width="21.5703125" customWidth="1"/>
    <col min="10" max="10" width="9.5703125" bestFit="1" customWidth="1"/>
    <col min="11" max="11" width="10.5703125" bestFit="1" customWidth="1"/>
    <col min="13" max="13" width="16.42578125" customWidth="1"/>
  </cols>
  <sheetData>
    <row r="1" spans="1:18" ht="15.75" x14ac:dyDescent="0.2">
      <c r="A1" s="289" t="s">
        <v>136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</row>
    <row r="2" spans="1:18" ht="18.75" customHeight="1" x14ac:dyDescent="0.2">
      <c r="A2" s="175"/>
      <c r="B2" s="176" t="s">
        <v>146</v>
      </c>
      <c r="C2" s="177"/>
      <c r="D2" s="177"/>
      <c r="E2" s="204"/>
      <c r="F2" s="204"/>
      <c r="G2" s="204"/>
      <c r="H2" s="204"/>
      <c r="I2" s="204"/>
      <c r="J2" s="204"/>
      <c r="K2" s="204"/>
      <c r="L2" s="204"/>
      <c r="M2" s="204"/>
    </row>
    <row r="3" spans="1:18" ht="19.5" customHeight="1" thickBot="1" x14ac:dyDescent="0.25">
      <c r="A3" s="175"/>
      <c r="B3" s="176" t="s">
        <v>82</v>
      </c>
      <c r="C3" s="178"/>
      <c r="D3" s="179" t="s">
        <v>140</v>
      </c>
      <c r="E3" s="180">
        <f>'состав отдела'!D12</f>
        <v>7.0999999999999994E-2</v>
      </c>
      <c r="F3" s="290" t="s">
        <v>141</v>
      </c>
      <c r="G3" s="290"/>
      <c r="H3" s="291" t="str">
        <f>'состав отдела'!H1</f>
        <v>сентябрь 2017 г.</v>
      </c>
      <c r="I3" s="291"/>
      <c r="J3" s="291"/>
      <c r="K3" s="181"/>
      <c r="L3" s="182" t="s">
        <v>142</v>
      </c>
      <c r="M3" s="183"/>
      <c r="O3" s="143" t="s">
        <v>125</v>
      </c>
      <c r="R3" s="96"/>
    </row>
    <row r="4" spans="1:18" ht="15" x14ac:dyDescent="0.2">
      <c r="A4" s="292"/>
      <c r="B4" s="292"/>
      <c r="C4" s="292"/>
      <c r="D4" s="292"/>
      <c r="E4" s="292"/>
      <c r="F4" s="292"/>
      <c r="G4" s="179" t="s">
        <v>144</v>
      </c>
      <c r="H4" s="293">
        <f>'состав отдела'!E12</f>
        <v>120</v>
      </c>
      <c r="I4" s="293"/>
      <c r="J4" s="293"/>
      <c r="K4" s="184">
        <f>H4*E3</f>
        <v>8.52</v>
      </c>
      <c r="L4" s="185" t="s">
        <v>145</v>
      </c>
      <c r="M4" s="186"/>
    </row>
    <row r="5" spans="1:18" ht="13.5" thickBot="1" x14ac:dyDescent="0.25">
      <c r="A5" s="150"/>
      <c r="B5" s="151"/>
      <c r="C5" s="151"/>
      <c r="D5" s="149"/>
      <c r="E5" s="149"/>
      <c r="F5" s="149"/>
      <c r="G5" s="149"/>
      <c r="H5" s="149"/>
      <c r="I5" s="149"/>
      <c r="J5" s="149"/>
      <c r="K5" s="149"/>
      <c r="L5" s="149"/>
      <c r="M5" s="149">
        <v>1</v>
      </c>
    </row>
    <row r="6" spans="1:18" ht="110.25" customHeight="1" thickBot="1" x14ac:dyDescent="0.25">
      <c r="A6" s="153" t="s">
        <v>149</v>
      </c>
      <c r="B6" s="154" t="s">
        <v>110</v>
      </c>
      <c r="C6" s="154" t="s">
        <v>111</v>
      </c>
      <c r="D6" s="159" t="s">
        <v>112</v>
      </c>
      <c r="E6" s="160" t="s">
        <v>113</v>
      </c>
      <c r="F6" s="159" t="s">
        <v>114</v>
      </c>
      <c r="G6" s="160" t="s">
        <v>115</v>
      </c>
      <c r="H6" s="159" t="s">
        <v>116</v>
      </c>
      <c r="I6" s="160" t="s">
        <v>117</v>
      </c>
      <c r="J6" s="161" t="s">
        <v>118</v>
      </c>
      <c r="K6" s="159" t="s">
        <v>119</v>
      </c>
      <c r="L6" s="159" t="s">
        <v>148</v>
      </c>
    </row>
    <row r="7" spans="1:18" ht="15.75" customHeight="1" thickBot="1" x14ac:dyDescent="0.25">
      <c r="A7" s="294" t="str">
        <f>INDEX('План-отчет отдела'!$K$1:$K$40,SUMPRODUCT(LARGE(('План-отчет отдела'!$M$6:$M$40=$B$3)*ROW($M$6:$M$40),COUNTIF('План-отчет отдела'!$M$6:$M$40,$B$3)-ROW(A4)/4+1)))</f>
        <v>2016.529-ТХ</v>
      </c>
      <c r="B7" s="297" t="str">
        <f>INDEX('План-отчет отдела'!$B$1:$B$40,IF(ISEVEN(Стр),Стр,Стр-1))</f>
        <v>Доменный цех.  ДП №3. Капремонт II разряда в 2018г. Замена защитных плит купола печи. (МВЗ 2514101539)</v>
      </c>
      <c r="C7" s="173" t="s">
        <v>150</v>
      </c>
      <c r="D7" s="171">
        <v>1</v>
      </c>
      <c r="E7" s="171">
        <v>1</v>
      </c>
      <c r="F7" s="171">
        <v>0.75</v>
      </c>
      <c r="G7" s="171">
        <v>1</v>
      </c>
      <c r="H7" s="171">
        <v>1.25</v>
      </c>
      <c r="I7" s="171">
        <v>1</v>
      </c>
      <c r="J7" s="162">
        <f>PRODUCT(D7:I7)*L7</f>
        <v>0.93799999999999994</v>
      </c>
      <c r="K7" s="163">
        <f>J7/$E$3</f>
        <v>13.2</v>
      </c>
      <c r="L7" s="172">
        <f>$M$5</f>
        <v>1</v>
      </c>
    </row>
    <row r="8" spans="1:18" ht="15.75" thickBot="1" x14ac:dyDescent="0.25">
      <c r="A8" s="295"/>
      <c r="B8" s="298"/>
      <c r="C8" s="173" t="s">
        <v>151</v>
      </c>
      <c r="D8" s="171">
        <v>1</v>
      </c>
      <c r="E8" s="171">
        <v>1</v>
      </c>
      <c r="F8" s="171">
        <v>0.75</v>
      </c>
      <c r="G8" s="171">
        <v>1</v>
      </c>
      <c r="H8" s="171">
        <v>1.25</v>
      </c>
      <c r="I8" s="171">
        <v>1</v>
      </c>
      <c r="J8" s="162">
        <f>PRODUCT(D8:I8)*L8</f>
        <v>1.2190000000000001</v>
      </c>
      <c r="K8" s="163">
        <f>J8/$E$3</f>
        <v>17.2</v>
      </c>
      <c r="L8" s="172">
        <v>1.3</v>
      </c>
    </row>
    <row r="9" spans="1:18" ht="55.5" customHeight="1" thickBot="1" x14ac:dyDescent="0.25">
      <c r="A9" s="296"/>
      <c r="B9" s="299"/>
      <c r="C9" s="174" t="s">
        <v>147</v>
      </c>
      <c r="D9" s="300"/>
      <c r="E9" s="301"/>
      <c r="F9" s="301"/>
      <c r="G9" s="301"/>
      <c r="H9" s="301"/>
      <c r="I9" s="302"/>
      <c r="J9" s="162">
        <f>K9*$E$3</f>
        <v>1.633</v>
      </c>
      <c r="K9" s="170">
        <v>23</v>
      </c>
      <c r="L9" s="112"/>
    </row>
    <row r="10" spans="1:18" ht="15.75" thickBot="1" x14ac:dyDescent="0.25">
      <c r="A10" s="196">
        <f>INDEX('План-отчет отдела'!$A$1:$A$40,SUMPRODUCT(LARGE(('План-отчет отдела'!$M$6:$M$40=$B$3)*ROW($M$6:$M$40),COUNTIF('План-отчет отдела'!$M$6:$M$40,$B$3)-ROW(A4)/4+1)))</f>
        <v>1</v>
      </c>
      <c r="B10" s="156" t="s">
        <v>125</v>
      </c>
      <c r="C10" s="157"/>
      <c r="D10" s="303">
        <f>SUMPRODUCT(D7:D9,E7:E9,F7:F9)</f>
        <v>1.5</v>
      </c>
      <c r="E10" s="304"/>
      <c r="F10" s="305"/>
      <c r="G10" s="165"/>
      <c r="H10" s="165"/>
      <c r="I10" s="165"/>
      <c r="J10" s="187">
        <f>SUM(J7:J9)</f>
        <v>3.79</v>
      </c>
      <c r="K10" s="188">
        <f>SUM(K7:K9)</f>
        <v>53.4</v>
      </c>
      <c r="L10" s="167"/>
    </row>
    <row r="11" spans="1:18" ht="15.75" thickBot="1" x14ac:dyDescent="0.25">
      <c r="A11" s="294" t="str">
        <f>INDEX('План-отчет отдела'!$K$1:$K$40,SUMPRODUCT(LARGE(('План-отчет отдела'!$M$6:$M$40=$B$3)*ROW($M$6:$M$40),COUNTIF('План-отчет отдела'!$M$6:$M$40,$B$3)-ROW(A8)/4+1)))</f>
        <v>2016.533-ТХ</v>
      </c>
      <c r="B11" s="297" t="str">
        <f>INDEX('План-отчет отдела'!$B$1:$B$40,SUMPRODUCT(LARGE(('План-отчет отдела'!$M$6:$M$40=$B$3)*ROW($M$6:$M$40),COUNTIF('План-отчет отдела'!$M$6:$M$40,$B$3)-ROW(B8)/4+1)))</f>
        <v>Доменный цех.  ДП №3. Капремонт II разряда в 2018г. Замена весоповерочного оборудования бункеров агломерата и кокса.</v>
      </c>
      <c r="C11" s="173" t="s">
        <v>152</v>
      </c>
      <c r="D11" s="171">
        <v>1</v>
      </c>
      <c r="E11" s="171">
        <v>1</v>
      </c>
      <c r="F11" s="171">
        <v>0.75</v>
      </c>
      <c r="G11" s="171">
        <v>1</v>
      </c>
      <c r="H11" s="171">
        <v>1.25</v>
      </c>
      <c r="I11" s="171">
        <v>1</v>
      </c>
      <c r="J11" s="162">
        <f>PRODUCT(D11:I11)*L11</f>
        <v>0.93799999999999994</v>
      </c>
      <c r="K11" s="163">
        <f>J11/$E$3</f>
        <v>13.2</v>
      </c>
      <c r="L11" s="172">
        <f>$M$5</f>
        <v>1</v>
      </c>
    </row>
    <row r="12" spans="1:18" ht="15.75" thickBot="1" x14ac:dyDescent="0.25">
      <c r="A12" s="295"/>
      <c r="B12" s="298"/>
      <c r="C12" s="174"/>
      <c r="D12" s="205"/>
      <c r="E12" s="206"/>
      <c r="F12" s="206"/>
      <c r="G12" s="206"/>
      <c r="H12" s="206"/>
      <c r="I12" s="207"/>
      <c r="J12" s="162"/>
      <c r="K12" s="163"/>
      <c r="L12" s="172"/>
    </row>
    <row r="13" spans="1:18" ht="57.75" customHeight="1" thickBot="1" x14ac:dyDescent="0.25">
      <c r="A13" s="296"/>
      <c r="B13" s="299"/>
      <c r="C13" s="174" t="s">
        <v>147</v>
      </c>
      <c r="D13" s="300"/>
      <c r="E13" s="301"/>
      <c r="F13" s="301"/>
      <c r="G13" s="301"/>
      <c r="H13" s="301"/>
      <c r="I13" s="302"/>
      <c r="J13" s="162">
        <f>K13*$E$3</f>
        <v>0.42599999999999999</v>
      </c>
      <c r="K13" s="170">
        <v>6</v>
      </c>
      <c r="L13" s="112"/>
    </row>
    <row r="14" spans="1:18" ht="15.75" customHeight="1" thickBot="1" x14ac:dyDescent="0.25">
      <c r="A14" s="196">
        <f>INDEX('План-отчет отдела'!$A$1:$A$40,SUMPRODUCT(LARGE(('План-отчет отдела'!$M$6:$M$40=$B$3)*ROW($M$6:$M$40),COUNTIF('План-отчет отдела'!$M$6:$M$40,$B$3)-ROW(A8)/4+1)))</f>
        <v>6</v>
      </c>
      <c r="B14" s="156" t="s">
        <v>125</v>
      </c>
      <c r="C14" s="157"/>
      <c r="D14" s="303">
        <f>SUMPRODUCT(D11:D13,E11:E13,F11:F13)</f>
        <v>0.75</v>
      </c>
      <c r="E14" s="304"/>
      <c r="F14" s="305"/>
      <c r="G14" s="165"/>
      <c r="H14" s="165"/>
      <c r="I14" s="165"/>
      <c r="J14" s="187">
        <f>SUM(J11:J13)</f>
        <v>1.3640000000000001</v>
      </c>
      <c r="K14" s="188">
        <f>SUM(K11:K13)</f>
        <v>19.2</v>
      </c>
      <c r="L14" s="167"/>
    </row>
    <row r="15" spans="1:18" ht="15.75" customHeight="1" thickBot="1" x14ac:dyDescent="0.25">
      <c r="A15" s="283" t="str">
        <f>INDEX('План-отчет отдела'!$K$1:$K$40,SUMPRODUCT(LARGE(('План-отчет отдела'!$M$6:$M$40=$B$3)*ROW($M$6:$M$40),COUNTIF('План-отчет отдела'!$M$6:$M$40,$B$3)-ROW(A12)/4+1)))</f>
        <v>2016.561-ТХ</v>
      </c>
      <c r="B15" s="286" t="str">
        <f>INDEX('План-отчет отдела'!$B$1:$B$40,SUMPRODUCT(LARGE(('План-отчет отдела'!$M$6:$M$40=$B$3)*ROW($M$6:$M$40),COUNTIF('План-отчет отдела'!$M$6:$M$40,$B$3)-ROW(B12)/4+1)))</f>
        <v>Доменный цех.  ДП №3. Капремонт II разряда в 2018г. Разводка трубопроводов гидравлики припечного оборудования. (МВЗ 2514101539)</v>
      </c>
      <c r="C15" s="146"/>
      <c r="D15" s="140">
        <v>0</v>
      </c>
      <c r="E15" s="140">
        <v>1</v>
      </c>
      <c r="F15" s="140">
        <v>0.75</v>
      </c>
      <c r="G15" s="140">
        <v>1</v>
      </c>
      <c r="H15" s="140">
        <v>1.25</v>
      </c>
      <c r="I15" s="140">
        <v>1</v>
      </c>
      <c r="J15" s="147">
        <f>PRODUCT(D15:I15)*L15</f>
        <v>0</v>
      </c>
      <c r="K15" s="141">
        <f>J15/$E$3</f>
        <v>0</v>
      </c>
      <c r="L15" s="112">
        <f>$M$5</f>
        <v>1</v>
      </c>
    </row>
    <row r="16" spans="1:18" ht="15.75" thickBot="1" x14ac:dyDescent="0.25">
      <c r="A16" s="284"/>
      <c r="B16" s="287"/>
      <c r="C16" s="146"/>
      <c r="D16" s="140">
        <v>0</v>
      </c>
      <c r="E16" s="140">
        <v>1</v>
      </c>
      <c r="F16" s="140">
        <v>0.75</v>
      </c>
      <c r="G16" s="140">
        <v>1</v>
      </c>
      <c r="H16" s="140">
        <v>1.25</v>
      </c>
      <c r="I16" s="140">
        <v>1</v>
      </c>
      <c r="J16" s="147">
        <f>PRODUCT(D16:I16)*L16</f>
        <v>0</v>
      </c>
      <c r="K16" s="141">
        <f>J16/$E$3</f>
        <v>0</v>
      </c>
      <c r="L16" s="112">
        <v>3.3</v>
      </c>
    </row>
    <row r="17" spans="1:12" ht="59.25" customHeight="1" thickBot="1" x14ac:dyDescent="0.25">
      <c r="A17" s="285"/>
      <c r="B17" s="288"/>
      <c r="C17" s="201" t="s">
        <v>147</v>
      </c>
      <c r="D17" s="140"/>
      <c r="E17" s="140"/>
      <c r="F17" s="140"/>
      <c r="G17" s="140"/>
      <c r="H17" s="140"/>
      <c r="I17" s="140"/>
      <c r="J17" s="147">
        <f>K17*$E$3</f>
        <v>0</v>
      </c>
      <c r="K17" s="49"/>
      <c r="L17" s="112"/>
    </row>
    <row r="18" spans="1:12" ht="15.75" thickBot="1" x14ac:dyDescent="0.25">
      <c r="A18" s="152">
        <f>INDEX('План-отчет отдела'!$A$1:$A$40,SUMPRODUCT(LARGE(('План-отчет отдела'!$M$6:$M$40=$B$3)*ROW($M$6:$M$40),COUNTIF('План-отчет отдела'!$M$6:$M$40,$B$3)-ROW(A12)/4+1)))</f>
        <v>7</v>
      </c>
      <c r="B18" s="143" t="s">
        <v>125</v>
      </c>
      <c r="C18" s="142"/>
      <c r="D18" s="306">
        <f>SUMPRODUCT(D15:D17,E15:E17,F15:F17)</f>
        <v>0</v>
      </c>
      <c r="E18" s="307"/>
      <c r="F18" s="308"/>
      <c r="G18" s="144"/>
      <c r="H18" s="144"/>
      <c r="I18" s="144"/>
      <c r="J18" s="148">
        <f>SUM(J15:J17)</f>
        <v>0</v>
      </c>
      <c r="K18" s="145">
        <f>SUM(K15:K17)</f>
        <v>0</v>
      </c>
      <c r="L18" s="112"/>
    </row>
    <row r="19" spans="1:12" ht="15.75" customHeight="1" thickBot="1" x14ac:dyDescent="0.25">
      <c r="A19" s="283">
        <f>INDEX('План-отчет отдела'!$K$1:$K$40,SUMPRODUCT(LARGE(('План-отчет отдела'!$M$6:$M$40=$B$3)*ROW($M$6:$M$40),COUNTIF('План-отчет отдела'!$M$6:$M$40,$B$3)-ROW(A16)/4+1)))</f>
        <v>0</v>
      </c>
      <c r="B19" s="236" t="str">
        <f>INDEX('План-отчет отдела'!$B$1:$B$40,SUMPRODUCT(LARGE(('План-отчет отдела'!$M$6:$M$40=$B$3)*ROW($M$6:$M$40),COUNTIF('План-отчет отдела'!$M$6:$M$40,$B$3)-ROW(B16)/4+1)))</f>
        <v>Работа в группе проекта "Унификация оборудования ЕВРАЗ ЗСМК"</v>
      </c>
      <c r="C19" s="146"/>
      <c r="D19" s="140">
        <v>0</v>
      </c>
      <c r="E19" s="140">
        <v>1</v>
      </c>
      <c r="F19" s="140">
        <v>0.75</v>
      </c>
      <c r="G19" s="140">
        <v>1</v>
      </c>
      <c r="H19" s="140">
        <v>1.25</v>
      </c>
      <c r="I19" s="140">
        <v>1</v>
      </c>
      <c r="J19" s="147">
        <f>PRODUCT(D19:I19)*L19</f>
        <v>0</v>
      </c>
      <c r="K19" s="141">
        <f>J19/$E$3</f>
        <v>0</v>
      </c>
      <c r="L19" s="112">
        <f>$M$5</f>
        <v>1</v>
      </c>
    </row>
    <row r="20" spans="1:12" ht="15.75" customHeight="1" thickBot="1" x14ac:dyDescent="0.25">
      <c r="A20" s="284"/>
      <c r="B20" s="237"/>
      <c r="C20" s="146"/>
      <c r="D20" s="140">
        <v>0</v>
      </c>
      <c r="E20" s="140">
        <v>1</v>
      </c>
      <c r="F20" s="140">
        <v>0.75</v>
      </c>
      <c r="G20" s="140">
        <v>1</v>
      </c>
      <c r="H20" s="140">
        <v>1.25</v>
      </c>
      <c r="I20" s="140">
        <v>1</v>
      </c>
      <c r="J20" s="147">
        <f>PRODUCT(D20:I20)*L20</f>
        <v>0</v>
      </c>
      <c r="K20" s="141">
        <f>J20/$E$3</f>
        <v>0</v>
      </c>
      <c r="L20" s="112">
        <v>4.3</v>
      </c>
    </row>
    <row r="21" spans="1:12" ht="45.75" customHeight="1" thickBot="1" x14ac:dyDescent="0.25">
      <c r="A21" s="285"/>
      <c r="B21" s="238"/>
      <c r="C21" s="174" t="s">
        <v>147</v>
      </c>
      <c r="D21" s="300"/>
      <c r="E21" s="301"/>
      <c r="F21" s="301"/>
      <c r="G21" s="301"/>
      <c r="H21" s="301"/>
      <c r="I21" s="302"/>
      <c r="J21" s="162">
        <f>K21*$E$3</f>
        <v>3.4079999999999999</v>
      </c>
      <c r="K21" s="164">
        <f>H4*0.4</f>
        <v>48</v>
      </c>
      <c r="L21" s="112"/>
    </row>
    <row r="22" spans="1:12" ht="15.75" thickBot="1" x14ac:dyDescent="0.25">
      <c r="A22" s="196">
        <f>INDEX('План-отчет отдела'!$A$1:$A$40,SUMPRODUCT(LARGE(('План-отчет отдела'!$M$6:$M$40=$B$3)*ROW($M$6:$M$40),COUNTIF('План-отчет отдела'!$M$6:$M$40,$B$3)-ROW(A16)/4+1)))</f>
        <v>13</v>
      </c>
      <c r="B22" s="156" t="s">
        <v>125</v>
      </c>
      <c r="C22" s="157"/>
      <c r="D22" s="303">
        <f>SUMPRODUCT(D19:D21,E19:E21,F19:F21)</f>
        <v>0</v>
      </c>
      <c r="E22" s="304"/>
      <c r="F22" s="305"/>
      <c r="G22" s="165"/>
      <c r="H22" s="165"/>
      <c r="I22" s="165"/>
      <c r="J22" s="187">
        <f>SUM(J19:J21)</f>
        <v>3.4079999999999999</v>
      </c>
      <c r="K22" s="188">
        <f>SUM(K19:K21)</f>
        <v>48</v>
      </c>
      <c r="L22" s="167"/>
    </row>
    <row r="23" spans="1:12" ht="15.75" thickBot="1" x14ac:dyDescent="0.25">
      <c r="A23" s="283" t="e">
        <f>INDEX('План-отчет отдела'!$K$1:$K$40,SUMPRODUCT(LARGE(('План-отчет отдела'!$M$6:$M$40=$B$3)*ROW($M$6:$M$40),COUNTIF('План-отчет отдела'!$M$6:$M$40,$B$3)-ROW(A20)/4+1)))</f>
        <v>#NUM!</v>
      </c>
      <c r="B23" s="286" t="e">
        <f>INDEX('План-отчет отдела'!$B$1:$B$40,SUMPRODUCT(LARGE(('План-отчет отдела'!$M$6:$M$40=$B$3)*ROW($M$6:$M$40),COUNTIF('План-отчет отдела'!$M$6:$M$40,$B$3)-ROW(B20)/4+1)))</f>
        <v>#NUM!</v>
      </c>
      <c r="C23" s="146"/>
      <c r="D23" s="140">
        <v>0</v>
      </c>
      <c r="E23" s="140">
        <v>1</v>
      </c>
      <c r="F23" s="140">
        <v>0.75</v>
      </c>
      <c r="G23" s="140">
        <v>1</v>
      </c>
      <c r="H23" s="140">
        <v>1.25</v>
      </c>
      <c r="I23" s="140">
        <v>1</v>
      </c>
      <c r="J23" s="147">
        <f>PRODUCT(D23:I23)*L23</f>
        <v>0</v>
      </c>
      <c r="K23" s="141">
        <f>J23/$E$3</f>
        <v>0</v>
      </c>
      <c r="L23" s="112">
        <f>$M$5</f>
        <v>1</v>
      </c>
    </row>
    <row r="24" spans="1:12" ht="15.75" thickBot="1" x14ac:dyDescent="0.25">
      <c r="A24" s="284"/>
      <c r="B24" s="287"/>
      <c r="C24" s="146"/>
      <c r="D24" s="140">
        <v>0</v>
      </c>
      <c r="E24" s="140">
        <v>1</v>
      </c>
      <c r="F24" s="140">
        <v>0.75</v>
      </c>
      <c r="G24" s="140">
        <v>1</v>
      </c>
      <c r="H24" s="140">
        <v>1.25</v>
      </c>
      <c r="I24" s="140">
        <v>1</v>
      </c>
      <c r="J24" s="147">
        <f>PRODUCT(D24:I24)*L24</f>
        <v>0</v>
      </c>
      <c r="K24" s="141">
        <f>J24/$E$3</f>
        <v>0</v>
      </c>
      <c r="L24" s="112">
        <v>5.3</v>
      </c>
    </row>
    <row r="25" spans="1:12" ht="45.75" thickBot="1" x14ac:dyDescent="0.25">
      <c r="A25" s="285"/>
      <c r="B25" s="288"/>
      <c r="C25" s="201" t="s">
        <v>147</v>
      </c>
      <c r="D25" s="140"/>
      <c r="E25" s="140"/>
      <c r="F25" s="140"/>
      <c r="G25" s="140"/>
      <c r="H25" s="140"/>
      <c r="I25" s="140"/>
      <c r="J25" s="147">
        <f>K25*$E$3</f>
        <v>0</v>
      </c>
      <c r="K25" s="49"/>
      <c r="L25" s="112"/>
    </row>
    <row r="26" spans="1:12" ht="15.75" thickBot="1" x14ac:dyDescent="0.25">
      <c r="A26" s="152" t="e">
        <f>INDEX('План-отчет отдела'!$A$1:$A$40,SUMPRODUCT(LARGE(('План-отчет отдела'!$M$6:$M$40=$B$3)*ROW($M$6:$M$40),COUNTIF('План-отчет отдела'!$M$6:$M$40,$B$3)-ROW(A20)/4+1)))</f>
        <v>#NUM!</v>
      </c>
      <c r="B26" s="143" t="s">
        <v>125</v>
      </c>
      <c r="C26" s="142"/>
      <c r="D26" s="306">
        <f>SUMPRODUCT(D23:D25,E23:E25,F23:F25)</f>
        <v>0</v>
      </c>
      <c r="E26" s="307"/>
      <c r="F26" s="308"/>
      <c r="G26" s="144"/>
      <c r="H26" s="144"/>
      <c r="I26" s="144"/>
      <c r="J26" s="148">
        <f>SUM(J23:J25)</f>
        <v>0</v>
      </c>
      <c r="K26" s="145">
        <f>SUM(K23:K25)</f>
        <v>0</v>
      </c>
      <c r="L26" s="112"/>
    </row>
    <row r="27" spans="1:12" ht="15.75" thickBot="1" x14ac:dyDescent="0.25">
      <c r="A27" s="202"/>
      <c r="B27" s="203" t="s">
        <v>130</v>
      </c>
      <c r="C27" s="201"/>
      <c r="D27" s="300"/>
      <c r="E27" s="301"/>
      <c r="F27" s="302"/>
      <c r="G27" s="140"/>
      <c r="H27" s="140"/>
      <c r="I27" s="140"/>
      <c r="J27" s="147">
        <f>K27*$E$3</f>
        <v>0</v>
      </c>
      <c r="K27" s="141">
        <v>0</v>
      </c>
      <c r="L27" s="112"/>
    </row>
    <row r="28" spans="1:12" ht="78" thickBot="1" x14ac:dyDescent="0.25">
      <c r="A28" s="202" t="e">
        <f>'План-отчет отдела'!#REF!</f>
        <v>#REF!</v>
      </c>
      <c r="B28" s="143" t="s">
        <v>125</v>
      </c>
      <c r="C28" s="142"/>
      <c r="D28" s="306"/>
      <c r="E28" s="307"/>
      <c r="F28" s="308"/>
      <c r="G28" s="144"/>
      <c r="H28" s="144"/>
      <c r="I28" s="144"/>
      <c r="J28" s="148">
        <f>SUM(J25:J27)</f>
        <v>0</v>
      </c>
      <c r="K28" s="145">
        <f>SUM(K25:K27)</f>
        <v>0</v>
      </c>
      <c r="L28" s="112"/>
    </row>
    <row r="29" spans="1:12" ht="15.75" thickBot="1" x14ac:dyDescent="0.25">
      <c r="A29" s="158"/>
      <c r="B29" s="156" t="s">
        <v>135</v>
      </c>
      <c r="C29" s="155"/>
      <c r="D29" s="309">
        <f>SUMIFS($D$7:$D$28,$B$7:$B$28,"всего")</f>
        <v>2.25</v>
      </c>
      <c r="E29" s="310"/>
      <c r="F29" s="311"/>
      <c r="G29" s="165"/>
      <c r="H29" s="165"/>
      <c r="I29" s="165"/>
      <c r="J29" s="168">
        <f>SUMIF($B$7:$B$28,"всего",J7:J28)</f>
        <v>8.5619999999999994</v>
      </c>
      <c r="K29" s="166">
        <f>SUMIFS($K$7:$K$28,$B$7:$B$28,"всего")</f>
        <v>120.6</v>
      </c>
      <c r="L29" s="169"/>
    </row>
    <row r="31" spans="1:12" x14ac:dyDescent="0.2">
      <c r="A31" s="137"/>
    </row>
    <row r="32" spans="1:12" x14ac:dyDescent="0.2">
      <c r="A32" s="137"/>
    </row>
    <row r="33" spans="1:1" x14ac:dyDescent="0.2">
      <c r="A33" s="137"/>
    </row>
    <row r="34" spans="1:1" x14ac:dyDescent="0.2">
      <c r="A34" s="137"/>
    </row>
    <row r="35" spans="1:1" x14ac:dyDescent="0.2">
      <c r="A35" s="137"/>
    </row>
    <row r="36" spans="1:1" x14ac:dyDescent="0.2">
      <c r="A36" s="137"/>
    </row>
    <row r="37" spans="1:1" x14ac:dyDescent="0.2">
      <c r="A37" s="137"/>
    </row>
    <row r="38" spans="1:1" x14ac:dyDescent="0.2">
      <c r="A38" s="137"/>
    </row>
  </sheetData>
  <sheetProtection insertColumns="0" insertRows="0"/>
  <autoFilter ref="A6:L29"/>
  <mergeCells count="26">
    <mergeCell ref="D26:F26"/>
    <mergeCell ref="D27:F27"/>
    <mergeCell ref="D28:F28"/>
    <mergeCell ref="D29:F29"/>
    <mergeCell ref="D18:F18"/>
    <mergeCell ref="A19:A21"/>
    <mergeCell ref="B19:B21"/>
    <mergeCell ref="D21:I21"/>
    <mergeCell ref="D22:F22"/>
    <mergeCell ref="A23:A25"/>
    <mergeCell ref="B23:B25"/>
    <mergeCell ref="A15:A17"/>
    <mergeCell ref="B15:B17"/>
    <mergeCell ref="A1:M1"/>
    <mergeCell ref="F3:G3"/>
    <mergeCell ref="H3:J3"/>
    <mergeCell ref="A4:F4"/>
    <mergeCell ref="H4:J4"/>
    <mergeCell ref="A7:A9"/>
    <mergeCell ref="B7:B9"/>
    <mergeCell ref="D9:I9"/>
    <mergeCell ref="D10:F10"/>
    <mergeCell ref="A11:A13"/>
    <mergeCell ref="B11:B13"/>
    <mergeCell ref="D13:I13"/>
    <mergeCell ref="D14:F14"/>
  </mergeCells>
  <dataValidations count="1">
    <dataValidation type="list" allowBlank="1" showInputMessage="1" showErrorMessage="1" sqref="B3">
      <formula1>Исп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K10" sqref="K10"/>
    </sheetView>
  </sheetViews>
  <sheetFormatPr defaultRowHeight="12.75" x14ac:dyDescent="0.2"/>
  <cols>
    <col min="1" max="1" width="4.5703125" customWidth="1"/>
    <col min="2" max="2" width="30.7109375" customWidth="1"/>
    <col min="3" max="3" width="21.5703125" customWidth="1"/>
    <col min="10" max="10" width="9.5703125" bestFit="1" customWidth="1"/>
    <col min="11" max="11" width="10.5703125" bestFit="1" customWidth="1"/>
    <col min="13" max="13" width="16.42578125" customWidth="1"/>
  </cols>
  <sheetData>
    <row r="1" spans="1:18" ht="15.75" x14ac:dyDescent="0.2">
      <c r="A1" s="289" t="s">
        <v>136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</row>
    <row r="2" spans="1:18" ht="18.75" customHeight="1" x14ac:dyDescent="0.2">
      <c r="A2" s="175"/>
      <c r="B2" s="176" t="s">
        <v>146</v>
      </c>
      <c r="C2" s="177"/>
      <c r="D2" s="177"/>
      <c r="E2" s="204"/>
      <c r="F2" s="204"/>
      <c r="G2" s="204"/>
      <c r="H2" s="204"/>
      <c r="I2" s="204"/>
      <c r="J2" s="204"/>
      <c r="K2" s="204"/>
      <c r="L2" s="204"/>
      <c r="M2" s="204"/>
    </row>
    <row r="3" spans="1:18" ht="19.5" customHeight="1" thickBot="1" x14ac:dyDescent="0.25">
      <c r="A3" s="175"/>
      <c r="B3" s="176" t="s">
        <v>60</v>
      </c>
      <c r="C3" s="178"/>
      <c r="D3" s="179" t="s">
        <v>140</v>
      </c>
      <c r="E3" s="180">
        <f>'состав отдела'!D12</f>
        <v>7.0999999999999994E-2</v>
      </c>
      <c r="F3" s="290" t="s">
        <v>141</v>
      </c>
      <c r="G3" s="290"/>
      <c r="H3" s="291" t="str">
        <f>'состав отдела'!H1</f>
        <v>сентябрь 2017 г.</v>
      </c>
      <c r="I3" s="291"/>
      <c r="J3" s="291"/>
      <c r="K3" s="181"/>
      <c r="L3" s="182" t="s">
        <v>142</v>
      </c>
      <c r="M3" s="183"/>
      <c r="O3" s="143" t="s">
        <v>125</v>
      </c>
      <c r="R3" s="96"/>
    </row>
    <row r="4" spans="1:18" ht="15" x14ac:dyDescent="0.2">
      <c r="A4" s="292"/>
      <c r="B4" s="292"/>
      <c r="C4" s="292"/>
      <c r="D4" s="292"/>
      <c r="E4" s="292"/>
      <c r="F4" s="292"/>
      <c r="G4" s="179" t="s">
        <v>144</v>
      </c>
      <c r="H4" s="293">
        <f>'состав отдела'!E12</f>
        <v>120</v>
      </c>
      <c r="I4" s="293"/>
      <c r="J4" s="293"/>
      <c r="K4" s="184">
        <f>H4*E3</f>
        <v>8.52</v>
      </c>
      <c r="L4" s="185" t="s">
        <v>145</v>
      </c>
      <c r="M4" s="186"/>
    </row>
    <row r="5" spans="1:18" ht="13.5" thickBot="1" x14ac:dyDescent="0.25">
      <c r="A5" s="150"/>
      <c r="B5" s="151"/>
      <c r="C5" s="151"/>
      <c r="D5" s="149"/>
      <c r="E5" s="149"/>
      <c r="F5" s="149"/>
      <c r="G5" s="149"/>
      <c r="H5" s="149"/>
      <c r="I5" s="149"/>
      <c r="J5" s="149"/>
      <c r="K5" s="149"/>
      <c r="L5" s="149"/>
      <c r="M5" s="149">
        <v>1</v>
      </c>
    </row>
    <row r="6" spans="1:18" ht="110.25" customHeight="1" thickBot="1" x14ac:dyDescent="0.25">
      <c r="A6" s="153" t="s">
        <v>149</v>
      </c>
      <c r="B6" s="154" t="s">
        <v>110</v>
      </c>
      <c r="C6" s="154" t="s">
        <v>111</v>
      </c>
      <c r="D6" s="159" t="s">
        <v>112</v>
      </c>
      <c r="E6" s="160" t="s">
        <v>113</v>
      </c>
      <c r="F6" s="159" t="s">
        <v>114</v>
      </c>
      <c r="G6" s="160" t="s">
        <v>115</v>
      </c>
      <c r="H6" s="159" t="s">
        <v>116</v>
      </c>
      <c r="I6" s="160" t="s">
        <v>117</v>
      </c>
      <c r="J6" s="161" t="s">
        <v>118</v>
      </c>
      <c r="K6" s="159" t="s">
        <v>119</v>
      </c>
      <c r="L6" s="159" t="s">
        <v>148</v>
      </c>
    </row>
    <row r="7" spans="1:18" ht="15.75" customHeight="1" thickBot="1" x14ac:dyDescent="0.25">
      <c r="A7" s="294" t="str">
        <f>INDEX('План-отчет отдела'!$K$1:$K$40,SUMPRODUCT(LARGE(('План-отчет отдела'!$M$6:$M$40=$B$3)*ROW($M$6:$M$40),COUNTIF('План-отчет отдела'!$M$6:$M$40,$B$3)-ROW(A4)/4+1)))</f>
        <v>2017.260-ТХ</v>
      </c>
      <c r="B7" s="297" t="str">
        <f>INDEX('План-отчет отдела'!$B$1:$B$40,SUMPRODUCT(LARGE(('План-отчет отдела'!$M$6:$M$40=$B$3)*ROW($M$6:$M$40),COUNTIF('План-отчет отдела'!$M$6:$M$40,$B$3)-ROW(B4)/4+1)))</f>
        <v>КХП. ЦХУиПКХП. Эстакада погрузки полимеров в железнодорожный транспорт</v>
      </c>
      <c r="C7" s="173" t="s">
        <v>150</v>
      </c>
      <c r="D7" s="171">
        <v>1</v>
      </c>
      <c r="E7" s="171">
        <v>1</v>
      </c>
      <c r="F7" s="171">
        <v>0.75</v>
      </c>
      <c r="G7" s="171">
        <v>1</v>
      </c>
      <c r="H7" s="171">
        <v>1.25</v>
      </c>
      <c r="I7" s="171">
        <v>1</v>
      </c>
      <c r="J7" s="162">
        <f>PRODUCT(D7:I7)*L7</f>
        <v>0.93799999999999994</v>
      </c>
      <c r="K7" s="163">
        <f>J7/$E$3</f>
        <v>13.2</v>
      </c>
      <c r="L7" s="172">
        <f>$M$5</f>
        <v>1</v>
      </c>
    </row>
    <row r="8" spans="1:18" ht="15.75" thickBot="1" x14ac:dyDescent="0.25">
      <c r="A8" s="295"/>
      <c r="B8" s="298"/>
      <c r="C8" s="173" t="s">
        <v>151</v>
      </c>
      <c r="D8" s="171">
        <v>1</v>
      </c>
      <c r="E8" s="171">
        <v>1</v>
      </c>
      <c r="F8" s="171">
        <v>0.75</v>
      </c>
      <c r="G8" s="171">
        <v>1</v>
      </c>
      <c r="H8" s="171">
        <v>1.25</v>
      </c>
      <c r="I8" s="171">
        <v>1</v>
      </c>
      <c r="J8" s="162">
        <f>PRODUCT(D8:I8)*L8</f>
        <v>1.2190000000000001</v>
      </c>
      <c r="K8" s="163">
        <f>J8/$E$3</f>
        <v>17.2</v>
      </c>
      <c r="L8" s="172">
        <v>1.3</v>
      </c>
    </row>
    <row r="9" spans="1:18" ht="55.5" customHeight="1" thickBot="1" x14ac:dyDescent="0.25">
      <c r="A9" s="296"/>
      <c r="B9" s="299"/>
      <c r="C9" s="174" t="s">
        <v>147</v>
      </c>
      <c r="D9" s="300"/>
      <c r="E9" s="301"/>
      <c r="F9" s="301"/>
      <c r="G9" s="301"/>
      <c r="H9" s="301"/>
      <c r="I9" s="302"/>
      <c r="J9" s="162">
        <f>K9*$E$3</f>
        <v>3.1240000000000001</v>
      </c>
      <c r="K9" s="170">
        <v>44</v>
      </c>
      <c r="L9" s="112"/>
    </row>
    <row r="10" spans="1:18" ht="15.75" thickBot="1" x14ac:dyDescent="0.25">
      <c r="A10" s="196">
        <f>INDEX('План-отчет отдела'!$A$1:$A$40,SUMPRODUCT(LARGE(('План-отчет отдела'!$M$6:$M$40=$B$3)*ROW($M$6:$M$40),COUNTIF('План-отчет отдела'!$M$6:$M$40,$B$3)-ROW(A4)/4+1)))</f>
        <v>2</v>
      </c>
      <c r="B10" s="156" t="s">
        <v>125</v>
      </c>
      <c r="C10" s="157"/>
      <c r="D10" s="303">
        <f>SUMPRODUCT(D7:D9,E7:E9,F7:F9)</f>
        <v>1.5</v>
      </c>
      <c r="E10" s="304"/>
      <c r="F10" s="305"/>
      <c r="G10" s="165"/>
      <c r="H10" s="165"/>
      <c r="I10" s="165"/>
      <c r="J10" s="187">
        <f>SUM(J7:J9)</f>
        <v>5.2809999999999997</v>
      </c>
      <c r="K10" s="188">
        <f>SUM(K7:K9)</f>
        <v>74.400000000000006</v>
      </c>
      <c r="L10" s="167"/>
    </row>
    <row r="11" spans="1:18" ht="15.75" thickBot="1" x14ac:dyDescent="0.25">
      <c r="A11" s="294" t="str">
        <f>INDEX('План-отчет отдела'!$K$1:$K$40,SUMPRODUCT(LARGE(('План-отчет отдела'!$M$6:$M$40=$B$3)*ROW($M$6:$M$40),COUNTIF('План-отчет отдела'!$M$6:$M$40,$B$3)-ROW(A8)/4+1)))</f>
        <v>2016.557-ТХ</v>
      </c>
      <c r="B11" s="297" t="str">
        <f>INDEX('План-отчет отдела'!$B$1:$B$40,SUMPRODUCT(LARGE(('План-отчет отдела'!$M$6:$M$40=$B$3)*ROW($M$6:$M$40),COUNTIF('План-отчет отдела'!$M$6:$M$40,$B$3)-ROW(B8)/4+1)))</f>
        <v>Доменный цех.  ДП №3. Капремонт II разряда в 2018г. Установка радарных уровнемеров. (МВЗ 2514101539)</v>
      </c>
      <c r="C11" s="173" t="s">
        <v>152</v>
      </c>
      <c r="D11" s="171">
        <v>1</v>
      </c>
      <c r="E11" s="171">
        <v>1</v>
      </c>
      <c r="F11" s="171">
        <v>0.75</v>
      </c>
      <c r="G11" s="171">
        <v>1</v>
      </c>
      <c r="H11" s="171">
        <v>1.25</v>
      </c>
      <c r="I11" s="171">
        <v>1</v>
      </c>
      <c r="J11" s="162">
        <f>PRODUCT(D11:I11)*L11</f>
        <v>0.93799999999999994</v>
      </c>
      <c r="K11" s="163">
        <f>J11/$E$3</f>
        <v>13.2</v>
      </c>
      <c r="L11" s="172">
        <f>$M$5</f>
        <v>1</v>
      </c>
    </row>
    <row r="12" spans="1:18" ht="15.75" thickBot="1" x14ac:dyDescent="0.25">
      <c r="A12" s="295"/>
      <c r="B12" s="298"/>
      <c r="C12" s="174"/>
      <c r="D12" s="205"/>
      <c r="E12" s="206"/>
      <c r="F12" s="206"/>
      <c r="G12" s="206"/>
      <c r="H12" s="206"/>
      <c r="I12" s="207"/>
      <c r="J12" s="162"/>
      <c r="K12" s="163"/>
      <c r="L12" s="172"/>
    </row>
    <row r="13" spans="1:18" ht="57.75" customHeight="1" thickBot="1" x14ac:dyDescent="0.25">
      <c r="A13" s="296"/>
      <c r="B13" s="299"/>
      <c r="C13" s="174" t="s">
        <v>147</v>
      </c>
      <c r="D13" s="300"/>
      <c r="E13" s="301"/>
      <c r="F13" s="301"/>
      <c r="G13" s="301"/>
      <c r="H13" s="301"/>
      <c r="I13" s="302"/>
      <c r="J13" s="162">
        <f>K13*$E$3</f>
        <v>0.42599999999999999</v>
      </c>
      <c r="K13" s="170">
        <v>6</v>
      </c>
      <c r="L13" s="112"/>
    </row>
    <row r="14" spans="1:18" ht="15.75" customHeight="1" thickBot="1" x14ac:dyDescent="0.25">
      <c r="A14" s="196">
        <f>INDEX('План-отчет отдела'!$A$1:$A$40,SUMPRODUCT(LARGE(('План-отчет отдела'!$M$6:$M$40=$B$3)*ROW($M$6:$M$40),COUNTIF('План-отчет отдела'!$M$6:$M$40,$B$3)-ROW(A8)/4+1)))</f>
        <v>5</v>
      </c>
      <c r="B14" s="156" t="s">
        <v>125</v>
      </c>
      <c r="C14" s="157"/>
      <c r="D14" s="303">
        <f>SUMPRODUCT(D11:D13,E11:E13,F11:F13)</f>
        <v>0.75</v>
      </c>
      <c r="E14" s="304"/>
      <c r="F14" s="305"/>
      <c r="G14" s="165"/>
      <c r="H14" s="165"/>
      <c r="I14" s="165"/>
      <c r="J14" s="187">
        <f>SUM(J11:J13)</f>
        <v>1.3640000000000001</v>
      </c>
      <c r="K14" s="188">
        <f>SUM(K11:K13)</f>
        <v>19.2</v>
      </c>
      <c r="L14" s="167"/>
    </row>
    <row r="15" spans="1:18" ht="15.75" customHeight="1" thickBot="1" x14ac:dyDescent="0.25">
      <c r="A15" s="283" t="str">
        <f>INDEX('План-отчет отдела'!$K$1:$K$40,SUMPRODUCT(LARGE(('План-отчет отдела'!$M$6:$M$40=$B$3)*ROW($M$6:$M$40),COUNTIF('План-отчет отдела'!$M$6:$M$40,$B$3)-ROW(A12)/4+1)))</f>
        <v>2016.559-ТХ</v>
      </c>
      <c r="B15" s="286" t="str">
        <f>INDEX('План-отчет отдела'!$B$1:$B$40,SUMPRODUCT(LARGE(('План-отчет отдела'!$M$6:$M$40=$B$3)*ROW($M$6:$M$40),COUNTIF('План-отчет отдела'!$M$6:$M$40,$B$3)-ROW(B12)/4+1)))</f>
        <v>Доменный цех.  ДП №3. Капремонт II разряда в 2018г.  Централизованная смазка оборудования воздухонагревателей №10, №11 и №12.                                       (МВЗ 2514101539)</v>
      </c>
      <c r="C15" s="146"/>
      <c r="D15" s="140">
        <v>0</v>
      </c>
      <c r="E15" s="140">
        <v>1</v>
      </c>
      <c r="F15" s="140">
        <v>0.75</v>
      </c>
      <c r="G15" s="140">
        <v>1</v>
      </c>
      <c r="H15" s="140">
        <v>1.25</v>
      </c>
      <c r="I15" s="140">
        <v>1</v>
      </c>
      <c r="J15" s="147">
        <f>PRODUCT(D15:I15)*L15</f>
        <v>0</v>
      </c>
      <c r="K15" s="141">
        <f>J15/$E$3</f>
        <v>0</v>
      </c>
      <c r="L15" s="112">
        <f>$M$5</f>
        <v>1</v>
      </c>
    </row>
    <row r="16" spans="1:18" ht="15.75" thickBot="1" x14ac:dyDescent="0.25">
      <c r="A16" s="284"/>
      <c r="B16" s="287"/>
      <c r="C16" s="146"/>
      <c r="D16" s="140">
        <v>0</v>
      </c>
      <c r="E16" s="140">
        <v>1</v>
      </c>
      <c r="F16" s="140">
        <v>0.75</v>
      </c>
      <c r="G16" s="140">
        <v>1</v>
      </c>
      <c r="H16" s="140">
        <v>1.25</v>
      </c>
      <c r="I16" s="140">
        <v>1</v>
      </c>
      <c r="J16" s="147">
        <f>PRODUCT(D16:I16)*L16</f>
        <v>0</v>
      </c>
      <c r="K16" s="141">
        <f>J16/$E$3</f>
        <v>0</v>
      </c>
      <c r="L16" s="112">
        <v>3.3</v>
      </c>
    </row>
    <row r="17" spans="1:12" ht="59.25" customHeight="1" thickBot="1" x14ac:dyDescent="0.25">
      <c r="A17" s="285"/>
      <c r="B17" s="288"/>
      <c r="C17" s="201" t="s">
        <v>147</v>
      </c>
      <c r="D17" s="140"/>
      <c r="E17" s="140"/>
      <c r="F17" s="140"/>
      <c r="G17" s="140"/>
      <c r="H17" s="140"/>
      <c r="I17" s="140"/>
      <c r="J17" s="147">
        <f>K17*$E$3</f>
        <v>0</v>
      </c>
      <c r="K17" s="49"/>
      <c r="L17" s="112"/>
    </row>
    <row r="18" spans="1:12" ht="15.75" thickBot="1" x14ac:dyDescent="0.25">
      <c r="A18" s="152">
        <f>INDEX('План-отчет отдела'!$A$1:$A$40,SUMPRODUCT(LARGE(('План-отчет отдела'!$M$6:$M$40=$B$3)*ROW($M$6:$M$40),COUNTIF('План-отчет отдела'!$M$6:$M$40,$B$3)-ROW(A12)/4+1)))</f>
        <v>8</v>
      </c>
      <c r="B18" s="143" t="s">
        <v>125</v>
      </c>
      <c r="C18" s="142"/>
      <c r="D18" s="306">
        <f>SUMPRODUCT(D15:D17,E15:E17,F15:F17)</f>
        <v>0</v>
      </c>
      <c r="E18" s="307"/>
      <c r="F18" s="308"/>
      <c r="G18" s="144"/>
      <c r="H18" s="144"/>
      <c r="I18" s="144"/>
      <c r="J18" s="148">
        <f>SUM(J15:J17)</f>
        <v>0</v>
      </c>
      <c r="K18" s="145">
        <f>SUM(K15:K17)</f>
        <v>0</v>
      </c>
      <c r="L18" s="112"/>
    </row>
    <row r="19" spans="1:12" ht="15.75" customHeight="1" thickBot="1" x14ac:dyDescent="0.25">
      <c r="A19" s="283" t="e">
        <f>INDEX('План-отчет отдела'!$K$1:$K$40,SUMPRODUCT(LARGE(('План-отчет отдела'!$M$6:$M$40=$B$3)*ROW($M$6:$M$40),COUNTIF('План-отчет отдела'!$M$6:$M$40,$B$3)-ROW(A16)/4+1)))</f>
        <v>#NUM!</v>
      </c>
      <c r="B19" s="236" t="e">
        <f>INDEX('План-отчет отдела'!$B$1:$B$40,SUMPRODUCT(LARGE(('План-отчет отдела'!$M$6:$M$40=$B$3)*ROW($M$6:$M$40),COUNTIF('План-отчет отдела'!$M$6:$M$40,$B$3)-ROW(B16)/4+1)))</f>
        <v>#NUM!</v>
      </c>
      <c r="C19" s="146"/>
      <c r="D19" s="140">
        <v>0</v>
      </c>
      <c r="E19" s="140">
        <v>1</v>
      </c>
      <c r="F19" s="140">
        <v>0.75</v>
      </c>
      <c r="G19" s="140">
        <v>1</v>
      </c>
      <c r="H19" s="140">
        <v>1.25</v>
      </c>
      <c r="I19" s="140">
        <v>1</v>
      </c>
      <c r="J19" s="147">
        <f>PRODUCT(D19:I19)*L19</f>
        <v>0</v>
      </c>
      <c r="K19" s="141">
        <f>J19/$E$3</f>
        <v>0</v>
      </c>
      <c r="L19" s="112">
        <f>$M$5</f>
        <v>1</v>
      </c>
    </row>
    <row r="20" spans="1:12" ht="15.75" customHeight="1" thickBot="1" x14ac:dyDescent="0.25">
      <c r="A20" s="284"/>
      <c r="B20" s="237"/>
      <c r="C20" s="146"/>
      <c r="D20" s="140">
        <v>0</v>
      </c>
      <c r="E20" s="140">
        <v>1</v>
      </c>
      <c r="F20" s="140">
        <v>0.75</v>
      </c>
      <c r="G20" s="140">
        <v>1</v>
      </c>
      <c r="H20" s="140">
        <v>1.25</v>
      </c>
      <c r="I20" s="140">
        <v>1</v>
      </c>
      <c r="J20" s="147">
        <f>PRODUCT(D20:I20)*L20</f>
        <v>0</v>
      </c>
      <c r="K20" s="141">
        <f>J20/$E$3</f>
        <v>0</v>
      </c>
      <c r="L20" s="112">
        <v>4.3</v>
      </c>
    </row>
    <row r="21" spans="1:12" ht="45.75" customHeight="1" thickBot="1" x14ac:dyDescent="0.25">
      <c r="A21" s="285"/>
      <c r="B21" s="238"/>
      <c r="C21" s="174" t="s">
        <v>147</v>
      </c>
      <c r="D21" s="300"/>
      <c r="E21" s="301"/>
      <c r="F21" s="301"/>
      <c r="G21" s="301"/>
      <c r="H21" s="301"/>
      <c r="I21" s="302"/>
      <c r="J21" s="162">
        <f>K21*$E$3</f>
        <v>3.4079999999999999</v>
      </c>
      <c r="K21" s="164">
        <f>H4*0.4</f>
        <v>48</v>
      </c>
      <c r="L21" s="112"/>
    </row>
    <row r="22" spans="1:12" ht="15.75" thickBot="1" x14ac:dyDescent="0.25">
      <c r="A22" s="196" t="e">
        <f>INDEX('План-отчет отдела'!$A$1:$A$40,SUMPRODUCT(LARGE(('План-отчет отдела'!$M$6:$M$40=$B$3)*ROW($M$6:$M$40),COUNTIF('План-отчет отдела'!$M$6:$M$40,$B$3)-ROW(A16)/4+1)))</f>
        <v>#NUM!</v>
      </c>
      <c r="B22" s="156" t="s">
        <v>125</v>
      </c>
      <c r="C22" s="157"/>
      <c r="D22" s="303">
        <f>SUMPRODUCT(D19:D21,E19:E21,F19:F21)</f>
        <v>0</v>
      </c>
      <c r="E22" s="304"/>
      <c r="F22" s="305"/>
      <c r="G22" s="165"/>
      <c r="H22" s="165"/>
      <c r="I22" s="165"/>
      <c r="J22" s="187">
        <f>SUM(J19:J21)</f>
        <v>3.4079999999999999</v>
      </c>
      <c r="K22" s="188">
        <f>SUM(K19:K21)</f>
        <v>48</v>
      </c>
      <c r="L22" s="167"/>
    </row>
    <row r="23" spans="1:12" ht="15.75" thickBot="1" x14ac:dyDescent="0.25">
      <c r="A23" s="283" t="e">
        <f>INDEX('План-отчет отдела'!$K$1:$K$40,SUMPRODUCT(LARGE(('План-отчет отдела'!$M$6:$M$40=$B$3)*ROW($M$6:$M$40),COUNTIF('План-отчет отдела'!$M$6:$M$40,$B$3)-ROW(A20)/4+1)))</f>
        <v>#NUM!</v>
      </c>
      <c r="B23" s="286" t="e">
        <f>INDEX('План-отчет отдела'!$B$1:$B$40,SUMPRODUCT(LARGE(('План-отчет отдела'!$M$6:$M$40=$B$3)*ROW($M$6:$M$40),COUNTIF('План-отчет отдела'!$M$6:$M$40,$B$3)-ROW(B20)/4+1)))</f>
        <v>#NUM!</v>
      </c>
      <c r="C23" s="146"/>
      <c r="D23" s="140">
        <v>0</v>
      </c>
      <c r="E23" s="140">
        <v>1</v>
      </c>
      <c r="F23" s="140">
        <v>0.75</v>
      </c>
      <c r="G23" s="140">
        <v>1</v>
      </c>
      <c r="H23" s="140">
        <v>1.25</v>
      </c>
      <c r="I23" s="140">
        <v>1</v>
      </c>
      <c r="J23" s="147">
        <f>PRODUCT(D23:I23)*L23</f>
        <v>0</v>
      </c>
      <c r="K23" s="141">
        <f>J23/$E$3</f>
        <v>0</v>
      </c>
      <c r="L23" s="112">
        <f>$M$5</f>
        <v>1</v>
      </c>
    </row>
    <row r="24" spans="1:12" ht="15.75" thickBot="1" x14ac:dyDescent="0.25">
      <c r="A24" s="284"/>
      <c r="B24" s="287"/>
      <c r="C24" s="146"/>
      <c r="D24" s="140">
        <v>0</v>
      </c>
      <c r="E24" s="140">
        <v>1</v>
      </c>
      <c r="F24" s="140">
        <v>0.75</v>
      </c>
      <c r="G24" s="140">
        <v>1</v>
      </c>
      <c r="H24" s="140">
        <v>1.25</v>
      </c>
      <c r="I24" s="140">
        <v>1</v>
      </c>
      <c r="J24" s="147">
        <f>PRODUCT(D24:I24)*L24</f>
        <v>0</v>
      </c>
      <c r="K24" s="141">
        <f>J24/$E$3</f>
        <v>0</v>
      </c>
      <c r="L24" s="112">
        <v>5.3</v>
      </c>
    </row>
    <row r="25" spans="1:12" ht="45.75" thickBot="1" x14ac:dyDescent="0.25">
      <c r="A25" s="285"/>
      <c r="B25" s="288"/>
      <c r="C25" s="201" t="s">
        <v>147</v>
      </c>
      <c r="D25" s="140"/>
      <c r="E25" s="140"/>
      <c r="F25" s="140"/>
      <c r="G25" s="140"/>
      <c r="H25" s="140"/>
      <c r="I25" s="140"/>
      <c r="J25" s="147">
        <f>K25*$E$3</f>
        <v>0</v>
      </c>
      <c r="K25" s="49"/>
      <c r="L25" s="112"/>
    </row>
    <row r="26" spans="1:12" ht="15.75" thickBot="1" x14ac:dyDescent="0.25">
      <c r="A26" s="152" t="e">
        <f>INDEX('План-отчет отдела'!$A$1:$A$40,SUMPRODUCT(LARGE(('План-отчет отдела'!$M$6:$M$40=$B$3)*ROW($M$6:$M$40),COUNTIF('План-отчет отдела'!$M$6:$M$40,$B$3)-ROW(A20)/4+1)))</f>
        <v>#NUM!</v>
      </c>
      <c r="B26" s="143" t="s">
        <v>125</v>
      </c>
      <c r="C26" s="142"/>
      <c r="D26" s="306">
        <f>SUMPRODUCT(D23:D25,E23:E25,F23:F25)</f>
        <v>0</v>
      </c>
      <c r="E26" s="307"/>
      <c r="F26" s="308"/>
      <c r="G26" s="144"/>
      <c r="H26" s="144"/>
      <c r="I26" s="144"/>
      <c r="J26" s="148">
        <f>SUM(J23:J25)</f>
        <v>0</v>
      </c>
      <c r="K26" s="145">
        <f>SUM(K23:K25)</f>
        <v>0</v>
      </c>
      <c r="L26" s="112"/>
    </row>
    <row r="27" spans="1:12" ht="15.75" thickBot="1" x14ac:dyDescent="0.25">
      <c r="A27" s="202"/>
      <c r="B27" s="203" t="s">
        <v>130</v>
      </c>
      <c r="C27" s="201"/>
      <c r="D27" s="300"/>
      <c r="E27" s="301"/>
      <c r="F27" s="302"/>
      <c r="G27" s="140"/>
      <c r="H27" s="140"/>
      <c r="I27" s="140"/>
      <c r="J27" s="147">
        <f>K27*$E$3</f>
        <v>0</v>
      </c>
      <c r="K27" s="141">
        <v>0</v>
      </c>
      <c r="L27" s="112"/>
    </row>
    <row r="28" spans="1:12" ht="78" thickBot="1" x14ac:dyDescent="0.25">
      <c r="A28" s="202" t="e">
        <f>'План-отчет отдела'!#REF!</f>
        <v>#REF!</v>
      </c>
      <c r="B28" s="143" t="s">
        <v>125</v>
      </c>
      <c r="C28" s="142"/>
      <c r="D28" s="306"/>
      <c r="E28" s="307"/>
      <c r="F28" s="308"/>
      <c r="G28" s="144"/>
      <c r="H28" s="144"/>
      <c r="I28" s="144"/>
      <c r="J28" s="148">
        <f>SUM(J25:J27)</f>
        <v>0</v>
      </c>
      <c r="K28" s="145">
        <f>SUM(K25:K27)</f>
        <v>0</v>
      </c>
      <c r="L28" s="112"/>
    </row>
    <row r="29" spans="1:12" ht="15.75" thickBot="1" x14ac:dyDescent="0.25">
      <c r="A29" s="158"/>
      <c r="B29" s="156" t="s">
        <v>135</v>
      </c>
      <c r="C29" s="155"/>
      <c r="D29" s="309">
        <f>SUMIFS($D$7:$D$28,$B$7:$B$28,"всего")</f>
        <v>2.25</v>
      </c>
      <c r="E29" s="310"/>
      <c r="F29" s="311"/>
      <c r="G29" s="165"/>
      <c r="H29" s="165"/>
      <c r="I29" s="165"/>
      <c r="J29" s="168">
        <f>SUMIF($B$7:$B$28,"всего",J7:J28)</f>
        <v>10.053000000000001</v>
      </c>
      <c r="K29" s="166">
        <f>SUMIFS($K$7:$K$28,$B$7:$B$28,"всего")</f>
        <v>141.6</v>
      </c>
      <c r="L29" s="169"/>
    </row>
    <row r="31" spans="1:12" x14ac:dyDescent="0.2">
      <c r="A31" s="137"/>
    </row>
    <row r="32" spans="1:12" x14ac:dyDescent="0.2">
      <c r="A32" s="137"/>
    </row>
    <row r="33" spans="1:1" x14ac:dyDescent="0.2">
      <c r="A33" s="137"/>
    </row>
    <row r="34" spans="1:1" x14ac:dyDescent="0.2">
      <c r="A34" s="137"/>
    </row>
    <row r="35" spans="1:1" x14ac:dyDescent="0.2">
      <c r="A35" s="137"/>
    </row>
    <row r="36" spans="1:1" x14ac:dyDescent="0.2">
      <c r="A36" s="137"/>
    </row>
    <row r="37" spans="1:1" x14ac:dyDescent="0.2">
      <c r="A37" s="137"/>
    </row>
    <row r="38" spans="1:1" x14ac:dyDescent="0.2">
      <c r="A38" s="137"/>
    </row>
  </sheetData>
  <sheetProtection insertColumns="0" insertRows="0"/>
  <autoFilter ref="A6:L29"/>
  <mergeCells count="26">
    <mergeCell ref="D26:F26"/>
    <mergeCell ref="D27:F27"/>
    <mergeCell ref="D28:F28"/>
    <mergeCell ref="D29:F29"/>
    <mergeCell ref="D18:F18"/>
    <mergeCell ref="A19:A21"/>
    <mergeCell ref="B19:B21"/>
    <mergeCell ref="D21:I21"/>
    <mergeCell ref="D22:F22"/>
    <mergeCell ref="A23:A25"/>
    <mergeCell ref="B23:B25"/>
    <mergeCell ref="A15:A17"/>
    <mergeCell ref="B15:B17"/>
    <mergeCell ref="A1:M1"/>
    <mergeCell ref="F3:G3"/>
    <mergeCell ref="H3:J3"/>
    <mergeCell ref="A4:F4"/>
    <mergeCell ref="H4:J4"/>
    <mergeCell ref="A7:A9"/>
    <mergeCell ref="B7:B9"/>
    <mergeCell ref="D9:I9"/>
    <mergeCell ref="D10:F10"/>
    <mergeCell ref="A11:A13"/>
    <mergeCell ref="B11:B13"/>
    <mergeCell ref="D13:I13"/>
    <mergeCell ref="D14:F14"/>
  </mergeCells>
  <dataValidations count="1">
    <dataValidation type="list" allowBlank="1" showInputMessage="1" showErrorMessage="1" sqref="B3">
      <formula1>Исп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11" sqref="B11:B13"/>
    </sheetView>
  </sheetViews>
  <sheetFormatPr defaultRowHeight="12.75" x14ac:dyDescent="0.2"/>
  <cols>
    <col min="1" max="1" width="4.5703125" customWidth="1"/>
    <col min="2" max="2" width="30.7109375" customWidth="1"/>
    <col min="3" max="3" width="21.5703125" customWidth="1"/>
    <col min="10" max="10" width="9.5703125" bestFit="1" customWidth="1"/>
    <col min="11" max="11" width="10.5703125" bestFit="1" customWidth="1"/>
    <col min="13" max="13" width="16.42578125" customWidth="1"/>
  </cols>
  <sheetData>
    <row r="1" spans="1:18" ht="15.75" x14ac:dyDescent="0.2">
      <c r="A1" s="289" t="s">
        <v>136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</row>
    <row r="2" spans="1:18" ht="18.75" customHeight="1" x14ac:dyDescent="0.2">
      <c r="A2" s="175"/>
      <c r="B2" s="176" t="s">
        <v>146</v>
      </c>
      <c r="C2" s="177"/>
      <c r="D2" s="177"/>
      <c r="E2" s="211"/>
      <c r="F2" s="211"/>
      <c r="G2" s="211"/>
      <c r="H2" s="211"/>
      <c r="I2" s="211"/>
      <c r="J2" s="211"/>
      <c r="K2" s="211"/>
      <c r="L2" s="211"/>
      <c r="M2" s="211"/>
    </row>
    <row r="3" spans="1:18" ht="19.5" customHeight="1" thickBot="1" x14ac:dyDescent="0.25">
      <c r="A3" s="175"/>
      <c r="B3" s="176" t="s">
        <v>54</v>
      </c>
      <c r="C3" s="178"/>
      <c r="D3" s="179" t="s">
        <v>140</v>
      </c>
      <c r="E3" s="180">
        <f>'состав отдела'!D12</f>
        <v>7.0999999999999994E-2</v>
      </c>
      <c r="F3" s="290" t="s">
        <v>141</v>
      </c>
      <c r="G3" s="290"/>
      <c r="H3" s="291" t="str">
        <f>'состав отдела'!H1</f>
        <v>сентябрь 2017 г.</v>
      </c>
      <c r="I3" s="291"/>
      <c r="J3" s="291"/>
      <c r="K3" s="181"/>
      <c r="L3" s="182" t="s">
        <v>142</v>
      </c>
      <c r="M3" s="183"/>
      <c r="O3" s="143" t="s">
        <v>125</v>
      </c>
      <c r="R3" s="96"/>
    </row>
    <row r="4" spans="1:18" ht="15" x14ac:dyDescent="0.2">
      <c r="A4" s="292"/>
      <c r="B4" s="292"/>
      <c r="C4" s="292"/>
      <c r="D4" s="292"/>
      <c r="E4" s="292"/>
      <c r="F4" s="292"/>
      <c r="G4" s="179" t="s">
        <v>144</v>
      </c>
      <c r="H4" s="293">
        <f>'состав отдела'!E12</f>
        <v>120</v>
      </c>
      <c r="I4" s="293"/>
      <c r="J4" s="293"/>
      <c r="K4" s="184">
        <f>H4*E3</f>
        <v>8.52</v>
      </c>
      <c r="L4" s="185" t="s">
        <v>145</v>
      </c>
      <c r="M4" s="186"/>
    </row>
    <row r="5" spans="1:18" ht="13.5" thickBot="1" x14ac:dyDescent="0.25">
      <c r="A5" s="150"/>
      <c r="B5" s="151"/>
      <c r="C5" s="151"/>
      <c r="D5" s="149"/>
      <c r="E5" s="149"/>
      <c r="F5" s="149"/>
      <c r="G5" s="149"/>
      <c r="H5" s="149"/>
      <c r="I5" s="149"/>
      <c r="J5" s="149"/>
      <c r="K5" s="149"/>
      <c r="L5" s="149"/>
      <c r="M5" s="149">
        <v>1</v>
      </c>
    </row>
    <row r="6" spans="1:18" ht="110.25" customHeight="1" thickBot="1" x14ac:dyDescent="0.25">
      <c r="A6" s="153" t="s">
        <v>149</v>
      </c>
      <c r="B6" s="154" t="s">
        <v>110</v>
      </c>
      <c r="C6" s="154" t="s">
        <v>111</v>
      </c>
      <c r="D6" s="159" t="s">
        <v>112</v>
      </c>
      <c r="E6" s="160" t="s">
        <v>113</v>
      </c>
      <c r="F6" s="159" t="s">
        <v>114</v>
      </c>
      <c r="G6" s="160" t="s">
        <v>115</v>
      </c>
      <c r="H6" s="159" t="s">
        <v>116</v>
      </c>
      <c r="I6" s="160" t="s">
        <v>117</v>
      </c>
      <c r="J6" s="161" t="s">
        <v>118</v>
      </c>
      <c r="K6" s="159" t="s">
        <v>119</v>
      </c>
      <c r="L6" s="159" t="s">
        <v>148</v>
      </c>
    </row>
    <row r="7" spans="1:18" ht="15.75" customHeight="1" thickBot="1" x14ac:dyDescent="0.25">
      <c r="A7" s="294" t="str">
        <f>INDEX('План-отчет отдела'!$K$1:$K$40,IF(ISEVEN(Стр),Стр,Стр-1))</f>
        <v>2016.529-ТХ</v>
      </c>
      <c r="B7" s="297" t="str">
        <f>INDEX('План-отчет отдела'!$B$1:$B$40,IF(ISEVEN(Стр),Стр,Стр-1))</f>
        <v>Доменный цех.  ДП №3. Капремонт II разряда в 2018г. Замена защитных плит купола печи. (МВЗ 2514101539)</v>
      </c>
      <c r="C7" s="173" t="s">
        <v>150</v>
      </c>
      <c r="D7" s="171">
        <v>1</v>
      </c>
      <c r="E7" s="171">
        <v>1</v>
      </c>
      <c r="F7" s="171">
        <v>0.75</v>
      </c>
      <c r="G7" s="171">
        <v>1</v>
      </c>
      <c r="H7" s="171">
        <v>1.25</v>
      </c>
      <c r="I7" s="171">
        <v>1</v>
      </c>
      <c r="J7" s="162">
        <f>PRODUCT(D7:I7)*L7</f>
        <v>0.93799999999999994</v>
      </c>
      <c r="K7" s="163">
        <f>J7/$E$3</f>
        <v>13.2</v>
      </c>
      <c r="L7" s="172">
        <f>$M$5</f>
        <v>1</v>
      </c>
    </row>
    <row r="8" spans="1:18" ht="15.75" thickBot="1" x14ac:dyDescent="0.25">
      <c r="A8" s="295"/>
      <c r="B8" s="298"/>
      <c r="C8" s="173" t="s">
        <v>151</v>
      </c>
      <c r="D8" s="171">
        <v>1</v>
      </c>
      <c r="E8" s="171">
        <v>1</v>
      </c>
      <c r="F8" s="171">
        <v>0.75</v>
      </c>
      <c r="G8" s="171">
        <v>1</v>
      </c>
      <c r="H8" s="171">
        <v>1.25</v>
      </c>
      <c r="I8" s="171">
        <v>1</v>
      </c>
      <c r="J8" s="162">
        <f>PRODUCT(D8:I8)*L8</f>
        <v>1.2190000000000001</v>
      </c>
      <c r="K8" s="163">
        <f>J8/$E$3</f>
        <v>17.2</v>
      </c>
      <c r="L8" s="172">
        <v>1.3</v>
      </c>
    </row>
    <row r="9" spans="1:18" ht="55.5" customHeight="1" thickBot="1" x14ac:dyDescent="0.25">
      <c r="A9" s="296"/>
      <c r="B9" s="299"/>
      <c r="C9" s="174" t="s">
        <v>147</v>
      </c>
      <c r="D9" s="300"/>
      <c r="E9" s="301"/>
      <c r="F9" s="301"/>
      <c r="G9" s="301"/>
      <c r="H9" s="301"/>
      <c r="I9" s="302"/>
      <c r="J9" s="162">
        <f>K9*$E$3</f>
        <v>1.633</v>
      </c>
      <c r="K9" s="170">
        <v>23</v>
      </c>
      <c r="L9" s="112"/>
    </row>
    <row r="10" spans="1:18" ht="15.75" thickBot="1" x14ac:dyDescent="0.25">
      <c r="A10" s="196">
        <f>INDEX('План-отчет отдела'!$A$1:$A$40,IF(ISEVEN(Стр),Стр,Стр-1))</f>
        <v>1</v>
      </c>
      <c r="B10" s="156" t="s">
        <v>125</v>
      </c>
      <c r="C10" s="157"/>
      <c r="D10" s="303">
        <f>SUMPRODUCT(D7:D9,E7:E9,F7:F9)</f>
        <v>1.5</v>
      </c>
      <c r="E10" s="304"/>
      <c r="F10" s="305"/>
      <c r="G10" s="165"/>
      <c r="H10" s="165"/>
      <c r="I10" s="165"/>
      <c r="J10" s="187">
        <f>SUM(J7:J9)</f>
        <v>3.79</v>
      </c>
      <c r="K10" s="188">
        <f>SUM(K7:K9)</f>
        <v>53.4</v>
      </c>
      <c r="L10" s="167"/>
    </row>
    <row r="11" spans="1:18" ht="15.75" thickBot="1" x14ac:dyDescent="0.25">
      <c r="A11" s="294" t="str">
        <f>INDEX('План-отчет отдела'!$K$1:$K$40,IF(ISEVEN(Стр),Стр,Стр-1))</f>
        <v>2017.260-ТХ</v>
      </c>
      <c r="B11" s="297" t="str">
        <f>INDEX('План-отчет отдела'!$B$1:$B$40,IF(ISEVEN(Стр),Стр,Стр-1))</f>
        <v>КХП. ЦХУиПКХП. Эстакада погрузки полимеров в железнодорожный транспорт</v>
      </c>
      <c r="C11" s="173" t="s">
        <v>152</v>
      </c>
      <c r="D11" s="171">
        <v>1</v>
      </c>
      <c r="E11" s="171">
        <v>1</v>
      </c>
      <c r="F11" s="171">
        <v>0.75</v>
      </c>
      <c r="G11" s="171">
        <v>1</v>
      </c>
      <c r="H11" s="171">
        <v>1.25</v>
      </c>
      <c r="I11" s="171">
        <v>1</v>
      </c>
      <c r="J11" s="162">
        <f>PRODUCT(D11:I11)*L11</f>
        <v>0.93799999999999994</v>
      </c>
      <c r="K11" s="163">
        <f>J11/$E$3</f>
        <v>13.2</v>
      </c>
      <c r="L11" s="172">
        <f>$M$5</f>
        <v>1</v>
      </c>
    </row>
    <row r="12" spans="1:18" ht="15.75" thickBot="1" x14ac:dyDescent="0.25">
      <c r="A12" s="295"/>
      <c r="B12" s="298"/>
      <c r="C12" s="174"/>
      <c r="D12" s="205"/>
      <c r="E12" s="206"/>
      <c r="F12" s="206"/>
      <c r="G12" s="206"/>
      <c r="H12" s="206"/>
      <c r="I12" s="207"/>
      <c r="J12" s="162"/>
      <c r="K12" s="163"/>
      <c r="L12" s="172"/>
    </row>
    <row r="13" spans="1:18" ht="57.75" customHeight="1" thickBot="1" x14ac:dyDescent="0.25">
      <c r="A13" s="296"/>
      <c r="B13" s="299"/>
      <c r="C13" s="174" t="s">
        <v>147</v>
      </c>
      <c r="D13" s="300"/>
      <c r="E13" s="301"/>
      <c r="F13" s="301"/>
      <c r="G13" s="301"/>
      <c r="H13" s="301"/>
      <c r="I13" s="302"/>
      <c r="J13" s="162">
        <f>K13*$E$3</f>
        <v>0.42599999999999999</v>
      </c>
      <c r="K13" s="170">
        <v>6</v>
      </c>
      <c r="L13" s="112"/>
    </row>
    <row r="14" spans="1:18" ht="15.75" customHeight="1" thickBot="1" x14ac:dyDescent="0.25">
      <c r="A14" s="196">
        <f>INDEX('План-отчет отдела'!$A$1:$A$40,IF(ISEVEN(Стр),Стр,Стр-1))</f>
        <v>2</v>
      </c>
      <c r="B14" s="156" t="s">
        <v>125</v>
      </c>
      <c r="C14" s="157"/>
      <c r="D14" s="303">
        <f>SUMPRODUCT(D11:D13,E11:E13,F11:F13)</f>
        <v>0.75</v>
      </c>
      <c r="E14" s="304"/>
      <c r="F14" s="305"/>
      <c r="G14" s="165"/>
      <c r="H14" s="165"/>
      <c r="I14" s="165"/>
      <c r="J14" s="187">
        <f>SUM(J11:J13)</f>
        <v>1.3640000000000001</v>
      </c>
      <c r="K14" s="188">
        <f>SUM(K11:K13)</f>
        <v>19.2</v>
      </c>
      <c r="L14" s="167"/>
    </row>
    <row r="15" spans="1:18" ht="15.75" customHeight="1" thickBot="1" x14ac:dyDescent="0.25">
      <c r="A15" s="283" t="str">
        <f>INDEX('План-отчет отдела'!$K$1:$K$40,IF(ISEVEN(Стр),Стр,Стр-1))</f>
        <v>2017.326-ТХ</v>
      </c>
      <c r="B15" s="286" t="str">
        <f>INDEX('План-отчет отдела'!$B$1:$B$40,IF(ISEVEN(Стр),Стр,Стр-1))</f>
        <v>Аглофабрка. Футеровка окомкователей ОБ 3,2х12,5 высокомолекулярным полиэтиленом</v>
      </c>
      <c r="C15" s="146"/>
      <c r="D15" s="140">
        <v>0</v>
      </c>
      <c r="E15" s="140">
        <v>1</v>
      </c>
      <c r="F15" s="140">
        <v>0.75</v>
      </c>
      <c r="G15" s="140">
        <v>1</v>
      </c>
      <c r="H15" s="140">
        <v>1.25</v>
      </c>
      <c r="I15" s="140">
        <v>1</v>
      </c>
      <c r="J15" s="147">
        <f>PRODUCT(D15:I15)*L15</f>
        <v>0</v>
      </c>
      <c r="K15" s="141">
        <f>J15/$E$3</f>
        <v>0</v>
      </c>
      <c r="L15" s="112">
        <f>$M$5</f>
        <v>1</v>
      </c>
    </row>
    <row r="16" spans="1:18" ht="15.75" thickBot="1" x14ac:dyDescent="0.25">
      <c r="A16" s="284"/>
      <c r="B16" s="287"/>
      <c r="C16" s="146"/>
      <c r="D16" s="140">
        <v>0</v>
      </c>
      <c r="E16" s="140">
        <v>1</v>
      </c>
      <c r="F16" s="140">
        <v>0.75</v>
      </c>
      <c r="G16" s="140">
        <v>1</v>
      </c>
      <c r="H16" s="140">
        <v>1.25</v>
      </c>
      <c r="I16" s="140">
        <v>1</v>
      </c>
      <c r="J16" s="147">
        <f>PRODUCT(D16:I16)*L16</f>
        <v>0</v>
      </c>
      <c r="K16" s="141">
        <f>J16/$E$3</f>
        <v>0</v>
      </c>
      <c r="L16" s="112">
        <v>3.3</v>
      </c>
    </row>
    <row r="17" spans="1:12" ht="59.25" customHeight="1" thickBot="1" x14ac:dyDescent="0.25">
      <c r="A17" s="285"/>
      <c r="B17" s="288"/>
      <c r="C17" s="208" t="s">
        <v>147</v>
      </c>
      <c r="D17" s="140"/>
      <c r="E17" s="140"/>
      <c r="F17" s="140"/>
      <c r="G17" s="140"/>
      <c r="H17" s="140"/>
      <c r="I17" s="140"/>
      <c r="J17" s="147">
        <f>K17*$E$3</f>
        <v>0</v>
      </c>
      <c r="K17" s="49"/>
      <c r="L17" s="112"/>
    </row>
    <row r="18" spans="1:12" ht="15.75" thickBot="1" x14ac:dyDescent="0.25">
      <c r="A18" s="152">
        <f>INDEX('План-отчет отдела'!$A$1:$A$40,IF(ISEVEN(Стр),Стр,Стр-1))</f>
        <v>3</v>
      </c>
      <c r="B18" s="143" t="s">
        <v>125</v>
      </c>
      <c r="C18" s="142"/>
      <c r="D18" s="306">
        <f>SUMPRODUCT(D15:D17,E15:E17,F15:F17)</f>
        <v>0</v>
      </c>
      <c r="E18" s="307"/>
      <c r="F18" s="308"/>
      <c r="G18" s="144"/>
      <c r="H18" s="144"/>
      <c r="I18" s="144"/>
      <c r="J18" s="148">
        <f>SUM(J15:J17)</f>
        <v>0</v>
      </c>
      <c r="K18" s="145">
        <f>SUM(K15:K17)</f>
        <v>0</v>
      </c>
      <c r="L18" s="112"/>
    </row>
    <row r="19" spans="1:12" ht="15.75" customHeight="1" thickBot="1" x14ac:dyDescent="0.25">
      <c r="A19" s="283" t="str">
        <f>INDEX('План-отчет отдела'!$K$1:$K$40,IF(ISEVEN(Стр),Стр,Стр-1))</f>
        <v>2016.557-ТХ</v>
      </c>
      <c r="B19" s="236" t="str">
        <f>INDEX('План-отчет отдела'!$B$1:$B$40,IF(ISEVEN(Стр),Стр,Стр-1))</f>
        <v>Доменный цех.  ДП №3. Капремонт II разряда в 2018г. Установка радарных уровнемеров. (МВЗ 2514101539)</v>
      </c>
      <c r="C19" s="146"/>
      <c r="D19" s="140">
        <v>0</v>
      </c>
      <c r="E19" s="140">
        <v>1</v>
      </c>
      <c r="F19" s="140">
        <v>0.75</v>
      </c>
      <c r="G19" s="140">
        <v>1</v>
      </c>
      <c r="H19" s="140">
        <v>1.25</v>
      </c>
      <c r="I19" s="140">
        <v>1</v>
      </c>
      <c r="J19" s="147">
        <f>PRODUCT(D19:I19)*L19</f>
        <v>0</v>
      </c>
      <c r="K19" s="141">
        <f>J19/$E$3</f>
        <v>0</v>
      </c>
      <c r="L19" s="112">
        <f>$M$5</f>
        <v>1</v>
      </c>
    </row>
    <row r="20" spans="1:12" ht="15.75" customHeight="1" thickBot="1" x14ac:dyDescent="0.25">
      <c r="A20" s="284"/>
      <c r="B20" s="237"/>
      <c r="C20" s="146"/>
      <c r="D20" s="140">
        <v>0</v>
      </c>
      <c r="E20" s="140">
        <v>1</v>
      </c>
      <c r="F20" s="140">
        <v>0.75</v>
      </c>
      <c r="G20" s="140">
        <v>1</v>
      </c>
      <c r="H20" s="140">
        <v>1.25</v>
      </c>
      <c r="I20" s="140">
        <v>1</v>
      </c>
      <c r="J20" s="147">
        <f>PRODUCT(D20:I20)*L20</f>
        <v>0</v>
      </c>
      <c r="K20" s="141">
        <f>J20/$E$3</f>
        <v>0</v>
      </c>
      <c r="L20" s="112">
        <v>4.3</v>
      </c>
    </row>
    <row r="21" spans="1:12" ht="45.75" customHeight="1" thickBot="1" x14ac:dyDescent="0.25">
      <c r="A21" s="285"/>
      <c r="B21" s="238"/>
      <c r="C21" s="174" t="s">
        <v>147</v>
      </c>
      <c r="D21" s="300"/>
      <c r="E21" s="301"/>
      <c r="F21" s="301"/>
      <c r="G21" s="301"/>
      <c r="H21" s="301"/>
      <c r="I21" s="302"/>
      <c r="J21" s="162">
        <f>K21*$E$3</f>
        <v>3.4079999999999999</v>
      </c>
      <c r="K21" s="164">
        <f>H4*0.4</f>
        <v>48</v>
      </c>
      <c r="L21" s="112"/>
    </row>
    <row r="22" spans="1:12" ht="15.75" thickBot="1" x14ac:dyDescent="0.25">
      <c r="A22" s="196">
        <f>INDEX('План-отчет отдела'!$A$1:$A$40,IF(ISEVEN(Стр),Стр,Стр-1))</f>
        <v>5</v>
      </c>
      <c r="B22" s="156" t="s">
        <v>125</v>
      </c>
      <c r="C22" s="157"/>
      <c r="D22" s="303">
        <f>SUMPRODUCT(D19:D21,E19:E21,F19:F21)</f>
        <v>0</v>
      </c>
      <c r="E22" s="304"/>
      <c r="F22" s="305"/>
      <c r="G22" s="165"/>
      <c r="H22" s="165"/>
      <c r="I22" s="165"/>
      <c r="J22" s="187">
        <f>SUM(J19:J21)</f>
        <v>3.4079999999999999</v>
      </c>
      <c r="K22" s="188">
        <f>SUM(K19:K21)</f>
        <v>48</v>
      </c>
      <c r="L22" s="167"/>
    </row>
    <row r="23" spans="1:12" ht="15.75" thickBot="1" x14ac:dyDescent="0.25">
      <c r="A23" s="283" t="str">
        <f>INDEX('План-отчет отдела'!$K$1:$K$40,IF(ISEVEN(Стр),Стр,Стр-1))</f>
        <v>2016.533-ТХ</v>
      </c>
      <c r="B23" s="286" t="str">
        <f>INDEX('План-отчет отдела'!$B$1:$B$40,IF(ISEVEN(Стр),Стр,Стр-1))</f>
        <v>Доменный цех.  ДП №3. Капремонт II разряда в 2018г. Замена весоповерочного оборудования бункеров агломерата и кокса.</v>
      </c>
      <c r="C23" s="146"/>
      <c r="D23" s="140">
        <v>0</v>
      </c>
      <c r="E23" s="140">
        <v>1</v>
      </c>
      <c r="F23" s="140">
        <v>0.75</v>
      </c>
      <c r="G23" s="140">
        <v>1</v>
      </c>
      <c r="H23" s="140">
        <v>1.25</v>
      </c>
      <c r="I23" s="140">
        <v>1</v>
      </c>
      <c r="J23" s="147">
        <f>PRODUCT(D23:I23)*L23</f>
        <v>0</v>
      </c>
      <c r="K23" s="141">
        <f>J23/$E$3</f>
        <v>0</v>
      </c>
      <c r="L23" s="112">
        <f>$M$5</f>
        <v>1</v>
      </c>
    </row>
    <row r="24" spans="1:12" ht="15.75" thickBot="1" x14ac:dyDescent="0.25">
      <c r="A24" s="284"/>
      <c r="B24" s="287"/>
      <c r="C24" s="146"/>
      <c r="D24" s="140">
        <v>0</v>
      </c>
      <c r="E24" s="140">
        <v>1</v>
      </c>
      <c r="F24" s="140">
        <v>0.75</v>
      </c>
      <c r="G24" s="140">
        <v>1</v>
      </c>
      <c r="H24" s="140">
        <v>1.25</v>
      </c>
      <c r="I24" s="140">
        <v>1</v>
      </c>
      <c r="J24" s="147">
        <f>PRODUCT(D24:I24)*L24</f>
        <v>0</v>
      </c>
      <c r="K24" s="141">
        <f>J24/$E$3</f>
        <v>0</v>
      </c>
      <c r="L24" s="112">
        <v>5.3</v>
      </c>
    </row>
    <row r="25" spans="1:12" ht="45.75" thickBot="1" x14ac:dyDescent="0.25">
      <c r="A25" s="285"/>
      <c r="B25" s="288"/>
      <c r="C25" s="208" t="s">
        <v>147</v>
      </c>
      <c r="D25" s="140"/>
      <c r="E25" s="140"/>
      <c r="F25" s="140"/>
      <c r="G25" s="140"/>
      <c r="H25" s="140"/>
      <c r="I25" s="140"/>
      <c r="J25" s="147">
        <f>K25*$E$3</f>
        <v>0</v>
      </c>
      <c r="K25" s="49"/>
      <c r="L25" s="112"/>
    </row>
    <row r="26" spans="1:12" ht="15.75" thickBot="1" x14ac:dyDescent="0.25">
      <c r="A26" s="152">
        <f>INDEX('План-отчет отдела'!$A$1:$A$40,IF(ISEVEN(Стр),Стр,Стр-1))</f>
        <v>6</v>
      </c>
      <c r="B26" s="143" t="s">
        <v>125</v>
      </c>
      <c r="C26" s="142"/>
      <c r="D26" s="306">
        <f>SUMPRODUCT(D23:D25,E23:E25,F23:F25)</f>
        <v>0</v>
      </c>
      <c r="E26" s="307"/>
      <c r="F26" s="308"/>
      <c r="G26" s="144"/>
      <c r="H26" s="144"/>
      <c r="I26" s="144"/>
      <c r="J26" s="148">
        <f>SUM(J23:J25)</f>
        <v>0</v>
      </c>
      <c r="K26" s="145">
        <f>SUM(K23:K25)</f>
        <v>0</v>
      </c>
      <c r="L26" s="112"/>
    </row>
    <row r="27" spans="1:12" ht="15.75" thickBot="1" x14ac:dyDescent="0.25">
      <c r="A27" s="209"/>
      <c r="B27" s="210" t="s">
        <v>130</v>
      </c>
      <c r="C27" s="208"/>
      <c r="D27" s="300"/>
      <c r="E27" s="301"/>
      <c r="F27" s="302"/>
      <c r="G27" s="140"/>
      <c r="H27" s="140"/>
      <c r="I27" s="140"/>
      <c r="J27" s="147">
        <f>K27*$E$3</f>
        <v>0</v>
      </c>
      <c r="K27" s="141">
        <v>0</v>
      </c>
      <c r="L27" s="112"/>
    </row>
    <row r="28" spans="1:12" ht="15.75" thickBot="1" x14ac:dyDescent="0.25">
      <c r="A28" s="209"/>
      <c r="B28" s="143" t="s">
        <v>125</v>
      </c>
      <c r="C28" s="142"/>
      <c r="D28" s="306"/>
      <c r="E28" s="307"/>
      <c r="F28" s="308"/>
      <c r="G28" s="144"/>
      <c r="H28" s="144"/>
      <c r="I28" s="144"/>
      <c r="J28" s="148">
        <f>SUM(J25:J27)</f>
        <v>0</v>
      </c>
      <c r="K28" s="145">
        <f>SUM(K25:K27)</f>
        <v>0</v>
      </c>
      <c r="L28" s="112"/>
    </row>
    <row r="29" spans="1:12" ht="15.75" thickBot="1" x14ac:dyDescent="0.25">
      <c r="A29" s="158"/>
      <c r="B29" s="156" t="s">
        <v>135</v>
      </c>
      <c r="C29" s="155"/>
      <c r="D29" s="309">
        <f>SUMIFS($D$7:$D$28,$B$7:$B$28,"всего")</f>
        <v>2.25</v>
      </c>
      <c r="E29" s="310"/>
      <c r="F29" s="311"/>
      <c r="G29" s="165"/>
      <c r="H29" s="165"/>
      <c r="I29" s="165"/>
      <c r="J29" s="168">
        <f>SUMIF($B$7:$B$28,"всего",J7:J28)</f>
        <v>8.5619999999999994</v>
      </c>
      <c r="K29" s="166">
        <f>SUMIFS($K$7:$K$28,$B$7:$B$28,"всего")</f>
        <v>120.6</v>
      </c>
      <c r="L29" s="169"/>
    </row>
    <row r="31" spans="1:12" x14ac:dyDescent="0.2">
      <c r="A31" s="137"/>
    </row>
    <row r="32" spans="1:12" x14ac:dyDescent="0.2">
      <c r="A32" s="137"/>
    </row>
    <row r="33" spans="1:1" x14ac:dyDescent="0.2">
      <c r="A33" s="137"/>
    </row>
    <row r="34" spans="1:1" x14ac:dyDescent="0.2">
      <c r="A34" s="137"/>
    </row>
    <row r="35" spans="1:1" x14ac:dyDescent="0.2">
      <c r="A35" s="137"/>
    </row>
    <row r="36" spans="1:1" x14ac:dyDescent="0.2">
      <c r="A36" s="137"/>
    </row>
    <row r="37" spans="1:1" x14ac:dyDescent="0.2">
      <c r="A37" s="137"/>
    </row>
    <row r="38" spans="1:1" x14ac:dyDescent="0.2">
      <c r="A38" s="137"/>
    </row>
  </sheetData>
  <sheetProtection insertColumns="0" insertRows="0"/>
  <autoFilter ref="A6:L29"/>
  <mergeCells count="26">
    <mergeCell ref="D26:F26"/>
    <mergeCell ref="D27:F27"/>
    <mergeCell ref="D28:F28"/>
    <mergeCell ref="D29:F29"/>
    <mergeCell ref="D18:F18"/>
    <mergeCell ref="A19:A21"/>
    <mergeCell ref="B19:B21"/>
    <mergeCell ref="D21:I21"/>
    <mergeCell ref="D22:F22"/>
    <mergeCell ref="A23:A25"/>
    <mergeCell ref="B23:B25"/>
    <mergeCell ref="D10:F10"/>
    <mergeCell ref="A11:A13"/>
    <mergeCell ref="B11:B13"/>
    <mergeCell ref="D13:I13"/>
    <mergeCell ref="D14:F14"/>
    <mergeCell ref="A15:A17"/>
    <mergeCell ref="B15:B17"/>
    <mergeCell ref="A1:M1"/>
    <mergeCell ref="F3:G3"/>
    <mergeCell ref="H3:J3"/>
    <mergeCell ref="A4:F4"/>
    <mergeCell ref="H4:J4"/>
    <mergeCell ref="A7:A9"/>
    <mergeCell ref="B7:B9"/>
    <mergeCell ref="D9:I9"/>
  </mergeCells>
  <dataValidations count="1">
    <dataValidation type="list" allowBlank="1" showInputMessage="1" showErrorMessage="1" sqref="B3">
      <formula1>Исп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B17" sqref="B17"/>
    </sheetView>
  </sheetViews>
  <sheetFormatPr defaultRowHeight="12.75" x14ac:dyDescent="0.2"/>
  <cols>
    <col min="1" max="1" width="6" customWidth="1"/>
    <col min="2" max="2" width="39.5703125" customWidth="1"/>
    <col min="3" max="3" width="19.28515625" customWidth="1"/>
    <col min="4" max="4" width="7.28515625" customWidth="1"/>
    <col min="5" max="5" width="5.42578125" customWidth="1"/>
    <col min="6" max="6" width="7.28515625" customWidth="1"/>
    <col min="7" max="7" width="5" customWidth="1"/>
    <col min="8" max="8" width="15" customWidth="1"/>
    <col min="9" max="9" width="7" bestFit="1" customWidth="1"/>
    <col min="10" max="10" width="9.28515625" customWidth="1"/>
    <col min="11" max="11" width="18.5703125" customWidth="1"/>
    <col min="12" max="12" width="20" customWidth="1"/>
  </cols>
  <sheetData>
    <row r="1" spans="1:12" ht="15.75" x14ac:dyDescent="0.2">
      <c r="A1" s="328" t="s">
        <v>136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</row>
    <row r="2" spans="1:12" ht="18.75" x14ac:dyDescent="0.2">
      <c r="A2" s="93" t="s">
        <v>137</v>
      </c>
      <c r="B2" s="330" t="s">
        <v>138</v>
      </c>
      <c r="C2" s="330"/>
      <c r="D2" s="92"/>
      <c r="E2" s="92"/>
      <c r="F2" s="92"/>
      <c r="G2" s="92"/>
      <c r="H2" s="92"/>
      <c r="I2" s="92"/>
      <c r="J2" s="92"/>
      <c r="K2" s="92"/>
      <c r="L2" s="92"/>
    </row>
    <row r="3" spans="1:12" ht="19.5" thickBot="1" x14ac:dyDescent="0.25">
      <c r="A3" s="331" t="s">
        <v>139</v>
      </c>
      <c r="B3" s="330"/>
      <c r="C3" s="94" t="s">
        <v>140</v>
      </c>
      <c r="D3" s="95">
        <v>7.0999999999999994E-2</v>
      </c>
      <c r="E3" s="329" t="s">
        <v>141</v>
      </c>
      <c r="F3" s="329"/>
      <c r="G3" s="332"/>
      <c r="H3" s="332"/>
      <c r="I3" s="332"/>
      <c r="J3" s="96"/>
      <c r="K3" s="97" t="s">
        <v>142</v>
      </c>
      <c r="L3" s="98" t="s">
        <v>143</v>
      </c>
    </row>
    <row r="4" spans="1:12" ht="15.75" thickBot="1" x14ac:dyDescent="0.25">
      <c r="A4" s="315"/>
      <c r="B4" s="315"/>
      <c r="C4" s="315"/>
      <c r="D4" s="315"/>
      <c r="E4" s="315"/>
      <c r="F4" s="94" t="s">
        <v>144</v>
      </c>
      <c r="G4" s="316">
        <v>168</v>
      </c>
      <c r="H4" s="316"/>
      <c r="I4" s="316"/>
      <c r="J4" s="99">
        <f>G4*D3</f>
        <v>11.928000000000001</v>
      </c>
      <c r="K4" s="100" t="s">
        <v>145</v>
      </c>
      <c r="L4" s="101"/>
    </row>
    <row r="5" spans="1:12" ht="114.75" thickBot="1" x14ac:dyDescent="0.25">
      <c r="A5" s="102" t="s">
        <v>32</v>
      </c>
      <c r="B5" s="103" t="s">
        <v>110</v>
      </c>
      <c r="C5" s="104" t="s">
        <v>111</v>
      </c>
      <c r="D5" s="105" t="s">
        <v>112</v>
      </c>
      <c r="E5" s="106" t="s">
        <v>113</v>
      </c>
      <c r="F5" s="105" t="s">
        <v>114</v>
      </c>
      <c r="G5" s="106" t="s">
        <v>115</v>
      </c>
      <c r="H5" s="105" t="s">
        <v>116</v>
      </c>
      <c r="I5" s="106" t="s">
        <v>117</v>
      </c>
      <c r="J5" s="107" t="s">
        <v>118</v>
      </c>
      <c r="K5" s="105" t="s">
        <v>119</v>
      </c>
      <c r="L5" s="105" t="s">
        <v>4</v>
      </c>
    </row>
    <row r="6" spans="1:12" ht="38.25" customHeight="1" thickBot="1" x14ac:dyDescent="0.25">
      <c r="A6" s="322" t="s">
        <v>120</v>
      </c>
      <c r="B6" s="135" t="str">
        <f>VLOOKUP('План-отчет отдела'!K16,'План-отчет отдела'!K6:M25,1,0)</f>
        <v>2016.533-ТХ</v>
      </c>
      <c r="C6" s="108" t="s">
        <v>122</v>
      </c>
      <c r="D6" s="109">
        <v>1</v>
      </c>
      <c r="E6" s="110">
        <v>0.5</v>
      </c>
      <c r="F6" s="111">
        <v>0.75</v>
      </c>
      <c r="G6" s="102">
        <v>1</v>
      </c>
      <c r="H6" s="112">
        <v>1.25</v>
      </c>
      <c r="I6" s="113">
        <v>1</v>
      </c>
      <c r="J6" s="114">
        <f>I6*D6*F6*G6*H6*E6*L6</f>
        <v>0.60899999999999999</v>
      </c>
      <c r="K6" s="115">
        <f>J6/$D$3</f>
        <v>8.6</v>
      </c>
      <c r="L6" s="116">
        <v>1.3</v>
      </c>
    </row>
    <row r="7" spans="1:12" ht="27" customHeight="1" thickBot="1" x14ac:dyDescent="0.25">
      <c r="A7" s="323"/>
      <c r="B7" s="320" t="s">
        <v>121</v>
      </c>
      <c r="C7" s="108" t="s">
        <v>123</v>
      </c>
      <c r="D7" s="109">
        <v>1</v>
      </c>
      <c r="E7" s="110">
        <v>0.5</v>
      </c>
      <c r="F7" s="111">
        <v>0.75</v>
      </c>
      <c r="G7" s="102">
        <v>1</v>
      </c>
      <c r="H7" s="112">
        <v>1.25</v>
      </c>
      <c r="I7" s="113">
        <v>1</v>
      </c>
      <c r="J7" s="114">
        <f>I7*D7*F7*G7*H7*E7*L7</f>
        <v>0.60899999999999999</v>
      </c>
      <c r="K7" s="115">
        <f>J7/$D$3</f>
        <v>8.6</v>
      </c>
      <c r="L7" s="116">
        <v>1.3</v>
      </c>
    </row>
    <row r="8" spans="1:12" ht="75.75" thickBot="1" x14ac:dyDescent="0.25">
      <c r="A8" s="323"/>
      <c r="B8" s="321"/>
      <c r="C8" s="108" t="s">
        <v>124</v>
      </c>
      <c r="D8" s="312"/>
      <c r="E8" s="313"/>
      <c r="F8" s="313"/>
      <c r="G8" s="313"/>
      <c r="H8" s="313"/>
      <c r="I8" s="314"/>
      <c r="J8" s="114">
        <f>D3*K8</f>
        <v>1.278</v>
      </c>
      <c r="K8" s="115">
        <v>18</v>
      </c>
      <c r="L8" s="116"/>
    </row>
    <row r="9" spans="1:12" ht="16.5" thickBot="1" x14ac:dyDescent="0.25">
      <c r="A9" s="324"/>
      <c r="B9" s="118" t="s">
        <v>125</v>
      </c>
      <c r="C9" s="108"/>
      <c r="D9" s="317">
        <f>D6*E6*F6</f>
        <v>0.375</v>
      </c>
      <c r="E9" s="318"/>
      <c r="F9" s="319"/>
      <c r="G9" s="119"/>
      <c r="H9" s="119"/>
      <c r="I9" s="119"/>
      <c r="J9" s="120">
        <f>SUM(J6:J8)</f>
        <v>2.496</v>
      </c>
      <c r="K9" s="121">
        <f>SUM(K6:K8)</f>
        <v>35.200000000000003</v>
      </c>
      <c r="L9" s="116"/>
    </row>
    <row r="10" spans="1:12" ht="45.75" customHeight="1" thickBot="1" x14ac:dyDescent="0.25">
      <c r="A10" s="322" t="s">
        <v>126</v>
      </c>
      <c r="B10" s="136"/>
      <c r="C10" s="108" t="s">
        <v>128</v>
      </c>
      <c r="D10" s="109">
        <v>1</v>
      </c>
      <c r="E10" s="110">
        <v>1</v>
      </c>
      <c r="F10" s="111">
        <v>0.75</v>
      </c>
      <c r="G10" s="102">
        <v>1</v>
      </c>
      <c r="H10" s="112">
        <v>1.25</v>
      </c>
      <c r="I10" s="113">
        <v>1</v>
      </c>
      <c r="J10" s="114">
        <f>I10*D10*F10*G10*H10*E10*L10</f>
        <v>1.2190000000000001</v>
      </c>
      <c r="K10" s="115">
        <f>J10/$D$3</f>
        <v>17.2</v>
      </c>
      <c r="L10" s="116">
        <v>1.3</v>
      </c>
    </row>
    <row r="11" spans="1:12" ht="75.75" thickBot="1" x14ac:dyDescent="0.25">
      <c r="A11" s="323"/>
      <c r="B11" s="136" t="s">
        <v>127</v>
      </c>
      <c r="C11" s="108" t="s">
        <v>124</v>
      </c>
      <c r="D11" s="312"/>
      <c r="E11" s="313"/>
      <c r="F11" s="313"/>
      <c r="G11" s="313"/>
      <c r="H11" s="313"/>
      <c r="I11" s="314"/>
      <c r="J11" s="114">
        <f>D3*K11</f>
        <v>1.42</v>
      </c>
      <c r="K11" s="115">
        <v>20</v>
      </c>
      <c r="L11" s="116"/>
    </row>
    <row r="12" spans="1:12" ht="16.5" thickBot="1" x14ac:dyDescent="0.25">
      <c r="A12" s="324"/>
      <c r="B12" s="118" t="s">
        <v>125</v>
      </c>
      <c r="C12" s="108"/>
      <c r="D12" s="317">
        <f>D10*E10*F10</f>
        <v>0.75</v>
      </c>
      <c r="E12" s="318"/>
      <c r="F12" s="319"/>
      <c r="G12" s="119"/>
      <c r="H12" s="119"/>
      <c r="I12" s="119"/>
      <c r="J12" s="120">
        <f>SUM(J10:J11)</f>
        <v>2.6389999999999998</v>
      </c>
      <c r="K12" s="121">
        <f>SUM(K10:K11)</f>
        <v>37.200000000000003</v>
      </c>
      <c r="L12" s="116"/>
    </row>
    <row r="13" spans="1:12" ht="16.5" thickBot="1" x14ac:dyDescent="0.25">
      <c r="A13" s="117" t="s">
        <v>129</v>
      </c>
      <c r="B13" s="122" t="s">
        <v>130</v>
      </c>
      <c r="C13" s="108"/>
      <c r="D13" s="312"/>
      <c r="E13" s="313"/>
      <c r="F13" s="313"/>
      <c r="G13" s="313"/>
      <c r="H13" s="313"/>
      <c r="I13" s="314"/>
      <c r="J13" s="123">
        <f>K13*D3</f>
        <v>3.4079999999999999</v>
      </c>
      <c r="K13" s="121">
        <v>48</v>
      </c>
      <c r="L13" s="116"/>
    </row>
    <row r="14" spans="1:12" ht="36.75" thickBot="1" x14ac:dyDescent="0.25">
      <c r="A14" s="124" t="s">
        <v>131</v>
      </c>
      <c r="B14" s="122" t="s">
        <v>132</v>
      </c>
      <c r="C14" s="122"/>
      <c r="D14" s="325"/>
      <c r="E14" s="326"/>
      <c r="F14" s="326"/>
      <c r="G14" s="326"/>
      <c r="H14" s="326"/>
      <c r="I14" s="327"/>
      <c r="J14" s="125">
        <f>K14*D3</f>
        <v>3.4079999999999999</v>
      </c>
      <c r="K14" s="126">
        <f>(G4-K13)*0.4</f>
        <v>48</v>
      </c>
      <c r="L14" s="127" t="s">
        <v>133</v>
      </c>
    </row>
    <row r="15" spans="1:12" ht="16.5" thickBot="1" x14ac:dyDescent="0.25">
      <c r="A15" s="124" t="s">
        <v>134</v>
      </c>
      <c r="B15" s="128" t="s">
        <v>135</v>
      </c>
      <c r="C15" s="129"/>
      <c r="D15" s="317">
        <f>D12+D9</f>
        <v>1.125</v>
      </c>
      <c r="E15" s="318"/>
      <c r="F15" s="319"/>
      <c r="G15" s="130"/>
      <c r="H15" s="131"/>
      <c r="I15" s="130"/>
      <c r="J15" s="132">
        <f>J9+J12+J13+J14</f>
        <v>11.951000000000001</v>
      </c>
      <c r="K15" s="133">
        <f>K9+K12+K13+K14</f>
        <v>168</v>
      </c>
      <c r="L15" s="134"/>
    </row>
  </sheetData>
  <mergeCells count="17">
    <mergeCell ref="A1:L1"/>
    <mergeCell ref="E3:F3"/>
    <mergeCell ref="B2:C2"/>
    <mergeCell ref="A3:B3"/>
    <mergeCell ref="G3:I3"/>
    <mergeCell ref="D8:I8"/>
    <mergeCell ref="A4:E4"/>
    <mergeCell ref="G4:I4"/>
    <mergeCell ref="D15:F15"/>
    <mergeCell ref="B7:B8"/>
    <mergeCell ref="A10:A12"/>
    <mergeCell ref="A6:A9"/>
    <mergeCell ref="D9:F9"/>
    <mergeCell ref="D11:I11"/>
    <mergeCell ref="D12:F12"/>
    <mergeCell ref="D13:I13"/>
    <mergeCell ref="D14:I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состав отдела</vt:lpstr>
      <vt:lpstr>План-отчет отдела</vt:lpstr>
      <vt:lpstr>Аршавский</vt:lpstr>
      <vt:lpstr>Измайлова</vt:lpstr>
      <vt:lpstr>Синигаев</vt:lpstr>
      <vt:lpstr>Старая рабочая карточка</vt:lpstr>
      <vt:lpstr>'состав отдела'!Область_печати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User</cp:lastModifiedBy>
  <cp:lastPrinted>2017-08-15T05:27:47Z</cp:lastPrinted>
  <dcterms:created xsi:type="dcterms:W3CDTF">2010-01-10T11:41:30Z</dcterms:created>
  <dcterms:modified xsi:type="dcterms:W3CDTF">2017-10-20T16:31:55Z</dcterms:modified>
</cp:coreProperties>
</file>