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ТЗ " sheetId="3" r:id="rId1"/>
    <sheet name="Подмога" sheetId="4" r:id="rId2"/>
  </sheets>
  <definedNames>
    <definedName name="_xlnm.Print_Titles" localSheetId="0">'ТЗ '!$10:$10</definedName>
    <definedName name="_xlnm.Print_Area" localSheetId="0">'ТЗ '!$A$1:$H$191</definedName>
    <definedName name="щ">Подмога!$A$1</definedName>
  </definedNames>
  <calcPr calcId="145621"/>
</workbook>
</file>

<file path=xl/calcChain.xml><?xml version="1.0" encoding="utf-8"?>
<calcChain xmlns="http://schemas.openxmlformats.org/spreadsheetml/2006/main">
  <c r="C193" i="3" l="1"/>
  <c r="A1" i="4"/>
  <c r="I40" i="3" l="1"/>
  <c r="I41" i="3"/>
  <c r="I42" i="3"/>
  <c r="I43" i="3"/>
  <c r="I39" i="3"/>
  <c r="G43" i="3"/>
  <c r="E43" i="3"/>
  <c r="G42" i="3"/>
  <c r="F42" i="3" s="1"/>
  <c r="E42" i="3"/>
  <c r="G41" i="3"/>
  <c r="E41" i="3"/>
  <c r="G40" i="3"/>
  <c r="F40" i="3" s="1"/>
  <c r="E40" i="3"/>
  <c r="G39" i="3"/>
  <c r="F39" i="3" s="1"/>
  <c r="E39" i="3"/>
  <c r="F43" i="3" l="1"/>
  <c r="F41" i="3"/>
  <c r="G148" i="3" l="1"/>
  <c r="I148" i="3" s="1"/>
  <c r="E148" i="3"/>
  <c r="F148" i="3"/>
  <c r="G145" i="3"/>
  <c r="I145" i="3" s="1"/>
  <c r="E145" i="3"/>
  <c r="G87" i="3"/>
  <c r="E87" i="3"/>
  <c r="G86" i="3"/>
  <c r="E86" i="3"/>
  <c r="G144" i="3"/>
  <c r="I144" i="3" s="1"/>
  <c r="E144" i="3"/>
  <c r="G143" i="3"/>
  <c r="G142" i="3"/>
  <c r="I142" i="3" s="1"/>
  <c r="F145" i="3"/>
  <c r="F144" i="3"/>
  <c r="I143" i="3"/>
  <c r="F143" i="3"/>
  <c r="F142" i="3"/>
  <c r="G139" i="3"/>
  <c r="I139" i="3" s="1"/>
  <c r="F139" i="3"/>
  <c r="G136" i="3"/>
  <c r="G135" i="3"/>
  <c r="G134" i="3"/>
  <c r="I136" i="3"/>
  <c r="F136" i="3"/>
  <c r="I135" i="3"/>
  <c r="F135" i="3"/>
  <c r="I134" i="3"/>
  <c r="F134" i="3"/>
  <c r="G131" i="3"/>
  <c r="I131" i="3" s="1"/>
  <c r="F131" i="3"/>
  <c r="G127" i="3"/>
  <c r="E127" i="3"/>
  <c r="G126" i="3"/>
  <c r="I126" i="3" s="1"/>
  <c r="G128" i="3"/>
  <c r="I128" i="3" s="1"/>
  <c r="G125" i="3"/>
  <c r="E125" i="3"/>
  <c r="F128" i="3"/>
  <c r="I127" i="3"/>
  <c r="F127" i="3"/>
  <c r="F126" i="3"/>
  <c r="I125" i="3"/>
  <c r="F125" i="3"/>
  <c r="G121" i="3"/>
  <c r="I121" i="3" s="1"/>
  <c r="E121" i="3"/>
  <c r="G120" i="3"/>
  <c r="I120" i="3" s="1"/>
  <c r="E120" i="3"/>
  <c r="G122" i="3"/>
  <c r="I122" i="3" s="1"/>
  <c r="G119" i="3"/>
  <c r="E119" i="3"/>
  <c r="F122" i="3"/>
  <c r="F121" i="3"/>
  <c r="F120" i="3"/>
  <c r="I119" i="3"/>
  <c r="F119" i="3"/>
  <c r="E151" i="3"/>
  <c r="G102" i="3"/>
  <c r="I102" i="3" s="1"/>
  <c r="E102" i="3"/>
  <c r="F102" i="3"/>
  <c r="G99" i="3"/>
  <c r="I99" i="3" s="1"/>
  <c r="E99" i="3"/>
  <c r="G98" i="3"/>
  <c r="I98" i="3" s="1"/>
  <c r="E98" i="3"/>
  <c r="G97" i="3"/>
  <c r="I97" i="3" s="1"/>
  <c r="E97" i="3"/>
  <c r="F99" i="3"/>
  <c r="F98" i="3"/>
  <c r="F97" i="3"/>
  <c r="G94" i="3"/>
  <c r="I94" i="3" s="1"/>
  <c r="F94" i="3"/>
  <c r="G93" i="3"/>
  <c r="I93" i="3" s="1"/>
  <c r="F93" i="3"/>
  <c r="G90" i="3"/>
  <c r="I90" i="3" s="1"/>
  <c r="F90" i="3"/>
  <c r="I87" i="3"/>
  <c r="I86" i="3"/>
  <c r="F86" i="3"/>
  <c r="G85" i="3"/>
  <c r="F85" i="3"/>
  <c r="G84" i="3"/>
  <c r="I84" i="3" s="1"/>
  <c r="F87" i="3"/>
  <c r="I85" i="3"/>
  <c r="F84" i="3"/>
  <c r="G81" i="3"/>
  <c r="I81" i="3" s="1"/>
  <c r="F81" i="3"/>
  <c r="G70" i="3"/>
  <c r="I70" i="3" s="1"/>
  <c r="G73" i="3"/>
  <c r="I73" i="3" s="1"/>
  <c r="F73" i="3"/>
  <c r="G78" i="3"/>
  <c r="I78" i="3" s="1"/>
  <c r="F78" i="3"/>
  <c r="G77" i="3"/>
  <c r="I77" i="3" s="1"/>
  <c r="F77" i="3"/>
  <c r="G76" i="3"/>
  <c r="I76" i="3" s="1"/>
  <c r="F76" i="3"/>
  <c r="F70" i="3"/>
  <c r="G67" i="3"/>
  <c r="I67" i="3" s="1"/>
  <c r="F67" i="3"/>
  <c r="G63" i="3"/>
  <c r="I63" i="3" s="1"/>
  <c r="E63" i="3"/>
  <c r="F63" i="3"/>
  <c r="G62" i="3"/>
  <c r="I62" i="3" s="1"/>
  <c r="F62" i="3"/>
  <c r="G64" i="3"/>
  <c r="I64" i="3" s="1"/>
  <c r="F64" i="3"/>
  <c r="G61" i="3"/>
  <c r="I61" i="3" s="1"/>
  <c r="F61" i="3"/>
  <c r="E61" i="3"/>
  <c r="G57" i="3"/>
  <c r="I57" i="3" s="1"/>
  <c r="E57" i="3"/>
  <c r="G56" i="3"/>
  <c r="I56" i="3" s="1"/>
  <c r="E56" i="3"/>
  <c r="G58" i="3"/>
  <c r="I58" i="3" s="1"/>
  <c r="F58" i="3"/>
  <c r="F57" i="3"/>
  <c r="F56" i="3"/>
  <c r="G55" i="3"/>
  <c r="I55" i="3" s="1"/>
  <c r="F55" i="3"/>
  <c r="E55" i="3"/>
  <c r="E105" i="3" l="1"/>
  <c r="G34" i="3"/>
  <c r="G158" i="3"/>
  <c r="F161" i="3"/>
  <c r="G161" i="3" s="1"/>
  <c r="I161" i="3" s="1"/>
  <c r="F166" i="3"/>
  <c r="G166" i="3" s="1"/>
  <c r="I166" i="3" s="1"/>
  <c r="F165" i="3"/>
  <c r="G165" i="3" s="1"/>
  <c r="I165" i="3" s="1"/>
  <c r="F164" i="3"/>
  <c r="G164" i="3" s="1"/>
  <c r="I164" i="3" s="1"/>
  <c r="F163" i="3"/>
  <c r="G163" i="3" s="1"/>
  <c r="I163" i="3" s="1"/>
  <c r="F162" i="3"/>
  <c r="G162" i="3" s="1"/>
  <c r="I162" i="3" s="1"/>
  <c r="F160" i="3"/>
  <c r="G160" i="3" s="1"/>
  <c r="I160" i="3" s="1"/>
  <c r="F159" i="3"/>
  <c r="G159" i="3" s="1"/>
  <c r="I159" i="3" s="1"/>
  <c r="E110" i="3"/>
  <c r="E34" i="3"/>
  <c r="I172" i="3"/>
  <c r="I171" i="3"/>
  <c r="I170" i="3"/>
  <c r="G169" i="3"/>
  <c r="I169" i="3" s="1"/>
  <c r="I168" i="3"/>
  <c r="I167" i="3"/>
  <c r="G152" i="3"/>
  <c r="I152" i="3" s="1"/>
  <c r="I153" i="3"/>
  <c r="I154" i="3"/>
  <c r="I155" i="3"/>
  <c r="G106" i="3"/>
  <c r="I106" i="3" s="1"/>
  <c r="I107" i="3"/>
  <c r="I108" i="3"/>
  <c r="I109" i="3"/>
  <c r="I151" i="3"/>
  <c r="I150" i="3"/>
  <c r="I105" i="3"/>
  <c r="I104" i="3"/>
  <c r="F158" i="3" l="1"/>
  <c r="I158" i="3" l="1"/>
  <c r="G149" i="3" l="1"/>
  <c r="G146" i="3"/>
  <c r="G140" i="3"/>
  <c r="I140" i="3" s="1"/>
  <c r="G137" i="3"/>
  <c r="I137" i="3" s="1"/>
  <c r="G132" i="3"/>
  <c r="G129" i="3"/>
  <c r="I129" i="3" s="1"/>
  <c r="G123" i="3"/>
  <c r="I123" i="3" s="1"/>
  <c r="G117" i="3"/>
  <c r="I117" i="3" s="1"/>
  <c r="G116" i="3"/>
  <c r="G115" i="3"/>
  <c r="G114" i="3"/>
  <c r="I114" i="3" s="1"/>
  <c r="G113" i="3"/>
  <c r="I113" i="3" s="1"/>
  <c r="G103" i="3"/>
  <c r="G100" i="3"/>
  <c r="I100" i="3" s="1"/>
  <c r="G95" i="3"/>
  <c r="I95" i="3" s="1"/>
  <c r="G91" i="3"/>
  <c r="I91" i="3" s="1"/>
  <c r="G88" i="3"/>
  <c r="G82" i="3"/>
  <c r="G79" i="3"/>
  <c r="I79" i="3" s="1"/>
  <c r="G74" i="3"/>
  <c r="I74" i="3" s="1"/>
  <c r="G71" i="3"/>
  <c r="G68" i="3"/>
  <c r="I68" i="3" s="1"/>
  <c r="G65" i="3"/>
  <c r="I65" i="3" s="1"/>
  <c r="G59" i="3"/>
  <c r="I59" i="3" s="1"/>
  <c r="G53" i="3"/>
  <c r="G52" i="3"/>
  <c r="I52" i="3" s="1"/>
  <c r="G51" i="3"/>
  <c r="I51" i="3" s="1"/>
  <c r="G44" i="3"/>
  <c r="I44" i="3" s="1"/>
  <c r="G37" i="3"/>
  <c r="I146" i="3"/>
  <c r="F149" i="3"/>
  <c r="F146" i="3"/>
  <c r="F140" i="3"/>
  <c r="F137" i="3"/>
  <c r="F132" i="3"/>
  <c r="F129" i="3"/>
  <c r="F123" i="3"/>
  <c r="F117" i="3"/>
  <c r="F116" i="3"/>
  <c r="F115" i="3"/>
  <c r="F114" i="3"/>
  <c r="F113" i="3"/>
  <c r="F103" i="3"/>
  <c r="F100" i="3"/>
  <c r="F95" i="3"/>
  <c r="F91" i="3"/>
  <c r="F88" i="3"/>
  <c r="F82" i="3"/>
  <c r="F79" i="3"/>
  <c r="F74" i="3"/>
  <c r="F71" i="3"/>
  <c r="F68" i="3"/>
  <c r="F65" i="3"/>
  <c r="F59" i="3"/>
  <c r="F53" i="3"/>
  <c r="F52" i="3"/>
  <c r="F51" i="3"/>
  <c r="F44" i="3"/>
  <c r="F37" i="3"/>
  <c r="G156" i="3"/>
  <c r="G174" i="3"/>
  <c r="G178" i="3"/>
  <c r="G183" i="3"/>
  <c r="G184" i="3"/>
  <c r="G185" i="3"/>
  <c r="I82" i="3"/>
  <c r="I37" i="3"/>
  <c r="G36" i="3" l="1"/>
  <c r="F36" i="3" s="1"/>
  <c r="G112" i="3"/>
  <c r="F112" i="3" s="1"/>
  <c r="I116" i="3"/>
  <c r="I149" i="3"/>
  <c r="I115" i="3"/>
  <c r="I132" i="3"/>
  <c r="I103" i="3"/>
  <c r="I88" i="3"/>
  <c r="I53" i="3"/>
  <c r="I71" i="3"/>
  <c r="I36" i="3" l="1"/>
  <c r="I112" i="3" l="1"/>
  <c r="F34" i="3"/>
  <c r="G188" i="3" l="1"/>
  <c r="G24" i="3"/>
  <c r="G23" i="3"/>
  <c r="G22" i="3"/>
  <c r="G21" i="3"/>
  <c r="G28" i="3"/>
  <c r="G27" i="3"/>
  <c r="G26" i="3"/>
  <c r="G25" i="3"/>
  <c r="G186" i="3"/>
  <c r="G32" i="3"/>
  <c r="G31" i="3"/>
  <c r="G30" i="3"/>
  <c r="G29" i="3"/>
  <c r="G19" i="3"/>
  <c r="G18" i="3"/>
  <c r="F18" i="3" s="1"/>
  <c r="G17" i="3"/>
  <c r="F17" i="3" s="1"/>
  <c r="G16" i="3"/>
  <c r="F16" i="3" s="1"/>
  <c r="G15" i="3"/>
  <c r="G13" i="3"/>
  <c r="F22" i="3" l="1"/>
  <c r="F21" i="3"/>
  <c r="G189" i="3"/>
  <c r="G191" i="3" s="1"/>
  <c r="G190" i="3" l="1"/>
</calcChain>
</file>

<file path=xl/comments1.xml><?xml version="1.0" encoding="utf-8"?>
<comments xmlns="http://schemas.openxmlformats.org/spreadsheetml/2006/main">
  <authors>
    <author>Tat'yana Sergienko</author>
  </authors>
  <commentList>
    <comment ref="F161" authorId="0">
      <text>
        <r>
          <rPr>
            <b/>
            <sz val="9"/>
            <color indexed="81"/>
            <rFont val="Tahoma"/>
            <family val="2"/>
            <charset val="204"/>
          </rPr>
          <t>корр.общей стоимости ОСР в текущих ценах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<sst xmlns="http://schemas.openxmlformats.org/spreadsheetml/2006/main" count="500" uniqueCount="211">
  <si>
    <t>№ п/п</t>
  </si>
  <si>
    <t>1.</t>
  </si>
  <si>
    <t>1.1</t>
  </si>
  <si>
    <t>2.</t>
  </si>
  <si>
    <t>2.1</t>
  </si>
  <si>
    <t>2.2</t>
  </si>
  <si>
    <t>2.3</t>
  </si>
  <si>
    <t>2.4</t>
  </si>
  <si>
    <t>2.5</t>
  </si>
  <si>
    <t>3.1</t>
  </si>
  <si>
    <t>3.2</t>
  </si>
  <si>
    <t>3.3</t>
  </si>
  <si>
    <t>4.1</t>
  </si>
  <si>
    <t>4.2</t>
  </si>
  <si>
    <t>4.3</t>
  </si>
  <si>
    <t>5.1</t>
  </si>
  <si>
    <t>5.2</t>
  </si>
  <si>
    <t>6.1</t>
  </si>
  <si>
    <t>6.2</t>
  </si>
  <si>
    <t>7.1</t>
  </si>
  <si>
    <t>Единица измерения</t>
  </si>
  <si>
    <t>Количество</t>
  </si>
  <si>
    <t>Рабочая документация</t>
  </si>
  <si>
    <t>Разработка рабочей документации</t>
  </si>
  <si>
    <t xml:space="preserve">Комплект     </t>
  </si>
  <si>
    <t>Разбивочные работы по выносу в натуру патрульной дороги (участок №1, №2), КПП -1,2,3,4.</t>
  </si>
  <si>
    <t>Подготовительные работы. Разборка покрытий на патрульной автодороге и участках КПП</t>
  </si>
  <si>
    <t>Подготовительные работы. Вынос сетей водоснабжения</t>
  </si>
  <si>
    <t>Подготовительные работы. Вынос сетей водоотведения</t>
  </si>
  <si>
    <t>Вынос сетей связи</t>
  </si>
  <si>
    <t>Основные объекты строительства</t>
  </si>
  <si>
    <t>Периметровое ограждение с техническими средствами охраны и видеонаблюдения (КР2)</t>
  </si>
  <si>
    <t>Электрооборудование, внутриплощадочные сети 0.4 кВ (СЭ)</t>
  </si>
  <si>
    <t>Система охранно-тревожной сигнализации (СОТС)</t>
  </si>
  <si>
    <t>Системае контроля и управления доступом (СКУД)</t>
  </si>
  <si>
    <t>Система видеонаблюдения и видеоанализа (СВН)</t>
  </si>
  <si>
    <t>Система сбора и обработки информации (ССОИ)</t>
  </si>
  <si>
    <t>Структурированная кабельная система (СКС)</t>
  </si>
  <si>
    <t>Затраты на размещение ТКО на ПОЛИГОН.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</si>
  <si>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</si>
  <si>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</si>
  <si>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</si>
  <si>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</si>
  <si>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</si>
  <si>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</si>
  <si>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</si>
  <si>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</si>
  <si>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</si>
  <si>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Контрольно-пропускной пункт №1.(КПП-1)(по генплану №106)</t>
  </si>
  <si>
    <t>Контрольно-пропускной пункт №2.(КПП-2)(по генплану №107)</t>
  </si>
  <si>
    <t>Контрольно-пропускной пункт №3.(КПП-3)(по генплану №108)</t>
  </si>
  <si>
    <t>Контрольно-пропускной пункт №4.(КПП-4)(по генплану №109)</t>
  </si>
  <si>
    <t>Объекты транспортного хозяйства и связи</t>
  </si>
  <si>
    <t>Путепровод через автомобильную дорогу Р-25 Симферополь-Евпатория</t>
  </si>
  <si>
    <t>Временные здания и сооружения</t>
  </si>
  <si>
    <t>Пусконаладочные работы. Реконструкция периметрового ограждения с техническими средствами охраны и видеонаблюдения</t>
  </si>
  <si>
    <t xml:space="preserve">Затраты на утилизацию, обезвреживание и захоронение твердых бытовых отходов  </t>
  </si>
  <si>
    <t>Резерв на непредвиденные работы и затраты-3%</t>
  </si>
  <si>
    <t>Резерв на непредвиденные работы и затраты</t>
  </si>
  <si>
    <t>Итого</t>
  </si>
  <si>
    <t>9</t>
  </si>
  <si>
    <t>10</t>
  </si>
  <si>
    <t>Всего с НДС</t>
  </si>
  <si>
    <t>м2</t>
  </si>
  <si>
    <t>м</t>
  </si>
  <si>
    <t>м3</t>
  </si>
  <si>
    <t>Патрульная дорога (по генплану №195) ,Участок №1</t>
  </si>
  <si>
    <t>Патрульная дорога (по генплану №195) ,Участок №2</t>
  </si>
  <si>
    <t>Подготовительные работы</t>
  </si>
  <si>
    <t>Прочие работы и затраты</t>
  </si>
  <si>
    <t>Примечание</t>
  </si>
  <si>
    <t>Наименование глав, объектов,</t>
  </si>
  <si>
    <t>Затраты по охране окружающей среды</t>
  </si>
  <si>
    <t>6.3</t>
  </si>
  <si>
    <t>6.4</t>
  </si>
  <si>
    <t>Затраты, связанные с уплатой налога на добавленную стоимость- 18%</t>
  </si>
  <si>
    <t>Система спутникового позиционирования (ССП)</t>
  </si>
  <si>
    <t>Тендерная ведомость</t>
  </si>
  <si>
    <t>Общая стоимость с общим индексом перевода в текущие цены на СМР в цены                             I кв. 2016 г.</t>
  </si>
  <si>
    <t>тыс. руб. без НДС</t>
  </si>
  <si>
    <t>тыс. руб. с НДС</t>
  </si>
  <si>
    <t>№ Этапа</t>
  </si>
  <si>
    <t>в том числе</t>
  </si>
  <si>
    <t>СМР:</t>
  </si>
  <si>
    <t>05-01-01и1  (10359730) раздел 13</t>
  </si>
  <si>
    <t>05-01-01и1  (10359730) раздел 24</t>
  </si>
  <si>
    <t>05-01-01и1  (10359730) раздел 25</t>
  </si>
  <si>
    <t>05-01-01и1  (10359730) раздел 15</t>
  </si>
  <si>
    <t>05-01-01и1  (10359730) раздел 16</t>
  </si>
  <si>
    <t>05-01-01и1  (10359730) раздел 26</t>
  </si>
  <si>
    <t>05-01-01и1  (10359730) раздел 27</t>
  </si>
  <si>
    <t>05-01-01и1  (10359730) раздел 28</t>
  </si>
  <si>
    <t>05-01-01и1  (10359730) раздел 29</t>
  </si>
  <si>
    <t>05-01-01и1  (10359730) раздел 30</t>
  </si>
  <si>
    <t>05-01-01и1 (10359730) разделы 18,19,20</t>
  </si>
  <si>
    <t>05-01-01и1  (10359730) раздел 17</t>
  </si>
  <si>
    <t>Земляные работы. Работы с минеральным грунтом [V=66180 м3]</t>
  </si>
  <si>
    <t>Устройство водоотводных канав. Работы с растительным грунтом  [V=5337 м3]</t>
  </si>
  <si>
    <t>Устройство водоотводных канав. Работы с минеральным грунтом  [V=940 м3]</t>
  </si>
  <si>
    <t>Искусственные покрытия. Новое дорожное покрытие А1 [S=39588 м2]</t>
  </si>
  <si>
    <t>Искусственные покрытия. Новое покрытие обочины Щ1 [S=15593 м2]</t>
  </si>
  <si>
    <t>Устройство железобетонной водопропускной трубы диаметром 0,5м [L=11,2 м]</t>
  </si>
  <si>
    <t>Устройство оголовков железобетонной водопропускной трубы диаметром 0,5м [2 шт]</t>
  </si>
  <si>
    <t>Устройство железобетонной водопропускной трубы диаметром 0,75м [L=138 м]</t>
  </si>
  <si>
    <t>Устройство оголовков железобетонной водопропускной трубы диаметром 0,75м [24 шт]</t>
  </si>
  <si>
    <t>Устройство железобетонной водопропускной трубы диаметром 1,0м [L=23,52 м]</t>
  </si>
  <si>
    <t>Устройство оголовков железобетонной водопропускной трубы диаметром 1,0м [4 шт]</t>
  </si>
  <si>
    <t>Устройство железобетонной водопропускной трубы диаметром 2,0м [L=32,00 м]</t>
  </si>
  <si>
    <t>Устройство оголовков железобетонной водопропускной трубы диаметром 2,0м [8 шт]</t>
  </si>
  <si>
    <t>Устьевое сооружение [S=107 м2]</t>
  </si>
  <si>
    <t>Установка дорожных знаков [11 шт]</t>
  </si>
  <si>
    <t>Установка сигнальных столбиков [150 шт]</t>
  </si>
  <si>
    <t>шт</t>
  </si>
  <si>
    <t>Земляные работы. Работы с растительным грунтом  [V=36404 м3]</t>
  </si>
  <si>
    <t>Патрульная дорога (по генплану №195) ,Участок №1 по РД</t>
  </si>
  <si>
    <t>Объем по РД минус объем по ПД</t>
  </si>
  <si>
    <t>Объемы по РД в счет  резерва средств на непредвиденные работы и  затраты</t>
  </si>
  <si>
    <t>Земляные работы. Работы с растительным грунтом [V=27062 м3]</t>
  </si>
  <si>
    <t>Земляные работы. Работы с минеральным грунтом [V=60500 м3]</t>
  </si>
  <si>
    <t>Устройство водоотводных канав. Работы с растительным грунтом  [V=4195 м3]</t>
  </si>
  <si>
    <t>Устройство водоотводных канав. Работы с минеральным грунтом [V=735 м3]</t>
  </si>
  <si>
    <t>Искусственные покрытия. Новое дорожное покрытие А1 [S=27040 м2]</t>
  </si>
  <si>
    <t>Искусственные покрытия. Новое покрытие обочины Щ1 [S=11062 м2]</t>
  </si>
  <si>
    <t>Устройство железобетонной водопропускной трубы диаметром 0,75м [L=89,6 м]</t>
  </si>
  <si>
    <t>Устройство оголовков железобетонной водопропускной трубы диаметром 0,75м [16 шт]</t>
  </si>
  <si>
    <t>Устройство железобетонной водопропускной трубы диаметром 1,0м [L=11,76 м]</t>
  </si>
  <si>
    <t>Устройство оголовков железобетонной водопропускной трубы диаметром 1,0м [2 шт]</t>
  </si>
  <si>
    <t>Установка дорожных знаков [10 шт]</t>
  </si>
  <si>
    <t>Установка сигнальных столбиков [102 шт]</t>
  </si>
  <si>
    <r>
      <t xml:space="preserve">Стоимость единицы без НДС в ценах I кв. 2016 г., </t>
    </r>
    <r>
      <rPr>
        <b/>
        <sz val="10"/>
        <color rgb="FFFF0000"/>
        <rFont val="Times New Roman"/>
        <family val="1"/>
        <charset val="204"/>
      </rPr>
      <t>руб. без НДС</t>
    </r>
  </si>
  <si>
    <t>общая площадь и стоимость Уч1+Уч2</t>
  </si>
  <si>
    <t>стоимость учтена в Уч1</t>
  </si>
  <si>
    <t>А-3777-СМ2.8и2 том 11.2.8и2/ ОСР 05-03и2/ ЛСР 05-03 и2</t>
  </si>
  <si>
    <t>Пролетное строение</t>
  </si>
  <si>
    <t>Крайние опоры №1 [1 шт], №4 [1 шт]-А3777-КР4-ТР л.6, 9</t>
  </si>
  <si>
    <t>Промежуточные опоры №2 [1 шт], №3 [1 шт]-А3777-КР4-ТР л.7, 8</t>
  </si>
  <si>
    <t>Укрепление и водоотвод с откосов насыпей-А3777-КР4-ТР л.16</t>
  </si>
  <si>
    <t>Мостовое полотно-А3777-КР4-ТР л.12</t>
  </si>
  <si>
    <t>Сопряжение путепровода с насыпями-А3777-КР4-ТР л.12</t>
  </si>
  <si>
    <t>Крепление котлована стальными трубами диам.219х10 мм [30 шт, L=9 м]-А3777-ПОС2-ТР л.5</t>
  </si>
  <si>
    <t>Дорожная разметка-А3777-ПОС2-ТР л.15</t>
  </si>
  <si>
    <t>Затраты на временные здания и сооружения путепровод- 6% с К=0,8 (6*0,8=4,8)</t>
  </si>
  <si>
    <t>Затраты на временные здания и сооружения-3,1% с К=0,8 (3,1*0,8=2,48)</t>
  </si>
  <si>
    <t>Материалы и оборудование</t>
  </si>
  <si>
    <t>КС-3 №1 от 01.08.2017</t>
  </si>
  <si>
    <t>Итого выполнено с начала строительства без НДС</t>
  </si>
  <si>
    <t>Итого выполнено с начала строительства с НДС</t>
  </si>
  <si>
    <t>Остаток количества работ, материалов, оборудования</t>
  </si>
  <si>
    <t>Остаток стоимости без НДС, тыс.руб.</t>
  </si>
  <si>
    <t>Остаток стоимости с НДС, тыс.руб.</t>
  </si>
  <si>
    <t>Исполнитель</t>
  </si>
  <si>
    <t>Номер расчета</t>
  </si>
  <si>
    <t>материал</t>
  </si>
  <si>
    <t>Поставщик</t>
  </si>
  <si>
    <t xml:space="preserve">Насыпная плотность </t>
  </si>
  <si>
    <t>Количество, м3</t>
  </si>
  <si>
    <t>Фактическая цена без НДС за м3, руб.</t>
  </si>
  <si>
    <t>Итоговая Фактическая стоимость без НДС за м3, тыс.руб.</t>
  </si>
  <si>
    <t>Итоговая Фактическая стоимость с НДС м3, тыс.руб.</t>
  </si>
  <si>
    <t>Сумма аванса в отношении инертных материалов без НДС, тыс.руб.</t>
  </si>
  <si>
    <t>Сумма аванса в отношении инертных материалов с НДС, тыс.руб.</t>
  </si>
  <si>
    <t>Разница между фактической и сметной стоимостью без НДС,  тыс. руб.</t>
  </si>
  <si>
    <t>Итого разница между фактической и сметной стоимостью без НДС, тыс. руб.</t>
  </si>
  <si>
    <t>Кол-во по РД минус кол-во по факту</t>
  </si>
  <si>
    <t>Номер и дата Акта выполненных работ</t>
  </si>
  <si>
    <t>Объем выполненных работ</t>
  </si>
  <si>
    <t>Стоимость СМР  в текущих ценах I кв. 2016 г.</t>
  </si>
  <si>
    <t>Стоимость оборудования в текущих ценах          I кв. 2016 г.</t>
  </si>
  <si>
    <t>Стоимость ВЗиС  в текущих ценах                            I кв. 2016 г.</t>
  </si>
  <si>
    <t>Стоимость прочих работ и затрат  в текущих ценах                            I кв. 2016 г.</t>
  </si>
  <si>
    <t>Всего стоимость выполненных работ  в текущих ценах                            I кв. 2016 г.</t>
  </si>
  <si>
    <t>Стоимость резерва средств на непредвиденные работы и затраты</t>
  </si>
  <si>
    <t>Стоимость сверх резерва средств на непредвиденные работы и затраты</t>
  </si>
  <si>
    <t xml:space="preserve">сумма удержания (СУ) в размере 5%  от стоимости фактически выполненных работ </t>
  </si>
  <si>
    <t>суммы авансов, выплаченные  в отношении Инертных материалов</t>
  </si>
  <si>
    <t>Итого к оплате</t>
  </si>
  <si>
    <t>в том числе сметная стоимость материалов без НДС, тыс.руб.</t>
  </si>
  <si>
    <t>в том числе фактическая стоимость материалов без НДС, тыс.руб.</t>
  </si>
  <si>
    <t>СМР</t>
  </si>
  <si>
    <t>Оборудование</t>
  </si>
  <si>
    <t>ВЗиС</t>
  </si>
  <si>
    <t>Прочие</t>
  </si>
  <si>
    <t>Всего</t>
  </si>
  <si>
    <t xml:space="preserve">сумма удержания (СУ) в размере 5%  от стоимости фактически выполненных работ с НДС </t>
  </si>
  <si>
    <t xml:space="preserve">Итого </t>
  </si>
  <si>
    <t>кол-во</t>
  </si>
  <si>
    <t>Общая стоимость с индексацией по видам работ и статьям затрат в цены I кв. 2016 г.</t>
  </si>
  <si>
    <t>Песок природный для строительных: работ средний</t>
  </si>
  <si>
    <t>в т.ч. Материалы</t>
  </si>
  <si>
    <t>Щебень из природного камня для строительных работ марка 800, фракция 10-20 мм</t>
  </si>
  <si>
    <t>Щебень из природного камня для строительных работ марка 800, фракция 40-70 мм</t>
  </si>
  <si>
    <t>Щебень из природного камня для строительных работ марка 800, фракция 5(3)-10 мм</t>
  </si>
  <si>
    <t>Смесь песчано-гравийная природная</t>
  </si>
  <si>
    <t>Песок природный для строительных работ повышенной крупности и крупный</t>
  </si>
  <si>
    <t>Щебень из природного камня для строительных работ марка 800, фракция 20-40 мм</t>
  </si>
  <si>
    <t>Щебень черный горячий, фракция 15-20 мм</t>
  </si>
  <si>
    <t>Щебень черный горячий, фракция 20-25 мм</t>
  </si>
  <si>
    <t>Песок природный для строительных работ средний</t>
  </si>
  <si>
    <t>перенести в НЗ?</t>
  </si>
  <si>
    <t>детализировать по объему, а не комплекту</t>
  </si>
  <si>
    <t>детализировать</t>
  </si>
  <si>
    <t>детализировано</t>
  </si>
  <si>
    <t>А-3777-СМ2.9и1 том 11.2.9и1/ ОС 05-01и2 (10361930)/ ЛСР № 05-01-01и1 (10359730)</t>
  </si>
  <si>
    <t>А-3777-СМ2.9и1 том 11.2.9и1 / ОС 05-01и2 (10361930)/ ЛСР № 05-01-01и1 (10359730)</t>
  </si>
  <si>
    <t>ОС 05-01и2 (10361930)</t>
  </si>
  <si>
    <t>Разработка грунта с перемещением до 20 м бульдозерами (с перемещением во временное складирование)</t>
  </si>
  <si>
    <t>Разработка грунта с перемещением до 20 м бульдозерами. Выборка потенциально-растительного грунта (с перемещением во временное складирование)</t>
  </si>
  <si>
    <t>ЛСР № 05-01-01и1 (10359730)/ 10359740 ? Раздел 5</t>
  </si>
  <si>
    <t>Устройство дорожных насыпей бульдозерами с перемещением грунта до 20 м (восстановление растительного грунта на откосах и грунтовых площадках слоем 0,15 м)</t>
  </si>
  <si>
    <t>Укрепление откосов земляных сооружений посевом многолетних трав: механизированным способом с поливом посевов трав водой</t>
  </si>
  <si>
    <t>Разработка грунта с погрузкой на автомобили-самосвалы (погрузка лишнего грунта) с перевозка грузов автомобилями-самосвалами (вывоз лишнего растительного грунта)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</si>
</sst>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#,##0.0"/>
    <numFmt numFmtId="166" formatCode="#,##0.00000"/>
    <numFmt numFmtId="167" formatCode="0.00000"/>
    <numFmt numFmtId="168" formatCode="#,##0.00000000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Helv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color indexed="10"/>
      <name val="Pragmatica-Bold"/>
      <charset val="204"/>
    </font>
    <font>
      <sz val="8"/>
      <color indexed="8"/>
      <name val="Pragmatica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0"/>
      <color rgb="FF0070C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9" tint="-0.249977111117893"/>
      <name val="Arial"/>
      <family val="2"/>
      <charset val="204"/>
    </font>
    <font>
      <i/>
      <sz val="10"/>
      <color theme="9" tint="-0.249977111117893"/>
      <name val="Arial Cyr"/>
      <charset val="204"/>
    </font>
    <font>
      <sz val="8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10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1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>
      <alignment horizontal="center" vertical="center" wrapText="1"/>
      <protection locked="0"/>
    </xf>
    <xf numFmtId="0" fontId="20" fillId="0" borderId="1">
      <alignment horizontal="center" vertical="center" wrapText="1"/>
      <protection locked="0"/>
    </xf>
    <xf numFmtId="165" fontId="20" fillId="0" borderId="1">
      <alignment horizontal="center" vertical="center" wrapText="1"/>
      <protection locked="0"/>
    </xf>
    <xf numFmtId="1" fontId="20" fillId="0" borderId="1">
      <alignment horizontal="center" vertical="center" wrapText="1"/>
      <protection locked="0"/>
    </xf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9" fillId="0" borderId="0" applyNumberFormat="0" applyFill="0" applyBorder="0" applyProtection="0">
      <alignment horizontal="centerContinuous"/>
    </xf>
    <xf numFmtId="3" fontId="20" fillId="0" borderId="1">
      <alignment horizontal="center" vertical="center" wrapText="1"/>
      <protection locked="0"/>
    </xf>
  </cellStyleXfs>
  <cellXfs count="171">
    <xf numFmtId="0" fontId="0" fillId="0" borderId="0" xfId="0"/>
    <xf numFmtId="0" fontId="6" fillId="0" borderId="0" xfId="0" applyFont="1" applyFill="1"/>
    <xf numFmtId="0" fontId="6" fillId="0" borderId="0" xfId="6" applyFont="1" applyFill="1" applyAlignment="1">
      <alignment horizontal="center" vertical="center"/>
    </xf>
    <xf numFmtId="0" fontId="7" fillId="0" borderId="0" xfId="6" applyFont="1" applyFill="1"/>
    <xf numFmtId="0" fontId="8" fillId="0" borderId="0" xfId="0" applyFont="1" applyFill="1"/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left" vertical="center"/>
    </xf>
    <xf numFmtId="0" fontId="7" fillId="0" borderId="0" xfId="6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top"/>
    </xf>
    <xf numFmtId="14" fontId="0" fillId="4" borderId="2" xfId="0" applyNumberFormat="1" applyFill="1" applyBorder="1" applyAlignment="1">
      <alignment horizontal="right" vertical="center" wrapText="1"/>
    </xf>
    <xf numFmtId="0" fontId="16" fillId="5" borderId="6" xfId="0" applyFont="1" applyFill="1" applyBorder="1" applyAlignment="1">
      <alignment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12" fillId="0" borderId="9" xfId="7" applyFont="1" applyFill="1" applyBorder="1" applyAlignment="1">
      <alignment horizontal="left" vertical="center" wrapText="1"/>
    </xf>
    <xf numFmtId="0" fontId="12" fillId="0" borderId="6" xfId="7" applyFont="1" applyFill="1" applyBorder="1" applyAlignment="1">
      <alignment horizontal="left" vertical="center" wrapText="1"/>
    </xf>
    <xf numFmtId="0" fontId="12" fillId="0" borderId="4" xfId="7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14" fontId="16" fillId="5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ill="1" applyBorder="1" applyAlignment="1">
      <alignment horizontal="right" vertical="center" wrapText="1"/>
    </xf>
    <xf numFmtId="0" fontId="7" fillId="0" borderId="7" xfId="6" applyFont="1" applyFill="1" applyBorder="1"/>
    <xf numFmtId="0" fontId="7" fillId="0" borderId="10" xfId="6" applyFont="1" applyFill="1" applyBorder="1"/>
    <xf numFmtId="0" fontId="10" fillId="0" borderId="1" xfId="0" applyFont="1" applyBorder="1" applyAlignment="1">
      <alignment horizontal="center" vertical="center" wrapText="1"/>
    </xf>
    <xf numFmtId="0" fontId="7" fillId="0" borderId="3" xfId="6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/>
    </xf>
    <xf numFmtId="0" fontId="16" fillId="5" borderId="4" xfId="0" applyFont="1" applyFill="1" applyBorder="1" applyAlignment="1">
      <alignment vertical="center" wrapText="1"/>
    </xf>
    <xf numFmtId="14" fontId="16" fillId="5" borderId="4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10" fillId="0" borderId="14" xfId="8" applyNumberFormat="1" applyFont="1" applyBorder="1" applyAlignment="1">
      <alignment horizontal="center" vertical="center" wrapText="1"/>
    </xf>
    <xf numFmtId="4" fontId="10" fillId="0" borderId="17" xfId="8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4" fontId="22" fillId="0" borderId="21" xfId="8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7" fillId="0" borderId="0" xfId="6" applyFont="1" applyFill="1" applyAlignment="1">
      <alignment wrapText="1"/>
    </xf>
    <xf numFmtId="0" fontId="6" fillId="0" borderId="0" xfId="6" applyFont="1" applyFill="1" applyAlignment="1">
      <alignment vertical="center" wrapText="1"/>
    </xf>
    <xf numFmtId="0" fontId="6" fillId="0" borderId="0" xfId="6" applyFont="1" applyFill="1" applyAlignment="1">
      <alignment horizontal="center" vertical="center" wrapText="1"/>
    </xf>
    <xf numFmtId="0" fontId="7" fillId="0" borderId="11" xfId="6" applyFont="1" applyFill="1" applyBorder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4" fontId="0" fillId="5" borderId="4" xfId="0" applyNumberFormat="1" applyFill="1" applyBorder="1" applyAlignment="1">
      <alignment vertical="center"/>
    </xf>
    <xf numFmtId="0" fontId="0" fillId="5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vertical="center" wrapText="1"/>
    </xf>
    <xf numFmtId="14" fontId="0" fillId="5" borderId="1" xfId="0" applyNumberForma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164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 wrapText="1"/>
    </xf>
    <xf numFmtId="2" fontId="0" fillId="3" borderId="1" xfId="0" applyNumberForma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7" fillId="0" borderId="0" xfId="6" applyNumberFormat="1" applyFont="1" applyFill="1"/>
    <xf numFmtId="0" fontId="6" fillId="0" borderId="0" xfId="6" applyNumberFormat="1" applyFont="1" applyFill="1" applyAlignment="1">
      <alignment vertical="center"/>
    </xf>
    <xf numFmtId="0" fontId="6" fillId="0" borderId="0" xfId="6" applyNumberFormat="1" applyFont="1" applyFill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7" fillId="0" borderId="10" xfId="6" applyNumberFormat="1" applyFont="1" applyFill="1" applyBorder="1"/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/>
    </xf>
    <xf numFmtId="0" fontId="16" fillId="5" borderId="4" xfId="0" applyNumberFormat="1" applyFont="1" applyFill="1" applyBorder="1" applyAlignment="1">
      <alignment horizontal="right" vertical="center" wrapText="1"/>
    </xf>
    <xf numFmtId="0" fontId="0" fillId="4" borderId="1" xfId="0" applyNumberFormat="1" applyFill="1" applyBorder="1" applyAlignment="1">
      <alignment horizontal="right" vertical="center" wrapText="1"/>
    </xf>
    <xf numFmtId="0" fontId="16" fillId="5" borderId="1" xfId="0" applyNumberFormat="1" applyFont="1" applyFill="1" applyBorder="1" applyAlignment="1">
      <alignment horizontal="right" vertical="center" wrapText="1"/>
    </xf>
    <xf numFmtId="0" fontId="0" fillId="5" borderId="1" xfId="0" applyNumberFormat="1" applyFill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4" fontId="24" fillId="4" borderId="1" xfId="0" applyNumberFormat="1" applyFont="1" applyFill="1" applyBorder="1" applyAlignment="1">
      <alignment horizontal="right" vertical="center" wrapText="1"/>
    </xf>
    <xf numFmtId="0" fontId="24" fillId="4" borderId="1" xfId="0" applyNumberFormat="1" applyFont="1" applyFill="1" applyBorder="1" applyAlignment="1">
      <alignment horizontal="right" vertical="center" wrapText="1"/>
    </xf>
    <xf numFmtId="4" fontId="24" fillId="3" borderId="1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/>
    </xf>
    <xf numFmtId="14" fontId="24" fillId="3" borderId="1" xfId="0" applyNumberFormat="1" applyFont="1" applyFill="1" applyBorder="1" applyAlignment="1">
      <alignment vertical="center" wrapText="1"/>
    </xf>
    <xf numFmtId="14" fontId="24" fillId="3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horizontal="center" vertical="top"/>
    </xf>
    <xf numFmtId="4" fontId="0" fillId="4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vertical="center" wrapText="1"/>
    </xf>
    <xf numFmtId="4" fontId="6" fillId="0" borderId="0" xfId="0" applyNumberFormat="1" applyFont="1" applyFill="1"/>
    <xf numFmtId="4" fontId="9" fillId="3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NumberFormat="1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14" fontId="26" fillId="3" borderId="1" xfId="0" applyNumberFormat="1" applyFont="1" applyFill="1" applyBorder="1" applyAlignment="1">
      <alignment vertical="center" wrapText="1"/>
    </xf>
    <xf numFmtId="0" fontId="27" fillId="0" borderId="8" xfId="6" applyFont="1" applyFill="1" applyBorder="1" applyAlignment="1">
      <alignment horizontal="center"/>
    </xf>
    <xf numFmtId="0" fontId="27" fillId="0" borderId="19" xfId="6" applyFont="1" applyFill="1" applyBorder="1" applyAlignment="1">
      <alignment horizontal="center"/>
    </xf>
    <xf numFmtId="4" fontId="10" fillId="0" borderId="8" xfId="8" applyNumberFormat="1" applyFont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2" fontId="10" fillId="0" borderId="11" xfId="8" applyNumberFormat="1" applyFont="1" applyFill="1" applyBorder="1" applyAlignment="1">
      <alignment horizontal="center" vertical="center" wrapText="1"/>
    </xf>
    <xf numFmtId="4" fontId="10" fillId="0" borderId="11" xfId="8" applyNumberFormat="1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center" vertical="center" wrapText="1"/>
    </xf>
    <xf numFmtId="166" fontId="10" fillId="0" borderId="1" xfId="8" applyNumberFormat="1" applyFont="1" applyBorder="1" applyAlignment="1">
      <alignment horizontal="center" vertical="center" wrapText="1"/>
    </xf>
    <xf numFmtId="0" fontId="22" fillId="0" borderId="8" xfId="8" applyFont="1" applyFill="1" applyBorder="1" applyAlignment="1">
      <alignment vertical="center"/>
    </xf>
    <xf numFmtId="0" fontId="10" fillId="0" borderId="0" xfId="8" applyFont="1" applyBorder="1" applyAlignment="1">
      <alignment horizontal="center" vertical="center" wrapText="1"/>
    </xf>
    <xf numFmtId="2" fontId="10" fillId="0" borderId="0" xfId="8" applyNumberFormat="1" applyFont="1" applyBorder="1" applyAlignment="1">
      <alignment horizontal="center" vertical="center" wrapText="1"/>
    </xf>
    <xf numFmtId="167" fontId="10" fillId="0" borderId="0" xfId="8" applyNumberFormat="1" applyFont="1" applyBorder="1" applyAlignment="1">
      <alignment horizontal="center" vertical="center" wrapText="1"/>
    </xf>
    <xf numFmtId="166" fontId="10" fillId="0" borderId="0" xfId="8" applyNumberFormat="1" applyFont="1" applyBorder="1" applyAlignment="1">
      <alignment horizontal="center" vertical="center" wrapText="1"/>
    </xf>
    <xf numFmtId="4" fontId="22" fillId="0" borderId="1" xfId="8" applyNumberFormat="1" applyFont="1" applyFill="1" applyBorder="1" applyAlignment="1">
      <alignment horizontal="center" vertical="center" wrapText="1"/>
    </xf>
    <xf numFmtId="4" fontId="30" fillId="0" borderId="1" xfId="8" applyNumberFormat="1" applyFont="1" applyFill="1" applyBorder="1" applyAlignment="1">
      <alignment horizontal="center" vertical="center" wrapText="1"/>
    </xf>
    <xf numFmtId="4" fontId="25" fillId="0" borderId="1" xfId="8" applyNumberFormat="1" applyFont="1" applyFill="1" applyBorder="1" applyAlignment="1">
      <alignment horizontal="center" vertical="center" wrapText="1"/>
    </xf>
    <xf numFmtId="2" fontId="22" fillId="0" borderId="1" xfId="8" applyNumberFormat="1" applyFont="1" applyFill="1" applyBorder="1" applyAlignment="1">
      <alignment horizontal="center" vertical="center" wrapText="1"/>
    </xf>
    <xf numFmtId="167" fontId="22" fillId="0" borderId="1" xfId="8" applyNumberFormat="1" applyFont="1" applyFill="1" applyBorder="1" applyAlignment="1">
      <alignment horizontal="center" vertical="center" wrapText="1"/>
    </xf>
    <xf numFmtId="166" fontId="22" fillId="0" borderId="1" xfId="8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3" fillId="0" borderId="24" xfId="6" applyFont="1" applyFill="1" applyBorder="1" applyAlignment="1">
      <alignment horizontal="center"/>
    </xf>
    <xf numFmtId="49" fontId="31" fillId="0" borderId="1" xfId="0" applyNumberFormat="1" applyFont="1" applyBorder="1" applyAlignment="1">
      <alignment horizontal="right" vertical="center" wrapText="1"/>
    </xf>
    <xf numFmtId="14" fontId="32" fillId="4" borderId="1" xfId="0" applyNumberFormat="1" applyFont="1" applyFill="1" applyBorder="1" applyAlignment="1">
      <alignment horizontal="right" vertical="center" wrapText="1"/>
    </xf>
    <xf numFmtId="0" fontId="32" fillId="4" borderId="1" xfId="0" applyNumberFormat="1" applyFont="1" applyFill="1" applyBorder="1" applyAlignment="1">
      <alignment horizontal="right" vertical="center" wrapText="1"/>
    </xf>
    <xf numFmtId="4" fontId="32" fillId="3" borderId="1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/>
    </xf>
    <xf numFmtId="14" fontId="32" fillId="3" borderId="1" xfId="0" applyNumberFormat="1" applyFont="1" applyFill="1" applyBorder="1" applyAlignment="1">
      <alignment vertical="center" wrapText="1"/>
    </xf>
    <xf numFmtId="49" fontId="33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right" vertical="center" wrapText="1"/>
    </xf>
    <xf numFmtId="0" fontId="34" fillId="0" borderId="1" xfId="8" applyFont="1" applyFill="1" applyBorder="1" applyAlignment="1">
      <alignment horizontal="right" vertical="center" wrapText="1"/>
    </xf>
    <xf numFmtId="49" fontId="34" fillId="2" borderId="1" xfId="0" applyNumberFormat="1" applyFont="1" applyFill="1" applyBorder="1" applyAlignment="1">
      <alignment horizontal="right" vertical="center" wrapText="1"/>
    </xf>
    <xf numFmtId="14" fontId="35" fillId="4" borderId="1" xfId="0" applyNumberFormat="1" applyFont="1" applyFill="1" applyBorder="1" applyAlignment="1">
      <alignment horizontal="right" vertical="center" wrapText="1"/>
    </xf>
    <xf numFmtId="0" fontId="35" fillId="4" borderId="1" xfId="0" applyNumberFormat="1" applyFont="1" applyFill="1" applyBorder="1" applyAlignment="1">
      <alignment horizontal="right" vertical="center" wrapText="1"/>
    </xf>
    <xf numFmtId="164" fontId="35" fillId="3" borderId="1" xfId="0" applyNumberFormat="1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14" fontId="35" fillId="3" borderId="1" xfId="0" applyNumberFormat="1" applyFont="1" applyFill="1" applyBorder="1" applyAlignment="1">
      <alignment vertical="center" wrapText="1"/>
    </xf>
    <xf numFmtId="4" fontId="35" fillId="3" borderId="1" xfId="0" applyNumberFormat="1" applyFont="1" applyFill="1" applyBorder="1" applyAlignment="1">
      <alignment vertical="center"/>
    </xf>
    <xf numFmtId="4" fontId="32" fillId="4" borderId="1" xfId="0" applyNumberFormat="1" applyFont="1" applyFill="1" applyBorder="1" applyAlignment="1">
      <alignment horizontal="right" vertical="center" wrapText="1"/>
    </xf>
    <xf numFmtId="49" fontId="36" fillId="2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ont="1" applyFill="1" applyBorder="1" applyAlignment="1">
      <alignment horizontal="right" vertical="center" wrapText="1"/>
    </xf>
    <xf numFmtId="0" fontId="0" fillId="4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vertical="center" wrapText="1"/>
    </xf>
    <xf numFmtId="2" fontId="24" fillId="4" borderId="1" xfId="0" applyNumberFormat="1" applyFont="1" applyFill="1" applyBorder="1" applyAlignment="1">
      <alignment horizontal="right" vertical="center" wrapText="1"/>
    </xf>
    <xf numFmtId="49" fontId="33" fillId="7" borderId="1" xfId="0" applyNumberFormat="1" applyFont="1" applyFill="1" applyBorder="1" applyAlignment="1">
      <alignment horizontal="right" vertical="center" wrapText="1"/>
    </xf>
    <xf numFmtId="14" fontId="0" fillId="7" borderId="1" xfId="0" applyNumberFormat="1" applyFill="1" applyBorder="1" applyAlignment="1">
      <alignment horizontal="right" vertical="center" wrapText="1"/>
    </xf>
    <xf numFmtId="0" fontId="0" fillId="7" borderId="1" xfId="0" applyNumberFormat="1" applyFill="1" applyBorder="1" applyAlignment="1">
      <alignment horizontal="right" vertical="center" wrapText="1"/>
    </xf>
    <xf numFmtId="164" fontId="0" fillId="7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vertical="center" wrapText="1"/>
    </xf>
    <xf numFmtId="14" fontId="0" fillId="7" borderId="1" xfId="0" applyNumberFormat="1" applyFill="1" applyBorder="1" applyAlignment="1">
      <alignment vertical="center"/>
    </xf>
    <xf numFmtId="4" fontId="33" fillId="7" borderId="1" xfId="0" applyNumberFormat="1" applyFont="1" applyFill="1" applyBorder="1" applyAlignment="1">
      <alignment horizontal="right" vertical="center" wrapText="1"/>
    </xf>
    <xf numFmtId="4" fontId="0" fillId="7" borderId="1" xfId="0" applyNumberFormat="1" applyFill="1" applyBorder="1" applyAlignment="1">
      <alignment horizontal="right" vertical="center" wrapText="1"/>
    </xf>
    <xf numFmtId="4" fontId="9" fillId="7" borderId="1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right" vertical="center" wrapText="1"/>
    </xf>
    <xf numFmtId="0" fontId="10" fillId="0" borderId="8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4" fontId="10" fillId="0" borderId="8" xfId="8" applyNumberFormat="1" applyFont="1" applyBorder="1" applyAlignment="1">
      <alignment horizontal="center" vertical="center" wrapText="1"/>
    </xf>
    <xf numFmtId="4" fontId="10" fillId="0" borderId="11" xfId="8" applyNumberFormat="1" applyFont="1" applyBorder="1" applyAlignment="1">
      <alignment horizontal="center" vertical="center" wrapText="1"/>
    </xf>
    <xf numFmtId="4" fontId="10" fillId="0" borderId="2" xfId="8" applyNumberFormat="1" applyFont="1" applyBorder="1" applyAlignment="1">
      <alignment horizontal="center" vertical="center" wrapText="1"/>
    </xf>
    <xf numFmtId="166" fontId="10" fillId="0" borderId="8" xfId="8" applyNumberFormat="1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center" vertical="center" wrapText="1"/>
    </xf>
    <xf numFmtId="166" fontId="10" fillId="0" borderId="2" xfId="8" applyNumberFormat="1" applyFont="1" applyBorder="1" applyAlignment="1">
      <alignment horizontal="center" vertical="center" wrapText="1"/>
    </xf>
    <xf numFmtId="168" fontId="0" fillId="0" borderId="0" xfId="0" applyNumberFormat="1"/>
  </cellXfs>
  <cellStyles count="34">
    <cellStyle name="Гиперссылка 2" xfId="9"/>
    <cellStyle name="Гиперссылка 2 2" xfId="12"/>
    <cellStyle name="Гиперссылка 3" xfId="13"/>
    <cellStyle name="Гиперссылка 4" xfId="11"/>
    <cellStyle name="Индекс" xfId="14"/>
    <cellStyle name="Индекс 2" xfId="15"/>
    <cellStyle name="Индекс 3" xfId="16"/>
    <cellStyle name="Модель" xfId="17"/>
    <cellStyle name="Обычный" xfId="0" builtinId="0"/>
    <cellStyle name="Обычный 2" xfId="1"/>
    <cellStyle name="Обычный 2 2" xfId="2"/>
    <cellStyle name="Обычный 2 2 2" xfId="19"/>
    <cellStyle name="Обычный 2 3" xfId="20"/>
    <cellStyle name="Обычный 2 3 2" xfId="3"/>
    <cellStyle name="Обычный 2 3 2 2" xfId="21"/>
    <cellStyle name="Обычный 2 4" xfId="18"/>
    <cellStyle name="Обычный 3" xfId="4"/>
    <cellStyle name="Обычный 3 2" xfId="23"/>
    <cellStyle name="Обычный 3 3" xfId="24"/>
    <cellStyle name="Обычный 3 4" xfId="22"/>
    <cellStyle name="Обычный 4" xfId="8"/>
    <cellStyle name="Обычный 4 2" xfId="25"/>
    <cellStyle name="Обычный 5" xfId="26"/>
    <cellStyle name="Обычный 5 2" xfId="27"/>
    <cellStyle name="Обычный 6" xfId="5"/>
    <cellStyle name="Обычный 6 2" xfId="29"/>
    <cellStyle name="Обычный 6 3" xfId="28"/>
    <cellStyle name="Обычный 7" xfId="30"/>
    <cellStyle name="Обычный 8" xfId="6"/>
    <cellStyle name="Обычный 8 2" xfId="31"/>
    <cellStyle name="Обычный 9" xfId="10"/>
    <cellStyle name="Стиль 1" xfId="7"/>
    <cellStyle name="Титульн" xfId="32"/>
    <cellStyle name="Цен/К/Сум." xfId="3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BH193"/>
  <sheetViews>
    <sheetView tabSelected="1" topLeftCell="C1" zoomScale="70" zoomScaleNormal="70" zoomScaleSheetLayoutView="100" workbookViewId="0">
      <pane ySplit="11" topLeftCell="A185" activePane="bottomLeft" state="frozen"/>
      <selection pane="bottomLeft" activeCell="C193" sqref="C193"/>
    </sheetView>
  </sheetViews>
  <sheetFormatPr defaultColWidth="9.140625" defaultRowHeight="15.75" outlineLevelRow="3"/>
  <cols>
    <col min="1" max="1" width="5.5703125" style="2" customWidth="1"/>
    <col min="2" max="2" width="6.85546875" style="2" customWidth="1"/>
    <col min="3" max="3" width="82.28515625" style="3" customWidth="1"/>
    <col min="4" max="4" width="11.5703125" style="3" customWidth="1"/>
    <col min="5" max="5" width="11.7109375" style="74" customWidth="1"/>
    <col min="6" max="6" width="14.5703125" style="3" customWidth="1"/>
    <col min="7" max="7" width="18.42578125" style="3" customWidth="1"/>
    <col min="8" max="8" width="39" style="50" customWidth="1"/>
    <col min="9" max="9" width="18.42578125" style="3" customWidth="1"/>
    <col min="10" max="11" width="9.140625" style="3"/>
    <col min="12" max="12" width="9.7109375" style="3" customWidth="1"/>
    <col min="13" max="15" width="9.140625" style="3"/>
    <col min="16" max="16" width="10.85546875" style="3" customWidth="1"/>
    <col min="17" max="17" width="11.140625" style="3" customWidth="1"/>
    <col min="18" max="18" width="12.28515625" style="3" customWidth="1"/>
    <col min="19" max="19" width="12.140625" style="3" customWidth="1"/>
    <col min="20" max="20" width="14" style="3" customWidth="1"/>
    <col min="21" max="21" width="15.140625" style="3" customWidth="1"/>
    <col min="22" max="24" width="9.140625" style="3"/>
    <col min="25" max="25" width="11.140625" style="3" customWidth="1"/>
    <col min="26" max="26" width="12.85546875" style="3" customWidth="1"/>
    <col min="27" max="27" width="11.28515625" style="3" customWidth="1"/>
    <col min="28" max="28" width="13.140625" style="3" customWidth="1"/>
    <col min="29" max="29" width="14.28515625" style="3" customWidth="1"/>
    <col min="30" max="30" width="14.85546875" style="3" customWidth="1"/>
    <col min="31" max="31" width="12.85546875" style="3" customWidth="1"/>
    <col min="32" max="32" width="15.7109375" style="3" customWidth="1"/>
    <col min="33" max="33" width="12.140625" style="3" customWidth="1"/>
    <col min="34" max="34" width="9.140625" style="3"/>
    <col min="35" max="35" width="11.140625" style="3" customWidth="1"/>
    <col min="36" max="36" width="10.85546875" style="3" customWidth="1"/>
    <col min="37" max="41" width="9.140625" style="3"/>
    <col min="42" max="42" width="15.5703125" style="3" customWidth="1"/>
    <col min="43" max="43" width="12.28515625" style="3" customWidth="1"/>
    <col min="44" max="44" width="15.85546875" style="3" customWidth="1"/>
    <col min="45" max="45" width="14" style="3" customWidth="1"/>
    <col min="46" max="51" width="9.140625" style="3"/>
    <col min="52" max="52" width="15" style="3" customWidth="1"/>
    <col min="53" max="53" width="15.5703125" style="3" customWidth="1"/>
    <col min="54" max="54" width="16" style="3" customWidth="1"/>
    <col min="55" max="55" width="12" style="3" customWidth="1"/>
    <col min="56" max="56" width="9.140625" style="3"/>
    <col min="57" max="57" width="18" style="3" customWidth="1"/>
    <col min="58" max="58" width="16.28515625" style="3" customWidth="1"/>
    <col min="59" max="59" width="16" style="3" customWidth="1"/>
    <col min="60" max="16384" width="9.140625" style="3"/>
  </cols>
  <sheetData>
    <row r="1" spans="1:60" hidden="1" outlineLevel="1"/>
    <row r="2" spans="1:60" hidden="1" outlineLevel="1"/>
    <row r="3" spans="1:60" hidden="1" outlineLevel="1"/>
    <row r="4" spans="1:60" hidden="1" outlineLevel="1">
      <c r="A4" s="10"/>
      <c r="B4" s="10"/>
      <c r="C4" s="11"/>
      <c r="D4" s="10"/>
      <c r="E4" s="75"/>
      <c r="F4" s="10"/>
      <c r="G4" s="10"/>
      <c r="H4" s="51"/>
    </row>
    <row r="5" spans="1:60" hidden="1" outlineLevel="1">
      <c r="C5" s="11"/>
      <c r="D5" s="2"/>
      <c r="E5" s="76"/>
      <c r="F5" s="2"/>
      <c r="G5" s="2"/>
      <c r="H5" s="52"/>
    </row>
    <row r="6" spans="1:60" hidden="1" outlineLevel="1">
      <c r="C6" s="11"/>
      <c r="D6" s="2"/>
      <c r="E6" s="76"/>
      <c r="F6" s="2"/>
      <c r="G6" s="2"/>
      <c r="H6" s="52"/>
    </row>
    <row r="7" spans="1:60" ht="16.5" collapsed="1" thickBot="1">
      <c r="C7" s="11"/>
      <c r="D7" s="2"/>
      <c r="E7" s="76"/>
      <c r="F7" s="2"/>
      <c r="G7" s="2"/>
      <c r="H7" s="52"/>
    </row>
    <row r="8" spans="1:60" ht="51.75" customHeight="1">
      <c r="A8" s="34"/>
      <c r="B8" s="35"/>
      <c r="C8" s="36"/>
      <c r="D8" s="37"/>
      <c r="E8" s="77"/>
      <c r="F8" s="38"/>
      <c r="G8" s="39" t="s">
        <v>77</v>
      </c>
      <c r="H8" s="38"/>
      <c r="I8" s="40" t="s">
        <v>77</v>
      </c>
      <c r="J8" s="105"/>
      <c r="K8" s="105"/>
      <c r="L8" s="162" t="s">
        <v>143</v>
      </c>
      <c r="M8" s="163"/>
      <c r="N8" s="163"/>
      <c r="O8" s="163"/>
      <c r="P8" s="163"/>
      <c r="Q8" s="163"/>
      <c r="R8" s="106"/>
      <c r="S8" s="106"/>
      <c r="T8" s="106"/>
      <c r="U8" s="106"/>
      <c r="V8" s="107"/>
      <c r="W8" s="164" t="s">
        <v>144</v>
      </c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6"/>
      <c r="AI8" s="108"/>
      <c r="AJ8" s="108"/>
      <c r="AK8" s="167" t="s">
        <v>145</v>
      </c>
      <c r="AL8" s="168"/>
      <c r="AM8" s="168"/>
      <c r="AN8" s="168"/>
      <c r="AO8" s="169"/>
      <c r="AP8" s="109"/>
      <c r="AQ8" s="109"/>
      <c r="AR8" s="109"/>
      <c r="AS8" s="109"/>
      <c r="AT8" s="109"/>
      <c r="AU8" s="167" t="s">
        <v>146</v>
      </c>
      <c r="AV8" s="168"/>
      <c r="AW8" s="168"/>
      <c r="AX8" s="168"/>
      <c r="AY8" s="169"/>
      <c r="AZ8" s="109"/>
      <c r="BA8" s="109"/>
      <c r="BB8" s="109"/>
      <c r="BC8" s="109"/>
      <c r="BD8" s="109"/>
      <c r="BE8" s="109" t="s">
        <v>147</v>
      </c>
      <c r="BF8" s="110" t="s">
        <v>148</v>
      </c>
      <c r="BG8" s="110" t="s">
        <v>149</v>
      </c>
      <c r="BH8" s="110" t="s">
        <v>150</v>
      </c>
    </row>
    <row r="9" spans="1:60" s="12" customFormat="1" ht="15" customHeight="1">
      <c r="A9" s="41"/>
      <c r="B9" s="15"/>
      <c r="C9" s="15"/>
      <c r="D9" s="26"/>
      <c r="E9" s="78"/>
      <c r="F9" s="27"/>
      <c r="G9" s="103" t="s">
        <v>79</v>
      </c>
      <c r="H9" s="53"/>
      <c r="I9" s="104" t="s">
        <v>80</v>
      </c>
      <c r="J9" s="105"/>
      <c r="K9" s="105"/>
      <c r="L9" s="111"/>
      <c r="M9" s="111"/>
      <c r="N9" s="112"/>
      <c r="O9" s="112"/>
      <c r="P9" s="112"/>
      <c r="Q9" s="112"/>
      <c r="R9" s="112"/>
      <c r="S9" s="112"/>
      <c r="T9" s="112"/>
      <c r="U9" s="112"/>
      <c r="V9" s="113"/>
      <c r="W9" s="112"/>
      <c r="X9" s="112"/>
      <c r="Y9" s="114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</row>
    <row r="10" spans="1:60" s="29" customFormat="1" ht="81" customHeight="1" thickBot="1">
      <c r="A10" s="42" t="s">
        <v>0</v>
      </c>
      <c r="B10" s="30" t="s">
        <v>81</v>
      </c>
      <c r="C10" s="13" t="s">
        <v>71</v>
      </c>
      <c r="D10" s="14" t="s">
        <v>20</v>
      </c>
      <c r="E10" s="79" t="s">
        <v>21</v>
      </c>
      <c r="F10" s="28" t="s">
        <v>129</v>
      </c>
      <c r="G10" s="28" t="s">
        <v>78</v>
      </c>
      <c r="H10" s="28" t="s">
        <v>70</v>
      </c>
      <c r="I10" s="43" t="s">
        <v>78</v>
      </c>
      <c r="J10" s="116" t="s">
        <v>151</v>
      </c>
      <c r="K10" s="116" t="s">
        <v>152</v>
      </c>
      <c r="L10" s="116" t="s">
        <v>153</v>
      </c>
      <c r="M10" s="116" t="s">
        <v>154</v>
      </c>
      <c r="N10" s="116" t="s">
        <v>155</v>
      </c>
      <c r="O10" s="117" t="s">
        <v>156</v>
      </c>
      <c r="P10" s="117" t="s">
        <v>157</v>
      </c>
      <c r="Q10" s="118" t="s">
        <v>158</v>
      </c>
      <c r="R10" s="116" t="s">
        <v>159</v>
      </c>
      <c r="S10" s="116" t="s">
        <v>160</v>
      </c>
      <c r="T10" s="116" t="s">
        <v>161</v>
      </c>
      <c r="U10" s="116" t="s">
        <v>162</v>
      </c>
      <c r="V10" s="119" t="s">
        <v>163</v>
      </c>
      <c r="W10" s="116" t="s">
        <v>164</v>
      </c>
      <c r="X10" s="116" t="s">
        <v>165</v>
      </c>
      <c r="Y10" s="120" t="s">
        <v>166</v>
      </c>
      <c r="Z10" s="116" t="s">
        <v>167</v>
      </c>
      <c r="AA10" s="116" t="s">
        <v>168</v>
      </c>
      <c r="AB10" s="116" t="s">
        <v>169</v>
      </c>
      <c r="AC10" s="116" t="s">
        <v>170</v>
      </c>
      <c r="AD10" s="116" t="s">
        <v>171</v>
      </c>
      <c r="AE10" s="116" t="s">
        <v>172</v>
      </c>
      <c r="AF10" s="116" t="s">
        <v>173</v>
      </c>
      <c r="AG10" s="116" t="s">
        <v>174</v>
      </c>
      <c r="AH10" s="116" t="s">
        <v>175</v>
      </c>
      <c r="AI10" s="116" t="s">
        <v>176</v>
      </c>
      <c r="AJ10" s="116" t="s">
        <v>177</v>
      </c>
      <c r="AK10" s="121" t="s">
        <v>178</v>
      </c>
      <c r="AL10" s="121" t="s">
        <v>179</v>
      </c>
      <c r="AM10" s="121" t="s">
        <v>180</v>
      </c>
      <c r="AN10" s="121" t="s">
        <v>181</v>
      </c>
      <c r="AO10" s="121" t="s">
        <v>182</v>
      </c>
      <c r="AP10" s="121" t="s">
        <v>171</v>
      </c>
      <c r="AQ10" s="121" t="s">
        <v>172</v>
      </c>
      <c r="AR10" s="121" t="s">
        <v>183</v>
      </c>
      <c r="AS10" s="121" t="s">
        <v>174</v>
      </c>
      <c r="AT10" s="121" t="s">
        <v>184</v>
      </c>
      <c r="AU10" s="121" t="s">
        <v>178</v>
      </c>
      <c r="AV10" s="121" t="s">
        <v>179</v>
      </c>
      <c r="AW10" s="121" t="s">
        <v>180</v>
      </c>
      <c r="AX10" s="121" t="s">
        <v>181</v>
      </c>
      <c r="AY10" s="121" t="s">
        <v>182</v>
      </c>
      <c r="AZ10" s="121" t="s">
        <v>171</v>
      </c>
      <c r="BA10" s="121" t="s">
        <v>172</v>
      </c>
      <c r="BB10" s="121" t="s">
        <v>173</v>
      </c>
      <c r="BC10" s="121" t="s">
        <v>174</v>
      </c>
      <c r="BD10" s="121" t="s">
        <v>59</v>
      </c>
      <c r="BE10" s="121" t="s">
        <v>185</v>
      </c>
      <c r="BF10" s="121" t="s">
        <v>186</v>
      </c>
      <c r="BG10" s="121" t="s">
        <v>186</v>
      </c>
      <c r="BH10" s="121"/>
    </row>
    <row r="11" spans="1:60" ht="15" customHeight="1" thickBot="1">
      <c r="A11" s="47">
        <v>1</v>
      </c>
      <c r="B11" s="48">
        <v>2</v>
      </c>
      <c r="C11" s="44">
        <v>3</v>
      </c>
      <c r="D11" s="49">
        <v>4</v>
      </c>
      <c r="E11" s="80">
        <v>5</v>
      </c>
      <c r="F11" s="45">
        <v>6</v>
      </c>
      <c r="G11" s="46">
        <v>7</v>
      </c>
      <c r="H11" s="54">
        <v>8</v>
      </c>
      <c r="I11" s="122">
        <v>9</v>
      </c>
      <c r="J11" s="123">
        <v>10</v>
      </c>
      <c r="K11" s="123">
        <v>11</v>
      </c>
      <c r="L11" s="123">
        <v>12</v>
      </c>
      <c r="M11" s="123">
        <v>13</v>
      </c>
      <c r="N11" s="123">
        <v>14</v>
      </c>
      <c r="O11" s="123">
        <v>15</v>
      </c>
      <c r="P11" s="123">
        <v>16</v>
      </c>
      <c r="Q11" s="123">
        <v>17</v>
      </c>
      <c r="R11" s="123">
        <v>18</v>
      </c>
      <c r="S11" s="123">
        <v>19</v>
      </c>
      <c r="T11" s="123">
        <v>20</v>
      </c>
      <c r="U11" s="123">
        <v>21</v>
      </c>
      <c r="V11" s="123">
        <v>22</v>
      </c>
      <c r="W11" s="123">
        <v>23</v>
      </c>
      <c r="X11" s="123">
        <v>24</v>
      </c>
      <c r="Y11" s="123">
        <v>25</v>
      </c>
      <c r="Z11" s="123">
        <v>26</v>
      </c>
      <c r="AA11" s="123">
        <v>27</v>
      </c>
      <c r="AB11" s="123">
        <v>28</v>
      </c>
      <c r="AC11" s="123">
        <v>29</v>
      </c>
      <c r="AD11" s="123">
        <v>30</v>
      </c>
      <c r="AE11" s="123">
        <v>31</v>
      </c>
      <c r="AF11" s="123">
        <v>32</v>
      </c>
      <c r="AG11" s="123">
        <v>33</v>
      </c>
      <c r="AH11" s="123">
        <v>34</v>
      </c>
      <c r="AI11" s="123">
        <v>35</v>
      </c>
      <c r="AJ11" s="123">
        <v>36</v>
      </c>
      <c r="AK11" s="123">
        <v>37</v>
      </c>
      <c r="AL11" s="123">
        <v>38</v>
      </c>
      <c r="AM11" s="123">
        <v>39</v>
      </c>
      <c r="AN11" s="123">
        <v>40</v>
      </c>
      <c r="AO11" s="123">
        <v>41</v>
      </c>
      <c r="AP11" s="123">
        <v>42</v>
      </c>
      <c r="AQ11" s="123">
        <v>43</v>
      </c>
      <c r="AR11" s="123">
        <v>44</v>
      </c>
      <c r="AS11" s="123">
        <v>45</v>
      </c>
      <c r="AT11" s="123">
        <v>46</v>
      </c>
      <c r="AU11" s="123">
        <v>47</v>
      </c>
      <c r="AV11" s="123">
        <v>48</v>
      </c>
      <c r="AW11" s="123">
        <v>49</v>
      </c>
      <c r="AX11" s="123">
        <v>50</v>
      </c>
      <c r="AY11" s="123">
        <v>51</v>
      </c>
      <c r="AZ11" s="123">
        <v>52</v>
      </c>
      <c r="BA11" s="123">
        <v>53</v>
      </c>
      <c r="BB11" s="123">
        <v>54</v>
      </c>
      <c r="BC11" s="123">
        <v>55</v>
      </c>
      <c r="BD11" s="123">
        <v>56</v>
      </c>
      <c r="BE11" s="123">
        <v>57</v>
      </c>
      <c r="BF11" s="123">
        <v>58</v>
      </c>
      <c r="BG11" s="123">
        <v>59</v>
      </c>
      <c r="BH11" s="123">
        <v>60</v>
      </c>
    </row>
    <row r="12" spans="1:60" ht="15" customHeight="1">
      <c r="A12" s="31" t="s">
        <v>1</v>
      </c>
      <c r="B12" s="31"/>
      <c r="C12" s="32" t="s">
        <v>22</v>
      </c>
      <c r="D12" s="33"/>
      <c r="E12" s="81"/>
      <c r="F12" s="55"/>
      <c r="G12" s="55"/>
      <c r="H12" s="56"/>
      <c r="I12" s="57"/>
      <c r="J12" s="3" t="s">
        <v>200</v>
      </c>
    </row>
    <row r="13" spans="1:60" ht="15" customHeight="1">
      <c r="A13" s="6" t="s">
        <v>2</v>
      </c>
      <c r="B13" s="6"/>
      <c r="C13" s="7" t="s">
        <v>23</v>
      </c>
      <c r="D13" s="8" t="s">
        <v>24</v>
      </c>
      <c r="E13" s="82">
        <v>1</v>
      </c>
      <c r="F13" s="58"/>
      <c r="G13" s="58">
        <f>4615.39*3.92*1.19*1000</f>
        <v>21529871.271999996</v>
      </c>
      <c r="H13" s="59"/>
      <c r="I13" s="60"/>
      <c r="J13" s="3" t="s">
        <v>200</v>
      </c>
    </row>
    <row r="14" spans="1:60" ht="15" customHeight="1">
      <c r="A14" s="5" t="s">
        <v>3</v>
      </c>
      <c r="B14" s="5"/>
      <c r="C14" s="9" t="s">
        <v>68</v>
      </c>
      <c r="D14" s="24"/>
      <c r="E14" s="83"/>
      <c r="F14" s="61"/>
      <c r="G14" s="61"/>
      <c r="H14" s="62"/>
      <c r="I14" s="63"/>
      <c r="J14" s="3" t="s">
        <v>200</v>
      </c>
    </row>
    <row r="15" spans="1:60" ht="31.5" customHeight="1">
      <c r="A15" s="6" t="s">
        <v>4</v>
      </c>
      <c r="B15" s="6"/>
      <c r="C15" s="64" t="s">
        <v>25</v>
      </c>
      <c r="D15" s="8" t="s">
        <v>24</v>
      </c>
      <c r="E15" s="82">
        <v>1</v>
      </c>
      <c r="F15" s="58"/>
      <c r="G15" s="58">
        <f>37.45*3.93*1.266*1000</f>
        <v>186327.98100000003</v>
      </c>
      <c r="H15" s="59"/>
      <c r="I15" s="60"/>
      <c r="J15" s="3" t="s">
        <v>200</v>
      </c>
    </row>
    <row r="16" spans="1:60" ht="29.25" customHeight="1">
      <c r="A16" s="6" t="s">
        <v>5</v>
      </c>
      <c r="B16" s="6"/>
      <c r="C16" s="64" t="s">
        <v>26</v>
      </c>
      <c r="D16" s="8" t="s">
        <v>63</v>
      </c>
      <c r="E16" s="82">
        <v>13260</v>
      </c>
      <c r="F16" s="65">
        <f>G16/E16</f>
        <v>180.02929110105578</v>
      </c>
      <c r="G16" s="58">
        <f>381.34*6.26*1000</f>
        <v>2387188.3999999994</v>
      </c>
      <c r="H16" s="59"/>
      <c r="I16" s="60"/>
      <c r="J16" s="3" t="s">
        <v>200</v>
      </c>
    </row>
    <row r="17" spans="1:10" ht="15" customHeight="1">
      <c r="A17" s="6" t="s">
        <v>6</v>
      </c>
      <c r="B17" s="6"/>
      <c r="C17" s="64" t="s">
        <v>27</v>
      </c>
      <c r="D17" s="8" t="s">
        <v>64</v>
      </c>
      <c r="E17" s="82">
        <v>85</v>
      </c>
      <c r="F17" s="58">
        <f>G17/E17</f>
        <v>4524.8752941176463</v>
      </c>
      <c r="G17" s="58">
        <f>61.44*6.26*1000</f>
        <v>384614.39999999997</v>
      </c>
      <c r="H17" s="59"/>
      <c r="I17" s="60"/>
      <c r="J17" s="3" t="s">
        <v>200</v>
      </c>
    </row>
    <row r="18" spans="1:10" s="1" customFormat="1" ht="15" customHeight="1">
      <c r="A18" s="6" t="s">
        <v>7</v>
      </c>
      <c r="B18" s="6"/>
      <c r="C18" s="64" t="s">
        <v>28</v>
      </c>
      <c r="D18" s="8" t="s">
        <v>64</v>
      </c>
      <c r="E18" s="82">
        <v>180</v>
      </c>
      <c r="F18" s="65">
        <f>G18/E18</f>
        <v>16306.604444444443</v>
      </c>
      <c r="G18" s="58">
        <f>468.88*6.26*1000</f>
        <v>2935188.8</v>
      </c>
      <c r="H18" s="59"/>
      <c r="I18" s="60"/>
      <c r="J18" s="3" t="s">
        <v>200</v>
      </c>
    </row>
    <row r="19" spans="1:10" s="1" customFormat="1" ht="15" customHeight="1">
      <c r="A19" s="6" t="s">
        <v>8</v>
      </c>
      <c r="B19" s="6"/>
      <c r="C19" s="64" t="s">
        <v>29</v>
      </c>
      <c r="D19" s="8" t="s">
        <v>64</v>
      </c>
      <c r="E19" s="82">
        <v>73250</v>
      </c>
      <c r="F19" s="65"/>
      <c r="G19" s="58">
        <f>9921.48*6.26*1000</f>
        <v>62108464.799999997</v>
      </c>
      <c r="H19" s="59"/>
      <c r="I19" s="60"/>
      <c r="J19" s="3" t="s">
        <v>200</v>
      </c>
    </row>
    <row r="20" spans="1:10" s="1" customFormat="1" ht="29.25" customHeight="1">
      <c r="A20" s="5">
        <v>3</v>
      </c>
      <c r="B20" s="5"/>
      <c r="C20" s="18" t="s">
        <v>30</v>
      </c>
      <c r="D20" s="24"/>
      <c r="E20" s="83"/>
      <c r="F20" s="61"/>
      <c r="G20" s="61"/>
      <c r="H20" s="62"/>
      <c r="I20" s="63"/>
      <c r="J20" s="3" t="s">
        <v>200</v>
      </c>
    </row>
    <row r="21" spans="1:10" s="1" customFormat="1" ht="37.5" customHeight="1">
      <c r="A21" s="16" t="s">
        <v>9</v>
      </c>
      <c r="B21" s="16"/>
      <c r="C21" s="19" t="s">
        <v>31</v>
      </c>
      <c r="D21" s="17" t="s">
        <v>64</v>
      </c>
      <c r="E21" s="82">
        <v>27468</v>
      </c>
      <c r="F21" s="65">
        <f>G21/E21</f>
        <v>3367.6762560069897</v>
      </c>
      <c r="G21" s="58">
        <f>14776.89*6.26*1000</f>
        <v>92503331.399999991</v>
      </c>
      <c r="H21" s="66"/>
      <c r="I21" s="67"/>
      <c r="J21" s="3" t="s">
        <v>200</v>
      </c>
    </row>
    <row r="22" spans="1:10" s="1" customFormat="1" ht="15" customHeight="1">
      <c r="A22" s="16" t="s">
        <v>10</v>
      </c>
      <c r="B22" s="16"/>
      <c r="C22" s="20" t="s">
        <v>32</v>
      </c>
      <c r="D22" s="17" t="s">
        <v>64</v>
      </c>
      <c r="E22" s="82">
        <v>25075</v>
      </c>
      <c r="F22" s="65">
        <f>G22/E22</f>
        <v>1263.8755732801594</v>
      </c>
      <c r="G22" s="58">
        <f>((525.93+3959.82)*6.26+923.5*3.91)*1000</f>
        <v>31691680</v>
      </c>
      <c r="H22" s="59"/>
      <c r="I22" s="60"/>
      <c r="J22" s="3" t="s">
        <v>200</v>
      </c>
    </row>
    <row r="23" spans="1:10" s="1" customFormat="1" ht="15" customHeight="1">
      <c r="A23" s="16" t="s">
        <v>11</v>
      </c>
      <c r="B23" s="16"/>
      <c r="C23" s="19" t="s">
        <v>33</v>
      </c>
      <c r="D23" s="8" t="s">
        <v>24</v>
      </c>
      <c r="E23" s="82">
        <v>1</v>
      </c>
      <c r="F23" s="58"/>
      <c r="G23" s="58">
        <f>((476.5+1169.46)*6.26+13492.24*3.91)*1000</f>
        <v>63058368</v>
      </c>
      <c r="H23" s="59"/>
      <c r="I23" s="60"/>
      <c r="J23" s="3" t="s">
        <v>200</v>
      </c>
    </row>
    <row r="24" spans="1:10" s="1" customFormat="1" ht="15" customHeight="1">
      <c r="A24" s="16" t="s">
        <v>39</v>
      </c>
      <c r="B24" s="16"/>
      <c r="C24" s="20" t="s">
        <v>34</v>
      </c>
      <c r="D24" s="8" t="s">
        <v>24</v>
      </c>
      <c r="E24" s="82">
        <v>1</v>
      </c>
      <c r="F24" s="58"/>
      <c r="G24" s="58">
        <f>((25.19+55.05)*6.26+1118.22*3.91)*1000</f>
        <v>4874542.5999999996</v>
      </c>
      <c r="H24" s="59"/>
      <c r="I24" s="60"/>
      <c r="J24" s="3" t="s">
        <v>200</v>
      </c>
    </row>
    <row r="25" spans="1:10" s="1" customFormat="1" ht="15" customHeight="1">
      <c r="A25" s="16" t="s">
        <v>40</v>
      </c>
      <c r="B25" s="16"/>
      <c r="C25" s="21" t="s">
        <v>35</v>
      </c>
      <c r="D25" s="8" t="s">
        <v>24</v>
      </c>
      <c r="E25" s="82">
        <v>1</v>
      </c>
      <c r="F25" s="58"/>
      <c r="G25" s="58">
        <f>((68.65+1848.44)*6.26+18879.78*3.91)*1000</f>
        <v>85820923.199999988</v>
      </c>
      <c r="H25" s="59"/>
      <c r="I25" s="60"/>
      <c r="J25" s="3" t="s">
        <v>200</v>
      </c>
    </row>
    <row r="26" spans="1:10" s="1" customFormat="1" ht="15" customHeight="1">
      <c r="A26" s="16" t="s">
        <v>41</v>
      </c>
      <c r="B26" s="16"/>
      <c r="C26" s="19" t="s">
        <v>36</v>
      </c>
      <c r="D26" s="8" t="s">
        <v>24</v>
      </c>
      <c r="E26" s="82">
        <v>1</v>
      </c>
      <c r="F26" s="58"/>
      <c r="G26" s="58">
        <f>(37.49*6.26+1121*3.91)*1000</f>
        <v>4617797.4000000004</v>
      </c>
      <c r="H26" s="59"/>
      <c r="I26" s="60"/>
      <c r="J26" s="3" t="s">
        <v>200</v>
      </c>
    </row>
    <row r="27" spans="1:10" s="1" customFormat="1" ht="15" customHeight="1">
      <c r="A27" s="16" t="s">
        <v>42</v>
      </c>
      <c r="B27" s="16"/>
      <c r="C27" s="20" t="s">
        <v>76</v>
      </c>
      <c r="D27" s="8" t="s">
        <v>24</v>
      </c>
      <c r="E27" s="82">
        <v>1</v>
      </c>
      <c r="F27" s="58"/>
      <c r="G27" s="58">
        <f>(0.16*6.26+11.89*3.91)*1000</f>
        <v>47491.500000000007</v>
      </c>
      <c r="H27" s="59"/>
      <c r="I27" s="60"/>
      <c r="J27" s="3" t="s">
        <v>200</v>
      </c>
    </row>
    <row r="28" spans="1:10" s="1" customFormat="1" ht="15" customHeight="1">
      <c r="A28" s="16" t="s">
        <v>43</v>
      </c>
      <c r="B28" s="16"/>
      <c r="C28" s="19" t="s">
        <v>37</v>
      </c>
      <c r="D28" s="8" t="s">
        <v>24</v>
      </c>
      <c r="E28" s="82">
        <v>1</v>
      </c>
      <c r="F28" s="58"/>
      <c r="G28" s="58">
        <f>((2167.42+727)*6.26+334.03*3.91)*1000</f>
        <v>19425126.5</v>
      </c>
      <c r="H28" s="59"/>
      <c r="I28" s="60"/>
      <c r="J28" s="3" t="s">
        <v>200</v>
      </c>
    </row>
    <row r="29" spans="1:10" s="1" customFormat="1" ht="15" customHeight="1">
      <c r="A29" s="6" t="s">
        <v>44</v>
      </c>
      <c r="B29" s="6"/>
      <c r="C29" s="68" t="s">
        <v>48</v>
      </c>
      <c r="D29" s="8" t="s">
        <v>24</v>
      </c>
      <c r="E29" s="82">
        <v>1</v>
      </c>
      <c r="F29" s="58"/>
      <c r="G29" s="58">
        <f>((1607.6+249.72)*6.26+1805.12*3.91)*1000</f>
        <v>18684842.399999999</v>
      </c>
      <c r="H29" s="59"/>
      <c r="I29" s="60"/>
      <c r="J29" s="3" t="s">
        <v>200</v>
      </c>
    </row>
    <row r="30" spans="1:10" s="1" customFormat="1" ht="15" customHeight="1">
      <c r="A30" s="6" t="s">
        <v>45</v>
      </c>
      <c r="B30" s="6"/>
      <c r="C30" s="68" t="s">
        <v>49</v>
      </c>
      <c r="D30" s="8" t="s">
        <v>24</v>
      </c>
      <c r="E30" s="82">
        <v>1</v>
      </c>
      <c r="F30" s="58"/>
      <c r="G30" s="58">
        <f>((3096.1+431.43)*6.26+2621.6*3.91)*1000</f>
        <v>32332793.800000001</v>
      </c>
      <c r="H30" s="59"/>
      <c r="I30" s="60"/>
      <c r="J30" s="3" t="s">
        <v>200</v>
      </c>
    </row>
    <row r="31" spans="1:10" s="1" customFormat="1" ht="15" customHeight="1">
      <c r="A31" s="6" t="s">
        <v>46</v>
      </c>
      <c r="B31" s="6"/>
      <c r="C31" s="68" t="s">
        <v>50</v>
      </c>
      <c r="D31" s="8" t="s">
        <v>24</v>
      </c>
      <c r="E31" s="82">
        <v>1</v>
      </c>
      <c r="F31" s="58"/>
      <c r="G31" s="58">
        <f>((2719.44+348.25)*6.26+2623.83*3.91)*1000</f>
        <v>29462914.700000003</v>
      </c>
      <c r="H31" s="59"/>
      <c r="I31" s="60"/>
      <c r="J31" s="3" t="s">
        <v>200</v>
      </c>
    </row>
    <row r="32" spans="1:10" s="1" customFormat="1" ht="15" customHeight="1">
      <c r="A32" s="6" t="s">
        <v>47</v>
      </c>
      <c r="B32" s="6"/>
      <c r="C32" s="68" t="s">
        <v>51</v>
      </c>
      <c r="D32" s="8" t="s">
        <v>24</v>
      </c>
      <c r="E32" s="82">
        <v>1</v>
      </c>
      <c r="F32" s="58"/>
      <c r="G32" s="58">
        <f>((3651.77+410.99)*6.26+5529.23*3.91)*1000</f>
        <v>47052166.899999999</v>
      </c>
      <c r="H32" s="59"/>
      <c r="I32" s="60"/>
      <c r="J32" s="3" t="s">
        <v>200</v>
      </c>
    </row>
    <row r="33" spans="1:10" s="1" customFormat="1" ht="15" customHeight="1">
      <c r="A33" s="5">
        <v>4</v>
      </c>
      <c r="B33" s="5"/>
      <c r="C33" s="9" t="s">
        <v>52</v>
      </c>
      <c r="D33" s="24"/>
      <c r="E33" s="83"/>
      <c r="F33" s="61"/>
      <c r="G33" s="61"/>
      <c r="H33" s="62"/>
      <c r="I33" s="63"/>
    </row>
    <row r="34" spans="1:10" s="1" customFormat="1" ht="27.75" customHeight="1">
      <c r="A34" s="6" t="s">
        <v>12</v>
      </c>
      <c r="B34" s="6"/>
      <c r="C34" s="160" t="s">
        <v>66</v>
      </c>
      <c r="D34" s="98" t="s">
        <v>63</v>
      </c>
      <c r="E34" s="99">
        <f>39588+15593+27040+11062</f>
        <v>93283</v>
      </c>
      <c r="F34" s="100">
        <f>G34/E34*1000</f>
        <v>1373.2929944362852</v>
      </c>
      <c r="G34" s="101">
        <f>20464.04*6.26</f>
        <v>128104.8904</v>
      </c>
      <c r="H34" s="59" t="s">
        <v>202</v>
      </c>
      <c r="I34" s="102" t="s">
        <v>130</v>
      </c>
      <c r="J34" s="1" t="s">
        <v>201</v>
      </c>
    </row>
    <row r="35" spans="1:10" s="1" customFormat="1" ht="12.75" customHeight="1" outlineLevel="1">
      <c r="A35" s="6"/>
      <c r="B35" s="6"/>
      <c r="C35" s="149" t="s">
        <v>82</v>
      </c>
      <c r="D35" s="150"/>
      <c r="E35" s="151"/>
      <c r="F35" s="152"/>
      <c r="G35" s="153"/>
      <c r="H35" s="154"/>
      <c r="I35" s="155"/>
      <c r="J35" s="1" t="s">
        <v>201</v>
      </c>
    </row>
    <row r="36" spans="1:10" s="95" customFormat="1" ht="13.5" customHeight="1" outlineLevel="1">
      <c r="A36" s="92"/>
      <c r="B36" s="92"/>
      <c r="C36" s="156" t="s">
        <v>83</v>
      </c>
      <c r="D36" s="157"/>
      <c r="E36" s="157"/>
      <c r="F36" s="158">
        <f>G36/(E53+E59)*1000</f>
        <v>2211.7910889545319</v>
      </c>
      <c r="G36" s="158">
        <f>SUM(G37:G103)</f>
        <v>122048.84407960002</v>
      </c>
      <c r="H36" s="159"/>
      <c r="I36" s="158">
        <f>SUM(I37:I103)</f>
        <v>144017.63601392804</v>
      </c>
      <c r="J36" s="1" t="s">
        <v>201</v>
      </c>
    </row>
    <row r="37" spans="1:10" s="1" customFormat="1" outlineLevel="1">
      <c r="A37" s="6"/>
      <c r="B37" s="6"/>
      <c r="C37" s="64" t="s">
        <v>113</v>
      </c>
      <c r="D37" s="143" t="s">
        <v>65</v>
      </c>
      <c r="E37" s="144">
        <v>36404</v>
      </c>
      <c r="F37" s="145">
        <f>22.96*6.26</f>
        <v>143.7296</v>
      </c>
      <c r="G37" s="146">
        <f>835.99*6.26</f>
        <v>5233.2973999999995</v>
      </c>
      <c r="H37" s="147" t="s">
        <v>204</v>
      </c>
      <c r="I37" s="145">
        <f>G37*1.18</f>
        <v>6175.290931999999</v>
      </c>
      <c r="J37" s="1" t="s">
        <v>201</v>
      </c>
    </row>
    <row r="38" spans="1:10" s="1" customFormat="1" ht="13.5" customHeight="1" outlineLevel="1">
      <c r="A38" s="6"/>
      <c r="B38" s="6"/>
      <c r="C38" s="142" t="s">
        <v>82</v>
      </c>
      <c r="D38" s="86"/>
      <c r="E38" s="87"/>
      <c r="F38" s="88"/>
      <c r="G38" s="89"/>
      <c r="H38" s="90"/>
      <c r="I38" s="88"/>
    </row>
    <row r="39" spans="1:10" s="1" customFormat="1" ht="25.5" outlineLevel="1">
      <c r="A39" s="6"/>
      <c r="B39" s="6"/>
      <c r="C39" s="161" t="s">
        <v>205</v>
      </c>
      <c r="D39" s="86" t="s">
        <v>65</v>
      </c>
      <c r="E39" s="87">
        <f>13531/27062*36404</f>
        <v>18202</v>
      </c>
      <c r="F39" s="88">
        <f>G39/E39*1000</f>
        <v>12.662038237556311</v>
      </c>
      <c r="G39" s="89">
        <f>(20000+16817)*6.26/1000</f>
        <v>230.47441999999998</v>
      </c>
      <c r="H39" s="90" t="s">
        <v>207</v>
      </c>
      <c r="I39" s="88">
        <f>G39*1.18</f>
        <v>271.95981559999996</v>
      </c>
    </row>
    <row r="40" spans="1:10" s="1" customFormat="1" ht="25.5" outlineLevel="1">
      <c r="A40" s="6"/>
      <c r="B40" s="6"/>
      <c r="C40" s="161" t="s">
        <v>206</v>
      </c>
      <c r="D40" s="86" t="s">
        <v>65</v>
      </c>
      <c r="E40" s="87">
        <f>13531/27062*36404</f>
        <v>18202</v>
      </c>
      <c r="F40" s="88">
        <f>G40/E40*1000</f>
        <v>12.662038237556311</v>
      </c>
      <c r="G40" s="89">
        <f>(20000+16817)*6.26/1000</f>
        <v>230.47441999999998</v>
      </c>
      <c r="H40" s="90" t="s">
        <v>207</v>
      </c>
      <c r="I40" s="88">
        <f t="shared" ref="I40:I43" si="0">G40*1.18</f>
        <v>271.95981559999996</v>
      </c>
    </row>
    <row r="41" spans="1:10" s="1" customFormat="1" ht="25.5" outlineLevel="1">
      <c r="A41" s="6"/>
      <c r="B41" s="6"/>
      <c r="C41" s="161" t="s">
        <v>208</v>
      </c>
      <c r="D41" s="86" t="s">
        <v>65</v>
      </c>
      <c r="E41" s="148">
        <f>6178/27062*36404</f>
        <v>8310.6907102209734</v>
      </c>
      <c r="F41" s="88">
        <f>G41/E41*1000</f>
        <v>8.2819470005483939</v>
      </c>
      <c r="G41" s="89">
        <f>(10995)*6.26/1000</f>
        <v>68.828699999999998</v>
      </c>
      <c r="H41" s="90" t="s">
        <v>207</v>
      </c>
      <c r="I41" s="88">
        <f t="shared" si="0"/>
        <v>81.217865999999987</v>
      </c>
    </row>
    <row r="42" spans="1:10" s="1" customFormat="1" ht="29.25" customHeight="1" outlineLevel="1">
      <c r="A42" s="6"/>
      <c r="B42" s="6"/>
      <c r="C42" s="161" t="s">
        <v>209</v>
      </c>
      <c r="D42" s="86" t="s">
        <v>63</v>
      </c>
      <c r="E42" s="148">
        <f>6178/0.15/27062*36404</f>
        <v>55404.604734806504</v>
      </c>
      <c r="F42" s="88">
        <f>G42/E42*1000</f>
        <v>60.578996205552876</v>
      </c>
      <c r="G42" s="89">
        <f>(371331+164828)*6.26/1000</f>
        <v>3356.3553400000001</v>
      </c>
      <c r="H42" s="90" t="s">
        <v>207</v>
      </c>
      <c r="I42" s="88">
        <f t="shared" si="0"/>
        <v>3960.4993012</v>
      </c>
    </row>
    <row r="43" spans="1:10" s="1" customFormat="1" ht="25.5" outlineLevel="1">
      <c r="A43" s="6"/>
      <c r="B43" s="6"/>
      <c r="C43" s="161" t="s">
        <v>210</v>
      </c>
      <c r="D43" s="86" t="s">
        <v>65</v>
      </c>
      <c r="E43" s="148">
        <f>20884/27062*36404</f>
        <v>28093.309289779023</v>
      </c>
      <c r="F43" s="88">
        <f>G43/E43*1000</f>
        <v>47.953215696455125</v>
      </c>
      <c r="G43" s="89">
        <f>(119797+95405)*6.26/1000</f>
        <v>1347.16452</v>
      </c>
      <c r="H43" s="90" t="s">
        <v>207</v>
      </c>
      <c r="I43" s="88">
        <f t="shared" si="0"/>
        <v>1589.6541336</v>
      </c>
    </row>
    <row r="44" spans="1:10" s="1" customFormat="1" ht="15.75" customHeight="1" outlineLevel="1">
      <c r="A44" s="6"/>
      <c r="B44" s="6"/>
      <c r="C44" s="64" t="s">
        <v>96</v>
      </c>
      <c r="D44" s="143" t="s">
        <v>65</v>
      </c>
      <c r="E44" s="144">
        <v>66180</v>
      </c>
      <c r="F44" s="145">
        <f>19.21*6.26</f>
        <v>120.2546</v>
      </c>
      <c r="G44" s="146">
        <f>1271.02*6.26</f>
        <v>7956.5851999999995</v>
      </c>
      <c r="H44" s="147" t="s">
        <v>204</v>
      </c>
      <c r="I44" s="88">
        <f t="shared" ref="I44:I103" si="1">G44*1.18</f>
        <v>9388.7705359999982</v>
      </c>
      <c r="J44" s="1" t="s">
        <v>201</v>
      </c>
    </row>
    <row r="45" spans="1:10" s="1" customFormat="1" ht="13.5" customHeight="1" outlineLevel="1">
      <c r="A45" s="6"/>
      <c r="B45" s="6"/>
      <c r="C45" s="142" t="s">
        <v>82</v>
      </c>
      <c r="D45" s="86"/>
      <c r="E45" s="87"/>
      <c r="F45" s="88"/>
      <c r="G45" s="89"/>
      <c r="H45" s="90"/>
      <c r="I45" s="88"/>
    </row>
    <row r="46" spans="1:10" s="1" customFormat="1" ht="15.75" customHeight="1" outlineLevel="1">
      <c r="A46" s="6"/>
      <c r="B46" s="6"/>
      <c r="C46" s="64"/>
      <c r="D46" s="143"/>
      <c r="E46" s="144"/>
      <c r="F46" s="145"/>
      <c r="G46" s="146"/>
      <c r="H46" s="147"/>
      <c r="I46" s="88"/>
    </row>
    <row r="47" spans="1:10" s="1" customFormat="1" ht="15.75" customHeight="1" outlineLevel="1">
      <c r="A47" s="6"/>
      <c r="B47" s="6"/>
      <c r="C47" s="64"/>
      <c r="D47" s="143"/>
      <c r="E47" s="144"/>
      <c r="F47" s="145"/>
      <c r="G47" s="146"/>
      <c r="H47" s="147"/>
      <c r="I47" s="88"/>
    </row>
    <row r="48" spans="1:10" s="1" customFormat="1" ht="15.75" customHeight="1" outlineLevel="1">
      <c r="A48" s="6"/>
      <c r="B48" s="6"/>
      <c r="C48" s="64"/>
      <c r="D48" s="143"/>
      <c r="E48" s="144"/>
      <c r="F48" s="145"/>
      <c r="G48" s="146"/>
      <c r="H48" s="147"/>
      <c r="I48" s="88"/>
    </row>
    <row r="49" spans="1:10" s="1" customFormat="1" ht="15.75" customHeight="1" outlineLevel="1">
      <c r="A49" s="6"/>
      <c r="B49" s="6"/>
      <c r="C49" s="64"/>
      <c r="D49" s="143"/>
      <c r="E49" s="144"/>
      <c r="F49" s="145"/>
      <c r="G49" s="146"/>
      <c r="H49" s="147"/>
      <c r="I49" s="88"/>
    </row>
    <row r="50" spans="1:10" s="1" customFormat="1" ht="15.75" customHeight="1" outlineLevel="1">
      <c r="A50" s="6"/>
      <c r="B50" s="6"/>
      <c r="C50" s="64"/>
      <c r="D50" s="143"/>
      <c r="E50" s="144"/>
      <c r="F50" s="145"/>
      <c r="G50" s="146"/>
      <c r="H50" s="147"/>
      <c r="I50" s="88"/>
    </row>
    <row r="51" spans="1:10" s="1" customFormat="1" ht="15.75" customHeight="1" outlineLevel="1">
      <c r="A51" s="6"/>
      <c r="B51" s="6"/>
      <c r="C51" s="64" t="s">
        <v>97</v>
      </c>
      <c r="D51" s="143" t="s">
        <v>65</v>
      </c>
      <c r="E51" s="144">
        <v>5337</v>
      </c>
      <c r="F51" s="145">
        <f>31.23*6.26</f>
        <v>195.49979999999999</v>
      </c>
      <c r="G51" s="146">
        <f>166.67*6.26</f>
        <v>1043.3542</v>
      </c>
      <c r="H51" s="147" t="s">
        <v>204</v>
      </c>
      <c r="I51" s="88">
        <f t="shared" si="1"/>
        <v>1231.157956</v>
      </c>
      <c r="J51" s="1" t="s">
        <v>201</v>
      </c>
    </row>
    <row r="52" spans="1:10" s="1" customFormat="1" ht="15.75" customHeight="1" outlineLevel="1">
      <c r="A52" s="6"/>
      <c r="B52" s="6"/>
      <c r="C52" s="64" t="s">
        <v>98</v>
      </c>
      <c r="D52" s="143" t="s">
        <v>65</v>
      </c>
      <c r="E52" s="144">
        <v>940</v>
      </c>
      <c r="F52" s="145">
        <f>80.83*6.26</f>
        <v>505.99579999999997</v>
      </c>
      <c r="G52" s="146">
        <f>75.98*6.26</f>
        <v>475.63479999999998</v>
      </c>
      <c r="H52" s="147" t="s">
        <v>204</v>
      </c>
      <c r="I52" s="88">
        <f t="shared" si="1"/>
        <v>561.24906399999998</v>
      </c>
      <c r="J52" s="1" t="s">
        <v>201</v>
      </c>
    </row>
    <row r="53" spans="1:10" s="1" customFormat="1" ht="15.75" customHeight="1" outlineLevel="1">
      <c r="A53" s="6"/>
      <c r="B53" s="6"/>
      <c r="C53" s="64" t="s">
        <v>99</v>
      </c>
      <c r="D53" s="143" t="s">
        <v>63</v>
      </c>
      <c r="E53" s="144">
        <v>39588</v>
      </c>
      <c r="F53" s="145">
        <f>170.51*6.26</f>
        <v>1067.3925999999999</v>
      </c>
      <c r="G53" s="146">
        <f>6750.16*6.26</f>
        <v>42256.001599999996</v>
      </c>
      <c r="H53" s="147" t="s">
        <v>204</v>
      </c>
      <c r="I53" s="88">
        <f t="shared" si="1"/>
        <v>49862.081887999993</v>
      </c>
      <c r="J53" s="1" t="s">
        <v>201</v>
      </c>
    </row>
    <row r="54" spans="1:10" s="1" customFormat="1" ht="15.75" customHeight="1" outlineLevel="2">
      <c r="A54" s="6"/>
      <c r="B54" s="6"/>
      <c r="C54" s="124" t="s">
        <v>188</v>
      </c>
      <c r="D54" s="125"/>
      <c r="E54" s="126"/>
      <c r="F54" s="127"/>
      <c r="G54" s="128"/>
      <c r="H54" s="129"/>
      <c r="I54" s="127"/>
      <c r="J54" s="1" t="s">
        <v>201</v>
      </c>
    </row>
    <row r="55" spans="1:10" s="1" customFormat="1" ht="15.75" customHeight="1" outlineLevel="2">
      <c r="A55" s="6"/>
      <c r="B55" s="6"/>
      <c r="C55" s="124" t="s">
        <v>187</v>
      </c>
      <c r="D55" s="125" t="s">
        <v>65</v>
      </c>
      <c r="E55" s="126">
        <f>49610*0.3*1.1</f>
        <v>16371.300000000001</v>
      </c>
      <c r="F55" s="127">
        <f>149.48*6.26</f>
        <v>935.74479999999994</v>
      </c>
      <c r="G55" s="128">
        <f>2447182*6.26/1000</f>
        <v>15319.35932</v>
      </c>
      <c r="H55" s="129"/>
      <c r="I55" s="127">
        <f>G55*1.18</f>
        <v>18076.843997599997</v>
      </c>
      <c r="J55" s="1" t="s">
        <v>201</v>
      </c>
    </row>
    <row r="56" spans="1:10" s="1" customFormat="1" ht="15.75" customHeight="1" outlineLevel="2">
      <c r="A56" s="6"/>
      <c r="B56" s="6"/>
      <c r="C56" s="124" t="s">
        <v>189</v>
      </c>
      <c r="D56" s="125" t="s">
        <v>65</v>
      </c>
      <c r="E56" s="126">
        <f>641.3+593.8</f>
        <v>1235.0999999999999</v>
      </c>
      <c r="F56" s="127">
        <f>184.06*6.26</f>
        <v>1152.2156</v>
      </c>
      <c r="G56" s="128">
        <f>(118037.68+109294.83)*6.26/1000</f>
        <v>1423.1015126</v>
      </c>
      <c r="H56" s="129"/>
      <c r="I56" s="127">
        <f>G56*1.18</f>
        <v>1679.259784868</v>
      </c>
      <c r="J56" s="1" t="s">
        <v>201</v>
      </c>
    </row>
    <row r="57" spans="1:10" s="1" customFormat="1" ht="15.75" customHeight="1" outlineLevel="2">
      <c r="A57" s="6"/>
      <c r="B57" s="6"/>
      <c r="C57" s="124" t="s">
        <v>190</v>
      </c>
      <c r="D57" s="125" t="s">
        <v>65</v>
      </c>
      <c r="E57" s="126">
        <f>8081+2694+7482-4489</f>
        <v>13768</v>
      </c>
      <c r="F57" s="127">
        <f>156.68*6.26</f>
        <v>980.81680000000006</v>
      </c>
      <c r="G57" s="128">
        <f>(1266131.08+422095.92+1172279.76-703336.52)*6.26/1000</f>
        <v>13503.885702399999</v>
      </c>
      <c r="H57" s="129"/>
      <c r="I57" s="127">
        <f>G57*1.18</f>
        <v>15934.585128831997</v>
      </c>
      <c r="J57" s="1" t="s">
        <v>201</v>
      </c>
    </row>
    <row r="58" spans="1:10" s="1" customFormat="1" ht="15.75" customHeight="1" outlineLevel="2">
      <c r="A58" s="6"/>
      <c r="B58" s="6"/>
      <c r="C58" s="124" t="s">
        <v>191</v>
      </c>
      <c r="D58" s="125" t="s">
        <v>65</v>
      </c>
      <c r="E58" s="126">
        <v>395.9</v>
      </c>
      <c r="F58" s="127">
        <f>185.5*6.26</f>
        <v>1161.23</v>
      </c>
      <c r="G58" s="128">
        <f>73439.45*6.26/1000</f>
        <v>459.73095699999999</v>
      </c>
      <c r="H58" s="129"/>
      <c r="I58" s="127">
        <f>G58*1.18</f>
        <v>542.48252925999998</v>
      </c>
      <c r="J58" s="1" t="s">
        <v>201</v>
      </c>
    </row>
    <row r="59" spans="1:10" s="1" customFormat="1" ht="15.75" customHeight="1" outlineLevel="1">
      <c r="A59" s="6"/>
      <c r="B59" s="6"/>
      <c r="C59" s="85" t="s">
        <v>100</v>
      </c>
      <c r="D59" s="86" t="s">
        <v>63</v>
      </c>
      <c r="E59" s="87">
        <v>15593</v>
      </c>
      <c r="F59" s="88">
        <f>124.9*6.26</f>
        <v>781.87400000000002</v>
      </c>
      <c r="G59" s="89">
        <f>1947.6*6.26</f>
        <v>12191.975999999999</v>
      </c>
      <c r="H59" s="90" t="s">
        <v>84</v>
      </c>
      <c r="I59" s="88">
        <f t="shared" si="1"/>
        <v>14386.531679999998</v>
      </c>
      <c r="J59" s="1" t="s">
        <v>201</v>
      </c>
    </row>
    <row r="60" spans="1:10" s="1" customFormat="1" ht="15.75" customHeight="1" outlineLevel="2">
      <c r="A60" s="6"/>
      <c r="B60" s="6"/>
      <c r="C60" s="124" t="s">
        <v>188</v>
      </c>
      <c r="D60" s="125"/>
      <c r="E60" s="126"/>
      <c r="F60" s="127"/>
      <c r="G60" s="128"/>
      <c r="H60" s="129"/>
      <c r="I60" s="127"/>
      <c r="J60" s="1" t="s">
        <v>201</v>
      </c>
    </row>
    <row r="61" spans="1:10" s="1" customFormat="1" ht="15.75" customHeight="1" outlineLevel="2">
      <c r="A61" s="6"/>
      <c r="B61" s="6"/>
      <c r="C61" s="124" t="s">
        <v>187</v>
      </c>
      <c r="D61" s="125" t="s">
        <v>65</v>
      </c>
      <c r="E61" s="126">
        <f>15593*0.3*1.1</f>
        <v>5145.6899999999996</v>
      </c>
      <c r="F61" s="127">
        <f>149.48*6.26</f>
        <v>935.74479999999994</v>
      </c>
      <c r="G61" s="128">
        <f>769178*6.26/1000</f>
        <v>4815.0542800000003</v>
      </c>
      <c r="H61" s="129"/>
      <c r="I61" s="127">
        <f>G61*1.18</f>
        <v>5681.7640504000001</v>
      </c>
      <c r="J61" s="1" t="s">
        <v>201</v>
      </c>
    </row>
    <row r="62" spans="1:10" s="1" customFormat="1" ht="15.75" customHeight="1" outlineLevel="2">
      <c r="A62" s="6"/>
      <c r="B62" s="6"/>
      <c r="C62" s="124" t="s">
        <v>189</v>
      </c>
      <c r="D62" s="125" t="s">
        <v>65</v>
      </c>
      <c r="E62" s="126">
        <v>233.9</v>
      </c>
      <c r="F62" s="127">
        <f>184.06*6.26</f>
        <v>1152.2156</v>
      </c>
      <c r="G62" s="128">
        <f>43051.63*6.26/1000</f>
        <v>269.50320379999994</v>
      </c>
      <c r="H62" s="129"/>
      <c r="I62" s="127">
        <f>G62*1.18</f>
        <v>318.01378048399994</v>
      </c>
      <c r="J62" s="1" t="s">
        <v>201</v>
      </c>
    </row>
    <row r="63" spans="1:10" s="1" customFormat="1" ht="15.75" customHeight="1" outlineLevel="2">
      <c r="A63" s="6"/>
      <c r="B63" s="6"/>
      <c r="C63" s="124" t="s">
        <v>190</v>
      </c>
      <c r="D63" s="125" t="s">
        <v>65</v>
      </c>
      <c r="E63" s="126">
        <f>2947+2161</f>
        <v>5108</v>
      </c>
      <c r="F63" s="127">
        <f>156.68*6.26</f>
        <v>980.81680000000006</v>
      </c>
      <c r="G63" s="128">
        <f>(461735.96+338585.48)*6.26/1000</f>
        <v>5010.0122143999997</v>
      </c>
      <c r="H63" s="129"/>
      <c r="I63" s="127">
        <f>G63*1.18</f>
        <v>5911.8144129919992</v>
      </c>
      <c r="J63" s="1" t="s">
        <v>201</v>
      </c>
    </row>
    <row r="64" spans="1:10" s="1" customFormat="1" ht="15.75" customHeight="1" outlineLevel="2">
      <c r="A64" s="6"/>
      <c r="B64" s="6"/>
      <c r="C64" s="124" t="s">
        <v>191</v>
      </c>
      <c r="D64" s="125" t="s">
        <v>65</v>
      </c>
      <c r="E64" s="126">
        <v>155.9</v>
      </c>
      <c r="F64" s="127">
        <f>185.5*6.26</f>
        <v>1161.23</v>
      </c>
      <c r="G64" s="128">
        <f>28919.45*6.26/1000</f>
        <v>181.03575700000002</v>
      </c>
      <c r="H64" s="129"/>
      <c r="I64" s="127">
        <f>G64*1.18</f>
        <v>213.62219326000002</v>
      </c>
      <c r="J64" s="1" t="s">
        <v>201</v>
      </c>
    </row>
    <row r="65" spans="1:10" s="1" customFormat="1" ht="15.75" customHeight="1" outlineLevel="1">
      <c r="A65" s="6"/>
      <c r="B65" s="6"/>
      <c r="C65" s="85" t="s">
        <v>101</v>
      </c>
      <c r="D65" s="86" t="s">
        <v>64</v>
      </c>
      <c r="E65" s="87">
        <v>11.2</v>
      </c>
      <c r="F65" s="88">
        <f>800*6.26</f>
        <v>5008</v>
      </c>
      <c r="G65" s="89">
        <f>8.96*6.26</f>
        <v>56.089600000000004</v>
      </c>
      <c r="H65" s="90" t="s">
        <v>85</v>
      </c>
      <c r="I65" s="88">
        <f t="shared" si="1"/>
        <v>66.185727999999997</v>
      </c>
      <c r="J65" s="1" t="s">
        <v>201</v>
      </c>
    </row>
    <row r="66" spans="1:10" s="1" customFormat="1" ht="15.75" customHeight="1" outlineLevel="2">
      <c r="A66" s="6"/>
      <c r="B66" s="6"/>
      <c r="C66" s="124" t="s">
        <v>188</v>
      </c>
      <c r="D66" s="125"/>
      <c r="E66" s="126"/>
      <c r="F66" s="127"/>
      <c r="G66" s="128"/>
      <c r="H66" s="129"/>
      <c r="I66" s="127"/>
      <c r="J66" s="1" t="s">
        <v>201</v>
      </c>
    </row>
    <row r="67" spans="1:10" s="1" customFormat="1" ht="15.75" customHeight="1" outlineLevel="2">
      <c r="A67" s="6"/>
      <c r="B67" s="6"/>
      <c r="C67" s="124" t="s">
        <v>192</v>
      </c>
      <c r="D67" s="125" t="s">
        <v>65</v>
      </c>
      <c r="E67" s="126">
        <v>2.89</v>
      </c>
      <c r="F67" s="127">
        <f>136.52*6.26</f>
        <v>854.61520000000007</v>
      </c>
      <c r="G67" s="128">
        <f>394.54*6.26/1000</f>
        <v>2.4698204000000001</v>
      </c>
      <c r="H67" s="129"/>
      <c r="I67" s="127">
        <f>G67*1.18</f>
        <v>2.9143880719999999</v>
      </c>
      <c r="J67" s="1" t="s">
        <v>201</v>
      </c>
    </row>
    <row r="68" spans="1:10" s="1" customFormat="1" ht="15.75" customHeight="1" outlineLevel="1">
      <c r="A68" s="6"/>
      <c r="B68" s="6"/>
      <c r="C68" s="85" t="s">
        <v>102</v>
      </c>
      <c r="D68" s="86" t="s">
        <v>112</v>
      </c>
      <c r="E68" s="87">
        <v>2</v>
      </c>
      <c r="F68" s="88">
        <f>3250*6.26</f>
        <v>20345</v>
      </c>
      <c r="G68" s="89">
        <f>6.5*6.26</f>
        <v>40.69</v>
      </c>
      <c r="H68" s="90" t="s">
        <v>86</v>
      </c>
      <c r="I68" s="88">
        <f t="shared" si="1"/>
        <v>48.014199999999995</v>
      </c>
      <c r="J68" s="1" t="s">
        <v>201</v>
      </c>
    </row>
    <row r="69" spans="1:10" s="1" customFormat="1" ht="15.75" customHeight="1" outlineLevel="2">
      <c r="A69" s="6"/>
      <c r="B69" s="6"/>
      <c r="C69" s="124" t="s">
        <v>188</v>
      </c>
      <c r="D69" s="125"/>
      <c r="E69" s="126"/>
      <c r="F69" s="127"/>
      <c r="G69" s="128"/>
      <c r="H69" s="129"/>
      <c r="I69" s="127"/>
      <c r="J69" s="1" t="s">
        <v>201</v>
      </c>
    </row>
    <row r="70" spans="1:10" s="1" customFormat="1" ht="15.75" customHeight="1" outlineLevel="2">
      <c r="A70" s="6"/>
      <c r="B70" s="6"/>
      <c r="C70" s="124" t="s">
        <v>192</v>
      </c>
      <c r="D70" s="125" t="s">
        <v>65</v>
      </c>
      <c r="E70" s="126">
        <v>15.48</v>
      </c>
      <c r="F70" s="127">
        <f>136.52*6.26</f>
        <v>854.61520000000007</v>
      </c>
      <c r="G70" s="128">
        <f>2113.33*6.26/1000</f>
        <v>13.229445799999999</v>
      </c>
      <c r="H70" s="129"/>
      <c r="I70" s="127">
        <f>G70*1.18</f>
        <v>15.610746043999997</v>
      </c>
      <c r="J70" s="1" t="s">
        <v>201</v>
      </c>
    </row>
    <row r="71" spans="1:10" s="1" customFormat="1" ht="15.75" customHeight="1" outlineLevel="1">
      <c r="A71" s="6"/>
      <c r="B71" s="6"/>
      <c r="C71" s="85" t="s">
        <v>103</v>
      </c>
      <c r="D71" s="86" t="s">
        <v>64</v>
      </c>
      <c r="E71" s="87">
        <v>138</v>
      </c>
      <c r="F71" s="88">
        <f>1046.01*6.26</f>
        <v>6548.0225999999993</v>
      </c>
      <c r="G71" s="89">
        <f>144.35*6.26</f>
        <v>903.63099999999997</v>
      </c>
      <c r="H71" s="90" t="s">
        <v>87</v>
      </c>
      <c r="I71" s="88">
        <f t="shared" si="1"/>
        <v>1066.28458</v>
      </c>
      <c r="J71" s="1" t="s">
        <v>201</v>
      </c>
    </row>
    <row r="72" spans="1:10" s="1" customFormat="1" ht="15.75" customHeight="1" outlineLevel="2">
      <c r="A72" s="6"/>
      <c r="B72" s="6"/>
      <c r="C72" s="124" t="s">
        <v>188</v>
      </c>
      <c r="D72" s="125"/>
      <c r="E72" s="126"/>
      <c r="F72" s="127"/>
      <c r="G72" s="128"/>
      <c r="H72" s="129"/>
      <c r="I72" s="127"/>
      <c r="J72" s="1" t="s">
        <v>201</v>
      </c>
    </row>
    <row r="73" spans="1:10" s="1" customFormat="1" ht="15.75" customHeight="1" outlineLevel="2">
      <c r="A73" s="6"/>
      <c r="B73" s="6"/>
      <c r="C73" s="124" t="s">
        <v>192</v>
      </c>
      <c r="D73" s="125" t="s">
        <v>65</v>
      </c>
      <c r="E73" s="126">
        <v>71.209999999999994</v>
      </c>
      <c r="F73" s="127">
        <f>136.52*6.26</f>
        <v>854.61520000000007</v>
      </c>
      <c r="G73" s="128">
        <f>9721.59*6.26/1000</f>
        <v>60.857153399999994</v>
      </c>
      <c r="H73" s="129"/>
      <c r="I73" s="127">
        <f>G73*1.18</f>
        <v>71.811441011999989</v>
      </c>
      <c r="J73" s="1" t="s">
        <v>201</v>
      </c>
    </row>
    <row r="74" spans="1:10" s="1" customFormat="1" ht="15.75" customHeight="1" outlineLevel="1">
      <c r="A74" s="6"/>
      <c r="B74" s="6"/>
      <c r="C74" s="85" t="s">
        <v>104</v>
      </c>
      <c r="D74" s="86" t="s">
        <v>112</v>
      </c>
      <c r="E74" s="87">
        <v>24</v>
      </c>
      <c r="F74" s="88">
        <f>9010*6.26</f>
        <v>56402.6</v>
      </c>
      <c r="G74" s="89">
        <f>216.24*6.26</f>
        <v>1353.6623999999999</v>
      </c>
      <c r="H74" s="90" t="s">
        <v>88</v>
      </c>
      <c r="I74" s="88">
        <f t="shared" si="1"/>
        <v>1597.3216319999999</v>
      </c>
      <c r="J74" s="1" t="s">
        <v>201</v>
      </c>
    </row>
    <row r="75" spans="1:10" s="1" customFormat="1" ht="15.75" customHeight="1" outlineLevel="2">
      <c r="A75" s="6"/>
      <c r="B75" s="6"/>
      <c r="C75" s="124" t="s">
        <v>188</v>
      </c>
      <c r="D75" s="125"/>
      <c r="E75" s="126"/>
      <c r="F75" s="127"/>
      <c r="G75" s="128"/>
      <c r="H75" s="129"/>
      <c r="I75" s="127"/>
      <c r="J75" s="1" t="s">
        <v>201</v>
      </c>
    </row>
    <row r="76" spans="1:10" s="1" customFormat="1" ht="15.75" customHeight="1" outlineLevel="2">
      <c r="A76" s="6"/>
      <c r="B76" s="6"/>
      <c r="C76" s="124" t="s">
        <v>192</v>
      </c>
      <c r="D76" s="125" t="s">
        <v>65</v>
      </c>
      <c r="E76" s="126">
        <v>309.60000000000002</v>
      </c>
      <c r="F76" s="127">
        <f>136.52*6.26</f>
        <v>854.61520000000007</v>
      </c>
      <c r="G76" s="128">
        <f>42266.59*6.26/1000</f>
        <v>264.58885339999995</v>
      </c>
      <c r="H76" s="129"/>
      <c r="I76" s="127">
        <f>G76*1.18</f>
        <v>312.21484701199995</v>
      </c>
      <c r="J76" s="1" t="s">
        <v>201</v>
      </c>
    </row>
    <row r="77" spans="1:10" s="1" customFormat="1" ht="15.75" customHeight="1" outlineLevel="2">
      <c r="A77" s="6"/>
      <c r="B77" s="6"/>
      <c r="C77" s="124" t="s">
        <v>189</v>
      </c>
      <c r="D77" s="125" t="s">
        <v>65</v>
      </c>
      <c r="E77" s="126">
        <v>47.64</v>
      </c>
      <c r="F77" s="127">
        <f>184.06*6.26</f>
        <v>1152.2156</v>
      </c>
      <c r="G77" s="128">
        <f>8768.62*6.26/1000</f>
        <v>54.891561200000005</v>
      </c>
      <c r="H77" s="129"/>
      <c r="I77" s="127">
        <f>G77*1.18</f>
        <v>64.772042216000003</v>
      </c>
      <c r="J77" s="1" t="s">
        <v>201</v>
      </c>
    </row>
    <row r="78" spans="1:10" s="1" customFormat="1" ht="15.75" customHeight="1" outlineLevel="2">
      <c r="A78" s="6"/>
      <c r="B78" s="6"/>
      <c r="C78" s="124" t="s">
        <v>193</v>
      </c>
      <c r="D78" s="125" t="s">
        <v>65</v>
      </c>
      <c r="E78" s="126">
        <v>1.8E-3</v>
      </c>
      <c r="F78" s="127">
        <f>156.68*6.26</f>
        <v>980.81680000000006</v>
      </c>
      <c r="G78" s="128">
        <f>0.28*6.26/1000</f>
        <v>1.7528000000000001E-3</v>
      </c>
      <c r="H78" s="129"/>
      <c r="I78" s="127">
        <f>G78*1.18</f>
        <v>2.068304E-3</v>
      </c>
      <c r="J78" s="1" t="s">
        <v>201</v>
      </c>
    </row>
    <row r="79" spans="1:10" s="1" customFormat="1" ht="15.75" customHeight="1" outlineLevel="1">
      <c r="A79" s="6"/>
      <c r="B79" s="6"/>
      <c r="C79" s="85" t="s">
        <v>105</v>
      </c>
      <c r="D79" s="86" t="s">
        <v>64</v>
      </c>
      <c r="E79" s="87">
        <v>23.52</v>
      </c>
      <c r="F79" s="88">
        <f>1758.08*6.26</f>
        <v>11005.5808</v>
      </c>
      <c r="G79" s="89">
        <f>41.35*6.26</f>
        <v>258.851</v>
      </c>
      <c r="H79" s="90" t="s">
        <v>89</v>
      </c>
      <c r="I79" s="88">
        <f t="shared" si="1"/>
        <v>305.44417999999996</v>
      </c>
      <c r="J79" s="1" t="s">
        <v>201</v>
      </c>
    </row>
    <row r="80" spans="1:10" s="1" customFormat="1" ht="15.75" customHeight="1" outlineLevel="2">
      <c r="A80" s="6"/>
      <c r="B80" s="6"/>
      <c r="C80" s="124" t="s">
        <v>188</v>
      </c>
      <c r="D80" s="125"/>
      <c r="E80" s="126"/>
      <c r="F80" s="127"/>
      <c r="G80" s="128"/>
      <c r="H80" s="129"/>
      <c r="I80" s="127"/>
      <c r="J80" s="1" t="s">
        <v>201</v>
      </c>
    </row>
    <row r="81" spans="1:10" s="1" customFormat="1" ht="15.75" customHeight="1" outlineLevel="2">
      <c r="A81" s="6"/>
      <c r="B81" s="6"/>
      <c r="C81" s="124" t="s">
        <v>192</v>
      </c>
      <c r="D81" s="125" t="s">
        <v>65</v>
      </c>
      <c r="E81" s="126">
        <v>21.24</v>
      </c>
      <c r="F81" s="127">
        <f>136.52*6.26</f>
        <v>854.61520000000007</v>
      </c>
      <c r="G81" s="128">
        <f>2899.68*6.26/1000</f>
        <v>18.151996799999996</v>
      </c>
      <c r="H81" s="129"/>
      <c r="I81" s="127">
        <f>G81*1.18</f>
        <v>21.419356223999994</v>
      </c>
      <c r="J81" s="1" t="s">
        <v>201</v>
      </c>
    </row>
    <row r="82" spans="1:10" s="1" customFormat="1" ht="15.75" customHeight="1" outlineLevel="1">
      <c r="A82" s="6"/>
      <c r="B82" s="6"/>
      <c r="C82" s="85" t="s">
        <v>106</v>
      </c>
      <c r="D82" s="86" t="s">
        <v>112</v>
      </c>
      <c r="E82" s="87">
        <v>4</v>
      </c>
      <c r="F82" s="88">
        <f>13870*6.26</f>
        <v>86826.2</v>
      </c>
      <c r="G82" s="89">
        <f>55.48*6.26</f>
        <v>347.30479999999994</v>
      </c>
      <c r="H82" s="90" t="s">
        <v>90</v>
      </c>
      <c r="I82" s="88">
        <f t="shared" si="1"/>
        <v>409.81966399999993</v>
      </c>
      <c r="J82" s="1" t="s">
        <v>201</v>
      </c>
    </row>
    <row r="83" spans="1:10" s="1" customFormat="1" ht="15.75" customHeight="1" outlineLevel="2">
      <c r="A83" s="6"/>
      <c r="B83" s="6"/>
      <c r="C83" s="124" t="s">
        <v>188</v>
      </c>
      <c r="D83" s="125"/>
      <c r="E83" s="126"/>
      <c r="F83" s="127"/>
      <c r="G83" s="128"/>
      <c r="H83" s="129"/>
      <c r="I83" s="127"/>
      <c r="J83" s="1" t="s">
        <v>201</v>
      </c>
    </row>
    <row r="84" spans="1:10" s="1" customFormat="1" ht="15.75" customHeight="1" outlineLevel="2">
      <c r="A84" s="6"/>
      <c r="B84" s="6"/>
      <c r="C84" s="124" t="s">
        <v>192</v>
      </c>
      <c r="D84" s="125" t="s">
        <v>65</v>
      </c>
      <c r="E84" s="126">
        <v>27.86</v>
      </c>
      <c r="F84" s="127">
        <f>136.52*6.26</f>
        <v>854.61520000000007</v>
      </c>
      <c r="G84" s="128">
        <f>3803.45*6.26/1000</f>
        <v>23.809596999999997</v>
      </c>
      <c r="H84" s="129"/>
      <c r="I84" s="127">
        <f>G84*1.18</f>
        <v>28.095324459999993</v>
      </c>
      <c r="J84" s="1" t="s">
        <v>201</v>
      </c>
    </row>
    <row r="85" spans="1:10" s="1" customFormat="1" ht="15.75" customHeight="1" outlineLevel="2">
      <c r="A85" s="6"/>
      <c r="B85" s="6"/>
      <c r="C85" s="124" t="s">
        <v>194</v>
      </c>
      <c r="D85" s="125" t="s">
        <v>65</v>
      </c>
      <c r="E85" s="126">
        <v>2.2240000000000002</v>
      </c>
      <c r="F85" s="127">
        <f>165.33*6.26</f>
        <v>1034.9657999999999</v>
      </c>
      <c r="G85" s="128">
        <f>367.69*6.26/1000</f>
        <v>2.3017393999999998</v>
      </c>
      <c r="H85" s="129"/>
      <c r="I85" s="127">
        <f>G85*1.18</f>
        <v>2.7160524919999998</v>
      </c>
      <c r="J85" s="1" t="s">
        <v>201</v>
      </c>
    </row>
    <row r="86" spans="1:10" s="1" customFormat="1" ht="15.75" customHeight="1" outlineLevel="2">
      <c r="A86" s="6"/>
      <c r="B86" s="6"/>
      <c r="C86" s="124" t="s">
        <v>189</v>
      </c>
      <c r="D86" s="125" t="s">
        <v>65</v>
      </c>
      <c r="E86" s="126">
        <f>8.367+0.5992</f>
        <v>8.9662000000000006</v>
      </c>
      <c r="F86" s="127">
        <f>184.06*6.26</f>
        <v>1152.2156</v>
      </c>
      <c r="G86" s="128">
        <f>(1540.03+110.29)*6.26/1000</f>
        <v>10.3310032</v>
      </c>
      <c r="H86" s="129"/>
      <c r="I86" s="127">
        <f>G86*1.18</f>
        <v>12.190583775999999</v>
      </c>
      <c r="J86" s="1" t="s">
        <v>201</v>
      </c>
    </row>
    <row r="87" spans="1:10" s="1" customFormat="1" ht="15.75" customHeight="1" outlineLevel="2">
      <c r="A87" s="6"/>
      <c r="B87" s="6"/>
      <c r="C87" s="124" t="s">
        <v>193</v>
      </c>
      <c r="D87" s="125" t="s">
        <v>65</v>
      </c>
      <c r="E87" s="126">
        <f>0.0003+0</f>
        <v>2.9999999999999997E-4</v>
      </c>
      <c r="F87" s="127">
        <f>156.68*6.26</f>
        <v>980.81680000000006</v>
      </c>
      <c r="G87" s="128">
        <f>(0.05+0)*6.26/1000</f>
        <v>3.1300000000000002E-4</v>
      </c>
      <c r="H87" s="129"/>
      <c r="I87" s="127">
        <f>G87*1.18</f>
        <v>3.6934000000000001E-4</v>
      </c>
      <c r="J87" s="1" t="s">
        <v>201</v>
      </c>
    </row>
    <row r="88" spans="1:10" s="1" customFormat="1" ht="15.75" customHeight="1" outlineLevel="1">
      <c r="A88" s="6"/>
      <c r="B88" s="6"/>
      <c r="C88" s="85" t="s">
        <v>107</v>
      </c>
      <c r="D88" s="86" t="s">
        <v>64</v>
      </c>
      <c r="E88" s="87">
        <v>32</v>
      </c>
      <c r="F88" s="88">
        <f>7180*6.26</f>
        <v>44946.799999999996</v>
      </c>
      <c r="G88" s="89">
        <f>229.76*6.26</f>
        <v>1438.2975999999999</v>
      </c>
      <c r="H88" s="90" t="s">
        <v>91</v>
      </c>
      <c r="I88" s="88">
        <f t="shared" si="1"/>
        <v>1697.1911679999998</v>
      </c>
      <c r="J88" s="1" t="s">
        <v>201</v>
      </c>
    </row>
    <row r="89" spans="1:10" s="1" customFormat="1" ht="15.75" customHeight="1" outlineLevel="2">
      <c r="A89" s="6"/>
      <c r="B89" s="6"/>
      <c r="C89" s="124" t="s">
        <v>188</v>
      </c>
      <c r="D89" s="125"/>
      <c r="E89" s="126"/>
      <c r="F89" s="127"/>
      <c r="G89" s="128"/>
      <c r="H89" s="129"/>
      <c r="I89" s="127"/>
      <c r="J89" s="1" t="s">
        <v>201</v>
      </c>
    </row>
    <row r="90" spans="1:10" s="1" customFormat="1" ht="15.75" customHeight="1" outlineLevel="2">
      <c r="A90" s="6"/>
      <c r="B90" s="6"/>
      <c r="C90" s="124" t="s">
        <v>190</v>
      </c>
      <c r="D90" s="125" t="s">
        <v>65</v>
      </c>
      <c r="E90" s="126">
        <v>20.64</v>
      </c>
      <c r="F90" s="127">
        <f>156.68*6.26</f>
        <v>980.81680000000006</v>
      </c>
      <c r="G90" s="128">
        <f>3233.88*6.26/1000</f>
        <v>20.2440888</v>
      </c>
      <c r="H90" s="129"/>
      <c r="I90" s="127">
        <f>G90*1.18</f>
        <v>23.888024783999999</v>
      </c>
      <c r="J90" s="1" t="s">
        <v>201</v>
      </c>
    </row>
    <row r="91" spans="1:10" s="1" customFormat="1" ht="15.75" customHeight="1" outlineLevel="1">
      <c r="A91" s="6"/>
      <c r="B91" s="6"/>
      <c r="C91" s="85" t="s">
        <v>108</v>
      </c>
      <c r="D91" s="86" t="s">
        <v>112</v>
      </c>
      <c r="E91" s="87">
        <v>8</v>
      </c>
      <c r="F91" s="88">
        <f>24683.75*6.26</f>
        <v>154520.27499999999</v>
      </c>
      <c r="G91" s="89">
        <f>197.47*6.26</f>
        <v>1236.1622</v>
      </c>
      <c r="H91" s="90" t="s">
        <v>92</v>
      </c>
      <c r="I91" s="88">
        <f t="shared" si="1"/>
        <v>1458.671396</v>
      </c>
      <c r="J91" s="1" t="s">
        <v>201</v>
      </c>
    </row>
    <row r="92" spans="1:10" s="1" customFormat="1" ht="15.75" customHeight="1" outlineLevel="2">
      <c r="A92" s="6"/>
      <c r="B92" s="6"/>
      <c r="C92" s="124" t="s">
        <v>188</v>
      </c>
      <c r="D92" s="125"/>
      <c r="E92" s="126"/>
      <c r="F92" s="127"/>
      <c r="G92" s="128"/>
      <c r="H92" s="129"/>
      <c r="I92" s="127"/>
      <c r="J92" s="1" t="s">
        <v>201</v>
      </c>
    </row>
    <row r="93" spans="1:10" s="1" customFormat="1" ht="15.75" customHeight="1" outlineLevel="2">
      <c r="A93" s="6"/>
      <c r="B93" s="6"/>
      <c r="C93" s="124" t="s">
        <v>190</v>
      </c>
      <c r="D93" s="125" t="s">
        <v>65</v>
      </c>
      <c r="E93" s="126">
        <v>8.7720000000000002</v>
      </c>
      <c r="F93" s="127">
        <f>156.68*6.26</f>
        <v>980.81680000000006</v>
      </c>
      <c r="G93" s="128">
        <f>1374.4*6.26/1000</f>
        <v>8.6037440000000007</v>
      </c>
      <c r="H93" s="129"/>
      <c r="I93" s="127">
        <f>G93*1.18</f>
        <v>10.15241792</v>
      </c>
      <c r="J93" s="1" t="s">
        <v>201</v>
      </c>
    </row>
    <row r="94" spans="1:10" s="1" customFormat="1" ht="15.75" customHeight="1" outlineLevel="2">
      <c r="A94" s="6"/>
      <c r="B94" s="6"/>
      <c r="C94" s="124" t="s">
        <v>192</v>
      </c>
      <c r="D94" s="125" t="s">
        <v>65</v>
      </c>
      <c r="E94" s="126">
        <v>84.11</v>
      </c>
      <c r="F94" s="127">
        <f>136.52*6.26</f>
        <v>854.61520000000007</v>
      </c>
      <c r="G94" s="128">
        <f>11482.7*6.26/1000</f>
        <v>71.881702000000004</v>
      </c>
      <c r="H94" s="129"/>
      <c r="I94" s="127">
        <f>G94*1.18</f>
        <v>84.820408360000002</v>
      </c>
      <c r="J94" s="1" t="s">
        <v>201</v>
      </c>
    </row>
    <row r="95" spans="1:10" s="1" customFormat="1" ht="15.75" customHeight="1" outlineLevel="1">
      <c r="A95" s="6"/>
      <c r="B95" s="6"/>
      <c r="C95" s="85" t="s">
        <v>109</v>
      </c>
      <c r="D95" s="86" t="s">
        <v>63</v>
      </c>
      <c r="E95" s="87">
        <v>107</v>
      </c>
      <c r="F95" s="88">
        <f>307.76*6.26</f>
        <v>1926.5775999999998</v>
      </c>
      <c r="G95" s="89">
        <f>32.93*6.26</f>
        <v>206.14179999999999</v>
      </c>
      <c r="H95" s="90" t="s">
        <v>93</v>
      </c>
      <c r="I95" s="88">
        <f t="shared" si="1"/>
        <v>243.24732399999996</v>
      </c>
      <c r="J95" s="1" t="s">
        <v>201</v>
      </c>
    </row>
    <row r="96" spans="1:10" s="1" customFormat="1" ht="15.75" customHeight="1" outlineLevel="2">
      <c r="A96" s="6"/>
      <c r="B96" s="6"/>
      <c r="C96" s="124" t="s">
        <v>188</v>
      </c>
      <c r="D96" s="125"/>
      <c r="E96" s="126"/>
      <c r="F96" s="127"/>
      <c r="G96" s="128"/>
      <c r="H96" s="129"/>
      <c r="I96" s="127"/>
      <c r="J96" s="1" t="s">
        <v>201</v>
      </c>
    </row>
    <row r="97" spans="1:10" s="1" customFormat="1" ht="15.75" customHeight="1" outlineLevel="2">
      <c r="A97" s="6"/>
      <c r="B97" s="6"/>
      <c r="C97" s="124" t="s">
        <v>195</v>
      </c>
      <c r="D97" s="125" t="s">
        <v>65</v>
      </c>
      <c r="E97" s="126">
        <f>1.375+1.506</f>
        <v>2.8810000000000002</v>
      </c>
      <c r="F97" s="127">
        <f>411.29*6.26</f>
        <v>2574.6754000000001</v>
      </c>
      <c r="G97" s="128">
        <f>(565.52+619.4)*6.26/1000</f>
        <v>7.4175992000000006</v>
      </c>
      <c r="H97" s="129"/>
      <c r="I97" s="127">
        <f>G97*1.18</f>
        <v>8.7527670559999997</v>
      </c>
      <c r="J97" s="1" t="s">
        <v>201</v>
      </c>
    </row>
    <row r="98" spans="1:10" s="1" customFormat="1" ht="15.75" customHeight="1" outlineLevel="2">
      <c r="A98" s="6"/>
      <c r="B98" s="6"/>
      <c r="C98" s="124" t="s">
        <v>196</v>
      </c>
      <c r="D98" s="125" t="s">
        <v>65</v>
      </c>
      <c r="E98" s="126">
        <f>14.63+16.02</f>
        <v>30.65</v>
      </c>
      <c r="F98" s="127">
        <f>396.67*6.26</f>
        <v>2483.1541999999999</v>
      </c>
      <c r="G98" s="128">
        <f>(5803.28+6354.65)*6.26/1000</f>
        <v>76.108641800000001</v>
      </c>
      <c r="H98" s="129"/>
      <c r="I98" s="127">
        <f>G98*1.18</f>
        <v>89.808197323999991</v>
      </c>
      <c r="J98" s="1" t="s">
        <v>201</v>
      </c>
    </row>
    <row r="99" spans="1:10" s="1" customFormat="1" ht="15.75" customHeight="1" outlineLevel="2">
      <c r="A99" s="6"/>
      <c r="B99" s="6"/>
      <c r="C99" s="124" t="s">
        <v>193</v>
      </c>
      <c r="D99" s="125" t="s">
        <v>65</v>
      </c>
      <c r="E99" s="126">
        <f>0.0001+0.0003</f>
        <v>3.9999999999999996E-4</v>
      </c>
      <c r="F99" s="127">
        <f>156.68*6.26</f>
        <v>980.81680000000006</v>
      </c>
      <c r="G99" s="128">
        <f>(0.02+0.05)*6.26/1000</f>
        <v>4.3820000000000003E-4</v>
      </c>
      <c r="H99" s="129"/>
      <c r="I99" s="127">
        <f>G99*1.18</f>
        <v>5.1707599999999999E-4</v>
      </c>
      <c r="J99" s="1" t="s">
        <v>201</v>
      </c>
    </row>
    <row r="100" spans="1:10" s="1" customFormat="1" ht="15.75" customHeight="1" outlineLevel="1">
      <c r="A100" s="6"/>
      <c r="B100" s="6"/>
      <c r="C100" s="85" t="s">
        <v>110</v>
      </c>
      <c r="D100" s="86" t="s">
        <v>112</v>
      </c>
      <c r="E100" s="87">
        <v>11</v>
      </c>
      <c r="F100" s="88">
        <f>1241.82*6.26</f>
        <v>7773.7931999999992</v>
      </c>
      <c r="G100" s="89">
        <f>13.66*6.26</f>
        <v>85.511600000000001</v>
      </c>
      <c r="H100" s="90" t="s">
        <v>94</v>
      </c>
      <c r="I100" s="88">
        <f t="shared" si="1"/>
        <v>100.903688</v>
      </c>
      <c r="J100" s="1" t="s">
        <v>201</v>
      </c>
    </row>
    <row r="101" spans="1:10" s="1" customFormat="1" ht="15.75" customHeight="1" outlineLevel="2">
      <c r="A101" s="6"/>
      <c r="B101" s="6"/>
      <c r="C101" s="124" t="s">
        <v>188</v>
      </c>
      <c r="D101" s="125"/>
      <c r="E101" s="126"/>
      <c r="F101" s="127"/>
      <c r="G101" s="128"/>
      <c r="H101" s="129"/>
      <c r="I101" s="127"/>
      <c r="J101" s="1" t="s">
        <v>201</v>
      </c>
    </row>
    <row r="102" spans="1:10" s="1" customFormat="1" ht="15.75" customHeight="1" outlineLevel="2">
      <c r="A102" s="6"/>
      <c r="B102" s="6"/>
      <c r="C102" s="124" t="s">
        <v>197</v>
      </c>
      <c r="D102" s="125" t="s">
        <v>65</v>
      </c>
      <c r="E102" s="126">
        <f>1.196+2.393+0.7975</f>
        <v>4.3864999999999998</v>
      </c>
      <c r="F102" s="127">
        <f>149.48*6.26</f>
        <v>935.74479999999994</v>
      </c>
      <c r="G102" s="128">
        <f>(178.78+357.71+119.21)*6.26/1000</f>
        <v>4.1046819999999995</v>
      </c>
      <c r="H102" s="129"/>
      <c r="I102" s="127">
        <f>G102*1.18</f>
        <v>4.8435247599999993</v>
      </c>
      <c r="J102" s="1" t="s">
        <v>201</v>
      </c>
    </row>
    <row r="103" spans="1:10" s="1" customFormat="1" ht="15.75" customHeight="1" outlineLevel="1">
      <c r="A103" s="6"/>
      <c r="B103" s="6"/>
      <c r="C103" s="85" t="s">
        <v>111</v>
      </c>
      <c r="D103" s="86" t="s">
        <v>112</v>
      </c>
      <c r="E103" s="87">
        <v>150</v>
      </c>
      <c r="F103" s="88">
        <f>118.93*6.26</f>
        <v>744.5018</v>
      </c>
      <c r="G103" s="89">
        <f>17.84*6.26</f>
        <v>111.6784</v>
      </c>
      <c r="H103" s="90" t="s">
        <v>95</v>
      </c>
      <c r="I103" s="88">
        <f t="shared" si="1"/>
        <v>131.78051199999999</v>
      </c>
      <c r="J103" s="1" t="s">
        <v>201</v>
      </c>
    </row>
    <row r="104" spans="1:10" s="1" customFormat="1" outlineLevel="1">
      <c r="A104" s="6"/>
      <c r="B104" s="6"/>
      <c r="C104" s="132" t="s">
        <v>114</v>
      </c>
      <c r="D104" s="135" t="s">
        <v>63</v>
      </c>
      <c r="E104" s="136"/>
      <c r="F104" s="137"/>
      <c r="G104" s="138"/>
      <c r="H104" s="139"/>
      <c r="I104" s="140">
        <f>G104*1.18</f>
        <v>0</v>
      </c>
      <c r="J104" s="1" t="s">
        <v>201</v>
      </c>
    </row>
    <row r="105" spans="1:10" s="1" customFormat="1" outlineLevel="2">
      <c r="A105" s="6"/>
      <c r="B105" s="6"/>
      <c r="C105" s="133" t="s">
        <v>115</v>
      </c>
      <c r="D105" s="135" t="s">
        <v>63</v>
      </c>
      <c r="E105" s="136">
        <f>E104-(E53+E59)</f>
        <v>-55181</v>
      </c>
      <c r="F105" s="137"/>
      <c r="G105" s="138"/>
      <c r="H105" s="139"/>
      <c r="I105" s="140">
        <f t="shared" ref="I105:I109" si="2">G105*1.18</f>
        <v>0</v>
      </c>
      <c r="J105" s="1" t="s">
        <v>201</v>
      </c>
    </row>
    <row r="106" spans="1:10" s="1" customFormat="1" ht="17.25" customHeight="1" outlineLevel="2">
      <c r="A106" s="6"/>
      <c r="B106" s="6"/>
      <c r="C106" s="134" t="s">
        <v>116</v>
      </c>
      <c r="D106" s="135" t="s">
        <v>63</v>
      </c>
      <c r="E106" s="136"/>
      <c r="F106" s="137"/>
      <c r="G106" s="138">
        <f>SUM(G107:G109)</f>
        <v>0</v>
      </c>
      <c r="H106" s="139"/>
      <c r="I106" s="140">
        <f t="shared" si="2"/>
        <v>0</v>
      </c>
      <c r="J106" s="1" t="s">
        <v>201</v>
      </c>
    </row>
    <row r="107" spans="1:10" s="1" customFormat="1" ht="17.25" customHeight="1" outlineLevel="2">
      <c r="A107" s="6"/>
      <c r="B107" s="6"/>
      <c r="C107" s="134"/>
      <c r="D107" s="135"/>
      <c r="E107" s="136"/>
      <c r="F107" s="137"/>
      <c r="G107" s="138"/>
      <c r="H107" s="139"/>
      <c r="I107" s="140">
        <f t="shared" si="2"/>
        <v>0</v>
      </c>
      <c r="J107" s="1" t="s">
        <v>201</v>
      </c>
    </row>
    <row r="108" spans="1:10" s="1" customFormat="1" ht="17.25" customHeight="1" outlineLevel="2">
      <c r="A108" s="6"/>
      <c r="B108" s="6"/>
      <c r="C108" s="134"/>
      <c r="D108" s="135"/>
      <c r="E108" s="136"/>
      <c r="F108" s="137"/>
      <c r="G108" s="138"/>
      <c r="H108" s="139"/>
      <c r="I108" s="140">
        <f t="shared" si="2"/>
        <v>0</v>
      </c>
      <c r="J108" s="1" t="s">
        <v>201</v>
      </c>
    </row>
    <row r="109" spans="1:10" s="1" customFormat="1" ht="17.25" customHeight="1" outlineLevel="2">
      <c r="A109" s="6"/>
      <c r="B109" s="6"/>
      <c r="C109" s="134"/>
      <c r="D109" s="135"/>
      <c r="E109" s="136"/>
      <c r="F109" s="137"/>
      <c r="G109" s="138"/>
      <c r="H109" s="139"/>
      <c r="I109" s="140">
        <f t="shared" si="2"/>
        <v>0</v>
      </c>
      <c r="J109" s="1" t="s">
        <v>201</v>
      </c>
    </row>
    <row r="110" spans="1:10" s="1" customFormat="1" ht="27.75" customHeight="1">
      <c r="A110" s="6" t="s">
        <v>13</v>
      </c>
      <c r="B110" s="6"/>
      <c r="C110" s="64" t="s">
        <v>67</v>
      </c>
      <c r="D110" s="98" t="s">
        <v>63</v>
      </c>
      <c r="E110" s="99">
        <f>27040+11062</f>
        <v>38102</v>
      </c>
      <c r="F110" s="100"/>
      <c r="G110" s="101"/>
      <c r="H110" s="59" t="s">
        <v>203</v>
      </c>
      <c r="I110" s="102" t="s">
        <v>131</v>
      </c>
      <c r="J110" s="1" t="s">
        <v>201</v>
      </c>
    </row>
    <row r="111" spans="1:10" s="1" customFormat="1" ht="12.75" customHeight="1" outlineLevel="1">
      <c r="A111" s="6"/>
      <c r="B111" s="6"/>
      <c r="C111" s="130" t="s">
        <v>82</v>
      </c>
      <c r="D111" s="8"/>
      <c r="E111" s="82"/>
      <c r="F111" s="65"/>
      <c r="G111" s="69"/>
      <c r="H111" s="59"/>
      <c r="I111" s="60"/>
    </row>
    <row r="112" spans="1:10" s="95" customFormat="1" ht="13.5" customHeight="1" outlineLevel="1">
      <c r="A112" s="92"/>
      <c r="B112" s="92"/>
      <c r="C112" s="131" t="s">
        <v>83</v>
      </c>
      <c r="D112" s="93"/>
      <c r="E112" s="93"/>
      <c r="F112" s="96">
        <f>G112/(E117+E123)*1000</f>
        <v>2137.8611220250909</v>
      </c>
      <c r="G112" s="97">
        <f>SUM(G113:G149)</f>
        <v>81456.784471400009</v>
      </c>
      <c r="H112" s="94"/>
      <c r="I112" s="96">
        <f>SUM(I113:I174)</f>
        <v>145714.55704665204</v>
      </c>
    </row>
    <row r="113" spans="1:9" s="1" customFormat="1" outlineLevel="1">
      <c r="A113" s="6"/>
      <c r="B113" s="6"/>
      <c r="C113" s="85" t="s">
        <v>117</v>
      </c>
      <c r="D113" s="86" t="s">
        <v>65</v>
      </c>
      <c r="E113" s="87">
        <v>27062</v>
      </c>
      <c r="F113" s="88">
        <f>22.96*6.26</f>
        <v>143.7296</v>
      </c>
      <c r="G113" s="89">
        <f>621.46*6.26</f>
        <v>3890.3396000000002</v>
      </c>
      <c r="H113" s="90"/>
      <c r="I113" s="88">
        <f>G113*1.18</f>
        <v>4590.6007280000003</v>
      </c>
    </row>
    <row r="114" spans="1:9" s="1" customFormat="1" ht="15.75" customHeight="1" outlineLevel="1">
      <c r="A114" s="6"/>
      <c r="B114" s="6"/>
      <c r="C114" s="85" t="s">
        <v>118</v>
      </c>
      <c r="D114" s="86" t="s">
        <v>65</v>
      </c>
      <c r="E114" s="87">
        <v>60500</v>
      </c>
      <c r="F114" s="88">
        <f>19.21*6.26</f>
        <v>120.2546</v>
      </c>
      <c r="G114" s="89">
        <f>1161.93*6.26</f>
        <v>7273.6818000000003</v>
      </c>
      <c r="H114" s="90"/>
      <c r="I114" s="88">
        <f t="shared" ref="I114:I149" si="3">G114*1.18</f>
        <v>8582.9445240000005</v>
      </c>
    </row>
    <row r="115" spans="1:9" s="1" customFormat="1" ht="15.75" customHeight="1" outlineLevel="1">
      <c r="A115" s="6"/>
      <c r="B115" s="6"/>
      <c r="C115" s="85" t="s">
        <v>119</v>
      </c>
      <c r="D115" s="86" t="s">
        <v>65</v>
      </c>
      <c r="E115" s="87">
        <v>4195</v>
      </c>
      <c r="F115" s="88">
        <f>31.23*6.26</f>
        <v>195.49979999999999</v>
      </c>
      <c r="G115" s="89">
        <f>131.01*6.26</f>
        <v>820.12259999999992</v>
      </c>
      <c r="H115" s="90"/>
      <c r="I115" s="88">
        <f t="shared" si="3"/>
        <v>967.74466799999982</v>
      </c>
    </row>
    <row r="116" spans="1:9" s="1" customFormat="1" ht="15.75" customHeight="1" outlineLevel="1">
      <c r="A116" s="6"/>
      <c r="B116" s="6"/>
      <c r="C116" s="85" t="s">
        <v>120</v>
      </c>
      <c r="D116" s="86" t="s">
        <v>65</v>
      </c>
      <c r="E116" s="87">
        <v>735</v>
      </c>
      <c r="F116" s="88">
        <f>318.91*6.26</f>
        <v>1996.3766000000001</v>
      </c>
      <c r="G116" s="89">
        <f>234.4*6.26</f>
        <v>1467.3440000000001</v>
      </c>
      <c r="H116" s="90"/>
      <c r="I116" s="88">
        <f t="shared" si="3"/>
        <v>1731.4659199999999</v>
      </c>
    </row>
    <row r="117" spans="1:9" s="1" customFormat="1" ht="15.75" customHeight="1" outlineLevel="1" collapsed="1">
      <c r="A117" s="6"/>
      <c r="B117" s="6"/>
      <c r="C117" s="85" t="s">
        <v>121</v>
      </c>
      <c r="D117" s="86" t="s">
        <v>63</v>
      </c>
      <c r="E117" s="87">
        <v>27040</v>
      </c>
      <c r="F117" s="88">
        <f>170.51*6.26</f>
        <v>1067.3925999999999</v>
      </c>
      <c r="G117" s="89">
        <f>4610.6*6.26</f>
        <v>28862.356</v>
      </c>
      <c r="H117" s="90"/>
      <c r="I117" s="88">
        <f t="shared" si="3"/>
        <v>34057.58008</v>
      </c>
    </row>
    <row r="118" spans="1:9" s="1" customFormat="1" ht="15.75" hidden="1" customHeight="1" outlineLevel="3">
      <c r="A118" s="6"/>
      <c r="B118" s="6"/>
      <c r="C118" s="124" t="s">
        <v>188</v>
      </c>
      <c r="D118" s="125"/>
      <c r="E118" s="126"/>
      <c r="F118" s="127"/>
      <c r="G118" s="128"/>
      <c r="H118" s="129"/>
      <c r="I118" s="127"/>
    </row>
    <row r="119" spans="1:9" s="1" customFormat="1" ht="15.75" hidden="1" customHeight="1" outlineLevel="3">
      <c r="A119" s="6"/>
      <c r="B119" s="6"/>
      <c r="C119" s="124" t="s">
        <v>187</v>
      </c>
      <c r="D119" s="125" t="s">
        <v>65</v>
      </c>
      <c r="E119" s="141">
        <f>49610*0.3*1.1/39588*27040</f>
        <v>11182.175204607458</v>
      </c>
      <c r="F119" s="127">
        <f>149.48*6.26</f>
        <v>935.74479999999994</v>
      </c>
      <c r="G119" s="128">
        <f>1671512*6.26/1000</f>
        <v>10463.66512</v>
      </c>
      <c r="H119" s="129"/>
      <c r="I119" s="127">
        <f>G119*1.18</f>
        <v>12347.1248416</v>
      </c>
    </row>
    <row r="120" spans="1:9" s="1" customFormat="1" ht="15.75" hidden="1" customHeight="1" outlineLevel="3">
      <c r="A120" s="6"/>
      <c r="B120" s="6"/>
      <c r="C120" s="124" t="s">
        <v>189</v>
      </c>
      <c r="D120" s="125" t="s">
        <v>65</v>
      </c>
      <c r="E120" s="126">
        <f>438+405.6</f>
        <v>843.6</v>
      </c>
      <c r="F120" s="127">
        <f>184.06*6.26</f>
        <v>1152.2156</v>
      </c>
      <c r="G120" s="128">
        <f>(80618.28+74654.74)*6.26/1000</f>
        <v>972.00910520000014</v>
      </c>
      <c r="H120" s="129"/>
      <c r="I120" s="127">
        <f>G120*1.18</f>
        <v>1146.9707441360001</v>
      </c>
    </row>
    <row r="121" spans="1:9" s="1" customFormat="1" ht="15.75" hidden="1" customHeight="1" outlineLevel="3">
      <c r="A121" s="6"/>
      <c r="B121" s="6"/>
      <c r="C121" s="124" t="s">
        <v>190</v>
      </c>
      <c r="D121" s="125" t="s">
        <v>65</v>
      </c>
      <c r="E121" s="126">
        <f>5519+1840+5111-3066</f>
        <v>9404</v>
      </c>
      <c r="F121" s="127">
        <f>156.68*6.26</f>
        <v>980.81680000000006</v>
      </c>
      <c r="G121" s="128">
        <f>(864716.92+288291.2+800791.48-480380.88)*6.26/1000</f>
        <v>9223.6011871999999</v>
      </c>
      <c r="H121" s="129"/>
      <c r="I121" s="127">
        <f>G121*1.18</f>
        <v>10883.849400895999</v>
      </c>
    </row>
    <row r="122" spans="1:9" s="1" customFormat="1" ht="15.75" hidden="1" customHeight="1" outlineLevel="3">
      <c r="A122" s="6"/>
      <c r="B122" s="6"/>
      <c r="C122" s="124" t="s">
        <v>191</v>
      </c>
      <c r="D122" s="125" t="s">
        <v>65</v>
      </c>
      <c r="E122" s="126">
        <v>270.39999999999998</v>
      </c>
      <c r="F122" s="127">
        <f>185.5*6.26</f>
        <v>1161.23</v>
      </c>
      <c r="G122" s="128">
        <f>50159.2*6.26/1000</f>
        <v>313.99659199999996</v>
      </c>
      <c r="H122" s="129"/>
      <c r="I122" s="127">
        <f>G122*1.18</f>
        <v>370.51597855999995</v>
      </c>
    </row>
    <row r="123" spans="1:9" s="1" customFormat="1" ht="15.75" customHeight="1" outlineLevel="1" collapsed="1">
      <c r="A123" s="6"/>
      <c r="B123" s="6"/>
      <c r="C123" s="85" t="s">
        <v>122</v>
      </c>
      <c r="D123" s="86" t="s">
        <v>63</v>
      </c>
      <c r="E123" s="87">
        <v>11062</v>
      </c>
      <c r="F123" s="88">
        <f>124.9*6.26</f>
        <v>781.87400000000002</v>
      </c>
      <c r="G123" s="89">
        <f>1381.67*6.26</f>
        <v>8649.2541999999994</v>
      </c>
      <c r="H123" s="90"/>
      <c r="I123" s="88">
        <f t="shared" si="3"/>
        <v>10206.119955999999</v>
      </c>
    </row>
    <row r="124" spans="1:9" s="1" customFormat="1" ht="15.75" hidden="1" customHeight="1" outlineLevel="3">
      <c r="A124" s="6"/>
      <c r="B124" s="6"/>
      <c r="C124" s="124" t="s">
        <v>188</v>
      </c>
      <c r="D124" s="125"/>
      <c r="E124" s="126"/>
      <c r="F124" s="127"/>
      <c r="G124" s="128"/>
      <c r="H124" s="129"/>
      <c r="I124" s="127"/>
    </row>
    <row r="125" spans="1:9" s="1" customFormat="1" ht="15.75" hidden="1" customHeight="1" outlineLevel="3">
      <c r="A125" s="6"/>
      <c r="B125" s="6"/>
      <c r="C125" s="124" t="s">
        <v>187</v>
      </c>
      <c r="D125" s="125" t="s">
        <v>65</v>
      </c>
      <c r="E125" s="126">
        <f>15593*0.3*1.1/15593*11062</f>
        <v>3650.4599999999996</v>
      </c>
      <c r="F125" s="127">
        <f>149.48*6.26</f>
        <v>935.74479999999994</v>
      </c>
      <c r="G125" s="128">
        <f>545671*6.26/1000</f>
        <v>3415.9004599999998</v>
      </c>
      <c r="H125" s="129"/>
      <c r="I125" s="127">
        <f>G125*1.18</f>
        <v>4030.7625427999997</v>
      </c>
    </row>
    <row r="126" spans="1:9" s="1" customFormat="1" ht="15.75" hidden="1" customHeight="1" outlineLevel="3">
      <c r="A126" s="6"/>
      <c r="B126" s="6"/>
      <c r="C126" s="124" t="s">
        <v>189</v>
      </c>
      <c r="D126" s="125" t="s">
        <v>65</v>
      </c>
      <c r="E126" s="126">
        <v>165.9</v>
      </c>
      <c r="F126" s="127">
        <f>184.06*6.26</f>
        <v>1152.2156</v>
      </c>
      <c r="G126" s="128">
        <f>30535.55*6.26/1000</f>
        <v>191.15254299999998</v>
      </c>
      <c r="H126" s="129"/>
      <c r="I126" s="127">
        <f>G126*1.18</f>
        <v>225.56000073999996</v>
      </c>
    </row>
    <row r="127" spans="1:9" s="1" customFormat="1" ht="15.75" hidden="1" customHeight="1" outlineLevel="3">
      <c r="A127" s="6"/>
      <c r="B127" s="6"/>
      <c r="C127" s="124" t="s">
        <v>190</v>
      </c>
      <c r="D127" s="125" t="s">
        <v>65</v>
      </c>
      <c r="E127" s="126">
        <f>2091+1533</f>
        <v>3624</v>
      </c>
      <c r="F127" s="127">
        <f>156.68*6.26</f>
        <v>980.81680000000006</v>
      </c>
      <c r="G127" s="128">
        <f>(327617.88+240190.44)*6.26/1000</f>
        <v>3554.4800832000001</v>
      </c>
      <c r="H127" s="129"/>
      <c r="I127" s="127">
        <f>G127*1.18</f>
        <v>4194.2864981759994</v>
      </c>
    </row>
    <row r="128" spans="1:9" s="1" customFormat="1" ht="15.75" hidden="1" customHeight="1" outlineLevel="3">
      <c r="A128" s="6"/>
      <c r="B128" s="6"/>
      <c r="C128" s="124" t="s">
        <v>191</v>
      </c>
      <c r="D128" s="125" t="s">
        <v>65</v>
      </c>
      <c r="E128" s="126">
        <v>110.6</v>
      </c>
      <c r="F128" s="127">
        <f>185.5*6.26</f>
        <v>1161.23</v>
      </c>
      <c r="G128" s="128">
        <f>20516.3*6.26/1000</f>
        <v>128.43203799999998</v>
      </c>
      <c r="H128" s="129"/>
      <c r="I128" s="127">
        <f>G128*1.18</f>
        <v>151.54980483999998</v>
      </c>
    </row>
    <row r="129" spans="1:9" s="1" customFormat="1" ht="15.75" customHeight="1" outlineLevel="1" collapsed="1">
      <c r="A129" s="6"/>
      <c r="B129" s="6"/>
      <c r="C129" s="85" t="s">
        <v>123</v>
      </c>
      <c r="D129" s="86" t="s">
        <v>64</v>
      </c>
      <c r="E129" s="87">
        <v>89.6</v>
      </c>
      <c r="F129" s="88">
        <f>1045.98*6.26</f>
        <v>6547.8347999999996</v>
      </c>
      <c r="G129" s="89">
        <f>93.72*6.26</f>
        <v>586.68719999999996</v>
      </c>
      <c r="H129" s="90"/>
      <c r="I129" s="88">
        <f t="shared" si="3"/>
        <v>692.29089599999986</v>
      </c>
    </row>
    <row r="130" spans="1:9" s="1" customFormat="1" ht="15.75" hidden="1" customHeight="1" outlineLevel="3">
      <c r="A130" s="6"/>
      <c r="B130" s="6"/>
      <c r="C130" s="124" t="s">
        <v>188</v>
      </c>
      <c r="D130" s="125"/>
      <c r="E130" s="126"/>
      <c r="F130" s="127"/>
      <c r="G130" s="128"/>
      <c r="H130" s="129"/>
      <c r="I130" s="127"/>
    </row>
    <row r="131" spans="1:9" s="1" customFormat="1" ht="15.75" hidden="1" customHeight="1" outlineLevel="3">
      <c r="A131" s="6"/>
      <c r="B131" s="6"/>
      <c r="C131" s="124" t="s">
        <v>192</v>
      </c>
      <c r="D131" s="125" t="s">
        <v>65</v>
      </c>
      <c r="E131" s="126">
        <v>46.23</v>
      </c>
      <c r="F131" s="127">
        <f>136.52*6.26</f>
        <v>854.61520000000007</v>
      </c>
      <c r="G131" s="128">
        <f>6311.32*6.26/1000</f>
        <v>39.5088632</v>
      </c>
      <c r="H131" s="129"/>
      <c r="I131" s="127">
        <f>G131*1.18</f>
        <v>46.620458575999997</v>
      </c>
    </row>
    <row r="132" spans="1:9" s="1" customFormat="1" ht="15.75" customHeight="1" outlineLevel="1" collapsed="1">
      <c r="A132" s="6"/>
      <c r="B132" s="6"/>
      <c r="C132" s="85" t="s">
        <v>124</v>
      </c>
      <c r="D132" s="86" t="s">
        <v>112</v>
      </c>
      <c r="E132" s="87">
        <v>16</v>
      </c>
      <c r="F132" s="88">
        <f>9010*6.26</f>
        <v>56402.6</v>
      </c>
      <c r="G132" s="89">
        <f>144.16*6.26</f>
        <v>902.44159999999999</v>
      </c>
      <c r="H132" s="90"/>
      <c r="I132" s="88">
        <f t="shared" si="3"/>
        <v>1064.8810879999999</v>
      </c>
    </row>
    <row r="133" spans="1:9" s="1" customFormat="1" ht="15.75" hidden="1" customHeight="1" outlineLevel="3">
      <c r="A133" s="6"/>
      <c r="B133" s="6"/>
      <c r="C133" s="124" t="s">
        <v>188</v>
      </c>
      <c r="D133" s="125"/>
      <c r="E133" s="126"/>
      <c r="F133" s="127"/>
      <c r="G133" s="128"/>
      <c r="H133" s="129"/>
      <c r="I133" s="127"/>
    </row>
    <row r="134" spans="1:9" s="1" customFormat="1" ht="15.75" hidden="1" customHeight="1" outlineLevel="3">
      <c r="A134" s="6"/>
      <c r="B134" s="6"/>
      <c r="C134" s="124" t="s">
        <v>192</v>
      </c>
      <c r="D134" s="125" t="s">
        <v>65</v>
      </c>
      <c r="E134" s="126">
        <v>206.4</v>
      </c>
      <c r="F134" s="127">
        <f>136.52*6.26</f>
        <v>854.61520000000007</v>
      </c>
      <c r="G134" s="128">
        <f>28177.73*6.26/1000</f>
        <v>176.3925898</v>
      </c>
      <c r="H134" s="129"/>
      <c r="I134" s="127">
        <f>G134*1.18</f>
        <v>208.14325596399999</v>
      </c>
    </row>
    <row r="135" spans="1:9" s="1" customFormat="1" ht="15.75" hidden="1" customHeight="1" outlineLevel="3">
      <c r="A135" s="6"/>
      <c r="B135" s="6"/>
      <c r="C135" s="124" t="s">
        <v>189</v>
      </c>
      <c r="D135" s="125" t="s">
        <v>65</v>
      </c>
      <c r="E135" s="126">
        <v>31.76</v>
      </c>
      <c r="F135" s="127">
        <f>184.06*6.26</f>
        <v>1152.2156</v>
      </c>
      <c r="G135" s="128">
        <f>5845.75*6.26/1000</f>
        <v>36.594394999999999</v>
      </c>
      <c r="H135" s="129"/>
      <c r="I135" s="127">
        <f>G135*1.18</f>
        <v>43.181386099999997</v>
      </c>
    </row>
    <row r="136" spans="1:9" s="1" customFormat="1" ht="15.75" hidden="1" customHeight="1" outlineLevel="3">
      <c r="A136" s="6"/>
      <c r="B136" s="6"/>
      <c r="C136" s="124" t="s">
        <v>193</v>
      </c>
      <c r="D136" s="125" t="s">
        <v>65</v>
      </c>
      <c r="E136" s="126">
        <v>1.1999999999999999E-3</v>
      </c>
      <c r="F136" s="127">
        <f>156.68*6.26</f>
        <v>980.81680000000006</v>
      </c>
      <c r="G136" s="128">
        <f>0.19*6.26/1000</f>
        <v>1.1894E-3</v>
      </c>
      <c r="H136" s="129"/>
      <c r="I136" s="127">
        <f>G136*1.18</f>
        <v>1.4034919999999999E-3</v>
      </c>
    </row>
    <row r="137" spans="1:9" s="1" customFormat="1" ht="15.75" customHeight="1" outlineLevel="1" collapsed="1">
      <c r="A137" s="6"/>
      <c r="B137" s="6"/>
      <c r="C137" s="85" t="s">
        <v>125</v>
      </c>
      <c r="D137" s="86" t="s">
        <v>64</v>
      </c>
      <c r="E137" s="87">
        <v>11.76</v>
      </c>
      <c r="F137" s="88">
        <f>1757.65*6.26</f>
        <v>11002.889000000001</v>
      </c>
      <c r="G137" s="89">
        <f>20.67*6.26</f>
        <v>129.39420000000001</v>
      </c>
      <c r="H137" s="90"/>
      <c r="I137" s="88">
        <f t="shared" si="3"/>
        <v>152.68515600000001</v>
      </c>
    </row>
    <row r="138" spans="1:9" s="1" customFormat="1" ht="15.75" hidden="1" customHeight="1" outlineLevel="3">
      <c r="A138" s="6"/>
      <c r="B138" s="6"/>
      <c r="C138" s="124" t="s">
        <v>188</v>
      </c>
      <c r="D138" s="125"/>
      <c r="E138" s="126"/>
      <c r="F138" s="127"/>
      <c r="G138" s="128"/>
      <c r="H138" s="129"/>
      <c r="I138" s="127"/>
    </row>
    <row r="139" spans="1:9" s="1" customFormat="1" ht="15.75" hidden="1" customHeight="1" outlineLevel="3">
      <c r="A139" s="6"/>
      <c r="B139" s="6"/>
      <c r="C139" s="124" t="s">
        <v>192</v>
      </c>
      <c r="D139" s="125" t="s">
        <v>65</v>
      </c>
      <c r="E139" s="126">
        <v>10.62</v>
      </c>
      <c r="F139" s="127">
        <f>136.52*6.26</f>
        <v>854.61520000000007</v>
      </c>
      <c r="G139" s="128">
        <f>1449.84*6.26/1000</f>
        <v>9.0759983999999978</v>
      </c>
      <c r="H139" s="129"/>
      <c r="I139" s="127">
        <f>G139*1.18</f>
        <v>10.709678111999997</v>
      </c>
    </row>
    <row r="140" spans="1:9" s="1" customFormat="1" ht="15.75" customHeight="1" outlineLevel="1" collapsed="1">
      <c r="A140" s="6"/>
      <c r="B140" s="6"/>
      <c r="C140" s="85" t="s">
        <v>126</v>
      </c>
      <c r="D140" s="86" t="s">
        <v>112</v>
      </c>
      <c r="E140" s="87">
        <v>2</v>
      </c>
      <c r="F140" s="88">
        <f>13870*6.26</f>
        <v>86826.2</v>
      </c>
      <c r="G140" s="89">
        <f>27.74*6.26</f>
        <v>173.65239999999997</v>
      </c>
      <c r="H140" s="90"/>
      <c r="I140" s="88">
        <f t="shared" si="3"/>
        <v>204.90983199999997</v>
      </c>
    </row>
    <row r="141" spans="1:9" s="1" customFormat="1" ht="15.75" hidden="1" customHeight="1" outlineLevel="3">
      <c r="A141" s="6"/>
      <c r="B141" s="6"/>
      <c r="C141" s="124" t="s">
        <v>188</v>
      </c>
      <c r="D141" s="125"/>
      <c r="E141" s="126"/>
      <c r="F141" s="127"/>
      <c r="G141" s="128"/>
      <c r="H141" s="129"/>
      <c r="I141" s="127"/>
    </row>
    <row r="142" spans="1:9" s="1" customFormat="1" ht="15.75" hidden="1" customHeight="1" outlineLevel="3">
      <c r="A142" s="6"/>
      <c r="B142" s="6"/>
      <c r="C142" s="124" t="s">
        <v>192</v>
      </c>
      <c r="D142" s="125" t="s">
        <v>65</v>
      </c>
      <c r="E142" s="126">
        <v>13.93</v>
      </c>
      <c r="F142" s="127">
        <f>136.52*6.26</f>
        <v>854.61520000000007</v>
      </c>
      <c r="G142" s="128">
        <f>1901.72*6.26/1000</f>
        <v>11.9047672</v>
      </c>
      <c r="H142" s="129"/>
      <c r="I142" s="127">
        <f>G142*1.18</f>
        <v>14.047625296</v>
      </c>
    </row>
    <row r="143" spans="1:9" s="1" customFormat="1" ht="15.75" hidden="1" customHeight="1" outlineLevel="3">
      <c r="A143" s="6"/>
      <c r="B143" s="6"/>
      <c r="C143" s="124" t="s">
        <v>194</v>
      </c>
      <c r="D143" s="125" t="s">
        <v>65</v>
      </c>
      <c r="E143" s="126">
        <v>1.1120000000000001</v>
      </c>
      <c r="F143" s="127">
        <f>165.33*6.26</f>
        <v>1034.9657999999999</v>
      </c>
      <c r="G143" s="128">
        <f>183.85*6.26/1000</f>
        <v>1.1509009999999997</v>
      </c>
      <c r="H143" s="129"/>
      <c r="I143" s="127">
        <f>G143*1.18</f>
        <v>1.3580631799999996</v>
      </c>
    </row>
    <row r="144" spans="1:9" s="1" customFormat="1" ht="15.75" hidden="1" customHeight="1" outlineLevel="3">
      <c r="A144" s="6"/>
      <c r="B144" s="6"/>
      <c r="C144" s="124" t="s">
        <v>189</v>
      </c>
      <c r="D144" s="125" t="s">
        <v>65</v>
      </c>
      <c r="E144" s="126">
        <f>4.184+0.2996</f>
        <v>4.4836</v>
      </c>
      <c r="F144" s="127">
        <f>184.06*6.26</f>
        <v>1152.2156</v>
      </c>
      <c r="G144" s="128">
        <f>(770.11+55.14)*6.26/1000</f>
        <v>5.1660649999999997</v>
      </c>
      <c r="H144" s="129"/>
      <c r="I144" s="127">
        <f>G144*1.18</f>
        <v>6.0959566999999995</v>
      </c>
    </row>
    <row r="145" spans="1:11" s="1" customFormat="1" ht="15.75" hidden="1" customHeight="1" outlineLevel="3">
      <c r="A145" s="6"/>
      <c r="B145" s="6"/>
      <c r="C145" s="124" t="s">
        <v>193</v>
      </c>
      <c r="D145" s="125" t="s">
        <v>65</v>
      </c>
      <c r="E145" s="126">
        <f>0.0002+0</f>
        <v>2.0000000000000001E-4</v>
      </c>
      <c r="F145" s="127">
        <f>156.68*6.26</f>
        <v>980.81680000000006</v>
      </c>
      <c r="G145" s="128">
        <f>(0.03+0)*6.26/1000</f>
        <v>1.8779999999999998E-4</v>
      </c>
      <c r="H145" s="129"/>
      <c r="I145" s="127">
        <f>G145*1.18</f>
        <v>2.2160399999999997E-4</v>
      </c>
    </row>
    <row r="146" spans="1:11" s="1" customFormat="1" ht="15.75" customHeight="1" outlineLevel="1" collapsed="1">
      <c r="A146" s="6"/>
      <c r="B146" s="6"/>
      <c r="C146" s="85" t="s">
        <v>127</v>
      </c>
      <c r="D146" s="86" t="s">
        <v>112</v>
      </c>
      <c r="E146" s="87">
        <v>10</v>
      </c>
      <c r="F146" s="88">
        <f>1259*6.26</f>
        <v>7881.34</v>
      </c>
      <c r="G146" s="89">
        <f>12.59*6.26</f>
        <v>78.813400000000001</v>
      </c>
      <c r="H146" s="90"/>
      <c r="I146" s="88">
        <f t="shared" si="3"/>
        <v>92.999811999999991</v>
      </c>
    </row>
    <row r="147" spans="1:11" s="1" customFormat="1" ht="15.75" hidden="1" customHeight="1" outlineLevel="3">
      <c r="A147" s="6"/>
      <c r="B147" s="6"/>
      <c r="C147" s="124" t="s">
        <v>188</v>
      </c>
      <c r="D147" s="125"/>
      <c r="E147" s="126"/>
      <c r="F147" s="127"/>
      <c r="G147" s="128"/>
      <c r="H147" s="129"/>
      <c r="I147" s="127"/>
    </row>
    <row r="148" spans="1:11" s="1" customFormat="1" ht="15.75" hidden="1" customHeight="1" outlineLevel="3">
      <c r="A148" s="6"/>
      <c r="B148" s="6"/>
      <c r="C148" s="124" t="s">
        <v>197</v>
      </c>
      <c r="D148" s="125" t="s">
        <v>65</v>
      </c>
      <c r="E148" s="126">
        <f>0.3988+2.393+1.196</f>
        <v>3.9878</v>
      </c>
      <c r="F148" s="127">
        <f>149.48*6.26</f>
        <v>935.74479999999994</v>
      </c>
      <c r="G148" s="128">
        <f>(59.61+357.71+178.78)*6.26/1000</f>
        <v>3.7315860000000001</v>
      </c>
      <c r="H148" s="129"/>
      <c r="I148" s="127">
        <f>G148*1.18</f>
        <v>4.4032714799999999</v>
      </c>
    </row>
    <row r="149" spans="1:11" s="1" customFormat="1" ht="15.75" customHeight="1" outlineLevel="1">
      <c r="A149" s="6"/>
      <c r="B149" s="6"/>
      <c r="C149" s="85" t="s">
        <v>128</v>
      </c>
      <c r="D149" s="86" t="s">
        <v>112</v>
      </c>
      <c r="E149" s="87">
        <v>102</v>
      </c>
      <c r="F149" s="88">
        <f>118.92*6.26</f>
        <v>744.43920000000003</v>
      </c>
      <c r="G149" s="89">
        <f>12.13*6.26</f>
        <v>75.933800000000005</v>
      </c>
      <c r="H149" s="90"/>
      <c r="I149" s="88">
        <f t="shared" si="3"/>
        <v>89.601883999999998</v>
      </c>
    </row>
    <row r="150" spans="1:11" s="1" customFormat="1" outlineLevel="1" collapsed="1">
      <c r="A150" s="6"/>
      <c r="B150" s="6"/>
      <c r="C150" s="132" t="s">
        <v>114</v>
      </c>
      <c r="D150" s="135" t="s">
        <v>63</v>
      </c>
      <c r="E150" s="136"/>
      <c r="F150" s="137"/>
      <c r="G150" s="138"/>
      <c r="H150" s="139"/>
      <c r="I150" s="140">
        <f>G150*1.18</f>
        <v>0</v>
      </c>
    </row>
    <row r="151" spans="1:11" s="1" customFormat="1" hidden="1" outlineLevel="2">
      <c r="A151" s="6"/>
      <c r="B151" s="6"/>
      <c r="C151" s="133" t="s">
        <v>115</v>
      </c>
      <c r="D151" s="135" t="s">
        <v>63</v>
      </c>
      <c r="E151" s="136">
        <f>E150-(E117+E123)</f>
        <v>-38102</v>
      </c>
      <c r="F151" s="137"/>
      <c r="G151" s="138"/>
      <c r="H151" s="139"/>
      <c r="I151" s="140">
        <f t="shared" ref="I151:I155" si="4">G151*1.18</f>
        <v>0</v>
      </c>
    </row>
    <row r="152" spans="1:11" s="1" customFormat="1" ht="17.25" hidden="1" customHeight="1" outlineLevel="2">
      <c r="A152" s="6"/>
      <c r="B152" s="6"/>
      <c r="C152" s="134" t="s">
        <v>116</v>
      </c>
      <c r="D152" s="135" t="s">
        <v>63</v>
      </c>
      <c r="E152" s="136"/>
      <c r="F152" s="137"/>
      <c r="G152" s="138">
        <f>SUM(G153:G155)</f>
        <v>0</v>
      </c>
      <c r="H152" s="139"/>
      <c r="I152" s="140">
        <f t="shared" si="4"/>
        <v>0</v>
      </c>
      <c r="J152" s="1" t="s">
        <v>198</v>
      </c>
    </row>
    <row r="153" spans="1:11" s="1" customFormat="1" ht="17.25" hidden="1" customHeight="1" outlineLevel="2">
      <c r="A153" s="6"/>
      <c r="B153" s="6"/>
      <c r="C153" s="134"/>
      <c r="D153" s="135"/>
      <c r="E153" s="136"/>
      <c r="F153" s="137"/>
      <c r="G153" s="138"/>
      <c r="H153" s="139"/>
      <c r="I153" s="140">
        <f t="shared" si="4"/>
        <v>0</v>
      </c>
    </row>
    <row r="154" spans="1:11" s="1" customFormat="1" ht="17.25" hidden="1" customHeight="1" outlineLevel="2">
      <c r="A154" s="6"/>
      <c r="B154" s="6"/>
      <c r="C154" s="134"/>
      <c r="D154" s="135"/>
      <c r="E154" s="136"/>
      <c r="F154" s="137"/>
      <c r="G154" s="138"/>
      <c r="H154" s="139"/>
      <c r="I154" s="140">
        <f t="shared" si="4"/>
        <v>0</v>
      </c>
    </row>
    <row r="155" spans="1:11" s="1" customFormat="1" ht="17.25" hidden="1" customHeight="1" outlineLevel="2">
      <c r="A155" s="6"/>
      <c r="B155" s="6"/>
      <c r="C155" s="134"/>
      <c r="D155" s="135"/>
      <c r="E155" s="136"/>
      <c r="F155" s="137"/>
      <c r="G155" s="138"/>
      <c r="H155" s="139"/>
      <c r="I155" s="140">
        <f t="shared" si="4"/>
        <v>0</v>
      </c>
    </row>
    <row r="156" spans="1:11" s="1" customFormat="1" ht="25.5" customHeight="1" collapsed="1">
      <c r="A156" s="6" t="s">
        <v>14</v>
      </c>
      <c r="B156" s="6"/>
      <c r="C156" s="64" t="s">
        <v>53</v>
      </c>
      <c r="D156" s="98" t="s">
        <v>24</v>
      </c>
      <c r="E156" s="99">
        <v>1</v>
      </c>
      <c r="F156" s="96"/>
      <c r="G156" s="96">
        <f>3357.04*6.26*1000</f>
        <v>21015070.400000002</v>
      </c>
      <c r="H156" s="59" t="s">
        <v>132</v>
      </c>
      <c r="I156" s="60"/>
      <c r="J156" s="1" t="s">
        <v>199</v>
      </c>
    </row>
    <row r="157" spans="1:11" s="1" customFormat="1" ht="12" hidden="1" customHeight="1" outlineLevel="1">
      <c r="A157" s="6"/>
      <c r="B157" s="6"/>
      <c r="C157" s="130" t="s">
        <v>82</v>
      </c>
      <c r="D157" s="8"/>
      <c r="E157" s="82"/>
      <c r="F157" s="65"/>
      <c r="G157" s="69"/>
      <c r="H157" s="59"/>
      <c r="I157" s="60"/>
      <c r="J157" s="1" t="s">
        <v>199</v>
      </c>
    </row>
    <row r="158" spans="1:11" s="1" customFormat="1" ht="17.25" hidden="1" customHeight="1" outlineLevel="1">
      <c r="A158" s="6"/>
      <c r="B158" s="6"/>
      <c r="C158" s="131" t="s">
        <v>83</v>
      </c>
      <c r="D158" s="93"/>
      <c r="E158" s="93"/>
      <c r="F158" s="96">
        <f>SUM(F159:F166)</f>
        <v>21015064.140000001</v>
      </c>
      <c r="G158" s="97">
        <f>3357039*6.26/1000</f>
        <v>21015.064140000002</v>
      </c>
      <c r="H158" s="94"/>
      <c r="I158" s="96">
        <f>SUM(I159:I203)</f>
        <v>24797.775685199995</v>
      </c>
      <c r="J158" s="1" t="s">
        <v>199</v>
      </c>
      <c r="K158" s="95"/>
    </row>
    <row r="159" spans="1:11" s="1" customFormat="1" ht="17.25" hidden="1" customHeight="1" outlineLevel="1">
      <c r="A159" s="6"/>
      <c r="B159" s="6"/>
      <c r="C159" s="85" t="s">
        <v>134</v>
      </c>
      <c r="D159" s="86"/>
      <c r="E159" s="87">
        <v>1</v>
      </c>
      <c r="F159" s="88">
        <f>267597*6.26</f>
        <v>1675157.22</v>
      </c>
      <c r="G159" s="89">
        <f>F159/1000</f>
        <v>1675.1572200000001</v>
      </c>
      <c r="H159" s="90"/>
      <c r="I159" s="88">
        <f>G159*1.18</f>
        <v>1976.6855195999999</v>
      </c>
      <c r="J159" s="1" t="s">
        <v>199</v>
      </c>
    </row>
    <row r="160" spans="1:11" s="1" customFormat="1" ht="17.25" hidden="1" customHeight="1" outlineLevel="1">
      <c r="A160" s="6"/>
      <c r="B160" s="6"/>
      <c r="C160" s="85" t="s">
        <v>135</v>
      </c>
      <c r="D160" s="86"/>
      <c r="E160" s="87">
        <v>1</v>
      </c>
      <c r="F160" s="88">
        <f>847467*6.26</f>
        <v>5305143.42</v>
      </c>
      <c r="G160" s="89">
        <f t="shared" ref="G160:G166" si="5">F160/1000</f>
        <v>5305.1434200000003</v>
      </c>
      <c r="H160" s="90"/>
      <c r="I160" s="88">
        <f t="shared" ref="I160:I161" si="6">G160*1.18</f>
        <v>6260.0692356</v>
      </c>
      <c r="J160" s="1" t="s">
        <v>199</v>
      </c>
    </row>
    <row r="161" spans="1:10" s="1" customFormat="1" ht="17.25" hidden="1" customHeight="1" outlineLevel="1">
      <c r="A161" s="6"/>
      <c r="B161" s="6"/>
      <c r="C161" s="85" t="s">
        <v>133</v>
      </c>
      <c r="D161" s="86"/>
      <c r="E161" s="87">
        <v>1</v>
      </c>
      <c r="F161" s="88">
        <f>1369134*6.26-18.78</f>
        <v>8570760.0600000005</v>
      </c>
      <c r="G161" s="89">
        <f t="shared" si="5"/>
        <v>8570.7600600000005</v>
      </c>
      <c r="H161" s="90"/>
      <c r="I161" s="88">
        <f t="shared" si="6"/>
        <v>10113.4968708</v>
      </c>
      <c r="J161" s="1" t="s">
        <v>199</v>
      </c>
    </row>
    <row r="162" spans="1:10" s="1" customFormat="1" ht="17.25" hidden="1" customHeight="1" outlineLevel="1">
      <c r="A162" s="6"/>
      <c r="B162" s="6"/>
      <c r="C162" s="85" t="s">
        <v>136</v>
      </c>
      <c r="D162" s="86"/>
      <c r="E162" s="87">
        <v>1</v>
      </c>
      <c r="F162" s="88">
        <f>120901*6.26</f>
        <v>756840.26</v>
      </c>
      <c r="G162" s="89">
        <f t="shared" si="5"/>
        <v>756.84026000000006</v>
      </c>
      <c r="H162" s="90"/>
      <c r="I162" s="88">
        <f t="shared" ref="I162:I166" si="7">G162*1.18</f>
        <v>893.07150680000007</v>
      </c>
      <c r="J162" s="1" t="s">
        <v>199</v>
      </c>
    </row>
    <row r="163" spans="1:10" s="1" customFormat="1" ht="17.25" hidden="1" customHeight="1" outlineLevel="1">
      <c r="A163" s="6"/>
      <c r="B163" s="6"/>
      <c r="C163" s="85" t="s">
        <v>137</v>
      </c>
      <c r="D163" s="86"/>
      <c r="E163" s="87">
        <v>1</v>
      </c>
      <c r="F163" s="88">
        <f>614768*6.26</f>
        <v>3848447.6799999997</v>
      </c>
      <c r="G163" s="89">
        <f t="shared" si="5"/>
        <v>3848.4476799999998</v>
      </c>
      <c r="H163" s="90"/>
      <c r="I163" s="88">
        <f t="shared" si="7"/>
        <v>4541.1682623999995</v>
      </c>
      <c r="J163" s="1" t="s">
        <v>199</v>
      </c>
    </row>
    <row r="164" spans="1:10" s="1" customFormat="1" ht="17.25" hidden="1" customHeight="1" outlineLevel="1">
      <c r="A164" s="6"/>
      <c r="B164" s="6"/>
      <c r="C164" s="85" t="s">
        <v>138</v>
      </c>
      <c r="D164" s="86"/>
      <c r="E164" s="87">
        <v>1</v>
      </c>
      <c r="F164" s="88">
        <f>102889*6.26</f>
        <v>644085.14</v>
      </c>
      <c r="G164" s="89">
        <f t="shared" si="5"/>
        <v>644.08514000000002</v>
      </c>
      <c r="H164" s="90"/>
      <c r="I164" s="88">
        <f t="shared" si="7"/>
        <v>760.02046519999999</v>
      </c>
      <c r="J164" s="1" t="s">
        <v>199</v>
      </c>
    </row>
    <row r="165" spans="1:10" s="1" customFormat="1" ht="17.25" hidden="1" customHeight="1" outlineLevel="1">
      <c r="A165" s="6"/>
      <c r="B165" s="6"/>
      <c r="C165" s="85" t="s">
        <v>139</v>
      </c>
      <c r="D165" s="86"/>
      <c r="E165" s="87">
        <v>1</v>
      </c>
      <c r="F165" s="88">
        <f>29132*6.26</f>
        <v>182366.32</v>
      </c>
      <c r="G165" s="89">
        <f t="shared" si="5"/>
        <v>182.36632</v>
      </c>
      <c r="H165" s="90"/>
      <c r="I165" s="88">
        <f t="shared" si="7"/>
        <v>215.1922576</v>
      </c>
      <c r="J165" s="1" t="s">
        <v>199</v>
      </c>
    </row>
    <row r="166" spans="1:10" s="1" customFormat="1" ht="17.25" hidden="1" customHeight="1" outlineLevel="1">
      <c r="A166" s="6"/>
      <c r="B166" s="6"/>
      <c r="C166" s="85" t="s">
        <v>140</v>
      </c>
      <c r="D166" s="86"/>
      <c r="E166" s="87">
        <v>1</v>
      </c>
      <c r="F166" s="88">
        <f>5154*6.26</f>
        <v>32264.039999999997</v>
      </c>
      <c r="G166" s="89">
        <f t="shared" si="5"/>
        <v>32.264039999999994</v>
      </c>
      <c r="H166" s="90"/>
      <c r="I166" s="88">
        <f t="shared" si="7"/>
        <v>38.07156719999999</v>
      </c>
      <c r="J166" s="1" t="s">
        <v>199</v>
      </c>
    </row>
    <row r="167" spans="1:10" s="1" customFormat="1" ht="17.25" hidden="1" customHeight="1" outlineLevel="1" collapsed="1">
      <c r="A167" s="6"/>
      <c r="B167" s="6"/>
      <c r="C167" s="132" t="s">
        <v>53</v>
      </c>
      <c r="D167" s="135"/>
      <c r="E167" s="136"/>
      <c r="F167" s="137"/>
      <c r="G167" s="138"/>
      <c r="H167" s="139"/>
      <c r="I167" s="140">
        <f>G167*1.18</f>
        <v>0</v>
      </c>
    </row>
    <row r="168" spans="1:10" s="1" customFormat="1" ht="17.25" hidden="1" customHeight="1" outlineLevel="2">
      <c r="A168" s="6"/>
      <c r="B168" s="6"/>
      <c r="C168" s="133" t="s">
        <v>115</v>
      </c>
      <c r="D168" s="135"/>
      <c r="E168" s="136"/>
      <c r="F168" s="137"/>
      <c r="G168" s="138"/>
      <c r="H168" s="139"/>
      <c r="I168" s="140">
        <f t="shared" ref="I168:I172" si="8">G168*1.18</f>
        <v>0</v>
      </c>
    </row>
    <row r="169" spans="1:10" s="1" customFormat="1" ht="17.25" hidden="1" customHeight="1" outlineLevel="2">
      <c r="A169" s="6"/>
      <c r="B169" s="6"/>
      <c r="C169" s="134" t="s">
        <v>116</v>
      </c>
      <c r="D169" s="135"/>
      <c r="E169" s="136"/>
      <c r="F169" s="137"/>
      <c r="G169" s="138">
        <f>SUM(G170:G172)</f>
        <v>0</v>
      </c>
      <c r="H169" s="139"/>
      <c r="I169" s="140">
        <f t="shared" si="8"/>
        <v>0</v>
      </c>
      <c r="J169" s="1" t="s">
        <v>198</v>
      </c>
    </row>
    <row r="170" spans="1:10" s="1" customFormat="1" ht="17.25" hidden="1" customHeight="1" outlineLevel="2">
      <c r="A170" s="6"/>
      <c r="B170" s="6"/>
      <c r="C170" s="134"/>
      <c r="D170" s="135"/>
      <c r="E170" s="136"/>
      <c r="F170" s="137"/>
      <c r="G170" s="138"/>
      <c r="H170" s="139"/>
      <c r="I170" s="140">
        <f t="shared" si="8"/>
        <v>0</v>
      </c>
    </row>
    <row r="171" spans="1:10" s="1" customFormat="1" ht="17.25" hidden="1" customHeight="1" outlineLevel="2">
      <c r="A171" s="6"/>
      <c r="B171" s="6"/>
      <c r="C171" s="134"/>
      <c r="D171" s="135"/>
      <c r="E171" s="136"/>
      <c r="F171" s="137"/>
      <c r="G171" s="138"/>
      <c r="H171" s="139"/>
      <c r="I171" s="140">
        <f t="shared" si="8"/>
        <v>0</v>
      </c>
    </row>
    <row r="172" spans="1:10" s="1" customFormat="1" ht="17.25" hidden="1" customHeight="1" outlineLevel="2">
      <c r="A172" s="6"/>
      <c r="B172" s="6"/>
      <c r="C172" s="134"/>
      <c r="D172" s="135"/>
      <c r="E172" s="136"/>
      <c r="F172" s="137"/>
      <c r="G172" s="138"/>
      <c r="H172" s="139"/>
      <c r="I172" s="140">
        <f t="shared" si="8"/>
        <v>0</v>
      </c>
    </row>
    <row r="173" spans="1:10" s="1" customFormat="1" ht="15" customHeight="1" collapsed="1">
      <c r="A173" s="5">
        <v>5</v>
      </c>
      <c r="B173" s="5"/>
      <c r="C173" s="9" t="s">
        <v>54</v>
      </c>
      <c r="D173" s="24"/>
      <c r="E173" s="83"/>
      <c r="F173" s="61"/>
      <c r="G173" s="61"/>
      <c r="H173" s="62"/>
      <c r="I173" s="63"/>
    </row>
    <row r="174" spans="1:10" s="1" customFormat="1" ht="15" customHeight="1">
      <c r="A174" s="6" t="s">
        <v>15</v>
      </c>
      <c r="B174" s="6"/>
      <c r="C174" s="64" t="s">
        <v>142</v>
      </c>
      <c r="D174" s="8" t="s">
        <v>24</v>
      </c>
      <c r="E174" s="82">
        <v>1</v>
      </c>
      <c r="F174" s="58"/>
      <c r="G174" s="58">
        <f>(59534.77+13472.75-3357.04)*3.1%*0.8*6.26*1000</f>
        <v>10813097.719039999</v>
      </c>
      <c r="H174" s="59"/>
      <c r="I174" s="60"/>
    </row>
    <row r="175" spans="1:10" s="1" customFormat="1" ht="15" customHeight="1">
      <c r="A175" s="6"/>
      <c r="B175" s="6"/>
      <c r="C175" s="85"/>
      <c r="D175" s="86"/>
      <c r="E175" s="87"/>
      <c r="F175" s="88"/>
      <c r="G175" s="88"/>
      <c r="H175" s="90"/>
      <c r="I175" s="91"/>
    </row>
    <row r="176" spans="1:10" s="1" customFormat="1" ht="15" customHeight="1">
      <c r="A176" s="6"/>
      <c r="B176" s="6"/>
      <c r="C176" s="85"/>
      <c r="D176" s="86"/>
      <c r="E176" s="87"/>
      <c r="F176" s="88"/>
      <c r="G176" s="88"/>
      <c r="H176" s="90"/>
      <c r="I176" s="91"/>
    </row>
    <row r="177" spans="1:9" s="1" customFormat="1" ht="15" customHeight="1">
      <c r="A177" s="6"/>
      <c r="B177" s="6"/>
      <c r="C177" s="85"/>
      <c r="D177" s="86"/>
      <c r="E177" s="87"/>
      <c r="F177" s="88"/>
      <c r="G177" s="88"/>
      <c r="H177" s="90"/>
      <c r="I177" s="91"/>
    </row>
    <row r="178" spans="1:9" s="1" customFormat="1" ht="15" customHeight="1">
      <c r="A178" s="6" t="s">
        <v>16</v>
      </c>
      <c r="B178" s="6"/>
      <c r="C178" s="64" t="s">
        <v>141</v>
      </c>
      <c r="D178" s="8" t="s">
        <v>24</v>
      </c>
      <c r="E178" s="82">
        <v>1</v>
      </c>
      <c r="F178" s="58"/>
      <c r="G178" s="58">
        <f>3357.04*6%*0.8*6.26*1000</f>
        <v>1008723.3792000001</v>
      </c>
      <c r="H178" s="59"/>
      <c r="I178" s="60"/>
    </row>
    <row r="179" spans="1:9" s="1" customFormat="1" ht="15" customHeight="1">
      <c r="A179" s="6"/>
      <c r="B179" s="6"/>
      <c r="C179" s="85"/>
      <c r="D179" s="86"/>
      <c r="E179" s="87"/>
      <c r="F179" s="88"/>
      <c r="G179" s="88"/>
      <c r="H179" s="90"/>
      <c r="I179" s="91"/>
    </row>
    <row r="180" spans="1:9" s="1" customFormat="1" ht="15" customHeight="1">
      <c r="A180" s="6"/>
      <c r="B180" s="6"/>
      <c r="C180" s="85"/>
      <c r="D180" s="86"/>
      <c r="E180" s="87"/>
      <c r="F180" s="88"/>
      <c r="G180" s="88"/>
      <c r="H180" s="90"/>
      <c r="I180" s="91"/>
    </row>
    <row r="181" spans="1:9" s="1" customFormat="1" ht="15" customHeight="1">
      <c r="A181" s="6"/>
      <c r="B181" s="6"/>
      <c r="C181" s="85"/>
      <c r="D181" s="86"/>
      <c r="E181" s="87"/>
      <c r="F181" s="88"/>
      <c r="G181" s="88"/>
      <c r="H181" s="90"/>
      <c r="I181" s="91"/>
    </row>
    <row r="182" spans="1:9" s="4" customFormat="1" ht="15" customHeight="1">
      <c r="A182" s="5">
        <v>6</v>
      </c>
      <c r="B182" s="5"/>
      <c r="C182" s="9" t="s">
        <v>69</v>
      </c>
      <c r="D182" s="24"/>
      <c r="E182" s="83"/>
      <c r="F182" s="61"/>
      <c r="G182" s="61"/>
      <c r="H182" s="62"/>
      <c r="I182" s="63"/>
    </row>
    <row r="183" spans="1:9" s="4" customFormat="1" ht="29.25" customHeight="1">
      <c r="A183" s="6" t="s">
        <v>17</v>
      </c>
      <c r="B183" s="6"/>
      <c r="C183" s="64" t="s">
        <v>55</v>
      </c>
      <c r="D183" s="8" t="s">
        <v>24</v>
      </c>
      <c r="E183" s="82">
        <v>1</v>
      </c>
      <c r="F183" s="58"/>
      <c r="G183" s="58">
        <f>342.56*12.83*1000</f>
        <v>4395044.8</v>
      </c>
      <c r="H183" s="59"/>
      <c r="I183" s="60"/>
    </row>
    <row r="184" spans="1:9" s="1" customFormat="1" ht="15" customHeight="1">
      <c r="A184" s="16" t="s">
        <v>18</v>
      </c>
      <c r="B184" s="16"/>
      <c r="C184" s="22" t="s">
        <v>38</v>
      </c>
      <c r="D184" s="17" t="s">
        <v>65</v>
      </c>
      <c r="E184" s="82">
        <v>2450</v>
      </c>
      <c r="F184" s="58">
        <v>53.41</v>
      </c>
      <c r="G184" s="58">
        <f>11.86*11.04*1000</f>
        <v>130934.39999999998</v>
      </c>
      <c r="H184" s="59"/>
      <c r="I184" s="60"/>
    </row>
    <row r="185" spans="1:9" s="4" customFormat="1" ht="29.25" customHeight="1">
      <c r="A185" s="6" t="s">
        <v>73</v>
      </c>
      <c r="B185" s="6"/>
      <c r="C185" s="64" t="s">
        <v>56</v>
      </c>
      <c r="D185" s="8" t="s">
        <v>24</v>
      </c>
      <c r="E185" s="82">
        <v>1</v>
      </c>
      <c r="F185" s="58"/>
      <c r="G185" s="58">
        <f>5.42*11.04*1000</f>
        <v>59836.799999999996</v>
      </c>
      <c r="H185" s="59"/>
      <c r="I185" s="60"/>
    </row>
    <row r="186" spans="1:9" s="4" customFormat="1" ht="16.5" customHeight="1">
      <c r="A186" s="6" t="s">
        <v>74</v>
      </c>
      <c r="B186" s="6"/>
      <c r="C186" s="64" t="s">
        <v>72</v>
      </c>
      <c r="D186" s="8"/>
      <c r="E186" s="82"/>
      <c r="F186" s="58"/>
      <c r="G186" s="58">
        <f>0.08*11.04*1000</f>
        <v>883.19999999999993</v>
      </c>
      <c r="H186" s="59"/>
      <c r="I186" s="60"/>
    </row>
    <row r="187" spans="1:9" ht="15">
      <c r="A187" s="5">
        <v>7</v>
      </c>
      <c r="B187" s="5"/>
      <c r="C187" s="70" t="s">
        <v>58</v>
      </c>
      <c r="D187" s="24"/>
      <c r="E187" s="83"/>
      <c r="F187" s="61"/>
      <c r="G187" s="61"/>
      <c r="H187" s="62"/>
      <c r="I187" s="63"/>
    </row>
    <row r="188" spans="1:9" ht="15">
      <c r="A188" s="6" t="s">
        <v>19</v>
      </c>
      <c r="B188" s="6"/>
      <c r="C188" s="64" t="s">
        <v>57</v>
      </c>
      <c r="D188" s="8" t="s">
        <v>24</v>
      </c>
      <c r="E188" s="82">
        <v>1</v>
      </c>
      <c r="F188" s="58"/>
      <c r="G188" s="58">
        <f>((1832.67+414.21)*6.26+1453.81*3.91+(4615.39*3.92*1.19+37.45*3.91*1.266+342.56*12.83+(11.86+0.08+5.42)*11.04)*0.03)*1000</f>
        <v>20538924.406569999</v>
      </c>
      <c r="H188" s="59"/>
      <c r="I188" s="60"/>
    </row>
    <row r="189" spans="1:9" ht="15">
      <c r="A189" s="5">
        <v>8</v>
      </c>
      <c r="B189" s="5"/>
      <c r="C189" s="9" t="s">
        <v>59</v>
      </c>
      <c r="D189" s="24"/>
      <c r="E189" s="83"/>
      <c r="F189" s="61"/>
      <c r="G189" s="71">
        <f>SUM(G13:G188)</f>
        <v>577643295.43359196</v>
      </c>
      <c r="H189" s="72"/>
      <c r="I189" s="73"/>
    </row>
    <row r="190" spans="1:9" ht="15">
      <c r="A190" s="6" t="s">
        <v>60</v>
      </c>
      <c r="B190" s="6"/>
      <c r="C190" s="23" t="s">
        <v>75</v>
      </c>
      <c r="D190" s="25"/>
      <c r="E190" s="84"/>
      <c r="F190" s="61"/>
      <c r="G190" s="71">
        <f>G189*0.18</f>
        <v>103975793.17804655</v>
      </c>
      <c r="H190" s="72"/>
      <c r="I190" s="73"/>
    </row>
    <row r="191" spans="1:9" ht="15">
      <c r="A191" s="6" t="s">
        <v>61</v>
      </c>
      <c r="B191" s="6"/>
      <c r="C191" s="23" t="s">
        <v>62</v>
      </c>
      <c r="D191" s="25"/>
      <c r="E191" s="84"/>
      <c r="F191" s="61"/>
      <c r="G191" s="71">
        <f>G189*1.18</f>
        <v>681619088.61163843</v>
      </c>
      <c r="H191" s="72"/>
      <c r="I191" s="73"/>
    </row>
    <row r="193" spans="3:3">
      <c r="C193" s="3">
        <f>щ</f>
        <v>230.47441999999998</v>
      </c>
    </row>
  </sheetData>
  <mergeCells count="4">
    <mergeCell ref="L8:Q8"/>
    <mergeCell ref="W8:AH8"/>
    <mergeCell ref="AK8:AO8"/>
    <mergeCell ref="AU8:AY8"/>
  </mergeCells>
  <conditionalFormatting sqref="N8:N10">
    <cfRule type="cellIs" dxfId="0" priority="1" operator="lessThan">
      <formula>0</formula>
    </cfRule>
  </conditionalFormatting>
  <pageMargins left="3.937007874015748E-2" right="3.937007874015748E-2" top="0.6692913385826772" bottom="0.62992125984251968" header="0.31496062992125984" footer="0.31496062992125984"/>
  <pageSetup paperSize="8" scale="49" orientation="landscape" horizontalDpi="4294967295" verticalDpi="429496729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3.7109375" bestFit="1" customWidth="1"/>
  </cols>
  <sheetData>
    <row r="1" spans="1:1">
      <c r="A1" s="170">
        <f>(20000+16817)*6.26/1000</f>
        <v>230.47441999999998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ТЗ </vt:lpstr>
      <vt:lpstr>Подмога</vt:lpstr>
      <vt:lpstr>'ТЗ '!Заголовки_для_печати</vt:lpstr>
      <vt:lpstr>'ТЗ '!Область_печати</vt:lpstr>
      <vt:lpstr>щ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e_chepurnenko</dc:creator>
  <cp:lastModifiedBy>Некто</cp:lastModifiedBy>
  <cp:lastPrinted>2016-08-08T11:38:04Z</cp:lastPrinted>
  <dcterms:created xsi:type="dcterms:W3CDTF">2002-02-11T05:58:42Z</dcterms:created>
  <dcterms:modified xsi:type="dcterms:W3CDTF">2017-11-04T21:55:46Z</dcterms:modified>
</cp:coreProperties>
</file>