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75" yWindow="-90" windowWidth="22380" windowHeight="12855" tabRatio="742"/>
  </bookViews>
  <sheets>
    <sheet name="Сводный лист" sheetId="56" r:id="rId1"/>
    <sheet name="СКС" sheetId="34" r:id="rId2"/>
    <sheet name="Монтаж ВН" sheetId="40" r:id="rId3"/>
    <sheet name="СКУД" sheetId="39" r:id="rId4"/>
    <sheet name="Звук Bose" sheetId="50" r:id="rId5"/>
    <sheet name="Видеокамеры" sheetId="58" r:id="rId6"/>
  </sheets>
  <definedNames>
    <definedName name="_xlnm.Print_Area" localSheetId="5">Видеокамеры!$A$1:$G$15</definedName>
    <definedName name="_xlnm.Print_Area" localSheetId="4">'Звук Bose'!$A$1:$G$38</definedName>
    <definedName name="_xlnm.Print_Area" localSheetId="2">'Монтаж ВН'!$A$1:$G$47</definedName>
    <definedName name="_xlnm.Print_Area" localSheetId="0">'Сводный лист'!$A$1:$E$23</definedName>
    <definedName name="_xlnm.Print_Area" localSheetId="1">СКС!$A$1:$G$90</definedName>
    <definedName name="_xlnm.Print_Area" localSheetId="3">СКУД!$A$1:$G$51</definedName>
  </definedNames>
  <calcPr calcId="144525" concurrentCalc="0"/>
</workbook>
</file>

<file path=xl/calcChain.xml><?xml version="1.0" encoding="utf-8"?>
<calcChain xmlns="http://schemas.openxmlformats.org/spreadsheetml/2006/main">
  <c r="C15" i="56" l="1"/>
  <c r="J16" i="56"/>
  <c r="E84" i="34"/>
  <c r="E36" i="34"/>
  <c r="G36" i="34"/>
  <c r="G35" i="34"/>
  <c r="K45" i="34"/>
  <c r="K44" i="34"/>
  <c r="K43" i="34"/>
  <c r="K42" i="34"/>
  <c r="K41" i="34"/>
  <c r="K40" i="34"/>
  <c r="K39" i="34"/>
  <c r="H24" i="56"/>
  <c r="I16" i="56"/>
  <c r="H16" i="56"/>
  <c r="G49" i="39"/>
  <c r="G48" i="39"/>
  <c r="G45" i="39"/>
  <c r="G40" i="39"/>
  <c r="G32" i="39"/>
  <c r="G31" i="39"/>
  <c r="G24" i="39"/>
  <c r="G19" i="39"/>
  <c r="E15" i="39"/>
  <c r="G26" i="40"/>
  <c r="G25" i="40"/>
  <c r="G17" i="40"/>
  <c r="G45" i="40"/>
  <c r="G44" i="40"/>
  <c r="G41" i="40"/>
  <c r="G35" i="40"/>
  <c r="G46" i="40"/>
  <c r="G47" i="40"/>
  <c r="G16" i="40"/>
  <c r="J29" i="50"/>
  <c r="L14" i="58"/>
  <c r="E15" i="56"/>
  <c r="K13" i="58"/>
  <c r="L13" i="58"/>
  <c r="G13" i="58"/>
  <c r="K12" i="58"/>
  <c r="L12" i="58"/>
  <c r="G12" i="58"/>
  <c r="G14" i="58"/>
  <c r="G15" i="58"/>
  <c r="M10" i="58"/>
  <c r="L10" i="58"/>
  <c r="K10" i="58"/>
  <c r="J10" i="58"/>
  <c r="I10" i="58"/>
  <c r="I2" i="58"/>
  <c r="H2" i="58"/>
  <c r="J1" i="58"/>
  <c r="I1" i="58"/>
  <c r="G86" i="34"/>
  <c r="J71" i="34"/>
  <c r="L56" i="34"/>
  <c r="L54" i="34"/>
  <c r="L52" i="34"/>
  <c r="C14" i="56"/>
  <c r="M13" i="58"/>
  <c r="M12" i="58"/>
  <c r="J15" i="56"/>
  <c r="L25" i="50"/>
  <c r="H15" i="56"/>
  <c r="H6" i="56"/>
  <c r="J6" i="56"/>
  <c r="E33" i="50"/>
  <c r="E32" i="50"/>
  <c r="E31" i="50"/>
  <c r="G31" i="50"/>
  <c r="E30" i="50"/>
  <c r="E29" i="50"/>
  <c r="E21" i="50"/>
  <c r="E22" i="50"/>
  <c r="L22" i="50"/>
  <c r="L23" i="50"/>
  <c r="M23" i="50"/>
  <c r="L24" i="50"/>
  <c r="M24" i="50"/>
  <c r="M22" i="50"/>
  <c r="M21" i="50"/>
  <c r="G21" i="50"/>
  <c r="M17" i="50"/>
  <c r="L17" i="50"/>
  <c r="M18" i="50"/>
  <c r="L18" i="50"/>
  <c r="G18" i="50"/>
  <c r="M14" i="50"/>
  <c r="L14" i="50"/>
  <c r="L13" i="50"/>
  <c r="M13" i="50"/>
  <c r="M12" i="50"/>
  <c r="L12" i="50"/>
  <c r="I2" i="50"/>
  <c r="J1" i="50"/>
  <c r="I1" i="50"/>
  <c r="H2" i="50"/>
  <c r="E44" i="39"/>
  <c r="E43" i="39"/>
  <c r="E42" i="39"/>
  <c r="E35" i="39"/>
  <c r="L27" i="39"/>
  <c r="K29" i="39"/>
  <c r="M29" i="39"/>
  <c r="M28" i="39"/>
  <c r="L28" i="39"/>
  <c r="M27" i="39"/>
  <c r="M26" i="39"/>
  <c r="L26" i="39"/>
  <c r="G26" i="39"/>
  <c r="M30" i="39"/>
  <c r="L22" i="39"/>
  <c r="L23" i="39"/>
  <c r="L30" i="39"/>
  <c r="L20" i="40"/>
  <c r="L24" i="40"/>
  <c r="L41" i="34"/>
  <c r="L44" i="34"/>
  <c r="L15" i="34"/>
  <c r="M15" i="34"/>
  <c r="G15" i="34"/>
  <c r="M22" i="39"/>
  <c r="M23" i="39"/>
  <c r="G21" i="39"/>
  <c r="M18" i="39"/>
  <c r="M12" i="39"/>
  <c r="M13" i="39"/>
  <c r="M14" i="39"/>
  <c r="M15" i="39"/>
  <c r="M16" i="39"/>
  <c r="M17" i="39"/>
  <c r="L12" i="39"/>
  <c r="E17" i="39"/>
  <c r="E18" i="39"/>
  <c r="L18" i="39"/>
  <c r="E14" i="39"/>
  <c r="L15" i="39"/>
  <c r="E13" i="39"/>
  <c r="L13" i="39"/>
  <c r="I2" i="39"/>
  <c r="J1" i="39"/>
  <c r="I1" i="39"/>
  <c r="H2" i="39"/>
  <c r="E34" i="40"/>
  <c r="E33" i="40"/>
  <c r="E30" i="40"/>
  <c r="G30" i="40"/>
  <c r="E29" i="40"/>
  <c r="M24" i="40"/>
  <c r="L22" i="40"/>
  <c r="E21" i="40"/>
  <c r="L21" i="40"/>
  <c r="M20" i="40"/>
  <c r="M21" i="40"/>
  <c r="M22" i="40"/>
  <c r="L23" i="40"/>
  <c r="M23" i="40"/>
  <c r="G13" i="40"/>
  <c r="J15" i="40"/>
  <c r="J14" i="40"/>
  <c r="G15" i="40"/>
  <c r="G14" i="40"/>
  <c r="L10" i="40"/>
  <c r="M10" i="40"/>
  <c r="K10" i="40"/>
  <c r="J10" i="40"/>
  <c r="I10" i="40"/>
  <c r="I2" i="40"/>
  <c r="J1" i="40"/>
  <c r="I1" i="40"/>
  <c r="H2" i="40"/>
  <c r="M39" i="34"/>
  <c r="M40" i="34"/>
  <c r="M41" i="34"/>
  <c r="M52" i="34"/>
  <c r="M53" i="34"/>
  <c r="M54" i="34"/>
  <c r="M55" i="34"/>
  <c r="M56" i="34"/>
  <c r="K23" i="34"/>
  <c r="M23" i="34"/>
  <c r="J2" i="34"/>
  <c r="K32" i="34"/>
  <c r="L32" i="34"/>
  <c r="E85" i="34"/>
  <c r="J85" i="34"/>
  <c r="E75" i="34"/>
  <c r="G75" i="34"/>
  <c r="E83" i="34"/>
  <c r="J83" i="34"/>
  <c r="E77" i="34"/>
  <c r="E76" i="34"/>
  <c r="E67" i="34"/>
  <c r="E72" i="34"/>
  <c r="G68" i="34"/>
  <c r="E66" i="34"/>
  <c r="G66" i="34"/>
  <c r="E62" i="34"/>
  <c r="E61" i="34"/>
  <c r="E55" i="34"/>
  <c r="G54" i="34"/>
  <c r="G56" i="34"/>
  <c r="G52" i="34"/>
  <c r="E48" i="34"/>
  <c r="K49" i="34"/>
  <c r="M49" i="34"/>
  <c r="K48" i="34"/>
  <c r="M48" i="34"/>
  <c r="K46" i="34"/>
  <c r="L46" i="34"/>
  <c r="K47" i="34"/>
  <c r="L47" i="34"/>
  <c r="G45" i="34"/>
  <c r="G46" i="34"/>
  <c r="G47" i="34"/>
  <c r="G48" i="34"/>
  <c r="G49" i="34"/>
  <c r="L45" i="34"/>
  <c r="M44" i="34"/>
  <c r="L43" i="34"/>
  <c r="L42" i="34"/>
  <c r="E40" i="34"/>
  <c r="G40" i="34"/>
  <c r="L39" i="34"/>
  <c r="E38" i="34"/>
  <c r="G38" i="34"/>
  <c r="K38" i="34"/>
  <c r="K37" i="34"/>
  <c r="M37" i="34"/>
  <c r="G31" i="34"/>
  <c r="G32" i="34"/>
  <c r="G33" i="34"/>
  <c r="G34" i="34"/>
  <c r="G37" i="34"/>
  <c r="G39" i="34"/>
  <c r="G41" i="34"/>
  <c r="J30" i="34"/>
  <c r="J12" i="40"/>
  <c r="E30" i="34"/>
  <c r="G30" i="34"/>
  <c r="I15" i="56"/>
  <c r="L48" i="34"/>
  <c r="K35" i="34"/>
  <c r="K36" i="34"/>
  <c r="M43" i="34"/>
  <c r="K34" i="34"/>
  <c r="L34" i="34"/>
  <c r="J2" i="58"/>
  <c r="K22" i="34"/>
  <c r="M22" i="34"/>
  <c r="M47" i="34"/>
  <c r="K33" i="34"/>
  <c r="M33" i="34"/>
  <c r="L38" i="34"/>
  <c r="G67" i="34"/>
  <c r="G69" i="34"/>
  <c r="J67" i="34"/>
  <c r="K27" i="34"/>
  <c r="L27" i="34"/>
  <c r="K19" i="34"/>
  <c r="L19" i="34"/>
  <c r="M46" i="34"/>
  <c r="L37" i="34"/>
  <c r="J2" i="50"/>
  <c r="K26" i="34"/>
  <c r="L26" i="34"/>
  <c r="K18" i="34"/>
  <c r="M18" i="34"/>
  <c r="M45" i="34"/>
  <c r="L29" i="39"/>
  <c r="E36" i="39"/>
  <c r="E37" i="39"/>
  <c r="E39" i="39"/>
  <c r="M34" i="34"/>
  <c r="M27" i="34"/>
  <c r="M19" i="34"/>
  <c r="L49" i="34"/>
  <c r="M42" i="34"/>
  <c r="M32" i="34"/>
  <c r="K25" i="34"/>
  <c r="K21" i="34"/>
  <c r="K14" i="34"/>
  <c r="L23" i="34"/>
  <c r="M38" i="34"/>
  <c r="K30" i="34"/>
  <c r="L40" i="34"/>
  <c r="K12" i="34"/>
  <c r="K24" i="34"/>
  <c r="K20" i="34"/>
  <c r="K13" i="34"/>
  <c r="J2" i="40"/>
  <c r="K31" i="34"/>
  <c r="J2" i="39"/>
  <c r="J21" i="39"/>
  <c r="G53" i="34"/>
  <c r="L53" i="34"/>
  <c r="G55" i="34"/>
  <c r="L55" i="34"/>
  <c r="L21" i="50"/>
  <c r="G22" i="50"/>
  <c r="L14" i="39"/>
  <c r="E16" i="39"/>
  <c r="L17" i="39"/>
  <c r="G27" i="39"/>
  <c r="G28" i="39"/>
  <c r="G23" i="40"/>
  <c r="E80" i="34"/>
  <c r="E79" i="34"/>
  <c r="J79" i="34"/>
  <c r="E73" i="34"/>
  <c r="E74" i="34"/>
  <c r="G19" i="34"/>
  <c r="G27" i="34"/>
  <c r="G26" i="34"/>
  <c r="G25" i="34"/>
  <c r="G24" i="34"/>
  <c r="G23" i="34"/>
  <c r="G22" i="34"/>
  <c r="G21" i="34"/>
  <c r="G20" i="34"/>
  <c r="G18" i="34"/>
  <c r="L22" i="34"/>
  <c r="M36" i="34"/>
  <c r="L36" i="34"/>
  <c r="L33" i="34"/>
  <c r="M35" i="34"/>
  <c r="L35" i="34"/>
  <c r="K13" i="40"/>
  <c r="K16" i="40"/>
  <c r="G28" i="34"/>
  <c r="L18" i="34"/>
  <c r="M26" i="34"/>
  <c r="L16" i="39"/>
  <c r="E38" i="39"/>
  <c r="K21" i="39"/>
  <c r="M21" i="39"/>
  <c r="K14" i="40"/>
  <c r="M14" i="40"/>
  <c r="E38" i="40"/>
  <c r="E37" i="40"/>
  <c r="J37" i="40"/>
  <c r="K12" i="40"/>
  <c r="L12" i="40"/>
  <c r="K15" i="40"/>
  <c r="M15" i="40"/>
  <c r="L12" i="34"/>
  <c r="M12" i="34"/>
  <c r="L25" i="34"/>
  <c r="M25" i="34"/>
  <c r="L31" i="34"/>
  <c r="M31" i="34"/>
  <c r="L13" i="34"/>
  <c r="M13" i="34"/>
  <c r="M13" i="40"/>
  <c r="L13" i="40"/>
  <c r="L20" i="34"/>
  <c r="M20" i="34"/>
  <c r="M14" i="34"/>
  <c r="L14" i="34"/>
  <c r="K19" i="40"/>
  <c r="L19" i="40"/>
  <c r="G57" i="34"/>
  <c r="L24" i="34"/>
  <c r="M24" i="34"/>
  <c r="L30" i="34"/>
  <c r="M30" i="34"/>
  <c r="L21" i="34"/>
  <c r="M21" i="34"/>
  <c r="M12" i="40"/>
  <c r="M16" i="40"/>
  <c r="L16" i="40"/>
  <c r="L15" i="40"/>
  <c r="L25" i="40"/>
  <c r="H13" i="56"/>
  <c r="H4" i="56"/>
  <c r="J4" i="56"/>
  <c r="L21" i="39"/>
  <c r="L31" i="39"/>
  <c r="H14" i="56"/>
  <c r="H5" i="56"/>
  <c r="L14" i="40"/>
  <c r="L58" i="34"/>
  <c r="H12" i="56"/>
  <c r="M19" i="40"/>
  <c r="G43" i="40"/>
  <c r="G32" i="50"/>
  <c r="G74" i="34"/>
  <c r="G76" i="34"/>
  <c r="G77" i="34"/>
  <c r="G78" i="34"/>
  <c r="G79" i="34"/>
  <c r="G80" i="34"/>
  <c r="G42" i="34"/>
  <c r="G44" i="34"/>
  <c r="G43" i="34"/>
  <c r="G13" i="34"/>
  <c r="G14" i="34"/>
  <c r="G12" i="34"/>
  <c r="G22" i="40"/>
  <c r="G36" i="39"/>
  <c r="G37" i="39"/>
  <c r="G38" i="39"/>
  <c r="G39" i="39"/>
  <c r="G29" i="39"/>
  <c r="G18" i="39"/>
  <c r="G17" i="39"/>
  <c r="G34" i="40"/>
  <c r="G62" i="34"/>
  <c r="G63" i="34"/>
  <c r="G14" i="39"/>
  <c r="G23" i="50"/>
  <c r="G24" i="50"/>
  <c r="G30" i="50"/>
  <c r="G33" i="50"/>
  <c r="G34" i="50"/>
  <c r="G23" i="39"/>
  <c r="G22" i="39"/>
  <c r="G29" i="40"/>
  <c r="G21" i="40"/>
  <c r="G24" i="40"/>
  <c r="G20" i="40"/>
  <c r="G19" i="40"/>
  <c r="G29" i="50"/>
  <c r="G12" i="50"/>
  <c r="G13" i="50"/>
  <c r="G14" i="50"/>
  <c r="G17" i="50"/>
  <c r="G19" i="50"/>
  <c r="G30" i="39"/>
  <c r="G42" i="39"/>
  <c r="G43" i="39"/>
  <c r="G44" i="39"/>
  <c r="G35" i="39"/>
  <c r="G47" i="39"/>
  <c r="G31" i="40"/>
  <c r="G32" i="40"/>
  <c r="G33" i="40"/>
  <c r="G37" i="40"/>
  <c r="G38" i="40"/>
  <c r="G39" i="40"/>
  <c r="G40" i="40"/>
  <c r="G71" i="34"/>
  <c r="G72" i="34"/>
  <c r="G73" i="34"/>
  <c r="G81" i="34"/>
  <c r="G82" i="34"/>
  <c r="G83" i="34"/>
  <c r="G84" i="34"/>
  <c r="G85" i="34"/>
  <c r="G61" i="34"/>
  <c r="G12" i="39"/>
  <c r="G12" i="40"/>
  <c r="G16" i="39"/>
  <c r="G15" i="39"/>
  <c r="G13" i="39"/>
  <c r="H3" i="56"/>
  <c r="G50" i="34"/>
  <c r="G58" i="34"/>
  <c r="G87" i="34"/>
  <c r="G16" i="34"/>
  <c r="H17" i="56"/>
  <c r="H8" i="56"/>
  <c r="G25" i="50"/>
  <c r="G35" i="50"/>
  <c r="G36" i="50"/>
  <c r="D14" i="56"/>
  <c r="G64" i="34"/>
  <c r="G15" i="50"/>
  <c r="C11" i="56"/>
  <c r="J23" i="56"/>
  <c r="E14" i="56"/>
  <c r="I23" i="56"/>
  <c r="I6" i="56"/>
  <c r="C13" i="56"/>
  <c r="I14" i="56"/>
  <c r="D12" i="56"/>
  <c r="J21" i="56"/>
  <c r="C12" i="56"/>
  <c r="G88" i="34"/>
  <c r="D11" i="56"/>
  <c r="I20" i="56"/>
  <c r="I12" i="56"/>
  <c r="I3" i="56"/>
  <c r="G26" i="50"/>
  <c r="G37" i="50"/>
  <c r="G38" i="50"/>
  <c r="C16" i="56"/>
  <c r="J12" i="56"/>
  <c r="D13" i="56"/>
  <c r="E13" i="56"/>
  <c r="J5" i="56"/>
  <c r="I49" i="39"/>
  <c r="J20" i="56"/>
  <c r="J14" i="56"/>
  <c r="G50" i="39"/>
  <c r="G51" i="39"/>
  <c r="I21" i="56"/>
  <c r="E12" i="56"/>
  <c r="I13" i="56"/>
  <c r="I4" i="56"/>
  <c r="J13" i="56"/>
  <c r="I17" i="56"/>
  <c r="I8" i="56"/>
  <c r="G89" i="34"/>
  <c r="G90" i="34"/>
  <c r="E11" i="56"/>
  <c r="J8" i="56"/>
  <c r="J22" i="56"/>
  <c r="D16" i="56"/>
  <c r="J24" i="56"/>
  <c r="I22" i="56"/>
  <c r="I5" i="56"/>
  <c r="J3" i="56"/>
  <c r="E16" i="56"/>
  <c r="I24" i="56"/>
  <c r="J17" i="56"/>
</calcChain>
</file>

<file path=xl/sharedStrings.xml><?xml version="1.0" encoding="utf-8"?>
<sst xmlns="http://schemas.openxmlformats.org/spreadsheetml/2006/main" count="468" uniqueCount="207">
  <si>
    <t>№</t>
  </si>
  <si>
    <t>Каталожный номер</t>
  </si>
  <si>
    <t>наименование</t>
  </si>
  <si>
    <t>кол-во</t>
  </si>
  <si>
    <t>ед.</t>
  </si>
  <si>
    <t>шт.</t>
  </si>
  <si>
    <t>м.</t>
  </si>
  <si>
    <t xml:space="preserve">шт. </t>
  </si>
  <si>
    <t>Материалы. Кабели СКУД</t>
  </si>
  <si>
    <t>Дополнительный крепёж</t>
  </si>
  <si>
    <t xml:space="preserve">Маркировка LM 34/18 WS для UTP 4pr. самоламинир., бел полиэстер </t>
  </si>
  <si>
    <t>Подготовка кабеля за 1 м (размотка, маркировка, отмерение длины, нарезка)</t>
  </si>
  <si>
    <t>Кроссировка розеток RJ45 за порт</t>
  </si>
  <si>
    <t>Кроссировка патч/кросс панелей за порт</t>
  </si>
  <si>
    <t>Маркировка кабелей, патч панелей, розеток за порт</t>
  </si>
  <si>
    <t xml:space="preserve">Тестирование кабельной системы кат.5е (Fluke DSP). Протоколы измерений. </t>
  </si>
  <si>
    <t>Монтаж аксессуаров на кабельный канал</t>
  </si>
  <si>
    <t>Монтаж кабельного канала</t>
  </si>
  <si>
    <t>Сверление, пробивка проходных отверстий диаметром до 50 мм</t>
  </si>
  <si>
    <t>Монтаж пассивного сетевого оборудования за 1U</t>
  </si>
  <si>
    <t>Монтаж напольных люков в бетонный пол</t>
  </si>
  <si>
    <t>Заземление стойки</t>
  </si>
  <si>
    <t>Укладка кабелей ВН на стяжки</t>
  </si>
  <si>
    <t>Монтаж распределительных коробок системы видеонаблюдения</t>
  </si>
  <si>
    <t>Тестирование кабельных соединений</t>
  </si>
  <si>
    <t>Кроссировка разъема RJ-45</t>
  </si>
  <si>
    <t>Укладка силовых кабелей</t>
  </si>
  <si>
    <t>Монтаж считывателя</t>
  </si>
  <si>
    <t>Монтаж электромагнитного замка</t>
  </si>
  <si>
    <t>Монтаж блока питания (установка и подключение аккумуляторов)</t>
  </si>
  <si>
    <t>AL-350FB-02</t>
  </si>
  <si>
    <t>MK-AL-350</t>
  </si>
  <si>
    <t>Замок AL-350FB-02 влагозащищённый электромагнитный.  Удерживающее усилие 350 кГс.</t>
  </si>
  <si>
    <t>С2000-2</t>
  </si>
  <si>
    <t xml:space="preserve">цена </t>
  </si>
  <si>
    <t>сумма</t>
  </si>
  <si>
    <t>сумма:</t>
  </si>
  <si>
    <t>общая сумма за оборудование и материалы</t>
  </si>
  <si>
    <t>Общая сумма за работы:</t>
  </si>
  <si>
    <t>Итого с учетом работ, оборудования и материалов</t>
  </si>
  <si>
    <t>В том числе НДС 18%</t>
  </si>
  <si>
    <t>Маркировка за кабель</t>
  </si>
  <si>
    <t>Matrix III EH</t>
  </si>
  <si>
    <t>Монтаж, сборка и настройка внутренней IP видеокамеры</t>
  </si>
  <si>
    <t>Монтаж, сборка и настройка уличной IP видеокамеры</t>
  </si>
  <si>
    <t>Монтажный комплект, в комплекте: монтажный уголковый кронштейн, декоративный кожух и элементы крепления</t>
  </si>
  <si>
    <t>Монтаж и расключка контроллера</t>
  </si>
  <si>
    <t>Монтаж, подключение микшера-усилителя</t>
  </si>
  <si>
    <t>FreeSpace® DS16F flush-mount
loudspeaker</t>
  </si>
  <si>
    <t>Встраиваемая акустическая
система.</t>
  </si>
  <si>
    <t>FreeSpace® 16 Tile Bridge</t>
  </si>
  <si>
    <t>Крепежная пластина</t>
  </si>
  <si>
    <t>Пуско-наладка системы фонового звучания</t>
  </si>
  <si>
    <t>Розетка информационная Valena, 5e, UTP, 2xRJ-45, кат. 5е, цвет алюминий</t>
  </si>
  <si>
    <t>Крепёж, расходники</t>
  </si>
  <si>
    <t>Оборудование СКУД</t>
  </si>
  <si>
    <t>Оборудование</t>
  </si>
  <si>
    <t>Материалы</t>
  </si>
  <si>
    <t>Крепеж и расходники</t>
  </si>
  <si>
    <t>Работы. Кабельные работы</t>
  </si>
  <si>
    <t>Работы. Монтаж видеокамер</t>
  </si>
  <si>
    <t>Работы. Подключение и настройка оборудования</t>
  </si>
  <si>
    <t>Материалы. Пассивные компоненты</t>
  </si>
  <si>
    <t>Работы. Кабельные работы СКС</t>
  </si>
  <si>
    <t>Материалы. Стойки</t>
  </si>
  <si>
    <t>Крепёж и расходники</t>
  </si>
  <si>
    <t>Кабель ВВГнг-LS 3x1.5 плоский ГОСТ</t>
  </si>
  <si>
    <t>Работы. Монтаж оборудования</t>
  </si>
  <si>
    <t>Кабели коммутационные акустические</t>
  </si>
  <si>
    <t>Укладка кабелей СФН в гофре на стяжки</t>
  </si>
  <si>
    <t>Бесконтактный считыватель proxi-карт EM-marine/HID, выход Wiegand26/TM</t>
  </si>
  <si>
    <t>Монтаж извещателя</t>
  </si>
  <si>
    <t>Укладка кабелей СКУД на стяжки в гофре</t>
  </si>
  <si>
    <t>Монтаж кабельного канала менее 70мм</t>
  </si>
  <si>
    <t>FreeSpace® DXA 2120 Mixer Amplifier 230V</t>
  </si>
  <si>
    <t>Коробка распределительная 85x85x40 квадратная 6 вводов IP54 о/п</t>
  </si>
  <si>
    <t>Расходные материалы, крепеж</t>
  </si>
  <si>
    <t>Структурированная кабельная система</t>
  </si>
  <si>
    <t>Укладка кабелей кат 5е в гофре/металлорукаве на стяжки</t>
  </si>
  <si>
    <t>Сверление, пробивка проходных отверстий диаметром более 50 мм</t>
  </si>
  <si>
    <t xml:space="preserve">Монтаж закладных ПНД труб </t>
  </si>
  <si>
    <t>Монтаж подстаканника в гипсокартонную перегородку</t>
  </si>
  <si>
    <t>Монтаж, подключение звуковых колонок потолочных на высоте более 3 метров</t>
  </si>
  <si>
    <t>Работы. Стойки</t>
  </si>
  <si>
    <t>Кабель акустический 2х2.5 кв.мм</t>
  </si>
  <si>
    <t>Наценка</t>
  </si>
  <si>
    <t>Вход $</t>
  </si>
  <si>
    <t>Вход Р.</t>
  </si>
  <si>
    <t>Сумма вход Р.</t>
  </si>
  <si>
    <t>Цена продажа Р.</t>
  </si>
  <si>
    <t>Материалы. Оптические компоненты</t>
  </si>
  <si>
    <t>CNS-M6-12</t>
  </si>
  <si>
    <t xml:space="preserve">SHT19-9SH-2.5IEC </t>
  </si>
  <si>
    <t>Hyperline CNS-M6-12 Комплект винт M6, квадратная гайка, шайба (12 мм)</t>
  </si>
  <si>
    <t>Hyperline SHT19-9SH-2.5IEC Блок розеток для 19" шкафов, горизонтальный, 9 розеток, 10 A, шнур IEC 320 C14 2.5м</t>
  </si>
  <si>
    <t>КСу-24-1U 1-КУ Бокс оптический 19", со сплайс пластиной, без модулей, без лицевых панелей (требуется 3 шт), без пигтейлов и проходных адаптеров (432x210x44 мм), серый</t>
  </si>
  <si>
    <t>КСу-24-1U 1-КУ</t>
  </si>
  <si>
    <t>КСу Лицевая панель (модуль) для установки 8-SC(DLC), серая</t>
  </si>
  <si>
    <t>Ксу Лицевая панель (модуль) заглушка, серая</t>
  </si>
  <si>
    <t>Hyperline SC-SC-SM Проходной адаптер SC-SC, SM (для одномодового кабеля), simplex, (синий)</t>
  </si>
  <si>
    <t>SC-SC-SM</t>
  </si>
  <si>
    <t>Hyperline FO-STUB-SSC Заглушка отверстия под адаптер simplex SC</t>
  </si>
  <si>
    <t>FO-STUB-SSC</t>
  </si>
  <si>
    <t>FPT9-9-SC-UPC-1M</t>
  </si>
  <si>
    <t>Hyperline FPT-B9-9-SC/UR-1M-LSZH-YL (FPT9-9-SC-UPC-1M) Пигтейл волоконно-оптический SM 9/125 (OS2), SC/UPC, 1 м, LSZH</t>
  </si>
  <si>
    <t>Hyperline FO-FFSPS-40 Комплект деталей для защиты места сварки, КДЗС (40 мм)</t>
  </si>
  <si>
    <t>FO-FFSPS-40</t>
  </si>
  <si>
    <t>FO-WBX-4UN-MK</t>
  </si>
  <si>
    <t>Бокс оптический настенный на 4 порта (SC, duplex LC, ST, FC) с держателем для 8 КДЗС, фиксатор центрального силового элемента, держатель оболочки кабеля (без пигтейлов и проходных адаптеров)</t>
  </si>
  <si>
    <t>Hyperline FC-D2-9-LC/UR-SC/UR-H-3M-LSZH-YL (FC-9-LC-SC-UPC-3M) Патч-корд волоконно-оптический (шнур) SM 9/125 (OS2), LC/UPC-SC/UPC, duplex, LSZH, 3 м</t>
  </si>
  <si>
    <t>FC-9-LC-SC-UPC-3M</t>
  </si>
  <si>
    <t>Hyperline FO-DT-IN-9-4-PVC-YL (FO-D-IN-9-4-FRPVC) Кабель волоконно-оптический 9/125 (OS2) одномодовый, 4 волокна, плотное буферное покрытие (tight buffer), для внутренней прокладки, PVC, -25°C - +75°C, желтый</t>
  </si>
  <si>
    <t>FO-D-IN-9-4-FRPVC</t>
  </si>
  <si>
    <t xml:space="preserve">UTP4-C5E-SOLID-GY-305 </t>
  </si>
  <si>
    <t>Hyperline UUTP4-C5E-S24-IN-PVC-GY-305 (UTP4-C5E-SOLID-GY-305) (305 м) Кабель витая пара, неэкранированная U/UTP, категория 5e, 4 пары (24 AWG), одножильный (solid), PVC, -20°C – +75°C, серый - гарантия: 15 лет компонентная; 25 лет системная</t>
  </si>
  <si>
    <t>Hyperline PP2-19-24-8P8C-C5e-110D Патч-панель 19", 1U, 24 портов RJ-45, категория 5e, Dual IDC</t>
  </si>
  <si>
    <t>PP2-19-24-8P8C-C5e-110D</t>
  </si>
  <si>
    <t>Hyperline CM-1U-PL Кабельный организатор с пластиковыми кольцами, 19", 1U</t>
  </si>
  <si>
    <t>CM-1U-PL</t>
  </si>
  <si>
    <t>Hyperline PC-LPM-UTP-RJ45-RJ45-C5e-3M-GY Патч-корд U/UTP, Cat.5е, 3 м, серый</t>
  </si>
  <si>
    <t>PC-LPM-UTP-RJ45-RJ45-C5e-3M-GY</t>
  </si>
  <si>
    <t>Рамка Valena 1 пост, алюминий</t>
  </si>
  <si>
    <t>Batibox Коробка для сухих перегородок 2-местная, глубина 50 мм</t>
  </si>
  <si>
    <t>Batibox Коробка для сухих перегородок 1-местная, глубиной 50 мм</t>
  </si>
  <si>
    <t>Коробка встраиваемая для напольных коробок на 10/12 модулей, для заливки в бетон</t>
  </si>
  <si>
    <t>Коробка напольная неукомплектованная на 10 модулей, вертикальная, глубиной 65 мм, с крышкой из стали, серая</t>
  </si>
  <si>
    <t>Крепёж, расходники, трассы</t>
  </si>
  <si>
    <t>91925 Труба гибкая гофрированная 25 мм из самозатухающего ПВХ-пластиката, лёгкая со стальной протяжкой, цвет серый (RAL 7035), от -5C до +60С</t>
  </si>
  <si>
    <t>Держатель - клипса для труб д.25мм (250)</t>
  </si>
  <si>
    <t>Диаметр 25мм. Труба жесткая, ПВХ, легкая, цвет серый (RAL 7035)L=2м</t>
  </si>
  <si>
    <t>Дополнительный крепеж (стяжки, саморезы и пр.)</t>
  </si>
  <si>
    <t>компл.</t>
  </si>
  <si>
    <t>Работы. Оптика</t>
  </si>
  <si>
    <t>Монтаж и сборка телекоммуникационной шкафа 22U</t>
  </si>
  <si>
    <t>Штробление пола под монтаж лючка</t>
  </si>
  <si>
    <t>Укладка оптических кабелей в подготовленные трассы на высоте более 3 м.</t>
  </si>
  <si>
    <t>Монтаж суппорта</t>
  </si>
  <si>
    <t>ЦБ</t>
  </si>
  <si>
    <t>ЦБ+3%</t>
  </si>
  <si>
    <t>Затраты по факту:</t>
  </si>
  <si>
    <t>Система видеонаблюдения</t>
  </si>
  <si>
    <t>Оборудование и материалы</t>
  </si>
  <si>
    <t>DS-2CD2632F-IS — 3Мп Full HD 1080P, Уличная (от -40 до +60) IP-камера день/ночь с ИК-подсветкой (до 30 метров), DWDR, АРД, механический ИК фильтр, варифокальный объектив 2,8-12 мм, 0.07лк @ F1.2, 0 Люкс с ИК, DWDR, 3D DNR, видео H.264/MJPEG с разрешением 2048x1536-20к/с, 1920х1080-25к/с, поток 32кб/с-16Мб/с, поддержка двух потоков, двусторонний звук, запись на SD, питание 12В или через Ethernet (PoE). Профессиональное ПО TRASSIR в подарок.</t>
  </si>
  <si>
    <t>DS-2CD2632F-IS</t>
  </si>
  <si>
    <t>DS-2CD2732F-IS — 3Мп Full HD 1080P, Купольная вандалозащищенная  IP-камера, уличная (от -40 до +60), день/ночь с ИК-подсветкой (до 30 метров), DWDR, АРД, механический ИК фильтр, варифокальный объектив 2,8-12 мм,  0.07лк @ F1.2, 0 Люкс с ИК, 3D DNR, видео H.264/MJPEG с разрешением 2048x1536-20к/с, 1920х1080-25к/с, поток 32кб/с-16Мб/с, поддержка двух потоков, двусторонний звук, запись на SD, питание 12В или через Ethernet (PoE). Профессиональное ПО TRASSIR в подарок.</t>
  </si>
  <si>
    <t>DS-2CD2732F-IS</t>
  </si>
  <si>
    <t>UTP4-C5E-SOLID-BK-305</t>
  </si>
  <si>
    <t>Hyperline UUTP4-C5E-S24-IN-PVC-BK-305 (UTP4-C5E-SOLID-BK-305) (305 м) Кабель витая пара, неэкранированная U/UTP, категория 5e, 4 пары (24 AWG), одножильный (solid), PVC, -20°C – +75°C, черный - гарантия: 15 лет компонентная; 25 лет системная</t>
  </si>
  <si>
    <t>Hyperline COAX-RG6-100 Кабель коаксиальный RG-6, 75 Ом (ТВ, SAT, CATV), жила - 18 AWG (1.02 mm, омедненная сталь), PVC, черный (бухта 100 м)</t>
  </si>
  <si>
    <t>COAX-RG6-10</t>
  </si>
  <si>
    <t>91920 Труба гибкая гофрированная 20 мм из самозатухающего ПВХ-пластиката, лёгкая со стальной протяжкой, цвет серый (RAL 7035), от -5C до +60С</t>
  </si>
  <si>
    <t>Hyperline PLUG-8P8C-U-C5-100 Разъем RJ-45(8P8C) под витую пару, категория 5e (50 µ"/ 50 микродюймов), универсальный (для одножильного и многожильного кабеля) (100 шт)</t>
  </si>
  <si>
    <t xml:space="preserve">PLUG-8P8C-U-C5-100 </t>
  </si>
  <si>
    <t>Пуско-наладка системы</t>
  </si>
  <si>
    <t>Укладка коаксиального кабеля на стяжки</t>
  </si>
  <si>
    <t>Система контроля и управления доступом</t>
  </si>
  <si>
    <t>Контроллер доступа на два считывателя. Интерфейс Touch Memory или Виганд. Объем памяти - 32768 пользователей. Два охранных шлейфа и два выходных реле.</t>
  </si>
  <si>
    <t>Магнитоконтактный на размыкание, пласт. корпус малогабаритный</t>
  </si>
  <si>
    <t>ИО 102-20Б2П</t>
  </si>
  <si>
    <t>Аккумулятор 12В, 17Ач</t>
  </si>
  <si>
    <t>Hyperline UUTP4-C5E-S24-IN-PVC-GN-305 (UTP4-C5E-SOLID-GN-305) (305 м) Кабель витая пара, неэкранированная U/UTP, категория 5e, 4 пары (24 AWG), одножильный (solid), PVC, -20°C – +75°C, зеленый - гарантия: 15 лет компонентная; 25 лет системная</t>
  </si>
  <si>
    <t>UTP4-C5E-SOLID-GN-305</t>
  </si>
  <si>
    <t>Провод ШВВП 2x0,75</t>
  </si>
  <si>
    <t>Держатель - клипса для труб д.20мм (250)</t>
  </si>
  <si>
    <t>Кабель-канал пл.б/пер.20х12,5</t>
  </si>
  <si>
    <t>Система фонового звучания</t>
  </si>
  <si>
    <t>Усилитель-микшер</t>
  </si>
  <si>
    <t>№
п/п</t>
  </si>
  <si>
    <t>Подсистема</t>
  </si>
  <si>
    <t>Сумма, оборудование и материалы, руб.</t>
  </si>
  <si>
    <t>Сумма, монтажные работы, руб.</t>
  </si>
  <si>
    <t>Итого, руб.</t>
  </si>
  <si>
    <t>СКС</t>
  </si>
  <si>
    <t>ВН</t>
  </si>
  <si>
    <t>СКУД</t>
  </si>
  <si>
    <t>Итого:</t>
  </si>
  <si>
    <t>СФЗ</t>
  </si>
  <si>
    <t>По факту:</t>
  </si>
  <si>
    <t>Рентабельность %:</t>
  </si>
  <si>
    <t>Рентабельность Р:</t>
  </si>
  <si>
    <t>Работы</t>
  </si>
  <si>
    <t>Общая:</t>
  </si>
  <si>
    <t>Сборка и монтаж оптических боксов</t>
  </si>
  <si>
    <t xml:space="preserve">Сварка оптического волокна </t>
  </si>
  <si>
    <t>Транспортные и накладные расходы</t>
  </si>
  <si>
    <t>Итого за оборудование:</t>
  </si>
  <si>
    <t>Кабель ВВГнг-LS 3x1.5 плоский</t>
  </si>
  <si>
    <t>Видеокамеры (оборудование)</t>
  </si>
  <si>
    <t>Видеокамеры</t>
  </si>
  <si>
    <t>Пусконаладка системы СКУД</t>
  </si>
  <si>
    <t>Hyperline TWFS-2266-SR-RAL9004 Шкаф настенный 19-дюймовый (19"), 22U, 1086x600х600мм, металлическая передняя дверь с замком, две боковые панели, цвет черный (RAL 9004) (разобранный)</t>
  </si>
  <si>
    <t>TWFS-2266-SR-RAL9004</t>
  </si>
  <si>
    <t>Hyperline PC-LPM-UTP-RJ45-REV-RJ45-C5e-1M-GY Реверсивный Патч-корд U/UTP, Cat.5e, 1 м, серый</t>
  </si>
  <si>
    <t>PC-LPM-UTP-RJ45-REV-RJ45-C5e-1M-GY</t>
  </si>
  <si>
    <t>Рапан 40А</t>
  </si>
  <si>
    <t>ББП 12 В, 4 А. Корпус под АКБ 7 Ач, защита АКБ</t>
  </si>
  <si>
    <t>Кабель-канал с перегородкой 75х20</t>
  </si>
  <si>
    <t>Накладка на стык 75х20, белая</t>
  </si>
  <si>
    <t>Заглушка торцевая для короба 75х20</t>
  </si>
  <si>
    <t>Угол плоский переменный для мини-канала 75х20</t>
  </si>
  <si>
    <t>Ответвление Т-образное в 3-х плоскостях, 60х20/16, 75x20 мм</t>
  </si>
  <si>
    <t>Угол внутренний для короба 75х20</t>
  </si>
  <si>
    <t>Суппорт Mosaic для кабель-канала 75х20 на 2 модуля</t>
  </si>
  <si>
    <t>SIP2-1K-M45-22.5</t>
  </si>
  <si>
    <t>Hyperline SIP2-1K-M45-22.5 Вставка 45x22,5 (аналог Mosaic) для 1 модуля формата Keystone Jack, со шторкой</t>
  </si>
  <si>
    <t>Hyperline KJ2-8P8C-C5e-90-GY Вставка Keystone Jack RJ-45(8P8C), категория 5e, Dual IDC, серая</t>
  </si>
  <si>
    <t xml:space="preserve"> KJ2-8P8C-C5e-90-GY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</si>
</sst>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#,##0.00&quot;р.&quot;"/>
    <numFmt numFmtId="166" formatCode="[$$-C09]#,##0.00"/>
    <numFmt numFmtId="167" formatCode="[$$-409]#,##0.00"/>
    <numFmt numFmtId="168" formatCode="#,##0.00\ [$€-1]"/>
    <numFmt numFmtId="169" formatCode="_-* #,##0.00\ &quot;€&quot;_-;\-* #,##0.00\ &quot;€&quot;_-;_-* &quot;-&quot;??\ &quot;€&quot;_-;_-@_-"/>
    <numFmt numFmtId="170" formatCode="_-* #,##0\ _р_._-;\-* #,##0\ _р_._-;_-* &quot;-&quot;\ _р_._-;_-@_-"/>
    <numFmt numFmtId="171" formatCode="0.0000"/>
    <numFmt numFmtId="172" formatCode="0.00000"/>
    <numFmt numFmtId="173" formatCode="0.000"/>
    <numFmt numFmtId="174" formatCode="#,##0.00_р_."/>
    <numFmt numFmtId="175" formatCode="#,##0&quot; F&quot;;\-#,##0&quot; F&quot;"/>
    <numFmt numFmtId="176" formatCode="\$#,##0.00_);[Red]&quot;($&quot;#,##0.00\)"/>
    <numFmt numFmtId="177" formatCode="#,##0&quot; F&quot;;[Red]\-#,##0&quot; F&quot;"/>
    <numFmt numFmtId="178" formatCode="#,##0.00&quot; F&quot;;\-#,##0.00&quot; F&quot;"/>
    <numFmt numFmtId="179" formatCode="#,##0.00&quot; F&quot;;[Red]\-#,##0.00&quot; F&quot;"/>
    <numFmt numFmtId="180" formatCode="#,##0.0000_);[Red]\(#,##0.0000\)"/>
    <numFmt numFmtId="181" formatCode="#,##0;[Red]\-#,##0"/>
    <numFmt numFmtId="182" formatCode="_-* #,##0_-;\-* #,##0_-;_-* \-_-;_-@_-"/>
    <numFmt numFmtId="183" formatCode="_-* #,##0.00_-;\-* #,##0.00_-;_-* \-??_-;_-@_-"/>
    <numFmt numFmtId="184" formatCode="dd\.mm\.yyyy"/>
    <numFmt numFmtId="185" formatCode="_(\$* #,##0_);_(\$* \(#,##0\);_(\$* \-_);_(@_)"/>
    <numFmt numFmtId="186" formatCode="_-* #,##0.0000000_р_._-;\-* #,##0.0000000_р_._-;_-* \-???????_р_._-;_-@_-"/>
    <numFmt numFmtId="187" formatCode="_(\$* #,##0.00_);_(\$* \(#,##0.00\);_(\$* \-??_);_(@_)"/>
    <numFmt numFmtId="188" formatCode="#,##0.0_);\(#,##0.0\)"/>
    <numFmt numFmtId="189" formatCode="#,##0.00&quot; р.&quot;;[Red]\-#,##0.00&quot; р.&quot;"/>
    <numFmt numFmtId="190" formatCode="_-* #,##0\ _р_._-;\-* #,##0\ _р_._-;_-* &quot;- &quot;_р_._-;_-@_-"/>
  </numFmts>
  <fonts count="100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Helv"/>
    </font>
    <font>
      <sz val="7"/>
      <color indexed="8"/>
      <name val="Tahoma"/>
      <family val="2"/>
      <charset val="204"/>
    </font>
    <font>
      <sz val="7"/>
      <name val="Tahoma"/>
      <family val="2"/>
      <charset val="204"/>
    </font>
    <font>
      <b/>
      <sz val="7"/>
      <color indexed="8"/>
      <name val="Tahoma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name val="宋体"/>
      <charset val="13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color indexed="8"/>
      <name val="MS Sans Serif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Arial Cyr"/>
    </font>
    <font>
      <b/>
      <sz val="7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sz val="7"/>
      <color theme="1"/>
      <name val="Tahoma"/>
      <family val="2"/>
      <charset val="204"/>
    </font>
    <font>
      <b/>
      <sz val="7"/>
      <color rgb="FFFF0000"/>
      <name val="Tahoma"/>
      <family val="2"/>
      <charset val="204"/>
    </font>
    <font>
      <sz val="7"/>
      <color rgb="FFFF0000"/>
      <name val="Tahoma"/>
      <family val="2"/>
      <charset val="204"/>
    </font>
    <font>
      <sz val="9"/>
      <color rgb="FFFF0000"/>
      <name val="Tahoma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Times New Roman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sz val="10"/>
      <name val="Times New Roman Cyr"/>
      <family val="1"/>
      <charset val="204"/>
    </font>
    <font>
      <sz val="11"/>
      <color indexed="9"/>
      <name val="Calibri"/>
      <family val="2"/>
    </font>
    <font>
      <sz val="9"/>
      <name val="Times New Roman"/>
      <family val="1"/>
    </font>
    <font>
      <sz val="8.5"/>
      <name val="MS Sans Serif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"/>
      <color indexed="8"/>
      <name val="Courier New"/>
      <family val="1"/>
    </font>
    <font>
      <b/>
      <u/>
      <sz val="1"/>
      <color indexed="8"/>
      <name val="Courier New"/>
      <family val="1"/>
    </font>
    <font>
      <u/>
      <sz val="1"/>
      <color indexed="8"/>
      <name val="Courier New"/>
      <family val="1"/>
    </font>
    <font>
      <sz val="1"/>
      <color indexed="8"/>
      <name val="Courier New"/>
      <family val="1"/>
    </font>
    <font>
      <b/>
      <i/>
      <sz val="1"/>
      <color indexed="8"/>
      <name val="Courier New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8"/>
      <color indexed="12"/>
      <name val="Times New Roman"/>
      <family val="1"/>
    </font>
    <font>
      <sz val="8"/>
      <name val="Arial Cyr"/>
      <family val="2"/>
      <charset val="204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0"/>
      <name val="Arial Cyr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b/>
      <i/>
      <sz val="10"/>
      <name val="Arial Cyr"/>
      <family val="2"/>
      <charset val="204"/>
    </font>
    <font>
      <b/>
      <sz val="12"/>
      <name val="Arial Cyr"/>
      <family val="2"/>
      <charset val="204"/>
    </font>
    <font>
      <i/>
      <sz val="11"/>
      <color indexed="23"/>
      <name val="Calibri"/>
      <family val="2"/>
    </font>
    <font>
      <b/>
      <sz val="14"/>
      <color indexed="9"/>
      <name val="Arial Cyr"/>
      <family val="2"/>
      <charset val="204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i/>
      <sz val="12"/>
      <name val="Times New Roman"/>
      <family val="1"/>
      <charset val="204"/>
    </font>
    <font>
      <b/>
      <sz val="14"/>
      <color rgb="FFFF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61">
    <xf numFmtId="0" fontId="0" fillId="0" borderId="0"/>
    <xf numFmtId="0" fontId="8" fillId="0" borderId="0"/>
    <xf numFmtId="0" fontId="3" fillId="0" borderId="0"/>
    <xf numFmtId="0" fontId="3" fillId="0" borderId="0"/>
    <xf numFmtId="0" fontId="9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169" fontId="7" fillId="0" borderId="0" applyFont="0" applyFill="0" applyBorder="0" applyAlignment="0" applyProtection="0"/>
    <xf numFmtId="3" fontId="22" fillId="0" borderId="0"/>
    <xf numFmtId="0" fontId="23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4" fillId="7" borderId="2" applyNumberFormat="0" applyAlignment="0" applyProtection="0"/>
    <xf numFmtId="0" fontId="25" fillId="20" borderId="3" applyNumberFormat="0" applyAlignment="0" applyProtection="0"/>
    <xf numFmtId="0" fontId="26" fillId="20" borderId="2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22" borderId="0" applyNumberFormat="0" applyBorder="0" applyAlignment="0" applyProtection="0"/>
    <xf numFmtId="0" fontId="7" fillId="0" borderId="0"/>
    <xf numFmtId="0" fontId="7" fillId="0" borderId="0"/>
    <xf numFmtId="0" fontId="12" fillId="0" borderId="9"/>
    <xf numFmtId="0" fontId="20" fillId="0" borderId="0"/>
    <xf numFmtId="0" fontId="7" fillId="0" borderId="0"/>
    <xf numFmtId="0" fontId="33" fillId="0" borderId="0"/>
    <xf numFmtId="0" fontId="9" fillId="0" borderId="0"/>
    <xf numFmtId="0" fontId="11" fillId="0" borderId="0"/>
    <xf numFmtId="0" fontId="17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12" fillId="23" borderId="1" applyNumberFormat="0" applyAlignment="0" applyProtection="0"/>
    <xf numFmtId="0" fontId="35" fillId="0" borderId="10" applyNumberFormat="0" applyFill="0" applyAlignment="0" applyProtection="0"/>
    <xf numFmtId="0" fontId="3" fillId="0" borderId="0"/>
    <xf numFmtId="0" fontId="18" fillId="0" borderId="0" applyNumberForma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9" fillId="4" borderId="0" applyNumberFormat="0" applyBorder="0" applyAlignment="0" applyProtection="0"/>
    <xf numFmtId="0" fontId="13" fillId="0" borderId="0">
      <alignment vertical="center"/>
    </xf>
    <xf numFmtId="0" fontId="20" fillId="0" borderId="0"/>
    <xf numFmtId="0" fontId="51" fillId="0" borderId="0"/>
    <xf numFmtId="44" fontId="51" fillId="0" borderId="0" applyFont="0" applyFill="0" applyBorder="0" applyAlignment="0" applyProtection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" fontId="58" fillId="0" borderId="0">
      <alignment vertical="center"/>
    </xf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175" fontId="12" fillId="0" borderId="0" applyFill="0" applyBorder="0" applyAlignment="0"/>
    <xf numFmtId="176" fontId="12" fillId="0" borderId="0" applyFill="0" applyBorder="0" applyAlignment="0"/>
    <xf numFmtId="173" fontId="60" fillId="0" borderId="0" applyFill="0" applyBorder="0" applyAlignment="0"/>
    <xf numFmtId="177" fontId="12" fillId="0" borderId="0" applyFill="0" applyBorder="0" applyAlignment="0"/>
    <xf numFmtId="178" fontId="12" fillId="0" borderId="0" applyFill="0" applyBorder="0" applyAlignment="0"/>
    <xf numFmtId="175" fontId="12" fillId="0" borderId="0" applyFill="0" applyBorder="0" applyAlignment="0"/>
    <xf numFmtId="179" fontId="12" fillId="0" borderId="0" applyFill="0" applyBorder="0" applyAlignment="0"/>
    <xf numFmtId="176" fontId="12" fillId="0" borderId="0" applyFill="0" applyBorder="0" applyAlignment="0"/>
    <xf numFmtId="175" fontId="12" fillId="0" borderId="0" applyFill="0" applyBorder="0" applyAlignment="0" applyProtection="0"/>
    <xf numFmtId="3" fontId="12" fillId="0" borderId="0" applyFill="0" applyBorder="0" applyAlignment="0" applyProtection="0"/>
    <xf numFmtId="0" fontId="61" fillId="0" borderId="0"/>
    <xf numFmtId="176" fontId="12" fillId="0" borderId="0" applyFill="0" applyBorder="0" applyAlignment="0" applyProtection="0"/>
    <xf numFmtId="180" fontId="12" fillId="0" borderId="0" applyFill="0" applyBorder="0" applyAlignment="0" applyProtection="0"/>
    <xf numFmtId="14" fontId="62" fillId="0" borderId="0" applyFill="0" applyBorder="0" applyAlignment="0"/>
    <xf numFmtId="181" fontId="63" fillId="0" borderId="29">
      <alignment vertical="center"/>
    </xf>
    <xf numFmtId="0" fontId="20" fillId="0" borderId="0"/>
    <xf numFmtId="182" fontId="12" fillId="0" borderId="0" applyFill="0" applyBorder="0" applyAlignment="0" applyProtection="0"/>
    <xf numFmtId="183" fontId="12" fillId="0" borderId="0" applyFill="0" applyBorder="0" applyAlignment="0" applyProtection="0"/>
    <xf numFmtId="175" fontId="12" fillId="0" borderId="0" applyFill="0" applyBorder="0" applyAlignment="0"/>
    <xf numFmtId="176" fontId="12" fillId="0" borderId="0" applyFill="0" applyBorder="0" applyAlignment="0"/>
    <xf numFmtId="175" fontId="12" fillId="0" borderId="0" applyFill="0" applyBorder="0" applyAlignment="0"/>
    <xf numFmtId="179" fontId="12" fillId="0" borderId="0" applyFill="0" applyBorder="0" applyAlignment="0"/>
    <xf numFmtId="176" fontId="12" fillId="0" borderId="0" applyFill="0" applyBorder="0" applyAlignment="0"/>
    <xf numFmtId="0" fontId="64" fillId="0" borderId="0">
      <protection locked="0"/>
    </xf>
    <xf numFmtId="0" fontId="64" fillId="0" borderId="0">
      <protection locked="0"/>
    </xf>
    <xf numFmtId="0" fontId="65" fillId="0" borderId="0">
      <protection locked="0"/>
    </xf>
    <xf numFmtId="0" fontId="64" fillId="0" borderId="0">
      <protection locked="0"/>
    </xf>
    <xf numFmtId="0" fontId="66" fillId="0" borderId="0">
      <protection locked="0"/>
    </xf>
    <xf numFmtId="0" fontId="67" fillId="0" borderId="0">
      <protection locked="0"/>
    </xf>
    <xf numFmtId="0" fontId="68" fillId="0" borderId="0">
      <protection locked="0"/>
    </xf>
    <xf numFmtId="0" fontId="20" fillId="0" borderId="0"/>
    <xf numFmtId="0" fontId="69" fillId="20" borderId="0" applyNumberFormat="0" applyBorder="0" applyAlignment="0" applyProtection="0"/>
    <xf numFmtId="0" fontId="70" fillId="0" borderId="30" applyNumberFormat="0" applyAlignment="0" applyProtection="0"/>
    <xf numFmtId="0" fontId="70" fillId="0" borderId="31">
      <alignment horizontal="left" vertical="center"/>
    </xf>
    <xf numFmtId="0" fontId="71" fillId="0" borderId="0" applyNumberFormat="0" applyFill="0" applyBorder="0" applyAlignment="0" applyProtection="0"/>
    <xf numFmtId="0" fontId="72" fillId="0" borderId="0"/>
    <xf numFmtId="0" fontId="70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184" fontId="12" fillId="0" borderId="0"/>
    <xf numFmtId="0" fontId="20" fillId="0" borderId="0">
      <alignment horizontal="center"/>
    </xf>
    <xf numFmtId="0" fontId="77" fillId="0" borderId="0" applyNumberFormat="0" applyFill="0" applyBorder="0" applyAlignment="0" applyProtection="0"/>
    <xf numFmtId="0" fontId="20" fillId="0" borderId="0"/>
    <xf numFmtId="0" fontId="69" fillId="23" borderId="0" applyNumberFormat="0" applyBorder="0" applyAlignment="0" applyProtection="0"/>
    <xf numFmtId="175" fontId="12" fillId="0" borderId="0" applyFill="0" applyBorder="0" applyAlignment="0"/>
    <xf numFmtId="176" fontId="12" fillId="0" borderId="0" applyFill="0" applyBorder="0" applyAlignment="0"/>
    <xf numFmtId="175" fontId="12" fillId="0" borderId="0" applyFill="0" applyBorder="0" applyAlignment="0"/>
    <xf numFmtId="179" fontId="12" fillId="0" borderId="0" applyFill="0" applyBorder="0" applyAlignment="0"/>
    <xf numFmtId="176" fontId="12" fillId="0" borderId="0" applyFill="0" applyBorder="0" applyAlignment="0"/>
    <xf numFmtId="0" fontId="20" fillId="0" borderId="0">
      <alignment horizontal="center"/>
    </xf>
    <xf numFmtId="0" fontId="78" fillId="0" borderId="32">
      <alignment horizontal="left" vertical="top"/>
    </xf>
    <xf numFmtId="185" fontId="12" fillId="0" borderId="0"/>
    <xf numFmtId="0" fontId="20" fillId="0" borderId="0"/>
    <xf numFmtId="0" fontId="20" fillId="0" borderId="0"/>
    <xf numFmtId="0" fontId="12" fillId="0" borderId="0" applyNumberFormat="0" applyBorder="0">
      <alignment horizontal="center" vertical="center" wrapText="1"/>
    </xf>
    <xf numFmtId="0" fontId="20" fillId="0" borderId="0"/>
    <xf numFmtId="175" fontId="12" fillId="0" borderId="0" applyFill="0" applyBorder="0" applyAlignment="0" applyProtection="0"/>
    <xf numFmtId="186" fontId="12" fillId="0" borderId="0" applyFill="0" applyBorder="0" applyAlignment="0" applyProtection="0"/>
    <xf numFmtId="10" fontId="12" fillId="0" borderId="0" applyFill="0" applyBorder="0" applyAlignment="0" applyProtection="0"/>
    <xf numFmtId="187" fontId="20" fillId="0" borderId="0" applyFill="0" applyBorder="0" applyAlignment="0"/>
    <xf numFmtId="188" fontId="20" fillId="0" borderId="0" applyFill="0" applyBorder="0" applyAlignment="0"/>
    <xf numFmtId="187" fontId="20" fillId="0" borderId="0" applyFill="0" applyBorder="0" applyAlignment="0"/>
    <xf numFmtId="177" fontId="12" fillId="0" borderId="0" applyFill="0" applyBorder="0" applyAlignment="0"/>
    <xf numFmtId="188" fontId="20" fillId="0" borderId="0" applyFill="0" applyBorder="0" applyAlignment="0"/>
    <xf numFmtId="0" fontId="20" fillId="0" borderId="0"/>
    <xf numFmtId="0" fontId="20" fillId="0" borderId="0" applyBorder="0">
      <alignment wrapText="1"/>
    </xf>
    <xf numFmtId="0" fontId="78" fillId="0" borderId="33" applyNumberFormat="0" applyAlignment="0"/>
    <xf numFmtId="0" fontId="69" fillId="0" borderId="0"/>
    <xf numFmtId="3" fontId="12" fillId="0" borderId="0" applyFill="0" applyBorder="0" applyAlignment="0"/>
    <xf numFmtId="49" fontId="62" fillId="0" borderId="0" applyFill="0" applyBorder="0" applyAlignment="0"/>
    <xf numFmtId="178" fontId="12" fillId="0" borderId="0" applyFill="0" applyBorder="0" applyAlignment="0"/>
    <xf numFmtId="179" fontId="12" fillId="0" borderId="0" applyFill="0" applyBorder="0" applyAlignment="0"/>
    <xf numFmtId="172" fontId="12" fillId="0" borderId="0">
      <alignment horizontal="left"/>
    </xf>
    <xf numFmtId="189" fontId="12" fillId="0" borderId="0" applyFill="0" applyBorder="0" applyAlignment="0" applyProtection="0"/>
    <xf numFmtId="190" fontId="12" fillId="0" borderId="0" applyFill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79" fillId="7" borderId="2" applyNumberFormat="0" applyAlignment="0" applyProtection="0"/>
    <xf numFmtId="0" fontId="80" fillId="20" borderId="3" applyNumberFormat="0" applyAlignment="0" applyProtection="0"/>
    <xf numFmtId="0" fontId="81" fillId="20" borderId="2" applyNumberFormat="0" applyAlignment="0" applyProtection="0"/>
    <xf numFmtId="0" fontId="82" fillId="20" borderId="34"/>
    <xf numFmtId="14" fontId="12" fillId="0" borderId="0">
      <alignment horizontal="right"/>
    </xf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5" fillId="0" borderId="6" applyNumberFormat="0" applyFill="0" applyAlignment="0" applyProtection="0"/>
    <xf numFmtId="0" fontId="85" fillId="0" borderId="0" applyNumberFormat="0" applyFill="0" applyBorder="0" applyAlignment="0" applyProtection="0"/>
    <xf numFmtId="0" fontId="20" fillId="0" borderId="35">
      <alignment horizontal="right"/>
    </xf>
    <xf numFmtId="0" fontId="86" fillId="0" borderId="7" applyNumberFormat="0" applyFill="0" applyAlignment="0" applyProtection="0"/>
    <xf numFmtId="0" fontId="87" fillId="21" borderId="8" applyNumberFormat="0" applyAlignment="0" applyProtection="0"/>
    <xf numFmtId="0" fontId="20" fillId="0" borderId="35"/>
    <xf numFmtId="0" fontId="88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8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89" fillId="0" borderId="0"/>
    <xf numFmtId="0" fontId="90" fillId="3" borderId="0" applyNumberFormat="0" applyBorder="0" applyAlignment="0" applyProtection="0"/>
    <xf numFmtId="0" fontId="91" fillId="27" borderId="35">
      <alignment horizontal="left"/>
    </xf>
    <xf numFmtId="0" fontId="92" fillId="27" borderId="35">
      <alignment horizontal="left"/>
    </xf>
    <xf numFmtId="0" fontId="93" fillId="0" borderId="0" applyNumberFormat="0" applyFill="0" applyBorder="0" applyAlignment="0" applyProtection="0"/>
    <xf numFmtId="0" fontId="12" fillId="23" borderId="1" applyNumberFormat="0" applyAlignment="0" applyProtection="0"/>
    <xf numFmtId="0" fontId="94" fillId="28" borderId="36">
      <alignment horizontal="center"/>
    </xf>
    <xf numFmtId="0" fontId="95" fillId="0" borderId="10" applyNumberFormat="0" applyFill="0" applyAlignment="0" applyProtection="0"/>
    <xf numFmtId="0" fontId="3" fillId="0" borderId="0"/>
    <xf numFmtId="0" fontId="12" fillId="27" borderId="35" applyNumberFormat="0" applyAlignment="0"/>
    <xf numFmtId="0" fontId="12" fillId="27" borderId="35" applyNumberFormat="0" applyAlignment="0"/>
    <xf numFmtId="0" fontId="96" fillId="0" borderId="0" applyNumberFormat="0" applyFill="0" applyBorder="0" applyAlignment="0" applyProtection="0"/>
    <xf numFmtId="0" fontId="97" fillId="4" borderId="0" applyNumberFormat="0" applyBorder="0" applyAlignment="0" applyProtection="0"/>
    <xf numFmtId="4" fontId="20" fillId="0" borderId="35"/>
  </cellStyleXfs>
  <cellXfs count="296">
    <xf numFmtId="0" fontId="0" fillId="0" borderId="0" xfId="0"/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11" xfId="5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vertical="center" wrapText="1"/>
    </xf>
    <xf numFmtId="0" fontId="5" fillId="0" borderId="12" xfId="47" applyFont="1" applyFill="1" applyBorder="1" applyAlignment="1">
      <alignment vertical="center" wrapText="1"/>
    </xf>
    <xf numFmtId="0" fontId="5" fillId="0" borderId="15" xfId="47" applyFont="1" applyFill="1" applyBorder="1" applyAlignment="1">
      <alignment horizontal="left" vertical="center" wrapText="1"/>
    </xf>
    <xf numFmtId="0" fontId="5" fillId="0" borderId="11" xfId="47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left" vertical="center" wrapText="1"/>
    </xf>
    <xf numFmtId="0" fontId="6" fillId="24" borderId="11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7" fontId="4" fillId="0" borderId="11" xfId="0" applyNumberFormat="1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37" fillId="24" borderId="11" xfId="0" applyFont="1" applyFill="1" applyBorder="1" applyAlignment="1">
      <alignment horizontal="right" vertical="center" wrapText="1"/>
    </xf>
    <xf numFmtId="7" fontId="6" fillId="0" borderId="11" xfId="0" applyNumberFormat="1" applyFont="1" applyBorder="1" applyAlignment="1">
      <alignment vertical="center" wrapText="1"/>
    </xf>
    <xf numFmtId="165" fontId="6" fillId="0" borderId="11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44" fontId="6" fillId="24" borderId="1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Border="1" applyAlignment="1">
      <alignment vertical="center" wrapText="1"/>
    </xf>
    <xf numFmtId="7" fontId="5" fillId="0" borderId="11" xfId="0" applyNumberFormat="1" applyFont="1" applyBorder="1" applyAlignment="1">
      <alignment vertical="center" wrapText="1"/>
    </xf>
    <xf numFmtId="0" fontId="5" fillId="0" borderId="11" xfId="50" applyFont="1" applyBorder="1" applyAlignment="1">
      <alignment horizontal="center" vertical="center" wrapText="1"/>
    </xf>
    <xf numFmtId="0" fontId="44" fillId="0" borderId="11" xfId="0" applyFont="1" applyBorder="1" applyAlignment="1">
      <alignment horizontal="left" vertical="center" wrapText="1"/>
    </xf>
    <xf numFmtId="0" fontId="4" fillId="0" borderId="11" xfId="54" applyFont="1" applyFill="1" applyBorder="1" applyAlignment="1">
      <alignment horizontal="left" vertical="center" wrapText="1"/>
    </xf>
    <xf numFmtId="0" fontId="5" fillId="0" borderId="11" xfId="47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vertical="center" wrapText="1"/>
    </xf>
    <xf numFmtId="0" fontId="4" fillId="0" borderId="11" xfId="54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0" fontId="43" fillId="24" borderId="0" xfId="0" applyFont="1" applyFill="1" applyBorder="1" applyAlignment="1">
      <alignment vertical="center" wrapText="1"/>
    </xf>
    <xf numFmtId="165" fontId="43" fillId="24" borderId="0" xfId="0" applyNumberFormat="1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vertical="center" wrapText="1"/>
    </xf>
    <xf numFmtId="0" fontId="5" fillId="0" borderId="11" xfId="47" applyFont="1" applyFill="1" applyBorder="1" applyAlignment="1">
      <alignment vertical="center" wrapText="1"/>
    </xf>
    <xf numFmtId="0" fontId="4" fillId="0" borderId="11" xfId="50" applyFont="1" applyFill="1" applyBorder="1" applyAlignment="1">
      <alignment vertical="center" wrapText="1"/>
    </xf>
    <xf numFmtId="0" fontId="5" fillId="0" borderId="11" xfId="54" applyFont="1" applyBorder="1" applyAlignment="1">
      <alignment horizontal="left" vertical="center" wrapText="1"/>
    </xf>
    <xf numFmtId="2" fontId="4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5" fontId="5" fillId="0" borderId="11" xfId="0" applyNumberFormat="1" applyFont="1" applyFill="1" applyBorder="1" applyAlignment="1">
      <alignment horizontal="right" vertical="center" wrapText="1"/>
    </xf>
    <xf numFmtId="171" fontId="5" fillId="0" borderId="0" xfId="0" applyNumberFormat="1" applyFont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43" fillId="0" borderId="0" xfId="47" applyFont="1" applyFill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2" fontId="4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0" fontId="40" fillId="0" borderId="0" xfId="47" applyFont="1" applyAlignment="1">
      <alignment vertical="center" wrapText="1"/>
    </xf>
    <xf numFmtId="165" fontId="39" fillId="0" borderId="0" xfId="47" applyNumberFormat="1" applyFont="1" applyAlignment="1">
      <alignment vertical="center" wrapText="1"/>
    </xf>
    <xf numFmtId="2" fontId="46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165" fontId="40" fillId="0" borderId="0" xfId="47" applyNumberFormat="1" applyFont="1" applyAlignment="1">
      <alignment vertical="center" wrapText="1"/>
    </xf>
    <xf numFmtId="0" fontId="41" fillId="0" borderId="0" xfId="35" applyFont="1" applyAlignment="1" applyProtection="1">
      <alignment vertical="center" wrapText="1"/>
    </xf>
    <xf numFmtId="165" fontId="40" fillId="0" borderId="0" xfId="47" applyNumberFormat="1" applyFont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16" xfId="47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0" fontId="40" fillId="0" borderId="0" xfId="47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6" fillId="24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35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1" xfId="5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" fontId="45" fillId="0" borderId="0" xfId="0" applyNumberFormat="1" applyFont="1" applyAlignment="1">
      <alignment horizontal="left" vertical="center" wrapText="1"/>
    </xf>
    <xf numFmtId="0" fontId="39" fillId="0" borderId="16" xfId="0" applyFont="1" applyBorder="1" applyAlignment="1">
      <alignment horizontal="center" vertical="center" wrapText="1"/>
    </xf>
    <xf numFmtId="7" fontId="5" fillId="0" borderId="11" xfId="0" applyNumberFormat="1" applyFont="1" applyFill="1" applyBorder="1" applyAlignment="1">
      <alignment horizontal="center" vertical="center" wrapText="1"/>
    </xf>
    <xf numFmtId="7" fontId="4" fillId="0" borderId="11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6" fillId="24" borderId="11" xfId="0" applyFont="1" applyFill="1" applyBorder="1" applyAlignment="1">
      <alignment vertical="center" wrapText="1"/>
    </xf>
    <xf numFmtId="165" fontId="5" fillId="0" borderId="11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vertical="center" wrapText="1"/>
    </xf>
    <xf numFmtId="165" fontId="39" fillId="0" borderId="0" xfId="47" applyNumberFormat="1" applyFont="1" applyAlignment="1">
      <alignment horizontal="right" vertical="center" wrapText="1"/>
    </xf>
    <xf numFmtId="165" fontId="40" fillId="0" borderId="0" xfId="47" applyNumberFormat="1" applyFont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0" fontId="6" fillId="24" borderId="11" xfId="0" applyFont="1" applyFill="1" applyBorder="1" applyAlignment="1">
      <alignment horizontal="right" vertical="center" wrapText="1"/>
    </xf>
    <xf numFmtId="7" fontId="5" fillId="0" borderId="11" xfId="0" applyNumberFormat="1" applyFont="1" applyBorder="1" applyAlignment="1">
      <alignment horizontal="right" vertical="center" wrapText="1"/>
    </xf>
    <xf numFmtId="7" fontId="6" fillId="0" borderId="11" xfId="0" applyNumberFormat="1" applyFont="1" applyBorder="1" applyAlignment="1">
      <alignment horizontal="right" vertical="center" wrapText="1"/>
    </xf>
    <xf numFmtId="7" fontId="4" fillId="0" borderId="11" xfId="0" applyNumberFormat="1" applyFont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right" vertical="center" wrapText="1"/>
    </xf>
    <xf numFmtId="165" fontId="37" fillId="0" borderId="1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6" fontId="40" fillId="0" borderId="0" xfId="47" applyNumberFormat="1" applyFont="1" applyAlignment="1">
      <alignment horizontal="center" vertical="center" wrapText="1"/>
    </xf>
    <xf numFmtId="0" fontId="40" fillId="0" borderId="0" xfId="47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2" fontId="46" fillId="0" borderId="0" xfId="0" applyNumberFormat="1" applyFont="1" applyAlignment="1">
      <alignment vertical="center" wrapText="1"/>
    </xf>
    <xf numFmtId="0" fontId="40" fillId="0" borderId="0" xfId="0" applyFont="1" applyAlignment="1">
      <alignment horizontal="right" vertical="center" wrapText="1"/>
    </xf>
    <xf numFmtId="165" fontId="40" fillId="0" borderId="0" xfId="0" applyNumberFormat="1" applyFont="1" applyAlignment="1">
      <alignment horizontal="center" vertical="center" wrapText="1"/>
    </xf>
    <xf numFmtId="166" fontId="40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167" fontId="45" fillId="0" borderId="0" xfId="0" applyNumberFormat="1" applyFont="1" applyAlignment="1">
      <alignment vertical="center" wrapText="1"/>
    </xf>
    <xf numFmtId="0" fontId="46" fillId="0" borderId="0" xfId="0" applyFont="1" applyAlignment="1">
      <alignment vertical="center" wrapText="1"/>
    </xf>
    <xf numFmtId="165" fontId="46" fillId="0" borderId="0" xfId="0" applyNumberFormat="1" applyFont="1" applyAlignment="1">
      <alignment horizontal="center" vertical="center" wrapText="1"/>
    </xf>
    <xf numFmtId="168" fontId="46" fillId="0" borderId="0" xfId="0" applyNumberFormat="1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7" fontId="46" fillId="0" borderId="0" xfId="0" applyNumberFormat="1" applyFont="1" applyAlignment="1">
      <alignment vertical="center" wrapText="1"/>
    </xf>
    <xf numFmtId="165" fontId="46" fillId="0" borderId="0" xfId="0" applyNumberFormat="1" applyFont="1" applyAlignment="1">
      <alignment vertical="center" wrapText="1"/>
    </xf>
    <xf numFmtId="164" fontId="39" fillId="0" borderId="0" xfId="63" applyFont="1" applyAlignment="1">
      <alignment horizontal="left" vertical="center" wrapText="1"/>
    </xf>
    <xf numFmtId="164" fontId="39" fillId="0" borderId="0" xfId="63" applyFont="1" applyAlignment="1">
      <alignment horizontal="center" vertical="center" wrapText="1"/>
    </xf>
    <xf numFmtId="164" fontId="39" fillId="0" borderId="0" xfId="63" applyFont="1" applyAlignment="1">
      <alignment vertical="center" wrapText="1"/>
    </xf>
    <xf numFmtId="165" fontId="4" fillId="0" borderId="11" xfId="54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7" fontId="37" fillId="0" borderId="11" xfId="0" applyNumberFormat="1" applyFont="1" applyBorder="1" applyAlignment="1">
      <alignment horizontal="right" vertical="center" wrapText="1"/>
    </xf>
    <xf numFmtId="0" fontId="5" fillId="0" borderId="11" xfId="0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right" vertical="center"/>
    </xf>
    <xf numFmtId="0" fontId="5" fillId="0" borderId="11" xfId="54" applyFont="1" applyFill="1" applyBorder="1" applyAlignment="1">
      <alignment horizontal="left" vertical="center" wrapText="1"/>
    </xf>
    <xf numFmtId="0" fontId="4" fillId="0" borderId="11" xfId="50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/>
    <xf numFmtId="0" fontId="40" fillId="0" borderId="18" xfId="47" applyFont="1" applyBorder="1" applyAlignment="1">
      <alignment vertical="center" wrapText="1"/>
    </xf>
    <xf numFmtId="166" fontId="40" fillId="0" borderId="18" xfId="47" applyNumberFormat="1" applyFont="1" applyBorder="1" applyAlignment="1">
      <alignment vertical="center" wrapText="1"/>
    </xf>
    <xf numFmtId="165" fontId="39" fillId="0" borderId="18" xfId="47" applyNumberFormat="1" applyFont="1" applyBorder="1" applyAlignment="1">
      <alignment vertical="center" wrapText="1"/>
    </xf>
    <xf numFmtId="2" fontId="46" fillId="0" borderId="18" xfId="0" applyNumberFormat="1" applyFont="1" applyBorder="1" applyAlignment="1">
      <alignment horizontal="center" vertical="center" wrapText="1"/>
    </xf>
    <xf numFmtId="0" fontId="40" fillId="0" borderId="18" xfId="0" applyFont="1" applyBorder="1" applyAlignment="1">
      <alignment vertical="center" wrapText="1"/>
    </xf>
    <xf numFmtId="0" fontId="40" fillId="0" borderId="0" xfId="47" applyFont="1" applyBorder="1" applyAlignment="1">
      <alignment vertical="center" wrapText="1"/>
    </xf>
    <xf numFmtId="165" fontId="40" fillId="0" borderId="0" xfId="47" applyNumberFormat="1" applyFont="1" applyBorder="1" applyAlignment="1">
      <alignment vertical="center" wrapText="1"/>
    </xf>
    <xf numFmtId="2" fontId="46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165" fontId="39" fillId="0" borderId="0" xfId="47" applyNumberFormat="1" applyFont="1" applyBorder="1" applyAlignment="1">
      <alignment vertical="center" wrapText="1"/>
    </xf>
    <xf numFmtId="0" fontId="41" fillId="0" borderId="19" xfId="35" applyFont="1" applyBorder="1" applyAlignment="1" applyProtection="1">
      <alignment vertical="center" wrapText="1"/>
    </xf>
    <xf numFmtId="165" fontId="40" fillId="0" borderId="0" xfId="47" applyNumberFormat="1" applyFont="1" applyBorder="1" applyAlignment="1">
      <alignment horizontal="center" vertical="center" wrapText="1"/>
    </xf>
    <xf numFmtId="0" fontId="39" fillId="0" borderId="20" xfId="47" applyFont="1" applyBorder="1" applyAlignment="1">
      <alignment vertical="center" wrapText="1"/>
    </xf>
    <xf numFmtId="0" fontId="6" fillId="24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45" fillId="0" borderId="0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165" fontId="45" fillId="0" borderId="0" xfId="0" applyNumberFormat="1" applyFont="1" applyBorder="1" applyAlignment="1">
      <alignment vertical="center" wrapText="1"/>
    </xf>
    <xf numFmtId="165" fontId="6" fillId="0" borderId="12" xfId="0" applyNumberFormat="1" applyFont="1" applyFill="1" applyBorder="1" applyAlignment="1">
      <alignment horizontal="right" vertical="center" wrapText="1"/>
    </xf>
    <xf numFmtId="0" fontId="5" fillId="0" borderId="11" xfId="47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vertical="center" wrapText="1"/>
    </xf>
    <xf numFmtId="165" fontId="43" fillId="0" borderId="0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Fill="1" applyBorder="1" applyAlignment="1">
      <alignment horizontal="right" vertical="center"/>
    </xf>
    <xf numFmtId="3" fontId="47" fillId="0" borderId="0" xfId="0" applyNumberFormat="1" applyFont="1" applyFill="1" applyBorder="1" applyAlignment="1">
      <alignment horizontal="center" vertical="center"/>
    </xf>
    <xf numFmtId="2" fontId="47" fillId="0" borderId="0" xfId="0" applyNumberFormat="1" applyFont="1" applyFill="1" applyBorder="1" applyAlignment="1">
      <alignment horizontal="right" vertical="center"/>
    </xf>
    <xf numFmtId="4" fontId="47" fillId="0" borderId="0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/>
    </xf>
    <xf numFmtId="2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horizontal="left" vertical="center" wrapText="1"/>
    </xf>
    <xf numFmtId="0" fontId="47" fillId="0" borderId="0" xfId="0" applyNumberFormat="1" applyFont="1" applyFill="1" applyBorder="1" applyAlignment="1">
      <alignment horizontal="center" vertical="center"/>
    </xf>
    <xf numFmtId="14" fontId="46" fillId="0" borderId="0" xfId="0" applyNumberFormat="1" applyFont="1" applyAlignment="1">
      <alignment horizontal="center" vertical="center" wrapText="1"/>
    </xf>
    <xf numFmtId="2" fontId="47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 wrapText="1"/>
    </xf>
    <xf numFmtId="0" fontId="43" fillId="0" borderId="11" xfId="0" applyFont="1" applyFill="1" applyBorder="1" applyAlignment="1">
      <alignment horizontal="center" vertical="center" wrapText="1"/>
    </xf>
    <xf numFmtId="165" fontId="5" fillId="0" borderId="11" xfId="54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justify" vertical="center" wrapText="1"/>
    </xf>
    <xf numFmtId="0" fontId="4" fillId="0" borderId="11" xfId="47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8" fillId="24" borderId="0" xfId="74" applyFont="1" applyFill="1" applyAlignment="1">
      <alignment vertical="center" wrapText="1"/>
    </xf>
    <xf numFmtId="0" fontId="49" fillId="24" borderId="0" xfId="74" applyFont="1" applyFill="1" applyBorder="1" applyAlignment="1">
      <alignment horizontal="left" vertical="center" wrapText="1"/>
    </xf>
    <xf numFmtId="0" fontId="49" fillId="24" borderId="0" xfId="74" applyFont="1" applyFill="1" applyBorder="1" applyAlignment="1">
      <alignment horizontal="center" vertical="center" wrapText="1"/>
    </xf>
    <xf numFmtId="0" fontId="52" fillId="24" borderId="0" xfId="75" applyFont="1" applyFill="1" applyAlignment="1">
      <alignment vertical="center" wrapText="1"/>
    </xf>
    <xf numFmtId="0" fontId="53" fillId="24" borderId="11" xfId="75" applyFont="1" applyFill="1" applyBorder="1" applyAlignment="1">
      <alignment vertical="center" wrapText="1"/>
    </xf>
    <xf numFmtId="0" fontId="53" fillId="24" borderId="14" xfId="75" applyFont="1" applyFill="1" applyBorder="1" applyAlignment="1">
      <alignment horizontal="center" vertical="center" wrapText="1"/>
    </xf>
    <xf numFmtId="0" fontId="53" fillId="24" borderId="17" xfId="75" applyFont="1" applyFill="1" applyBorder="1" applyAlignment="1">
      <alignment horizontal="center" vertical="center" wrapText="1"/>
    </xf>
    <xf numFmtId="174" fontId="53" fillId="24" borderId="11" xfId="75" applyNumberFormat="1" applyFont="1" applyFill="1" applyBorder="1" applyAlignment="1">
      <alignment horizontal="center" vertical="center" wrapText="1"/>
    </xf>
    <xf numFmtId="0" fontId="53" fillId="24" borderId="11" xfId="75" applyFont="1" applyFill="1" applyBorder="1" applyAlignment="1">
      <alignment horizontal="center" vertical="center" wrapText="1"/>
    </xf>
    <xf numFmtId="0" fontId="52" fillId="24" borderId="11" xfId="75" applyFont="1" applyFill="1" applyBorder="1" applyAlignment="1">
      <alignment horizontal="center" vertical="center" wrapText="1"/>
    </xf>
    <xf numFmtId="0" fontId="55" fillId="24" borderId="17" xfId="75" applyFont="1" applyFill="1" applyBorder="1" applyAlignment="1">
      <alignment horizontal="right" vertical="center" wrapText="1"/>
    </xf>
    <xf numFmtId="0" fontId="53" fillId="24" borderId="0" xfId="77" applyFont="1" applyFill="1" applyBorder="1" applyAlignment="1">
      <alignment horizontal="right" vertical="center" wrapText="1"/>
    </xf>
    <xf numFmtId="0" fontId="52" fillId="24" borderId="0" xfId="74" applyFont="1" applyFill="1" applyAlignment="1">
      <alignment vertical="center" wrapText="1"/>
    </xf>
    <xf numFmtId="0" fontId="52" fillId="24" borderId="0" xfId="74" applyFont="1" applyFill="1" applyAlignment="1">
      <alignment horizontal="center" vertical="center" wrapText="1"/>
    </xf>
    <xf numFmtId="0" fontId="54" fillId="24" borderId="0" xfId="75" applyFont="1" applyFill="1" applyBorder="1" applyAlignment="1">
      <alignment vertical="center" wrapText="1"/>
    </xf>
    <xf numFmtId="165" fontId="52" fillId="24" borderId="0" xfId="75" applyNumberFormat="1" applyFont="1" applyFill="1" applyBorder="1" applyAlignment="1">
      <alignment vertical="center" wrapText="1"/>
    </xf>
    <xf numFmtId="0" fontId="57" fillId="24" borderId="0" xfId="74" applyFont="1" applyFill="1" applyAlignment="1">
      <alignment horizontal="right" vertical="center" wrapText="1"/>
    </xf>
    <xf numFmtId="0" fontId="57" fillId="24" borderId="0" xfId="75" applyFont="1" applyFill="1" applyAlignment="1">
      <alignment horizontal="right" vertical="center" wrapText="1"/>
    </xf>
    <xf numFmtId="0" fontId="52" fillId="24" borderId="0" xfId="75" applyFont="1" applyFill="1" applyAlignment="1">
      <alignment horizontal="center" vertical="center" wrapText="1"/>
    </xf>
    <xf numFmtId="174" fontId="52" fillId="24" borderId="0" xfId="75" applyNumberFormat="1" applyFont="1" applyFill="1" applyAlignment="1">
      <alignment vertical="center" wrapText="1"/>
    </xf>
    <xf numFmtId="0" fontId="53" fillId="24" borderId="0" xfId="75" applyFont="1" applyFill="1" applyBorder="1" applyAlignment="1">
      <alignment horizontal="center" vertical="center" wrapText="1"/>
    </xf>
    <xf numFmtId="165" fontId="53" fillId="24" borderId="0" xfId="75" applyNumberFormat="1" applyFont="1" applyFill="1" applyBorder="1" applyAlignment="1">
      <alignment horizontal="center" vertical="center" wrapText="1"/>
    </xf>
    <xf numFmtId="0" fontId="53" fillId="24" borderId="17" xfId="75" applyFont="1" applyFill="1" applyBorder="1" applyAlignment="1">
      <alignment horizontal="left" vertical="center" wrapText="1"/>
    </xf>
    <xf numFmtId="165" fontId="53" fillId="24" borderId="11" xfId="75" applyNumberFormat="1" applyFont="1" applyFill="1" applyBorder="1" applyAlignment="1">
      <alignment horizontal="center" vertical="center" wrapText="1"/>
    </xf>
    <xf numFmtId="165" fontId="55" fillId="24" borderId="17" xfId="76" applyNumberFormat="1" applyFont="1" applyFill="1" applyBorder="1" applyAlignment="1">
      <alignment horizontal="center" vertical="center" wrapText="1"/>
    </xf>
    <xf numFmtId="0" fontId="49" fillId="24" borderId="0" xfId="38" applyFont="1" applyFill="1" applyAlignment="1" applyProtection="1">
      <alignment horizontal="left" vertical="center" wrapText="1"/>
    </xf>
    <xf numFmtId="174" fontId="53" fillId="24" borderId="0" xfId="75" applyNumberFormat="1" applyFont="1" applyFill="1" applyBorder="1" applyAlignment="1">
      <alignment horizontal="center" vertical="center" wrapText="1"/>
    </xf>
    <xf numFmtId="165" fontId="55" fillId="24" borderId="0" xfId="76" applyNumberFormat="1" applyFont="1" applyFill="1" applyBorder="1" applyAlignment="1">
      <alignment horizontal="center" vertical="center" wrapText="1"/>
    </xf>
    <xf numFmtId="165" fontId="48" fillId="24" borderId="11" xfId="74" applyNumberFormat="1" applyFont="1" applyFill="1" applyBorder="1" applyAlignment="1">
      <alignment horizontal="center" vertical="center" wrapText="1"/>
    </xf>
    <xf numFmtId="2" fontId="48" fillId="24" borderId="38" xfId="74" applyNumberFormat="1" applyFont="1" applyFill="1" applyBorder="1" applyAlignment="1">
      <alignment horizontal="center" vertical="center" wrapText="1"/>
    </xf>
    <xf numFmtId="165" fontId="48" fillId="24" borderId="12" xfId="74" applyNumberFormat="1" applyFont="1" applyFill="1" applyBorder="1" applyAlignment="1">
      <alignment horizontal="center" vertical="center" wrapText="1"/>
    </xf>
    <xf numFmtId="2" fontId="48" fillId="24" borderId="39" xfId="74" applyNumberFormat="1" applyFont="1" applyFill="1" applyBorder="1" applyAlignment="1">
      <alignment horizontal="center" vertical="center" wrapText="1"/>
    </xf>
    <xf numFmtId="0" fontId="48" fillId="24" borderId="40" xfId="74" applyFont="1" applyFill="1" applyBorder="1" applyAlignment="1">
      <alignment vertical="center" wrapText="1"/>
    </xf>
    <xf numFmtId="0" fontId="48" fillId="24" borderId="41" xfId="74" applyFont="1" applyFill="1" applyBorder="1" applyAlignment="1">
      <alignment vertical="center" wrapText="1"/>
    </xf>
    <xf numFmtId="0" fontId="48" fillId="24" borderId="42" xfId="74" applyFont="1" applyFill="1" applyBorder="1" applyAlignment="1">
      <alignment horizontal="center" vertical="center" wrapText="1"/>
    </xf>
    <xf numFmtId="165" fontId="48" fillId="24" borderId="15" xfId="74" applyNumberFormat="1" applyFont="1" applyFill="1" applyBorder="1" applyAlignment="1">
      <alignment horizontal="center" vertical="center" wrapText="1"/>
    </xf>
    <xf numFmtId="165" fontId="48" fillId="24" borderId="23" xfId="74" applyNumberFormat="1" applyFont="1" applyFill="1" applyBorder="1" applyAlignment="1">
      <alignment horizontal="center" vertical="center" wrapText="1"/>
    </xf>
    <xf numFmtId="0" fontId="48" fillId="24" borderId="37" xfId="74" applyFont="1" applyFill="1" applyBorder="1" applyAlignment="1">
      <alignment horizontal="right" vertical="center" wrapText="1"/>
    </xf>
    <xf numFmtId="0" fontId="48" fillId="24" borderId="43" xfId="74" applyFont="1" applyFill="1" applyBorder="1" applyAlignment="1">
      <alignment horizontal="right" vertical="center" wrapText="1"/>
    </xf>
    <xf numFmtId="0" fontId="48" fillId="24" borderId="44" xfId="74" applyFont="1" applyFill="1" applyBorder="1" applyAlignment="1">
      <alignment horizontal="right" vertical="center" wrapText="1"/>
    </xf>
    <xf numFmtId="0" fontId="48" fillId="24" borderId="45" xfId="74" applyFont="1" applyFill="1" applyBorder="1" applyAlignment="1">
      <alignment horizontal="right" vertical="center" wrapText="1"/>
    </xf>
    <xf numFmtId="165" fontId="48" fillId="24" borderId="27" xfId="74" applyNumberFormat="1" applyFont="1" applyFill="1" applyBorder="1" applyAlignment="1">
      <alignment horizontal="center" vertical="center" wrapText="1"/>
    </xf>
    <xf numFmtId="165" fontId="48" fillId="24" borderId="46" xfId="74" applyNumberFormat="1" applyFont="1" applyFill="1" applyBorder="1" applyAlignment="1">
      <alignment horizontal="center" vertical="center" wrapText="1"/>
    </xf>
    <xf numFmtId="2" fontId="48" fillId="24" borderId="47" xfId="74" applyNumberFormat="1" applyFont="1" applyFill="1" applyBorder="1" applyAlignment="1">
      <alignment horizontal="center" vertical="center" wrapText="1"/>
    </xf>
    <xf numFmtId="165" fontId="98" fillId="24" borderId="42" xfId="74" applyNumberFormat="1" applyFont="1" applyFill="1" applyBorder="1" applyAlignment="1">
      <alignment horizontal="center" vertical="center" wrapText="1"/>
    </xf>
    <xf numFmtId="165" fontId="98" fillId="24" borderId="40" xfId="74" applyNumberFormat="1" applyFont="1" applyFill="1" applyBorder="1" applyAlignment="1">
      <alignment horizontal="center" vertical="center" wrapText="1"/>
    </xf>
    <xf numFmtId="2" fontId="98" fillId="24" borderId="41" xfId="74" applyNumberFormat="1" applyFont="1" applyFill="1" applyBorder="1" applyAlignment="1">
      <alignment horizontal="center" vertical="center" wrapText="1"/>
    </xf>
    <xf numFmtId="0" fontId="98" fillId="24" borderId="37" xfId="74" applyFont="1" applyFill="1" applyBorder="1" applyAlignment="1">
      <alignment horizontal="right" vertical="center" wrapText="1"/>
    </xf>
    <xf numFmtId="0" fontId="45" fillId="0" borderId="11" xfId="0" applyFont="1" applyFill="1" applyBorder="1" applyAlignment="1">
      <alignment horizontal="center" vertical="center" wrapText="1"/>
    </xf>
    <xf numFmtId="165" fontId="99" fillId="24" borderId="17" xfId="75" applyNumberFormat="1" applyFont="1" applyFill="1" applyBorder="1" applyAlignment="1">
      <alignment horizontal="center" vertical="center" wrapText="1"/>
    </xf>
    <xf numFmtId="0" fontId="49" fillId="24" borderId="0" xfId="74" applyFont="1" applyFill="1" applyBorder="1" applyAlignment="1">
      <alignment horizontal="left" vertical="center" wrapText="1"/>
    </xf>
    <xf numFmtId="0" fontId="49" fillId="24" borderId="16" xfId="74" applyFont="1" applyFill="1" applyBorder="1" applyAlignment="1">
      <alignment horizontal="left" vertical="center" wrapText="1"/>
    </xf>
    <xf numFmtId="0" fontId="57" fillId="24" borderId="0" xfId="74" applyFont="1" applyFill="1" applyAlignment="1">
      <alignment horizontal="right" vertical="center" wrapText="1"/>
    </xf>
    <xf numFmtId="0" fontId="52" fillId="24" borderId="0" xfId="74" applyFont="1" applyFill="1" applyAlignment="1">
      <alignment vertical="center" wrapText="1"/>
    </xf>
    <xf numFmtId="0" fontId="49" fillId="24" borderId="0" xfId="74" applyFont="1" applyFill="1" applyAlignment="1">
      <alignment horizontal="left" vertical="center" wrapText="1"/>
    </xf>
    <xf numFmtId="0" fontId="48" fillId="24" borderId="0" xfId="74" applyFont="1" applyFill="1" applyAlignment="1">
      <alignment vertical="center" wrapText="1"/>
    </xf>
    <xf numFmtId="0" fontId="49" fillId="24" borderId="0" xfId="74" applyFont="1" applyFill="1" applyAlignment="1">
      <alignment vertical="center" wrapText="1"/>
    </xf>
    <xf numFmtId="0" fontId="50" fillId="24" borderId="0" xfId="38" applyFont="1" applyFill="1" applyAlignment="1" applyProtection="1">
      <alignment horizontal="left" vertical="center" wrapText="1"/>
    </xf>
    <xf numFmtId="0" fontId="49" fillId="24" borderId="0" xfId="38" applyFont="1" applyFill="1" applyAlignment="1" applyProtection="1">
      <alignment horizontal="left" vertical="center" wrapText="1"/>
    </xf>
    <xf numFmtId="0" fontId="49" fillId="0" borderId="0" xfId="74" applyFont="1" applyFill="1" applyBorder="1" applyAlignment="1">
      <alignment horizontal="left" vertical="center" wrapText="1"/>
    </xf>
    <xf numFmtId="165" fontId="6" fillId="25" borderId="17" xfId="0" applyNumberFormat="1" applyFont="1" applyFill="1" applyBorder="1" applyAlignment="1">
      <alignment horizontal="left" vertical="center" wrapText="1"/>
    </xf>
    <xf numFmtId="165" fontId="6" fillId="25" borderId="14" xfId="0" applyNumberFormat="1" applyFont="1" applyFill="1" applyBorder="1" applyAlignment="1">
      <alignment horizontal="left" vertical="center" wrapText="1"/>
    </xf>
    <xf numFmtId="165" fontId="6" fillId="25" borderId="23" xfId="0" applyNumberFormat="1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25" borderId="17" xfId="0" applyNumberFormat="1" applyFont="1" applyFill="1" applyBorder="1" applyAlignment="1">
      <alignment horizontal="left" vertical="center" wrapText="1"/>
    </xf>
    <xf numFmtId="0" fontId="6" fillId="25" borderId="14" xfId="0" applyNumberFormat="1" applyFont="1" applyFill="1" applyBorder="1" applyAlignment="1">
      <alignment horizontal="left" vertical="center" wrapText="1"/>
    </xf>
    <xf numFmtId="0" fontId="6" fillId="25" borderId="23" xfId="0" applyNumberFormat="1" applyFont="1" applyFill="1" applyBorder="1" applyAlignment="1">
      <alignment horizontal="left" vertical="center" wrapText="1"/>
    </xf>
    <xf numFmtId="0" fontId="47" fillId="0" borderId="0" xfId="0" applyNumberFormat="1" applyFont="1" applyFill="1" applyBorder="1" applyAlignment="1">
      <alignment horizontal="right" vertical="center" wrapText="1"/>
    </xf>
    <xf numFmtId="0" fontId="47" fillId="0" borderId="0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left" vertical="center" wrapText="1"/>
    </xf>
    <xf numFmtId="0" fontId="39" fillId="0" borderId="0" xfId="47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6" fillId="24" borderId="17" xfId="0" applyFont="1" applyFill="1" applyBorder="1" applyAlignment="1">
      <alignment horizontal="center" vertical="center" wrapText="1"/>
    </xf>
    <xf numFmtId="0" fontId="6" fillId="24" borderId="23" xfId="0" applyFont="1" applyFill="1" applyBorder="1" applyAlignment="1">
      <alignment horizontal="center" vertical="center" wrapText="1"/>
    </xf>
    <xf numFmtId="0" fontId="6" fillId="0" borderId="17" xfId="54" applyFont="1" applyBorder="1" applyAlignment="1">
      <alignment horizontal="right" vertical="center" wrapText="1"/>
    </xf>
    <xf numFmtId="0" fontId="6" fillId="0" borderId="14" xfId="54" applyFont="1" applyBorder="1" applyAlignment="1">
      <alignment horizontal="right" vertical="center" wrapText="1"/>
    </xf>
    <xf numFmtId="0" fontId="6" fillId="0" borderId="23" xfId="54" applyFont="1" applyBorder="1" applyAlignment="1">
      <alignment horizontal="right" vertical="center" wrapText="1"/>
    </xf>
    <xf numFmtId="0" fontId="37" fillId="0" borderId="17" xfId="0" applyFont="1" applyBorder="1" applyAlignment="1">
      <alignment horizontal="right" vertical="center" wrapText="1"/>
    </xf>
    <xf numFmtId="0" fontId="37" fillId="0" borderId="14" xfId="0" applyFont="1" applyBorder="1" applyAlignment="1">
      <alignment horizontal="right" vertical="center" wrapText="1"/>
    </xf>
    <xf numFmtId="0" fontId="37" fillId="0" borderId="23" xfId="0" applyFont="1" applyBorder="1" applyAlignment="1">
      <alignment horizontal="right" vertical="center" wrapText="1"/>
    </xf>
    <xf numFmtId="0" fontId="39" fillId="0" borderId="0" xfId="47" applyFont="1" applyAlignment="1">
      <alignment horizontal="left" vertical="center" wrapText="1"/>
    </xf>
    <xf numFmtId="0" fontId="40" fillId="0" borderId="0" xfId="47" applyFont="1" applyAlignment="1">
      <alignment vertical="center" wrapText="1"/>
    </xf>
    <xf numFmtId="0" fontId="41" fillId="0" borderId="0" xfId="35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6" fillId="26" borderId="17" xfId="0" applyFont="1" applyFill="1" applyBorder="1" applyAlignment="1">
      <alignment horizontal="left" vertical="center" wrapText="1"/>
    </xf>
    <xf numFmtId="0" fontId="6" fillId="26" borderId="14" xfId="0" applyFont="1" applyFill="1" applyBorder="1" applyAlignment="1">
      <alignment horizontal="left" vertical="center" wrapText="1"/>
    </xf>
    <xf numFmtId="0" fontId="6" fillId="26" borderId="23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right" vertical="center" wrapText="1"/>
    </xf>
    <xf numFmtId="165" fontId="6" fillId="25" borderId="25" xfId="0" applyNumberFormat="1" applyFont="1" applyFill="1" applyBorder="1" applyAlignment="1">
      <alignment horizontal="left" vertical="center" wrapText="1"/>
    </xf>
    <xf numFmtId="165" fontId="6" fillId="25" borderId="26" xfId="0" applyNumberFormat="1" applyFont="1" applyFill="1" applyBorder="1" applyAlignment="1">
      <alignment horizontal="left" vertical="center" wrapText="1"/>
    </xf>
    <xf numFmtId="165" fontId="6" fillId="25" borderId="27" xfId="0" applyNumberFormat="1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165" fontId="6" fillId="25" borderId="11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6" fillId="0" borderId="22" xfId="54" applyFont="1" applyBorder="1" applyAlignment="1">
      <alignment horizontal="right" vertical="center" wrapText="1"/>
    </xf>
    <xf numFmtId="0" fontId="6" fillId="26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2" xfId="0" applyFont="1" applyFill="1" applyBorder="1" applyAlignment="1">
      <alignment horizontal="right" vertical="center" wrapText="1"/>
    </xf>
    <xf numFmtId="0" fontId="41" fillId="0" borderId="19" xfId="35" applyFont="1" applyBorder="1" applyAlignment="1" applyProtection="1">
      <alignment vertical="center" wrapText="1"/>
    </xf>
    <xf numFmtId="0" fontId="40" fillId="0" borderId="0" xfId="0" applyFont="1" applyBorder="1" applyAlignment="1">
      <alignment vertical="center" wrapText="1"/>
    </xf>
    <xf numFmtId="0" fontId="39" fillId="0" borderId="19" xfId="47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165" fontId="6" fillId="25" borderId="22" xfId="0" applyNumberFormat="1" applyFont="1" applyFill="1" applyBorder="1" applyAlignment="1">
      <alignment horizontal="left" vertical="center" wrapText="1"/>
    </xf>
    <xf numFmtId="0" fontId="39" fillId="0" borderId="24" xfId="47" applyFont="1" applyBorder="1" applyAlignment="1">
      <alignment horizontal="left" vertical="center" wrapText="1"/>
    </xf>
    <xf numFmtId="0" fontId="39" fillId="0" borderId="18" xfId="47" applyFont="1" applyBorder="1" applyAlignment="1">
      <alignment horizontal="left" vertical="center" wrapText="1"/>
    </xf>
    <xf numFmtId="0" fontId="40" fillId="0" borderId="19" xfId="47" applyFont="1" applyBorder="1" applyAlignment="1">
      <alignment vertical="center" wrapText="1"/>
    </xf>
    <xf numFmtId="0" fontId="40" fillId="0" borderId="0" xfId="47" applyFont="1" applyBorder="1" applyAlignment="1">
      <alignment vertical="center" wrapText="1"/>
    </xf>
    <xf numFmtId="0" fontId="39" fillId="0" borderId="0" xfId="47" applyFont="1" applyBorder="1" applyAlignment="1">
      <alignment vertical="center" wrapText="1"/>
    </xf>
  </cellXfs>
  <cellStyles count="361">
    <cellStyle name="_20011016165618" xfId="78"/>
    <cellStyle name="_2001102174622" xfId="79"/>
    <cellStyle name="_2001102592852" xfId="80"/>
    <cellStyle name="_200110916231" xfId="81"/>
    <cellStyle name="_20011113161024" xfId="82"/>
    <cellStyle name="_20011127173734" xfId="83"/>
    <cellStyle name="_200111891043" xfId="84"/>
    <cellStyle name="_20011211154828" xfId="85"/>
    <cellStyle name="_20011218173434" xfId="86"/>
    <cellStyle name="_2001918174625" xfId="87"/>
    <cellStyle name="_3" xfId="88"/>
    <cellStyle name="_PRICE" xfId="89"/>
    <cellStyle name="_Price_дилер_2011" xfId="1"/>
    <cellStyle name="_Price0708_work" xfId="90"/>
    <cellStyle name="_Price0808_work" xfId="91"/>
    <cellStyle name="_Price2105_work" xfId="92"/>
    <cellStyle name="_Price2307_work" xfId="93"/>
    <cellStyle name="_Price2507_work" xfId="94"/>
    <cellStyle name="_Price2806_work" xfId="95"/>
    <cellStyle name="_Price2906_work" xfId="96"/>
    <cellStyle name="_Price3107" xfId="97"/>
    <cellStyle name="_PriceTriEl10.08.01" xfId="98"/>
    <cellStyle name="_Stock2414" xfId="99"/>
    <cellStyle name="_Ориентировочная смета СКС,220В,СКУД, ОС 29.07.09" xfId="2"/>
    <cellStyle name="_Склад к рассылке 01102001" xfId="100"/>
    <cellStyle name="_Смета" xfId="3"/>
    <cellStyle name="0,0_x000d__x000a_NA_x000d__x000a_" xfId="4"/>
    <cellStyle name="20% - Акцент1 2" xfId="5"/>
    <cellStyle name="20% - Акцент1 2 2" xfId="101"/>
    <cellStyle name="20% - Акцент1 2 3" xfId="102"/>
    <cellStyle name="20% - Акцент1 2 4" xfId="103"/>
    <cellStyle name="20% - Акцент1 2 5" xfId="104"/>
    <cellStyle name="20% - Акцент1 3" xfId="105"/>
    <cellStyle name="20% - Акцент1 3 2" xfId="106"/>
    <cellStyle name="20% - Акцент1 3 3" xfId="107"/>
    <cellStyle name="20% - Акцент1 3 4" xfId="108"/>
    <cellStyle name="20% - Акцент1 3 5" xfId="109"/>
    <cellStyle name="20% - Акцент2 2" xfId="6"/>
    <cellStyle name="20% - Акцент2 2 2" xfId="110"/>
    <cellStyle name="20% - Акцент2 2 3" xfId="111"/>
    <cellStyle name="20% - Акцент2 2 4" xfId="112"/>
    <cellStyle name="20% - Акцент2 2 5" xfId="113"/>
    <cellStyle name="20% - Акцент2 3" xfId="114"/>
    <cellStyle name="20% - Акцент2 3 2" xfId="115"/>
    <cellStyle name="20% - Акцент2 3 3" xfId="116"/>
    <cellStyle name="20% - Акцент2 3 4" xfId="117"/>
    <cellStyle name="20% - Акцент2 3 5" xfId="118"/>
    <cellStyle name="20% - Акцент3 2" xfId="7"/>
    <cellStyle name="20% - Акцент3 2 2" xfId="119"/>
    <cellStyle name="20% - Акцент3 2 3" xfId="120"/>
    <cellStyle name="20% - Акцент3 2 4" xfId="121"/>
    <cellStyle name="20% - Акцент3 2 5" xfId="122"/>
    <cellStyle name="20% - Акцент3 3" xfId="123"/>
    <cellStyle name="20% - Акцент3 3 2" xfId="124"/>
    <cellStyle name="20% - Акцент3 3 3" xfId="125"/>
    <cellStyle name="20% - Акцент3 3 4" xfId="126"/>
    <cellStyle name="20% - Акцент3 3 5" xfId="127"/>
    <cellStyle name="20% - Акцент4 2" xfId="8"/>
    <cellStyle name="20% - Акцент4 2 2" xfId="128"/>
    <cellStyle name="20% - Акцент4 2 3" xfId="129"/>
    <cellStyle name="20% - Акцент4 2 4" xfId="130"/>
    <cellStyle name="20% - Акцент4 2 5" xfId="131"/>
    <cellStyle name="20% - Акцент4 3" xfId="132"/>
    <cellStyle name="20% - Акцент4 3 2" xfId="133"/>
    <cellStyle name="20% - Акцент4 3 3" xfId="134"/>
    <cellStyle name="20% - Акцент4 3 4" xfId="135"/>
    <cellStyle name="20% - Акцент4 3 5" xfId="136"/>
    <cellStyle name="20% - Акцент5 2" xfId="9"/>
    <cellStyle name="20% - Акцент5 2 2" xfId="137"/>
    <cellStyle name="20% - Акцент5 2 3" xfId="138"/>
    <cellStyle name="20% - Акцент5 2 4" xfId="139"/>
    <cellStyle name="20% - Акцент5 2 5" xfId="140"/>
    <cellStyle name="20% - Акцент5 3" xfId="141"/>
    <cellStyle name="20% - Акцент5 3 2" xfId="142"/>
    <cellStyle name="20% - Акцент5 3 3" xfId="143"/>
    <cellStyle name="20% - Акцент5 3 4" xfId="144"/>
    <cellStyle name="20% - Акцент5 3 5" xfId="145"/>
    <cellStyle name="20% - Акцент6 2" xfId="10"/>
    <cellStyle name="20% - Акцент6 2 2" xfId="146"/>
    <cellStyle name="20% - Акцент6 2 3" xfId="147"/>
    <cellStyle name="20% - Акцент6 2 4" xfId="148"/>
    <cellStyle name="20% - Акцент6 2 5" xfId="149"/>
    <cellStyle name="20% - Акцент6 3" xfId="150"/>
    <cellStyle name="20% - Акцент6 3 2" xfId="151"/>
    <cellStyle name="20% - Акцент6 3 3" xfId="152"/>
    <cellStyle name="20% - Акцент6 3 4" xfId="153"/>
    <cellStyle name="20% - Акцент6 3 5" xfId="154"/>
    <cellStyle name="40% - Акцент1 2" xfId="11"/>
    <cellStyle name="40% - Акцент1 2 2" xfId="155"/>
    <cellStyle name="40% - Акцент1 2 3" xfId="156"/>
    <cellStyle name="40% - Акцент1 2 4" xfId="157"/>
    <cellStyle name="40% - Акцент1 2 5" xfId="158"/>
    <cellStyle name="40% - Акцент1 3" xfId="159"/>
    <cellStyle name="40% - Акцент1 3 2" xfId="160"/>
    <cellStyle name="40% - Акцент1 3 3" xfId="161"/>
    <cellStyle name="40% - Акцент1 3 4" xfId="162"/>
    <cellStyle name="40% - Акцент1 3 5" xfId="163"/>
    <cellStyle name="40% - Акцент2 2" xfId="12"/>
    <cellStyle name="40% - Акцент2 2 2" xfId="164"/>
    <cellStyle name="40% - Акцент2 2 3" xfId="165"/>
    <cellStyle name="40% - Акцент2 2 4" xfId="166"/>
    <cellStyle name="40% - Акцент2 2 5" xfId="167"/>
    <cellStyle name="40% - Акцент2 3" xfId="168"/>
    <cellStyle name="40% - Акцент2 3 2" xfId="169"/>
    <cellStyle name="40% - Акцент2 3 3" xfId="170"/>
    <cellStyle name="40% - Акцент2 3 4" xfId="171"/>
    <cellStyle name="40% - Акцент2 3 5" xfId="172"/>
    <cellStyle name="40% - Акцент3 2" xfId="13"/>
    <cellStyle name="40% - Акцент3 2 2" xfId="173"/>
    <cellStyle name="40% - Акцент3 2 3" xfId="174"/>
    <cellStyle name="40% - Акцент3 2 4" xfId="175"/>
    <cellStyle name="40% - Акцент3 2 5" xfId="176"/>
    <cellStyle name="40% - Акцент3 3" xfId="177"/>
    <cellStyle name="40% - Акцент3 3 2" xfId="178"/>
    <cellStyle name="40% - Акцент3 3 3" xfId="179"/>
    <cellStyle name="40% - Акцент3 3 4" xfId="180"/>
    <cellStyle name="40% - Акцент3 3 5" xfId="181"/>
    <cellStyle name="40% - Акцент4 2" xfId="14"/>
    <cellStyle name="40% - Акцент4 2 2" xfId="182"/>
    <cellStyle name="40% - Акцент4 2 3" xfId="183"/>
    <cellStyle name="40% - Акцент4 2 4" xfId="184"/>
    <cellStyle name="40% - Акцент4 2 5" xfId="185"/>
    <cellStyle name="40% - Акцент4 3" xfId="186"/>
    <cellStyle name="40% - Акцент4 3 2" xfId="187"/>
    <cellStyle name="40% - Акцент4 3 3" xfId="188"/>
    <cellStyle name="40% - Акцент4 3 4" xfId="189"/>
    <cellStyle name="40% - Акцент4 3 5" xfId="190"/>
    <cellStyle name="40% - Акцент5 2" xfId="15"/>
    <cellStyle name="40% - Акцент5 2 2" xfId="191"/>
    <cellStyle name="40% - Акцент5 2 3" xfId="192"/>
    <cellStyle name="40% - Акцент5 2 4" xfId="193"/>
    <cellStyle name="40% - Акцент5 2 5" xfId="194"/>
    <cellStyle name="40% - Акцент5 3" xfId="195"/>
    <cellStyle name="40% - Акцент5 3 2" xfId="196"/>
    <cellStyle name="40% - Акцент5 3 3" xfId="197"/>
    <cellStyle name="40% - Акцент5 3 4" xfId="198"/>
    <cellStyle name="40% - Акцент5 3 5" xfId="199"/>
    <cellStyle name="40% - Акцент6 2" xfId="16"/>
    <cellStyle name="40% - Акцент6 2 2" xfId="200"/>
    <cellStyle name="40% - Акцент6 2 3" xfId="201"/>
    <cellStyle name="40% - Акцент6 2 4" xfId="202"/>
    <cellStyle name="40% - Акцент6 2 5" xfId="203"/>
    <cellStyle name="40% - Акцент6 3" xfId="204"/>
    <cellStyle name="40% - Акцент6 3 2" xfId="205"/>
    <cellStyle name="40% - Акцент6 3 3" xfId="206"/>
    <cellStyle name="40% - Акцент6 3 4" xfId="207"/>
    <cellStyle name="40% - Акцент6 3 5" xfId="208"/>
    <cellStyle name="60% - Акцент1 2" xfId="17"/>
    <cellStyle name="60% - Акцент1 3" xfId="209"/>
    <cellStyle name="60% - Акцент2 2" xfId="18"/>
    <cellStyle name="60% - Акцент2 3" xfId="210"/>
    <cellStyle name="60% - Акцент3 2" xfId="19"/>
    <cellStyle name="60% - Акцент3 3" xfId="211"/>
    <cellStyle name="60% - Акцент4 2" xfId="20"/>
    <cellStyle name="60% - Акцент4 3" xfId="212"/>
    <cellStyle name="60% - Акцент5 2" xfId="21"/>
    <cellStyle name="60% - Акцент5 3" xfId="213"/>
    <cellStyle name="60% - Акцент6 2" xfId="22"/>
    <cellStyle name="60% - Акцент6 3" xfId="214"/>
    <cellStyle name="Calc Currency (0)" xfId="215"/>
    <cellStyle name="Calc Currency (2)" xfId="216"/>
    <cellStyle name="Calc Percent (0)" xfId="217"/>
    <cellStyle name="Calc Percent (1)" xfId="218"/>
    <cellStyle name="Calc Percent (2)" xfId="219"/>
    <cellStyle name="Calc Units (0)" xfId="220"/>
    <cellStyle name="Calc Units (1)" xfId="221"/>
    <cellStyle name="Calc Units (2)" xfId="222"/>
    <cellStyle name="Comma [00]" xfId="223"/>
    <cellStyle name="Comma0" xfId="224"/>
    <cellStyle name="Comments" xfId="225"/>
    <cellStyle name="Currency [00]" xfId="226"/>
    <cellStyle name="Currency0" xfId="227"/>
    <cellStyle name="Date Short" xfId="228"/>
    <cellStyle name="DELTA" xfId="229"/>
    <cellStyle name="DistributionType" xfId="230"/>
    <cellStyle name="Dziesietny [0]_PERSONAL" xfId="231"/>
    <cellStyle name="Dziesietny_PERSONAL" xfId="232"/>
    <cellStyle name="Enter Currency (0)" xfId="233"/>
    <cellStyle name="Enter Currency (2)" xfId="234"/>
    <cellStyle name="Enter Units (0)" xfId="235"/>
    <cellStyle name="Enter Units (1)" xfId="236"/>
    <cellStyle name="Enter Units (2)" xfId="237"/>
    <cellStyle name="Euro" xfId="23"/>
    <cellStyle name="F2" xfId="238"/>
    <cellStyle name="F3" xfId="239"/>
    <cellStyle name="F4" xfId="240"/>
    <cellStyle name="F5" xfId="241"/>
    <cellStyle name="F6" xfId="242"/>
    <cellStyle name="F7" xfId="243"/>
    <cellStyle name="F8" xfId="244"/>
    <cellStyle name="Flag" xfId="245"/>
    <cellStyle name="Grey" xfId="246"/>
    <cellStyle name="Header1" xfId="247"/>
    <cellStyle name="Header2" xfId="248"/>
    <cellStyle name="Heading 1" xfId="249"/>
    <cellStyle name="Heading1" xfId="250"/>
    <cellStyle name="Heading2" xfId="251"/>
    <cellStyle name="Heading3" xfId="252"/>
    <cellStyle name="Heading4" xfId="253"/>
    <cellStyle name="Heading5" xfId="254"/>
    <cellStyle name="Heading6" xfId="255"/>
    <cellStyle name="Headline III" xfId="256"/>
    <cellStyle name="Horizontal" xfId="257"/>
    <cellStyle name="Hyperlink" xfId="258"/>
    <cellStyle name="Iau?iue_Sheet1" xfId="259"/>
    <cellStyle name="Input [yellow]" xfId="260"/>
    <cellStyle name="Komma0" xfId="24"/>
    <cellStyle name="Link Currency (0)" xfId="261"/>
    <cellStyle name="Link Currency (2)" xfId="262"/>
    <cellStyle name="Link Units (0)" xfId="263"/>
    <cellStyle name="Link Units (1)" xfId="264"/>
    <cellStyle name="Link Units (2)" xfId="265"/>
    <cellStyle name="Matrix" xfId="266"/>
    <cellStyle name="normal" xfId="267"/>
    <cellStyle name="Normal - Style1" xfId="268"/>
    <cellStyle name="Normal_1_1" xfId="269"/>
    <cellStyle name="Normale_Foglio1" xfId="25"/>
    <cellStyle name="normбlnм_laroux" xfId="270"/>
    <cellStyle name="Oleg_Style I" xfId="271"/>
    <cellStyle name="Option" xfId="272"/>
    <cellStyle name="Percent [0]" xfId="273"/>
    <cellStyle name="Percent [00]" xfId="274"/>
    <cellStyle name="Percent [2]" xfId="275"/>
    <cellStyle name="PrePop Currency (0)" xfId="276"/>
    <cellStyle name="PrePop Currency (2)" xfId="277"/>
    <cellStyle name="PrePop Units (0)" xfId="278"/>
    <cellStyle name="PrePop Units (1)" xfId="279"/>
    <cellStyle name="PrePop Units (2)" xfId="280"/>
    <cellStyle name="Price" xfId="281"/>
    <cellStyle name="priceText" xfId="282"/>
    <cellStyle name="Product" xfId="283"/>
    <cellStyle name="ResellerType" xfId="284"/>
    <cellStyle name="Rubles" xfId="285"/>
    <cellStyle name="Text Indent A" xfId="286"/>
    <cellStyle name="Text Indent B" xfId="287"/>
    <cellStyle name="Text Indent C" xfId="288"/>
    <cellStyle name="Unit" xfId="289"/>
    <cellStyle name="Walutowy [0]_PERSONAL" xfId="290"/>
    <cellStyle name="Walutowy_PERSONAL" xfId="291"/>
    <cellStyle name="Акцент1 2" xfId="26"/>
    <cellStyle name="Акцент1 3" xfId="292"/>
    <cellStyle name="Акцент2 2" xfId="27"/>
    <cellStyle name="Акцент2 3" xfId="293"/>
    <cellStyle name="Акцент3 2" xfId="28"/>
    <cellStyle name="Акцент3 3" xfId="294"/>
    <cellStyle name="Акцент4 2" xfId="29"/>
    <cellStyle name="Акцент4 3" xfId="295"/>
    <cellStyle name="Акцент5 2" xfId="30"/>
    <cellStyle name="Акцент5 3" xfId="296"/>
    <cellStyle name="Акцент6 2" xfId="31"/>
    <cellStyle name="Акцент6 3" xfId="297"/>
    <cellStyle name="Ввод  2" xfId="32"/>
    <cellStyle name="Ввод  3" xfId="298"/>
    <cellStyle name="Вывод 2" xfId="33"/>
    <cellStyle name="Вывод 3" xfId="299"/>
    <cellStyle name="Вычисление 2" xfId="34"/>
    <cellStyle name="Вычисление 3" xfId="300"/>
    <cellStyle name="Гиперссылка" xfId="35" builtinId="8"/>
    <cellStyle name="Гиперссылка 2" xfId="36"/>
    <cellStyle name="Гиперссылка 2 2" xfId="37"/>
    <cellStyle name="Гиперссылка 3" xfId="38"/>
    <cellStyle name="Группа" xfId="301"/>
    <cellStyle name="Дата" xfId="302"/>
    <cellStyle name="Денежный 2" xfId="76"/>
    <cellStyle name="Заголовок 1 2" xfId="39"/>
    <cellStyle name="Заголовок 1 3" xfId="303"/>
    <cellStyle name="Заголовок 2 2" xfId="40"/>
    <cellStyle name="Заголовок 2 3" xfId="304"/>
    <cellStyle name="Заголовок 3 2" xfId="41"/>
    <cellStyle name="Заголовок 3 3" xfId="305"/>
    <cellStyle name="Заголовок 4 2" xfId="42"/>
    <cellStyle name="Заголовок 4 3" xfId="306"/>
    <cellStyle name="Звезды" xfId="307"/>
    <cellStyle name="Итог 2" xfId="43"/>
    <cellStyle name="Итог 3" xfId="308"/>
    <cellStyle name="Контрольная ячейка 2" xfId="44"/>
    <cellStyle name="Контрольная ячейка 3" xfId="309"/>
    <cellStyle name="Название 2" xfId="45"/>
    <cellStyle name="Название 3" xfId="310"/>
    <cellStyle name="Нейтральный 2" xfId="46"/>
    <cellStyle name="Нейтральный 3" xfId="311"/>
    <cellStyle name="Обычный" xfId="0" builtinId="0"/>
    <cellStyle name="Обычный 19" xfId="312"/>
    <cellStyle name="Обычный 19 2" xfId="313"/>
    <cellStyle name="Обычный 19 3" xfId="314"/>
    <cellStyle name="Обычный 19 4" xfId="315"/>
    <cellStyle name="Обычный 19 5" xfId="316"/>
    <cellStyle name="Обычный 2" xfId="47"/>
    <cellStyle name="Обычный 2 2" xfId="74"/>
    <cellStyle name="Обычный 25" xfId="317"/>
    <cellStyle name="Обычный 25 2" xfId="318"/>
    <cellStyle name="Обычный 25 3" xfId="319"/>
    <cellStyle name="Обычный 25 4" xfId="320"/>
    <cellStyle name="Обычный 25 5" xfId="321"/>
    <cellStyle name="Обычный 29" xfId="322"/>
    <cellStyle name="Обычный 29 2" xfId="323"/>
    <cellStyle name="Обычный 29 3" xfId="324"/>
    <cellStyle name="Обычный 29 4" xfId="325"/>
    <cellStyle name="Обычный 29 5" xfId="326"/>
    <cellStyle name="Обычный 3" xfId="48"/>
    <cellStyle name="Обычный 3 2" xfId="49"/>
    <cellStyle name="Обычный 30" xfId="327"/>
    <cellStyle name="Обычный 30 2" xfId="328"/>
    <cellStyle name="Обычный 30 3" xfId="329"/>
    <cellStyle name="Обычный 30 4" xfId="330"/>
    <cellStyle name="Обычный 30 5" xfId="331"/>
    <cellStyle name="Обычный 33" xfId="332"/>
    <cellStyle name="Обычный 33 2" xfId="333"/>
    <cellStyle name="Обычный 33 3" xfId="334"/>
    <cellStyle name="Обычный 33 4" xfId="335"/>
    <cellStyle name="Обычный 33 5" xfId="336"/>
    <cellStyle name="Обычный 39" xfId="337"/>
    <cellStyle name="Обычный 39 2" xfId="338"/>
    <cellStyle name="Обычный 39 3" xfId="339"/>
    <cellStyle name="Обычный 39 4" xfId="340"/>
    <cellStyle name="Обычный 39 5" xfId="341"/>
    <cellStyle name="Обычный 4" xfId="50"/>
    <cellStyle name="Обычный 5" xfId="51"/>
    <cellStyle name="Обычный 6" xfId="52"/>
    <cellStyle name="Обычный 6 2" xfId="342"/>
    <cellStyle name="Обычный 6 3" xfId="343"/>
    <cellStyle name="Обычный 6 4" xfId="344"/>
    <cellStyle name="Обычный 6 5" xfId="345"/>
    <cellStyle name="Обычный 6 6" xfId="346"/>
    <cellStyle name="Обычный 7" xfId="53"/>
    <cellStyle name="Обычный 8" xfId="75"/>
    <cellStyle name="Обычный 9 13" xfId="347"/>
    <cellStyle name="Обычный_Сметы матвеева" xfId="54"/>
    <cellStyle name="Обычный_Сметы матвеева 2" xfId="77"/>
    <cellStyle name="Плохой 2" xfId="55"/>
    <cellStyle name="Плохой 3" xfId="348"/>
    <cellStyle name="ПодПодраздел" xfId="349"/>
    <cellStyle name="Подраздел" xfId="350"/>
    <cellStyle name="Пояснение 2" xfId="56"/>
    <cellStyle name="Пояснение 3" xfId="351"/>
    <cellStyle name="Примечание 2" xfId="57"/>
    <cellStyle name="Примечание 3" xfId="352"/>
    <cellStyle name="Раздел" xfId="353"/>
    <cellStyle name="Связанная ячейка 2" xfId="58"/>
    <cellStyle name="Связанная ячейка 3" xfId="354"/>
    <cellStyle name="Стиль 1" xfId="59"/>
    <cellStyle name="Стиль 1 2" xfId="355"/>
    <cellStyle name="Строка нечётная" xfId="356"/>
    <cellStyle name="Строка чётная" xfId="357"/>
    <cellStyle name="Текст предупреждения 2" xfId="60"/>
    <cellStyle name="Текст предупреждения 3" xfId="358"/>
    <cellStyle name="Тысячи [0]_1Cпецтехника" xfId="61"/>
    <cellStyle name="Тысячи_1Cпецтехника" xfId="62"/>
    <cellStyle name="Финансовый" xfId="63" builtinId="3"/>
    <cellStyle name="Финансовый [0] 2" xfId="64"/>
    <cellStyle name="Финансовый 2" xfId="65"/>
    <cellStyle name="Финансовый 2 2" xfId="66"/>
    <cellStyle name="Финансовый 3" xfId="67"/>
    <cellStyle name="Финансовый 4" xfId="68"/>
    <cellStyle name="Финансовый 5" xfId="69"/>
    <cellStyle name="Финансовый 6" xfId="70"/>
    <cellStyle name="Финансовый 7" xfId="71"/>
    <cellStyle name="Хороший 2" xfId="72"/>
    <cellStyle name="Хороший 3" xfId="359"/>
    <cellStyle name="Цена" xfId="360"/>
    <cellStyle name="常规_PRODUCTIONS" xfId="7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"/>
  <sheetViews>
    <sheetView tabSelected="1" view="pageBreakPreview" zoomScale="85" zoomScaleNormal="70" zoomScaleSheetLayoutView="85" workbookViewId="0">
      <selection activeCell="F8" sqref="F8"/>
    </sheetView>
  </sheetViews>
  <sheetFormatPr defaultRowHeight="18.75"/>
  <cols>
    <col min="1" max="1" width="5.7109375" style="198" bestFit="1" customWidth="1"/>
    <col min="2" max="2" width="82.7109375" style="198" customWidth="1"/>
    <col min="3" max="3" width="26.7109375" style="198" customWidth="1"/>
    <col min="4" max="4" width="22" style="198" customWidth="1"/>
    <col min="5" max="5" width="22.5703125" style="199" bestFit="1" customWidth="1"/>
    <col min="6" max="6" width="22.5703125" style="199" customWidth="1"/>
    <col min="7" max="7" width="16.7109375" style="183" customWidth="1"/>
    <col min="8" max="8" width="21.140625" style="183" customWidth="1"/>
    <col min="9" max="9" width="20" style="183" customWidth="1"/>
    <col min="10" max="10" width="22.28515625" style="183" customWidth="1"/>
    <col min="11" max="256" width="9.140625" style="183"/>
    <col min="257" max="257" width="5.7109375" style="183" bestFit="1" customWidth="1"/>
    <col min="258" max="258" width="82.7109375" style="183" customWidth="1"/>
    <col min="259" max="259" width="26.7109375" style="183" customWidth="1"/>
    <col min="260" max="260" width="22" style="183" customWidth="1"/>
    <col min="261" max="261" width="22.5703125" style="183" bestFit="1" customWidth="1"/>
    <col min="262" max="262" width="46.140625" style="183" customWidth="1"/>
    <col min="263" max="263" width="16.7109375" style="183" customWidth="1"/>
    <col min="264" max="264" width="21.140625" style="183" customWidth="1"/>
    <col min="265" max="512" width="9.140625" style="183"/>
    <col min="513" max="513" width="5.7109375" style="183" bestFit="1" customWidth="1"/>
    <col min="514" max="514" width="82.7109375" style="183" customWidth="1"/>
    <col min="515" max="515" width="26.7109375" style="183" customWidth="1"/>
    <col min="516" max="516" width="22" style="183" customWidth="1"/>
    <col min="517" max="517" width="22.5703125" style="183" bestFit="1" customWidth="1"/>
    <col min="518" max="518" width="46.140625" style="183" customWidth="1"/>
    <col min="519" max="519" width="16.7109375" style="183" customWidth="1"/>
    <col min="520" max="520" width="21.140625" style="183" customWidth="1"/>
    <col min="521" max="768" width="9.140625" style="183"/>
    <col min="769" max="769" width="5.7109375" style="183" bestFit="1" customWidth="1"/>
    <col min="770" max="770" width="82.7109375" style="183" customWidth="1"/>
    <col min="771" max="771" width="26.7109375" style="183" customWidth="1"/>
    <col min="772" max="772" width="22" style="183" customWidth="1"/>
    <col min="773" max="773" width="22.5703125" style="183" bestFit="1" customWidth="1"/>
    <col min="774" max="774" width="46.140625" style="183" customWidth="1"/>
    <col min="775" max="775" width="16.7109375" style="183" customWidth="1"/>
    <col min="776" max="776" width="21.140625" style="183" customWidth="1"/>
    <col min="777" max="1024" width="9.140625" style="183"/>
    <col min="1025" max="1025" width="5.7109375" style="183" bestFit="1" customWidth="1"/>
    <col min="1026" max="1026" width="82.7109375" style="183" customWidth="1"/>
    <col min="1027" max="1027" width="26.7109375" style="183" customWidth="1"/>
    <col min="1028" max="1028" width="22" style="183" customWidth="1"/>
    <col min="1029" max="1029" width="22.5703125" style="183" bestFit="1" customWidth="1"/>
    <col min="1030" max="1030" width="46.140625" style="183" customWidth="1"/>
    <col min="1031" max="1031" width="16.7109375" style="183" customWidth="1"/>
    <col min="1032" max="1032" width="21.140625" style="183" customWidth="1"/>
    <col min="1033" max="1280" width="9.140625" style="183"/>
    <col min="1281" max="1281" width="5.7109375" style="183" bestFit="1" customWidth="1"/>
    <col min="1282" max="1282" width="82.7109375" style="183" customWidth="1"/>
    <col min="1283" max="1283" width="26.7109375" style="183" customWidth="1"/>
    <col min="1284" max="1284" width="22" style="183" customWidth="1"/>
    <col min="1285" max="1285" width="22.5703125" style="183" bestFit="1" customWidth="1"/>
    <col min="1286" max="1286" width="46.140625" style="183" customWidth="1"/>
    <col min="1287" max="1287" width="16.7109375" style="183" customWidth="1"/>
    <col min="1288" max="1288" width="21.140625" style="183" customWidth="1"/>
    <col min="1289" max="1536" width="9.140625" style="183"/>
    <col min="1537" max="1537" width="5.7109375" style="183" bestFit="1" customWidth="1"/>
    <col min="1538" max="1538" width="82.7109375" style="183" customWidth="1"/>
    <col min="1539" max="1539" width="26.7109375" style="183" customWidth="1"/>
    <col min="1540" max="1540" width="22" style="183" customWidth="1"/>
    <col min="1541" max="1541" width="22.5703125" style="183" bestFit="1" customWidth="1"/>
    <col min="1542" max="1542" width="46.140625" style="183" customWidth="1"/>
    <col min="1543" max="1543" width="16.7109375" style="183" customWidth="1"/>
    <col min="1544" max="1544" width="21.140625" style="183" customWidth="1"/>
    <col min="1545" max="1792" width="9.140625" style="183"/>
    <col min="1793" max="1793" width="5.7109375" style="183" bestFit="1" customWidth="1"/>
    <col min="1794" max="1794" width="82.7109375" style="183" customWidth="1"/>
    <col min="1795" max="1795" width="26.7109375" style="183" customWidth="1"/>
    <col min="1796" max="1796" width="22" style="183" customWidth="1"/>
    <col min="1797" max="1797" width="22.5703125" style="183" bestFit="1" customWidth="1"/>
    <col min="1798" max="1798" width="46.140625" style="183" customWidth="1"/>
    <col min="1799" max="1799" width="16.7109375" style="183" customWidth="1"/>
    <col min="1800" max="1800" width="21.140625" style="183" customWidth="1"/>
    <col min="1801" max="2048" width="9.140625" style="183"/>
    <col min="2049" max="2049" width="5.7109375" style="183" bestFit="1" customWidth="1"/>
    <col min="2050" max="2050" width="82.7109375" style="183" customWidth="1"/>
    <col min="2051" max="2051" width="26.7109375" style="183" customWidth="1"/>
    <col min="2052" max="2052" width="22" style="183" customWidth="1"/>
    <col min="2053" max="2053" width="22.5703125" style="183" bestFit="1" customWidth="1"/>
    <col min="2054" max="2054" width="46.140625" style="183" customWidth="1"/>
    <col min="2055" max="2055" width="16.7109375" style="183" customWidth="1"/>
    <col min="2056" max="2056" width="21.140625" style="183" customWidth="1"/>
    <col min="2057" max="2304" width="9.140625" style="183"/>
    <col min="2305" max="2305" width="5.7109375" style="183" bestFit="1" customWidth="1"/>
    <col min="2306" max="2306" width="82.7109375" style="183" customWidth="1"/>
    <col min="2307" max="2307" width="26.7109375" style="183" customWidth="1"/>
    <col min="2308" max="2308" width="22" style="183" customWidth="1"/>
    <col min="2309" max="2309" width="22.5703125" style="183" bestFit="1" customWidth="1"/>
    <col min="2310" max="2310" width="46.140625" style="183" customWidth="1"/>
    <col min="2311" max="2311" width="16.7109375" style="183" customWidth="1"/>
    <col min="2312" max="2312" width="21.140625" style="183" customWidth="1"/>
    <col min="2313" max="2560" width="9.140625" style="183"/>
    <col min="2561" max="2561" width="5.7109375" style="183" bestFit="1" customWidth="1"/>
    <col min="2562" max="2562" width="82.7109375" style="183" customWidth="1"/>
    <col min="2563" max="2563" width="26.7109375" style="183" customWidth="1"/>
    <col min="2564" max="2564" width="22" style="183" customWidth="1"/>
    <col min="2565" max="2565" width="22.5703125" style="183" bestFit="1" customWidth="1"/>
    <col min="2566" max="2566" width="46.140625" style="183" customWidth="1"/>
    <col min="2567" max="2567" width="16.7109375" style="183" customWidth="1"/>
    <col min="2568" max="2568" width="21.140625" style="183" customWidth="1"/>
    <col min="2569" max="2816" width="9.140625" style="183"/>
    <col min="2817" max="2817" width="5.7109375" style="183" bestFit="1" customWidth="1"/>
    <col min="2818" max="2818" width="82.7109375" style="183" customWidth="1"/>
    <col min="2819" max="2819" width="26.7109375" style="183" customWidth="1"/>
    <col min="2820" max="2820" width="22" style="183" customWidth="1"/>
    <col min="2821" max="2821" width="22.5703125" style="183" bestFit="1" customWidth="1"/>
    <col min="2822" max="2822" width="46.140625" style="183" customWidth="1"/>
    <col min="2823" max="2823" width="16.7109375" style="183" customWidth="1"/>
    <col min="2824" max="2824" width="21.140625" style="183" customWidth="1"/>
    <col min="2825" max="3072" width="9.140625" style="183"/>
    <col min="3073" max="3073" width="5.7109375" style="183" bestFit="1" customWidth="1"/>
    <col min="3074" max="3074" width="82.7109375" style="183" customWidth="1"/>
    <col min="3075" max="3075" width="26.7109375" style="183" customWidth="1"/>
    <col min="3076" max="3076" width="22" style="183" customWidth="1"/>
    <col min="3077" max="3077" width="22.5703125" style="183" bestFit="1" customWidth="1"/>
    <col min="3078" max="3078" width="46.140625" style="183" customWidth="1"/>
    <col min="3079" max="3079" width="16.7109375" style="183" customWidth="1"/>
    <col min="3080" max="3080" width="21.140625" style="183" customWidth="1"/>
    <col min="3081" max="3328" width="9.140625" style="183"/>
    <col min="3329" max="3329" width="5.7109375" style="183" bestFit="1" customWidth="1"/>
    <col min="3330" max="3330" width="82.7109375" style="183" customWidth="1"/>
    <col min="3331" max="3331" width="26.7109375" style="183" customWidth="1"/>
    <col min="3332" max="3332" width="22" style="183" customWidth="1"/>
    <col min="3333" max="3333" width="22.5703125" style="183" bestFit="1" customWidth="1"/>
    <col min="3334" max="3334" width="46.140625" style="183" customWidth="1"/>
    <col min="3335" max="3335" width="16.7109375" style="183" customWidth="1"/>
    <col min="3336" max="3336" width="21.140625" style="183" customWidth="1"/>
    <col min="3337" max="3584" width="9.140625" style="183"/>
    <col min="3585" max="3585" width="5.7109375" style="183" bestFit="1" customWidth="1"/>
    <col min="3586" max="3586" width="82.7109375" style="183" customWidth="1"/>
    <col min="3587" max="3587" width="26.7109375" style="183" customWidth="1"/>
    <col min="3588" max="3588" width="22" style="183" customWidth="1"/>
    <col min="3589" max="3589" width="22.5703125" style="183" bestFit="1" customWidth="1"/>
    <col min="3590" max="3590" width="46.140625" style="183" customWidth="1"/>
    <col min="3591" max="3591" width="16.7109375" style="183" customWidth="1"/>
    <col min="3592" max="3592" width="21.140625" style="183" customWidth="1"/>
    <col min="3593" max="3840" width="9.140625" style="183"/>
    <col min="3841" max="3841" width="5.7109375" style="183" bestFit="1" customWidth="1"/>
    <col min="3842" max="3842" width="82.7109375" style="183" customWidth="1"/>
    <col min="3843" max="3843" width="26.7109375" style="183" customWidth="1"/>
    <col min="3844" max="3844" width="22" style="183" customWidth="1"/>
    <col min="3845" max="3845" width="22.5703125" style="183" bestFit="1" customWidth="1"/>
    <col min="3846" max="3846" width="46.140625" style="183" customWidth="1"/>
    <col min="3847" max="3847" width="16.7109375" style="183" customWidth="1"/>
    <col min="3848" max="3848" width="21.140625" style="183" customWidth="1"/>
    <col min="3849" max="4096" width="9.140625" style="183"/>
    <col min="4097" max="4097" width="5.7109375" style="183" bestFit="1" customWidth="1"/>
    <col min="4098" max="4098" width="82.7109375" style="183" customWidth="1"/>
    <col min="4099" max="4099" width="26.7109375" style="183" customWidth="1"/>
    <col min="4100" max="4100" width="22" style="183" customWidth="1"/>
    <col min="4101" max="4101" width="22.5703125" style="183" bestFit="1" customWidth="1"/>
    <col min="4102" max="4102" width="46.140625" style="183" customWidth="1"/>
    <col min="4103" max="4103" width="16.7109375" style="183" customWidth="1"/>
    <col min="4104" max="4104" width="21.140625" style="183" customWidth="1"/>
    <col min="4105" max="4352" width="9.140625" style="183"/>
    <col min="4353" max="4353" width="5.7109375" style="183" bestFit="1" customWidth="1"/>
    <col min="4354" max="4354" width="82.7109375" style="183" customWidth="1"/>
    <col min="4355" max="4355" width="26.7109375" style="183" customWidth="1"/>
    <col min="4356" max="4356" width="22" style="183" customWidth="1"/>
    <col min="4357" max="4357" width="22.5703125" style="183" bestFit="1" customWidth="1"/>
    <col min="4358" max="4358" width="46.140625" style="183" customWidth="1"/>
    <col min="4359" max="4359" width="16.7109375" style="183" customWidth="1"/>
    <col min="4360" max="4360" width="21.140625" style="183" customWidth="1"/>
    <col min="4361" max="4608" width="9.140625" style="183"/>
    <col min="4609" max="4609" width="5.7109375" style="183" bestFit="1" customWidth="1"/>
    <col min="4610" max="4610" width="82.7109375" style="183" customWidth="1"/>
    <col min="4611" max="4611" width="26.7109375" style="183" customWidth="1"/>
    <col min="4612" max="4612" width="22" style="183" customWidth="1"/>
    <col min="4613" max="4613" width="22.5703125" style="183" bestFit="1" customWidth="1"/>
    <col min="4614" max="4614" width="46.140625" style="183" customWidth="1"/>
    <col min="4615" max="4615" width="16.7109375" style="183" customWidth="1"/>
    <col min="4616" max="4616" width="21.140625" style="183" customWidth="1"/>
    <col min="4617" max="4864" width="9.140625" style="183"/>
    <col min="4865" max="4865" width="5.7109375" style="183" bestFit="1" customWidth="1"/>
    <col min="4866" max="4866" width="82.7109375" style="183" customWidth="1"/>
    <col min="4867" max="4867" width="26.7109375" style="183" customWidth="1"/>
    <col min="4868" max="4868" width="22" style="183" customWidth="1"/>
    <col min="4869" max="4869" width="22.5703125" style="183" bestFit="1" customWidth="1"/>
    <col min="4870" max="4870" width="46.140625" style="183" customWidth="1"/>
    <col min="4871" max="4871" width="16.7109375" style="183" customWidth="1"/>
    <col min="4872" max="4872" width="21.140625" style="183" customWidth="1"/>
    <col min="4873" max="5120" width="9.140625" style="183"/>
    <col min="5121" max="5121" width="5.7109375" style="183" bestFit="1" customWidth="1"/>
    <col min="5122" max="5122" width="82.7109375" style="183" customWidth="1"/>
    <col min="5123" max="5123" width="26.7109375" style="183" customWidth="1"/>
    <col min="5124" max="5124" width="22" style="183" customWidth="1"/>
    <col min="5125" max="5125" width="22.5703125" style="183" bestFit="1" customWidth="1"/>
    <col min="5126" max="5126" width="46.140625" style="183" customWidth="1"/>
    <col min="5127" max="5127" width="16.7109375" style="183" customWidth="1"/>
    <col min="5128" max="5128" width="21.140625" style="183" customWidth="1"/>
    <col min="5129" max="5376" width="9.140625" style="183"/>
    <col min="5377" max="5377" width="5.7109375" style="183" bestFit="1" customWidth="1"/>
    <col min="5378" max="5378" width="82.7109375" style="183" customWidth="1"/>
    <col min="5379" max="5379" width="26.7109375" style="183" customWidth="1"/>
    <col min="5380" max="5380" width="22" style="183" customWidth="1"/>
    <col min="5381" max="5381" width="22.5703125" style="183" bestFit="1" customWidth="1"/>
    <col min="5382" max="5382" width="46.140625" style="183" customWidth="1"/>
    <col min="5383" max="5383" width="16.7109375" style="183" customWidth="1"/>
    <col min="5384" max="5384" width="21.140625" style="183" customWidth="1"/>
    <col min="5385" max="5632" width="9.140625" style="183"/>
    <col min="5633" max="5633" width="5.7109375" style="183" bestFit="1" customWidth="1"/>
    <col min="5634" max="5634" width="82.7109375" style="183" customWidth="1"/>
    <col min="5635" max="5635" width="26.7109375" style="183" customWidth="1"/>
    <col min="5636" max="5636" width="22" style="183" customWidth="1"/>
    <col min="5637" max="5637" width="22.5703125" style="183" bestFit="1" customWidth="1"/>
    <col min="5638" max="5638" width="46.140625" style="183" customWidth="1"/>
    <col min="5639" max="5639" width="16.7109375" style="183" customWidth="1"/>
    <col min="5640" max="5640" width="21.140625" style="183" customWidth="1"/>
    <col min="5641" max="5888" width="9.140625" style="183"/>
    <col min="5889" max="5889" width="5.7109375" style="183" bestFit="1" customWidth="1"/>
    <col min="5890" max="5890" width="82.7109375" style="183" customWidth="1"/>
    <col min="5891" max="5891" width="26.7109375" style="183" customWidth="1"/>
    <col min="5892" max="5892" width="22" style="183" customWidth="1"/>
    <col min="5893" max="5893" width="22.5703125" style="183" bestFit="1" customWidth="1"/>
    <col min="5894" max="5894" width="46.140625" style="183" customWidth="1"/>
    <col min="5895" max="5895" width="16.7109375" style="183" customWidth="1"/>
    <col min="5896" max="5896" width="21.140625" style="183" customWidth="1"/>
    <col min="5897" max="6144" width="9.140625" style="183"/>
    <col min="6145" max="6145" width="5.7109375" style="183" bestFit="1" customWidth="1"/>
    <col min="6146" max="6146" width="82.7109375" style="183" customWidth="1"/>
    <col min="6147" max="6147" width="26.7109375" style="183" customWidth="1"/>
    <col min="6148" max="6148" width="22" style="183" customWidth="1"/>
    <col min="6149" max="6149" width="22.5703125" style="183" bestFit="1" customWidth="1"/>
    <col min="6150" max="6150" width="46.140625" style="183" customWidth="1"/>
    <col min="6151" max="6151" width="16.7109375" style="183" customWidth="1"/>
    <col min="6152" max="6152" width="21.140625" style="183" customWidth="1"/>
    <col min="6153" max="6400" width="9.140625" style="183"/>
    <col min="6401" max="6401" width="5.7109375" style="183" bestFit="1" customWidth="1"/>
    <col min="6402" max="6402" width="82.7109375" style="183" customWidth="1"/>
    <col min="6403" max="6403" width="26.7109375" style="183" customWidth="1"/>
    <col min="6404" max="6404" width="22" style="183" customWidth="1"/>
    <col min="6405" max="6405" width="22.5703125" style="183" bestFit="1" customWidth="1"/>
    <col min="6406" max="6406" width="46.140625" style="183" customWidth="1"/>
    <col min="6407" max="6407" width="16.7109375" style="183" customWidth="1"/>
    <col min="6408" max="6408" width="21.140625" style="183" customWidth="1"/>
    <col min="6409" max="6656" width="9.140625" style="183"/>
    <col min="6657" max="6657" width="5.7109375" style="183" bestFit="1" customWidth="1"/>
    <col min="6658" max="6658" width="82.7109375" style="183" customWidth="1"/>
    <col min="6659" max="6659" width="26.7109375" style="183" customWidth="1"/>
    <col min="6660" max="6660" width="22" style="183" customWidth="1"/>
    <col min="6661" max="6661" width="22.5703125" style="183" bestFit="1" customWidth="1"/>
    <col min="6662" max="6662" width="46.140625" style="183" customWidth="1"/>
    <col min="6663" max="6663" width="16.7109375" style="183" customWidth="1"/>
    <col min="6664" max="6664" width="21.140625" style="183" customWidth="1"/>
    <col min="6665" max="6912" width="9.140625" style="183"/>
    <col min="6913" max="6913" width="5.7109375" style="183" bestFit="1" customWidth="1"/>
    <col min="6914" max="6914" width="82.7109375" style="183" customWidth="1"/>
    <col min="6915" max="6915" width="26.7109375" style="183" customWidth="1"/>
    <col min="6916" max="6916" width="22" style="183" customWidth="1"/>
    <col min="6917" max="6917" width="22.5703125" style="183" bestFit="1" customWidth="1"/>
    <col min="6918" max="6918" width="46.140625" style="183" customWidth="1"/>
    <col min="6919" max="6919" width="16.7109375" style="183" customWidth="1"/>
    <col min="6920" max="6920" width="21.140625" style="183" customWidth="1"/>
    <col min="6921" max="7168" width="9.140625" style="183"/>
    <col min="7169" max="7169" width="5.7109375" style="183" bestFit="1" customWidth="1"/>
    <col min="7170" max="7170" width="82.7109375" style="183" customWidth="1"/>
    <col min="7171" max="7171" width="26.7109375" style="183" customWidth="1"/>
    <col min="7172" max="7172" width="22" style="183" customWidth="1"/>
    <col min="7173" max="7173" width="22.5703125" style="183" bestFit="1" customWidth="1"/>
    <col min="7174" max="7174" width="46.140625" style="183" customWidth="1"/>
    <col min="7175" max="7175" width="16.7109375" style="183" customWidth="1"/>
    <col min="7176" max="7176" width="21.140625" style="183" customWidth="1"/>
    <col min="7177" max="7424" width="9.140625" style="183"/>
    <col min="7425" max="7425" width="5.7109375" style="183" bestFit="1" customWidth="1"/>
    <col min="7426" max="7426" width="82.7109375" style="183" customWidth="1"/>
    <col min="7427" max="7427" width="26.7109375" style="183" customWidth="1"/>
    <col min="7428" max="7428" width="22" style="183" customWidth="1"/>
    <col min="7429" max="7429" width="22.5703125" style="183" bestFit="1" customWidth="1"/>
    <col min="7430" max="7430" width="46.140625" style="183" customWidth="1"/>
    <col min="7431" max="7431" width="16.7109375" style="183" customWidth="1"/>
    <col min="7432" max="7432" width="21.140625" style="183" customWidth="1"/>
    <col min="7433" max="7680" width="9.140625" style="183"/>
    <col min="7681" max="7681" width="5.7109375" style="183" bestFit="1" customWidth="1"/>
    <col min="7682" max="7682" width="82.7109375" style="183" customWidth="1"/>
    <col min="7683" max="7683" width="26.7109375" style="183" customWidth="1"/>
    <col min="7684" max="7684" width="22" style="183" customWidth="1"/>
    <col min="7685" max="7685" width="22.5703125" style="183" bestFit="1" customWidth="1"/>
    <col min="7686" max="7686" width="46.140625" style="183" customWidth="1"/>
    <col min="7687" max="7687" width="16.7109375" style="183" customWidth="1"/>
    <col min="7688" max="7688" width="21.140625" style="183" customWidth="1"/>
    <col min="7689" max="7936" width="9.140625" style="183"/>
    <col min="7937" max="7937" width="5.7109375" style="183" bestFit="1" customWidth="1"/>
    <col min="7938" max="7938" width="82.7109375" style="183" customWidth="1"/>
    <col min="7939" max="7939" width="26.7109375" style="183" customWidth="1"/>
    <col min="7940" max="7940" width="22" style="183" customWidth="1"/>
    <col min="7941" max="7941" width="22.5703125" style="183" bestFit="1" customWidth="1"/>
    <col min="7942" max="7942" width="46.140625" style="183" customWidth="1"/>
    <col min="7943" max="7943" width="16.7109375" style="183" customWidth="1"/>
    <col min="7944" max="7944" width="21.140625" style="183" customWidth="1"/>
    <col min="7945" max="8192" width="9.140625" style="183"/>
    <col min="8193" max="8193" width="5.7109375" style="183" bestFit="1" customWidth="1"/>
    <col min="8194" max="8194" width="82.7109375" style="183" customWidth="1"/>
    <col min="8195" max="8195" width="26.7109375" style="183" customWidth="1"/>
    <col min="8196" max="8196" width="22" style="183" customWidth="1"/>
    <col min="8197" max="8197" width="22.5703125" style="183" bestFit="1" customWidth="1"/>
    <col min="8198" max="8198" width="46.140625" style="183" customWidth="1"/>
    <col min="8199" max="8199" width="16.7109375" style="183" customWidth="1"/>
    <col min="8200" max="8200" width="21.140625" style="183" customWidth="1"/>
    <col min="8201" max="8448" width="9.140625" style="183"/>
    <col min="8449" max="8449" width="5.7109375" style="183" bestFit="1" customWidth="1"/>
    <col min="8450" max="8450" width="82.7109375" style="183" customWidth="1"/>
    <col min="8451" max="8451" width="26.7109375" style="183" customWidth="1"/>
    <col min="8452" max="8452" width="22" style="183" customWidth="1"/>
    <col min="8453" max="8453" width="22.5703125" style="183" bestFit="1" customWidth="1"/>
    <col min="8454" max="8454" width="46.140625" style="183" customWidth="1"/>
    <col min="8455" max="8455" width="16.7109375" style="183" customWidth="1"/>
    <col min="8456" max="8456" width="21.140625" style="183" customWidth="1"/>
    <col min="8457" max="8704" width="9.140625" style="183"/>
    <col min="8705" max="8705" width="5.7109375" style="183" bestFit="1" customWidth="1"/>
    <col min="8706" max="8706" width="82.7109375" style="183" customWidth="1"/>
    <col min="8707" max="8707" width="26.7109375" style="183" customWidth="1"/>
    <col min="8708" max="8708" width="22" style="183" customWidth="1"/>
    <col min="8709" max="8709" width="22.5703125" style="183" bestFit="1" customWidth="1"/>
    <col min="8710" max="8710" width="46.140625" style="183" customWidth="1"/>
    <col min="8711" max="8711" width="16.7109375" style="183" customWidth="1"/>
    <col min="8712" max="8712" width="21.140625" style="183" customWidth="1"/>
    <col min="8713" max="8960" width="9.140625" style="183"/>
    <col min="8961" max="8961" width="5.7109375" style="183" bestFit="1" customWidth="1"/>
    <col min="8962" max="8962" width="82.7109375" style="183" customWidth="1"/>
    <col min="8963" max="8963" width="26.7109375" style="183" customWidth="1"/>
    <col min="8964" max="8964" width="22" style="183" customWidth="1"/>
    <col min="8965" max="8965" width="22.5703125" style="183" bestFit="1" customWidth="1"/>
    <col min="8966" max="8966" width="46.140625" style="183" customWidth="1"/>
    <col min="8967" max="8967" width="16.7109375" style="183" customWidth="1"/>
    <col min="8968" max="8968" width="21.140625" style="183" customWidth="1"/>
    <col min="8969" max="9216" width="9.140625" style="183"/>
    <col min="9217" max="9217" width="5.7109375" style="183" bestFit="1" customWidth="1"/>
    <col min="9218" max="9218" width="82.7109375" style="183" customWidth="1"/>
    <col min="9219" max="9219" width="26.7109375" style="183" customWidth="1"/>
    <col min="9220" max="9220" width="22" style="183" customWidth="1"/>
    <col min="9221" max="9221" width="22.5703125" style="183" bestFit="1" customWidth="1"/>
    <col min="9222" max="9222" width="46.140625" style="183" customWidth="1"/>
    <col min="9223" max="9223" width="16.7109375" style="183" customWidth="1"/>
    <col min="9224" max="9224" width="21.140625" style="183" customWidth="1"/>
    <col min="9225" max="9472" width="9.140625" style="183"/>
    <col min="9473" max="9473" width="5.7109375" style="183" bestFit="1" customWidth="1"/>
    <col min="9474" max="9474" width="82.7109375" style="183" customWidth="1"/>
    <col min="9475" max="9475" width="26.7109375" style="183" customWidth="1"/>
    <col min="9476" max="9476" width="22" style="183" customWidth="1"/>
    <col min="9477" max="9477" width="22.5703125" style="183" bestFit="1" customWidth="1"/>
    <col min="9478" max="9478" width="46.140625" style="183" customWidth="1"/>
    <col min="9479" max="9479" width="16.7109375" style="183" customWidth="1"/>
    <col min="9480" max="9480" width="21.140625" style="183" customWidth="1"/>
    <col min="9481" max="9728" width="9.140625" style="183"/>
    <col min="9729" max="9729" width="5.7109375" style="183" bestFit="1" customWidth="1"/>
    <col min="9730" max="9730" width="82.7109375" style="183" customWidth="1"/>
    <col min="9731" max="9731" width="26.7109375" style="183" customWidth="1"/>
    <col min="9732" max="9732" width="22" style="183" customWidth="1"/>
    <col min="9733" max="9733" width="22.5703125" style="183" bestFit="1" customWidth="1"/>
    <col min="9734" max="9734" width="46.140625" style="183" customWidth="1"/>
    <col min="9735" max="9735" width="16.7109375" style="183" customWidth="1"/>
    <col min="9736" max="9736" width="21.140625" style="183" customWidth="1"/>
    <col min="9737" max="9984" width="9.140625" style="183"/>
    <col min="9985" max="9985" width="5.7109375" style="183" bestFit="1" customWidth="1"/>
    <col min="9986" max="9986" width="82.7109375" style="183" customWidth="1"/>
    <col min="9987" max="9987" width="26.7109375" style="183" customWidth="1"/>
    <col min="9988" max="9988" width="22" style="183" customWidth="1"/>
    <col min="9989" max="9989" width="22.5703125" style="183" bestFit="1" customWidth="1"/>
    <col min="9990" max="9990" width="46.140625" style="183" customWidth="1"/>
    <col min="9991" max="9991" width="16.7109375" style="183" customWidth="1"/>
    <col min="9992" max="9992" width="21.140625" style="183" customWidth="1"/>
    <col min="9993" max="10240" width="9.140625" style="183"/>
    <col min="10241" max="10241" width="5.7109375" style="183" bestFit="1" customWidth="1"/>
    <col min="10242" max="10242" width="82.7109375" style="183" customWidth="1"/>
    <col min="10243" max="10243" width="26.7109375" style="183" customWidth="1"/>
    <col min="10244" max="10244" width="22" style="183" customWidth="1"/>
    <col min="10245" max="10245" width="22.5703125" style="183" bestFit="1" customWidth="1"/>
    <col min="10246" max="10246" width="46.140625" style="183" customWidth="1"/>
    <col min="10247" max="10247" width="16.7109375" style="183" customWidth="1"/>
    <col min="10248" max="10248" width="21.140625" style="183" customWidth="1"/>
    <col min="10249" max="10496" width="9.140625" style="183"/>
    <col min="10497" max="10497" width="5.7109375" style="183" bestFit="1" customWidth="1"/>
    <col min="10498" max="10498" width="82.7109375" style="183" customWidth="1"/>
    <col min="10499" max="10499" width="26.7109375" style="183" customWidth="1"/>
    <col min="10500" max="10500" width="22" style="183" customWidth="1"/>
    <col min="10501" max="10501" width="22.5703125" style="183" bestFit="1" customWidth="1"/>
    <col min="10502" max="10502" width="46.140625" style="183" customWidth="1"/>
    <col min="10503" max="10503" width="16.7109375" style="183" customWidth="1"/>
    <col min="10504" max="10504" width="21.140625" style="183" customWidth="1"/>
    <col min="10505" max="10752" width="9.140625" style="183"/>
    <col min="10753" max="10753" width="5.7109375" style="183" bestFit="1" customWidth="1"/>
    <col min="10754" max="10754" width="82.7109375" style="183" customWidth="1"/>
    <col min="10755" max="10755" width="26.7109375" style="183" customWidth="1"/>
    <col min="10756" max="10756" width="22" style="183" customWidth="1"/>
    <col min="10757" max="10757" width="22.5703125" style="183" bestFit="1" customWidth="1"/>
    <col min="10758" max="10758" width="46.140625" style="183" customWidth="1"/>
    <col min="10759" max="10759" width="16.7109375" style="183" customWidth="1"/>
    <col min="10760" max="10760" width="21.140625" style="183" customWidth="1"/>
    <col min="10761" max="11008" width="9.140625" style="183"/>
    <col min="11009" max="11009" width="5.7109375" style="183" bestFit="1" customWidth="1"/>
    <col min="11010" max="11010" width="82.7109375" style="183" customWidth="1"/>
    <col min="11011" max="11011" width="26.7109375" style="183" customWidth="1"/>
    <col min="11012" max="11012" width="22" style="183" customWidth="1"/>
    <col min="11013" max="11013" width="22.5703125" style="183" bestFit="1" customWidth="1"/>
    <col min="11014" max="11014" width="46.140625" style="183" customWidth="1"/>
    <col min="11015" max="11015" width="16.7109375" style="183" customWidth="1"/>
    <col min="11016" max="11016" width="21.140625" style="183" customWidth="1"/>
    <col min="11017" max="11264" width="9.140625" style="183"/>
    <col min="11265" max="11265" width="5.7109375" style="183" bestFit="1" customWidth="1"/>
    <col min="11266" max="11266" width="82.7109375" style="183" customWidth="1"/>
    <col min="11267" max="11267" width="26.7109375" style="183" customWidth="1"/>
    <col min="11268" max="11268" width="22" style="183" customWidth="1"/>
    <col min="11269" max="11269" width="22.5703125" style="183" bestFit="1" customWidth="1"/>
    <col min="11270" max="11270" width="46.140625" style="183" customWidth="1"/>
    <col min="11271" max="11271" width="16.7109375" style="183" customWidth="1"/>
    <col min="11272" max="11272" width="21.140625" style="183" customWidth="1"/>
    <col min="11273" max="11520" width="9.140625" style="183"/>
    <col min="11521" max="11521" width="5.7109375" style="183" bestFit="1" customWidth="1"/>
    <col min="11522" max="11522" width="82.7109375" style="183" customWidth="1"/>
    <col min="11523" max="11523" width="26.7109375" style="183" customWidth="1"/>
    <col min="11524" max="11524" width="22" style="183" customWidth="1"/>
    <col min="11525" max="11525" width="22.5703125" style="183" bestFit="1" customWidth="1"/>
    <col min="11526" max="11526" width="46.140625" style="183" customWidth="1"/>
    <col min="11527" max="11527" width="16.7109375" style="183" customWidth="1"/>
    <col min="11528" max="11528" width="21.140625" style="183" customWidth="1"/>
    <col min="11529" max="11776" width="9.140625" style="183"/>
    <col min="11777" max="11777" width="5.7109375" style="183" bestFit="1" customWidth="1"/>
    <col min="11778" max="11778" width="82.7109375" style="183" customWidth="1"/>
    <col min="11779" max="11779" width="26.7109375" style="183" customWidth="1"/>
    <col min="11780" max="11780" width="22" style="183" customWidth="1"/>
    <col min="11781" max="11781" width="22.5703125" style="183" bestFit="1" customWidth="1"/>
    <col min="11782" max="11782" width="46.140625" style="183" customWidth="1"/>
    <col min="11783" max="11783" width="16.7109375" style="183" customWidth="1"/>
    <col min="11784" max="11784" width="21.140625" style="183" customWidth="1"/>
    <col min="11785" max="12032" width="9.140625" style="183"/>
    <col min="12033" max="12033" width="5.7109375" style="183" bestFit="1" customWidth="1"/>
    <col min="12034" max="12034" width="82.7109375" style="183" customWidth="1"/>
    <col min="12035" max="12035" width="26.7109375" style="183" customWidth="1"/>
    <col min="12036" max="12036" width="22" style="183" customWidth="1"/>
    <col min="12037" max="12037" width="22.5703125" style="183" bestFit="1" customWidth="1"/>
    <col min="12038" max="12038" width="46.140625" style="183" customWidth="1"/>
    <col min="12039" max="12039" width="16.7109375" style="183" customWidth="1"/>
    <col min="12040" max="12040" width="21.140625" style="183" customWidth="1"/>
    <col min="12041" max="12288" width="9.140625" style="183"/>
    <col min="12289" max="12289" width="5.7109375" style="183" bestFit="1" customWidth="1"/>
    <col min="12290" max="12290" width="82.7109375" style="183" customWidth="1"/>
    <col min="12291" max="12291" width="26.7109375" style="183" customWidth="1"/>
    <col min="12292" max="12292" width="22" style="183" customWidth="1"/>
    <col min="12293" max="12293" width="22.5703125" style="183" bestFit="1" customWidth="1"/>
    <col min="12294" max="12294" width="46.140625" style="183" customWidth="1"/>
    <col min="12295" max="12295" width="16.7109375" style="183" customWidth="1"/>
    <col min="12296" max="12296" width="21.140625" style="183" customWidth="1"/>
    <col min="12297" max="12544" width="9.140625" style="183"/>
    <col min="12545" max="12545" width="5.7109375" style="183" bestFit="1" customWidth="1"/>
    <col min="12546" max="12546" width="82.7109375" style="183" customWidth="1"/>
    <col min="12547" max="12547" width="26.7109375" style="183" customWidth="1"/>
    <col min="12548" max="12548" width="22" style="183" customWidth="1"/>
    <col min="12549" max="12549" width="22.5703125" style="183" bestFit="1" customWidth="1"/>
    <col min="12550" max="12550" width="46.140625" style="183" customWidth="1"/>
    <col min="12551" max="12551" width="16.7109375" style="183" customWidth="1"/>
    <col min="12552" max="12552" width="21.140625" style="183" customWidth="1"/>
    <col min="12553" max="12800" width="9.140625" style="183"/>
    <col min="12801" max="12801" width="5.7109375" style="183" bestFit="1" customWidth="1"/>
    <col min="12802" max="12802" width="82.7109375" style="183" customWidth="1"/>
    <col min="12803" max="12803" width="26.7109375" style="183" customWidth="1"/>
    <col min="12804" max="12804" width="22" style="183" customWidth="1"/>
    <col min="12805" max="12805" width="22.5703125" style="183" bestFit="1" customWidth="1"/>
    <col min="12806" max="12806" width="46.140625" style="183" customWidth="1"/>
    <col min="12807" max="12807" width="16.7109375" style="183" customWidth="1"/>
    <col min="12808" max="12808" width="21.140625" style="183" customWidth="1"/>
    <col min="12809" max="13056" width="9.140625" style="183"/>
    <col min="13057" max="13057" width="5.7109375" style="183" bestFit="1" customWidth="1"/>
    <col min="13058" max="13058" width="82.7109375" style="183" customWidth="1"/>
    <col min="13059" max="13059" width="26.7109375" style="183" customWidth="1"/>
    <col min="13060" max="13060" width="22" style="183" customWidth="1"/>
    <col min="13061" max="13061" width="22.5703125" style="183" bestFit="1" customWidth="1"/>
    <col min="13062" max="13062" width="46.140625" style="183" customWidth="1"/>
    <col min="13063" max="13063" width="16.7109375" style="183" customWidth="1"/>
    <col min="13064" max="13064" width="21.140625" style="183" customWidth="1"/>
    <col min="13065" max="13312" width="9.140625" style="183"/>
    <col min="13313" max="13313" width="5.7109375" style="183" bestFit="1" customWidth="1"/>
    <col min="13314" max="13314" width="82.7109375" style="183" customWidth="1"/>
    <col min="13315" max="13315" width="26.7109375" style="183" customWidth="1"/>
    <col min="13316" max="13316" width="22" style="183" customWidth="1"/>
    <col min="13317" max="13317" width="22.5703125" style="183" bestFit="1" customWidth="1"/>
    <col min="13318" max="13318" width="46.140625" style="183" customWidth="1"/>
    <col min="13319" max="13319" width="16.7109375" style="183" customWidth="1"/>
    <col min="13320" max="13320" width="21.140625" style="183" customWidth="1"/>
    <col min="13321" max="13568" width="9.140625" style="183"/>
    <col min="13569" max="13569" width="5.7109375" style="183" bestFit="1" customWidth="1"/>
    <col min="13570" max="13570" width="82.7109375" style="183" customWidth="1"/>
    <col min="13571" max="13571" width="26.7109375" style="183" customWidth="1"/>
    <col min="13572" max="13572" width="22" style="183" customWidth="1"/>
    <col min="13573" max="13573" width="22.5703125" style="183" bestFit="1" customWidth="1"/>
    <col min="13574" max="13574" width="46.140625" style="183" customWidth="1"/>
    <col min="13575" max="13575" width="16.7109375" style="183" customWidth="1"/>
    <col min="13576" max="13576" width="21.140625" style="183" customWidth="1"/>
    <col min="13577" max="13824" width="9.140625" style="183"/>
    <col min="13825" max="13825" width="5.7109375" style="183" bestFit="1" customWidth="1"/>
    <col min="13826" max="13826" width="82.7109375" style="183" customWidth="1"/>
    <col min="13827" max="13827" width="26.7109375" style="183" customWidth="1"/>
    <col min="13828" max="13828" width="22" style="183" customWidth="1"/>
    <col min="13829" max="13829" width="22.5703125" style="183" bestFit="1" customWidth="1"/>
    <col min="13830" max="13830" width="46.140625" style="183" customWidth="1"/>
    <col min="13831" max="13831" width="16.7109375" style="183" customWidth="1"/>
    <col min="13832" max="13832" width="21.140625" style="183" customWidth="1"/>
    <col min="13833" max="14080" width="9.140625" style="183"/>
    <col min="14081" max="14081" width="5.7109375" style="183" bestFit="1" customWidth="1"/>
    <col min="14082" max="14082" width="82.7109375" style="183" customWidth="1"/>
    <col min="14083" max="14083" width="26.7109375" style="183" customWidth="1"/>
    <col min="14084" max="14084" width="22" style="183" customWidth="1"/>
    <col min="14085" max="14085" width="22.5703125" style="183" bestFit="1" customWidth="1"/>
    <col min="14086" max="14086" width="46.140625" style="183" customWidth="1"/>
    <col min="14087" max="14087" width="16.7109375" style="183" customWidth="1"/>
    <col min="14088" max="14088" width="21.140625" style="183" customWidth="1"/>
    <col min="14089" max="14336" width="9.140625" style="183"/>
    <col min="14337" max="14337" width="5.7109375" style="183" bestFit="1" customWidth="1"/>
    <col min="14338" max="14338" width="82.7109375" style="183" customWidth="1"/>
    <col min="14339" max="14339" width="26.7109375" style="183" customWidth="1"/>
    <col min="14340" max="14340" width="22" style="183" customWidth="1"/>
    <col min="14341" max="14341" width="22.5703125" style="183" bestFit="1" customWidth="1"/>
    <col min="14342" max="14342" width="46.140625" style="183" customWidth="1"/>
    <col min="14343" max="14343" width="16.7109375" style="183" customWidth="1"/>
    <col min="14344" max="14344" width="21.140625" style="183" customWidth="1"/>
    <col min="14345" max="14592" width="9.140625" style="183"/>
    <col min="14593" max="14593" width="5.7109375" style="183" bestFit="1" customWidth="1"/>
    <col min="14594" max="14594" width="82.7109375" style="183" customWidth="1"/>
    <col min="14595" max="14595" width="26.7109375" style="183" customWidth="1"/>
    <col min="14596" max="14596" width="22" style="183" customWidth="1"/>
    <col min="14597" max="14597" width="22.5703125" style="183" bestFit="1" customWidth="1"/>
    <col min="14598" max="14598" width="46.140625" style="183" customWidth="1"/>
    <col min="14599" max="14599" width="16.7109375" style="183" customWidth="1"/>
    <col min="14600" max="14600" width="21.140625" style="183" customWidth="1"/>
    <col min="14601" max="14848" width="9.140625" style="183"/>
    <col min="14849" max="14849" width="5.7109375" style="183" bestFit="1" customWidth="1"/>
    <col min="14850" max="14850" width="82.7109375" style="183" customWidth="1"/>
    <col min="14851" max="14851" width="26.7109375" style="183" customWidth="1"/>
    <col min="14852" max="14852" width="22" style="183" customWidth="1"/>
    <col min="14853" max="14853" width="22.5703125" style="183" bestFit="1" customWidth="1"/>
    <col min="14854" max="14854" width="46.140625" style="183" customWidth="1"/>
    <col min="14855" max="14855" width="16.7109375" style="183" customWidth="1"/>
    <col min="14856" max="14856" width="21.140625" style="183" customWidth="1"/>
    <col min="14857" max="15104" width="9.140625" style="183"/>
    <col min="15105" max="15105" width="5.7109375" style="183" bestFit="1" customWidth="1"/>
    <col min="15106" max="15106" width="82.7109375" style="183" customWidth="1"/>
    <col min="15107" max="15107" width="26.7109375" style="183" customWidth="1"/>
    <col min="15108" max="15108" width="22" style="183" customWidth="1"/>
    <col min="15109" max="15109" width="22.5703125" style="183" bestFit="1" customWidth="1"/>
    <col min="15110" max="15110" width="46.140625" style="183" customWidth="1"/>
    <col min="15111" max="15111" width="16.7109375" style="183" customWidth="1"/>
    <col min="15112" max="15112" width="21.140625" style="183" customWidth="1"/>
    <col min="15113" max="15360" width="9.140625" style="183"/>
    <col min="15361" max="15361" width="5.7109375" style="183" bestFit="1" customWidth="1"/>
    <col min="15362" max="15362" width="82.7109375" style="183" customWidth="1"/>
    <col min="15363" max="15363" width="26.7109375" style="183" customWidth="1"/>
    <col min="15364" max="15364" width="22" style="183" customWidth="1"/>
    <col min="15365" max="15365" width="22.5703125" style="183" bestFit="1" customWidth="1"/>
    <col min="15366" max="15366" width="46.140625" style="183" customWidth="1"/>
    <col min="15367" max="15367" width="16.7109375" style="183" customWidth="1"/>
    <col min="15368" max="15368" width="21.140625" style="183" customWidth="1"/>
    <col min="15369" max="15616" width="9.140625" style="183"/>
    <col min="15617" max="15617" width="5.7109375" style="183" bestFit="1" customWidth="1"/>
    <col min="15618" max="15618" width="82.7109375" style="183" customWidth="1"/>
    <col min="15619" max="15619" width="26.7109375" style="183" customWidth="1"/>
    <col min="15620" max="15620" width="22" style="183" customWidth="1"/>
    <col min="15621" max="15621" width="22.5703125" style="183" bestFit="1" customWidth="1"/>
    <col min="15622" max="15622" width="46.140625" style="183" customWidth="1"/>
    <col min="15623" max="15623" width="16.7109375" style="183" customWidth="1"/>
    <col min="15624" max="15624" width="21.140625" style="183" customWidth="1"/>
    <col min="15625" max="15872" width="9.140625" style="183"/>
    <col min="15873" max="15873" width="5.7109375" style="183" bestFit="1" customWidth="1"/>
    <col min="15874" max="15874" width="82.7109375" style="183" customWidth="1"/>
    <col min="15875" max="15875" width="26.7109375" style="183" customWidth="1"/>
    <col min="15876" max="15876" width="22" style="183" customWidth="1"/>
    <col min="15877" max="15877" width="22.5703125" style="183" bestFit="1" customWidth="1"/>
    <col min="15878" max="15878" width="46.140625" style="183" customWidth="1"/>
    <col min="15879" max="15879" width="16.7109375" style="183" customWidth="1"/>
    <col min="15880" max="15880" width="21.140625" style="183" customWidth="1"/>
    <col min="15881" max="16128" width="9.140625" style="183"/>
    <col min="16129" max="16129" width="5.7109375" style="183" bestFit="1" customWidth="1"/>
    <col min="16130" max="16130" width="82.7109375" style="183" customWidth="1"/>
    <col min="16131" max="16131" width="26.7109375" style="183" customWidth="1"/>
    <col min="16132" max="16132" width="22" style="183" customWidth="1"/>
    <col min="16133" max="16133" width="22.5703125" style="183" bestFit="1" customWidth="1"/>
    <col min="16134" max="16134" width="46.140625" style="183" customWidth="1"/>
    <col min="16135" max="16135" width="16.7109375" style="183" customWidth="1"/>
    <col min="16136" max="16136" width="21.140625" style="183" customWidth="1"/>
    <col min="16137" max="16384" width="9.140625" style="183"/>
  </cols>
  <sheetData>
    <row r="1" spans="1:10" s="180" customFormat="1" ht="16.5" thickBot="1">
      <c r="A1" s="234"/>
      <c r="B1" s="234"/>
      <c r="C1" s="234"/>
    </row>
    <row r="2" spans="1:10" s="180" customFormat="1" ht="16.5" thickBot="1">
      <c r="A2" s="235"/>
      <c r="B2" s="235"/>
      <c r="C2" s="235"/>
      <c r="D2" s="235"/>
      <c r="G2" s="217" t="s">
        <v>181</v>
      </c>
      <c r="H2" s="214" t="s">
        <v>177</v>
      </c>
      <c r="I2" s="212" t="s">
        <v>179</v>
      </c>
      <c r="J2" s="213" t="s">
        <v>178</v>
      </c>
    </row>
    <row r="3" spans="1:10" s="180" customFormat="1" ht="15.75">
      <c r="A3" s="236"/>
      <c r="B3" s="236"/>
      <c r="C3" s="236"/>
      <c r="D3" s="236"/>
      <c r="G3" s="218" t="s">
        <v>172</v>
      </c>
      <c r="H3" s="215">
        <f t="shared" ref="H3:I6" si="0">H12+H20</f>
        <v>187593.37542174</v>
      </c>
      <c r="I3" s="210">
        <f t="shared" si="0"/>
        <v>102020.62457826</v>
      </c>
      <c r="J3" s="211">
        <f>100-(H3/(E11/100))</f>
        <v>35.226413287430859</v>
      </c>
    </row>
    <row r="4" spans="1:10" s="180" customFormat="1" ht="15.75">
      <c r="A4" s="237"/>
      <c r="B4" s="237"/>
      <c r="C4" s="237"/>
      <c r="D4" s="237"/>
      <c r="G4" s="219" t="s">
        <v>173</v>
      </c>
      <c r="H4" s="216">
        <f t="shared" si="0"/>
        <v>69193.721055489994</v>
      </c>
      <c r="I4" s="208">
        <f t="shared" si="0"/>
        <v>82725.278944510006</v>
      </c>
      <c r="J4" s="209">
        <f>100-(H4/(E12/100))</f>
        <v>54.453543628190026</v>
      </c>
    </row>
    <row r="5" spans="1:10" s="180" customFormat="1" ht="15.75">
      <c r="A5" s="238"/>
      <c r="B5" s="238"/>
      <c r="C5" s="238"/>
      <c r="D5" s="238"/>
      <c r="E5" s="238"/>
      <c r="F5" s="205"/>
      <c r="G5" s="219" t="s">
        <v>174</v>
      </c>
      <c r="H5" s="216">
        <f t="shared" si="0"/>
        <v>87598.059475689995</v>
      </c>
      <c r="I5" s="208">
        <f t="shared" si="0"/>
        <v>57154.146724310005</v>
      </c>
      <c r="J5" s="209">
        <f>100-(H5/(E13/100))</f>
        <v>39.48412823866861</v>
      </c>
    </row>
    <row r="6" spans="1:10" s="180" customFormat="1" ht="15.75">
      <c r="A6" s="239"/>
      <c r="B6" s="239"/>
      <c r="C6" s="239"/>
      <c r="D6" s="239"/>
      <c r="E6" s="181"/>
      <c r="F6" s="181"/>
      <c r="G6" s="220" t="s">
        <v>176</v>
      </c>
      <c r="H6" s="221">
        <f t="shared" si="0"/>
        <v>124130</v>
      </c>
      <c r="I6" s="222">
        <f t="shared" si="0"/>
        <v>44580</v>
      </c>
      <c r="J6" s="223">
        <f>100-(H6/(E14/100))</f>
        <v>26.424041254223226</v>
      </c>
    </row>
    <row r="7" spans="1:10" s="180" customFormat="1" ht="16.5" thickBot="1">
      <c r="A7" s="230"/>
      <c r="B7" s="230"/>
      <c r="C7" s="230"/>
      <c r="D7" s="230"/>
      <c r="E7" s="230"/>
      <c r="F7" s="181"/>
      <c r="G7" s="220"/>
      <c r="H7" s="221"/>
      <c r="I7" s="222"/>
      <c r="J7" s="223"/>
    </row>
    <row r="8" spans="1:10" s="180" customFormat="1" ht="16.5" thickBot="1">
      <c r="A8" s="231"/>
      <c r="B8" s="231"/>
      <c r="C8" s="231"/>
      <c r="D8" s="231"/>
      <c r="E8" s="182"/>
      <c r="F8" s="182"/>
      <c r="G8" s="227" t="s">
        <v>175</v>
      </c>
      <c r="H8" s="224">
        <f>H17+H24</f>
        <v>468515.15595291997</v>
      </c>
      <c r="I8" s="225">
        <f>I17+I24</f>
        <v>789505.05024708004</v>
      </c>
      <c r="J8" s="226">
        <f>100-(H8/(SUM(E11:E14)/100))</f>
        <v>37.94461844188065</v>
      </c>
    </row>
    <row r="9" spans="1:10" ht="52.5" customHeight="1">
      <c r="A9" s="184" t="s">
        <v>167</v>
      </c>
      <c r="B9" s="185" t="s">
        <v>168</v>
      </c>
      <c r="C9" s="186" t="s">
        <v>169</v>
      </c>
      <c r="D9" s="186" t="s">
        <v>170</v>
      </c>
      <c r="E9" s="187" t="s">
        <v>171</v>
      </c>
      <c r="F9" s="206"/>
      <c r="H9" s="180"/>
      <c r="I9" s="180"/>
      <c r="J9" s="180"/>
    </row>
    <row r="10" spans="1:10" ht="19.5" thickBot="1">
      <c r="A10" s="188">
        <v>1</v>
      </c>
      <c r="B10" s="186">
        <v>2</v>
      </c>
      <c r="C10" s="186">
        <v>3</v>
      </c>
      <c r="D10" s="186">
        <v>4</v>
      </c>
      <c r="E10" s="188">
        <v>5</v>
      </c>
      <c r="F10" s="200"/>
      <c r="G10" s="180"/>
      <c r="H10" s="180"/>
      <c r="I10" s="180"/>
      <c r="J10" s="180"/>
    </row>
    <row r="11" spans="1:10" ht="19.5" thickBot="1">
      <c r="A11" s="188">
        <v>1</v>
      </c>
      <c r="B11" s="202" t="s">
        <v>77</v>
      </c>
      <c r="C11" s="203">
        <f>СКС!G58</f>
        <v>183509</v>
      </c>
      <c r="D11" s="203">
        <f>СКС!G88</f>
        <v>106105</v>
      </c>
      <c r="E11" s="203">
        <f>C11+D11</f>
        <v>289614</v>
      </c>
      <c r="F11" s="201"/>
      <c r="G11" s="217" t="s">
        <v>57</v>
      </c>
      <c r="H11" s="214" t="s">
        <v>177</v>
      </c>
      <c r="I11" s="212" t="s">
        <v>179</v>
      </c>
      <c r="J11" s="213" t="s">
        <v>178</v>
      </c>
    </row>
    <row r="12" spans="1:10">
      <c r="A12" s="188">
        <v>2</v>
      </c>
      <c r="B12" s="202" t="s">
        <v>140</v>
      </c>
      <c r="C12" s="203">
        <f>'Монтаж ВН'!G26</f>
        <v>45529</v>
      </c>
      <c r="D12" s="203">
        <f>'Монтаж ВН'!G45</f>
        <v>106390</v>
      </c>
      <c r="E12" s="203">
        <f t="shared" ref="E12:E13" si="1">C12+D12</f>
        <v>151919</v>
      </c>
      <c r="F12" s="201"/>
      <c r="G12" s="218" t="s">
        <v>172</v>
      </c>
      <c r="H12" s="215">
        <f>СКС!L58</f>
        <v>148593.37542174</v>
      </c>
      <c r="I12" s="210">
        <f t="shared" ref="I12:I17" si="2">C11-H12</f>
        <v>34915.624578260002</v>
      </c>
      <c r="J12" s="211">
        <f t="shared" ref="J12:J17" si="3">100-(H12/(C11/100))</f>
        <v>19.026655138581759</v>
      </c>
    </row>
    <row r="13" spans="1:10">
      <c r="A13" s="188">
        <v>3</v>
      </c>
      <c r="B13" s="202" t="s">
        <v>155</v>
      </c>
      <c r="C13" s="203">
        <f>СКУД!G32</f>
        <v>86032.206200000001</v>
      </c>
      <c r="D13" s="203">
        <f>СКУД!G49</f>
        <v>58720</v>
      </c>
      <c r="E13" s="203">
        <f t="shared" si="1"/>
        <v>144752.20620000002</v>
      </c>
      <c r="F13" s="201"/>
      <c r="G13" s="219" t="s">
        <v>173</v>
      </c>
      <c r="H13" s="216">
        <f>'Монтаж ВН'!L25</f>
        <v>34193.721055490001</v>
      </c>
      <c r="I13" s="208">
        <f t="shared" si="2"/>
        <v>11335.278944509999</v>
      </c>
      <c r="J13" s="209">
        <f t="shared" si="3"/>
        <v>24.896832666015072</v>
      </c>
    </row>
    <row r="14" spans="1:10">
      <c r="A14" s="188">
        <v>4</v>
      </c>
      <c r="B14" s="202" t="s">
        <v>165</v>
      </c>
      <c r="C14" s="203">
        <f>'Звук Bose'!G26</f>
        <v>146160</v>
      </c>
      <c r="D14" s="203">
        <f>'Звук Bose'!G36</f>
        <v>22550</v>
      </c>
      <c r="E14" s="203">
        <f>C14+D14</f>
        <v>168710</v>
      </c>
      <c r="F14" s="201"/>
      <c r="G14" s="219" t="s">
        <v>174</v>
      </c>
      <c r="H14" s="216">
        <f>СКУД!L31</f>
        <v>67598.059475689995</v>
      </c>
      <c r="I14" s="208">
        <f t="shared" si="2"/>
        <v>18434.146724310005</v>
      </c>
      <c r="J14" s="209">
        <f t="shared" si="3"/>
        <v>21.427030107139117</v>
      </c>
    </row>
    <row r="15" spans="1:10">
      <c r="A15" s="188">
        <v>5</v>
      </c>
      <c r="B15" s="202" t="s">
        <v>187</v>
      </c>
      <c r="C15" s="229">
        <f>Видеокамеры!G14</f>
        <v>503025</v>
      </c>
      <c r="D15" s="203">
        <v>0</v>
      </c>
      <c r="E15" s="203">
        <f>C15+D15</f>
        <v>503025</v>
      </c>
      <c r="F15" s="201"/>
      <c r="G15" s="220" t="s">
        <v>176</v>
      </c>
      <c r="H15" s="221">
        <f>'Звук Bose'!L25</f>
        <v>119130</v>
      </c>
      <c r="I15" s="222">
        <f t="shared" si="2"/>
        <v>27030</v>
      </c>
      <c r="J15" s="223">
        <f t="shared" si="3"/>
        <v>18.493431855500816</v>
      </c>
    </row>
    <row r="16" spans="1:10" ht="19.5" customHeight="1" thickBot="1">
      <c r="A16" s="189"/>
      <c r="B16" s="190" t="s">
        <v>175</v>
      </c>
      <c r="C16" s="204">
        <f>SUM(C11:C15)</f>
        <v>964255.20620000002</v>
      </c>
      <c r="D16" s="204">
        <f>SUM(D11:D14)</f>
        <v>293765</v>
      </c>
      <c r="E16" s="204">
        <f>SUM(E11:E15)</f>
        <v>1258020.2061999999</v>
      </c>
      <c r="F16" s="207"/>
      <c r="G16" s="220" t="s">
        <v>188</v>
      </c>
      <c r="H16" s="221">
        <f>Видеокамеры!L14</f>
        <v>412312.5</v>
      </c>
      <c r="I16" s="222">
        <f t="shared" si="2"/>
        <v>90712.5</v>
      </c>
      <c r="J16" s="223">
        <f t="shared" si="3"/>
        <v>18.03339794244819</v>
      </c>
    </row>
    <row r="17" spans="1:10" ht="19.5" thickBot="1">
      <c r="A17" s="191"/>
      <c r="B17" s="192"/>
      <c r="C17" s="193"/>
      <c r="D17" s="192"/>
      <c r="E17" s="183"/>
      <c r="F17" s="183"/>
      <c r="G17" s="227" t="s">
        <v>175</v>
      </c>
      <c r="H17" s="224">
        <f>SUM(H12:H15)</f>
        <v>369515.15595291997</v>
      </c>
      <c r="I17" s="225">
        <f t="shared" si="2"/>
        <v>594740.05024708004</v>
      </c>
      <c r="J17" s="226">
        <f t="shared" si="3"/>
        <v>61.67869734308934</v>
      </c>
    </row>
    <row r="18" spans="1:10" ht="19.5" thickBot="1">
      <c r="A18" s="232"/>
      <c r="B18" s="232"/>
      <c r="C18" s="233"/>
      <c r="D18" s="233"/>
      <c r="E18" s="183"/>
      <c r="F18" s="183"/>
      <c r="G18" s="194"/>
      <c r="H18" s="195"/>
    </row>
    <row r="19" spans="1:10" ht="19.5" thickBot="1">
      <c r="A19" s="196"/>
      <c r="B19" s="197"/>
      <c r="C19" s="193"/>
      <c r="D19" s="192"/>
      <c r="E19" s="183"/>
      <c r="F19" s="183"/>
      <c r="G19" s="217" t="s">
        <v>180</v>
      </c>
      <c r="H19" s="214" t="s">
        <v>177</v>
      </c>
      <c r="I19" s="212" t="s">
        <v>179</v>
      </c>
      <c r="J19" s="213" t="s">
        <v>178</v>
      </c>
    </row>
    <row r="20" spans="1:10">
      <c r="A20" s="197"/>
      <c r="B20" s="197"/>
      <c r="C20" s="183"/>
      <c r="D20" s="183"/>
      <c r="E20" s="183"/>
      <c r="F20" s="183"/>
      <c r="G20" s="218" t="s">
        <v>172</v>
      </c>
      <c r="H20" s="215">
        <v>39000</v>
      </c>
      <c r="I20" s="210">
        <f>D11-H20</f>
        <v>67105</v>
      </c>
      <c r="J20" s="211">
        <f>100-(H20/(D11/100))</f>
        <v>63.243956458225341</v>
      </c>
    </row>
    <row r="21" spans="1:10">
      <c r="A21" s="183"/>
      <c r="B21" s="183"/>
      <c r="C21" s="183"/>
      <c r="D21" s="183"/>
      <c r="E21" s="183"/>
      <c r="F21" s="183"/>
      <c r="G21" s="219" t="s">
        <v>173</v>
      </c>
      <c r="H21" s="216">
        <v>35000</v>
      </c>
      <c r="I21" s="208">
        <f>D12-H21</f>
        <v>71390</v>
      </c>
      <c r="J21" s="209">
        <f>100-(H21/(D12/100))</f>
        <v>67.102171256697062</v>
      </c>
    </row>
    <row r="22" spans="1:10">
      <c r="G22" s="219" t="s">
        <v>174</v>
      </c>
      <c r="H22" s="216">
        <v>20000</v>
      </c>
      <c r="I22" s="208">
        <f>D13-H22</f>
        <v>38720</v>
      </c>
      <c r="J22" s="209">
        <f>100-(H22/(D13/100))</f>
        <v>65.940054495912818</v>
      </c>
    </row>
    <row r="23" spans="1:10" ht="19.5" thickBot="1">
      <c r="G23" s="220" t="s">
        <v>176</v>
      </c>
      <c r="H23" s="221">
        <v>5000</v>
      </c>
      <c r="I23" s="222">
        <f>D14-H23</f>
        <v>17550</v>
      </c>
      <c r="J23" s="223">
        <f>100-(H23/(D14/100))</f>
        <v>77.827050997782706</v>
      </c>
    </row>
    <row r="24" spans="1:10" ht="19.5" thickBot="1">
      <c r="G24" s="227" t="s">
        <v>175</v>
      </c>
      <c r="H24" s="224">
        <f>SUM(H20:H23)</f>
        <v>99000</v>
      </c>
      <c r="I24" s="225">
        <f>D16-H24</f>
        <v>194765</v>
      </c>
      <c r="J24" s="226">
        <f>100-(H24/(D16/100))</f>
        <v>66.299593212261499</v>
      </c>
    </row>
  </sheetData>
  <mergeCells count="10">
    <mergeCell ref="A7:E7"/>
    <mergeCell ref="A8:D8"/>
    <mergeCell ref="A18:B18"/>
    <mergeCell ref="C18:D18"/>
    <mergeCell ref="A1:C1"/>
    <mergeCell ref="A2:D2"/>
    <mergeCell ref="A3:D3"/>
    <mergeCell ref="A4:D4"/>
    <mergeCell ref="A5:E5"/>
    <mergeCell ref="A6:D6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9"/>
  <sheetViews>
    <sheetView view="pageBreakPreview" zoomScale="60" zoomScaleNormal="115" workbookViewId="0">
      <selection activeCell="G9" sqref="A1:G9"/>
    </sheetView>
  </sheetViews>
  <sheetFormatPr defaultRowHeight="9"/>
  <cols>
    <col min="1" max="1" width="3.5703125" style="47" customWidth="1"/>
    <col min="2" max="2" width="16.42578125" style="80" customWidth="1"/>
    <col min="3" max="3" width="42.42578125" style="47" customWidth="1"/>
    <col min="4" max="4" width="9.140625" style="46"/>
    <col min="5" max="5" width="9.140625" style="47" customWidth="1"/>
    <col min="6" max="6" width="5.42578125" style="46" customWidth="1"/>
    <col min="7" max="7" width="12.7109375" style="100" bestFit="1" customWidth="1"/>
    <col min="8" max="8" width="11.28515625" style="45" bestFit="1" customWidth="1"/>
    <col min="9" max="9" width="9.42578125" style="45" bestFit="1" customWidth="1"/>
    <col min="10" max="10" width="10.5703125" style="45" customWidth="1"/>
    <col min="11" max="11" width="9.140625" style="45"/>
    <col min="12" max="12" width="11.5703125" style="45" customWidth="1"/>
    <col min="13" max="13" width="12.85546875" style="46" customWidth="1"/>
    <col min="14" max="14" width="7.140625" style="46" customWidth="1"/>
    <col min="15" max="16384" width="9.140625" style="47"/>
  </cols>
  <sheetData>
    <row r="1" spans="1:17" s="65" customFormat="1" ht="11.25">
      <c r="A1" s="262"/>
      <c r="B1" s="262"/>
      <c r="C1" s="262"/>
      <c r="D1" s="262"/>
      <c r="E1" s="61"/>
      <c r="F1" s="102"/>
      <c r="G1" s="91"/>
      <c r="H1" s="63"/>
      <c r="I1" s="63" t="s">
        <v>137</v>
      </c>
      <c r="J1" s="63" t="s">
        <v>138</v>
      </c>
      <c r="K1" s="63"/>
      <c r="L1" s="63"/>
      <c r="M1" s="64"/>
      <c r="N1" s="64"/>
    </row>
    <row r="2" spans="1:17" s="65" customFormat="1" ht="11.25">
      <c r="A2" s="263"/>
      <c r="B2" s="263"/>
      <c r="C2" s="263"/>
      <c r="D2" s="263"/>
      <c r="E2" s="263"/>
      <c r="F2" s="103"/>
      <c r="G2" s="92"/>
      <c r="H2" s="170">
        <v>42123</v>
      </c>
      <c r="I2" s="63">
        <v>52.304099999999998</v>
      </c>
      <c r="J2" s="63">
        <f>I2*1.03</f>
        <v>53.873223000000003</v>
      </c>
      <c r="K2" s="63"/>
      <c r="L2" s="63"/>
      <c r="M2" s="64"/>
      <c r="N2" s="64"/>
    </row>
    <row r="3" spans="1:17" s="65" customFormat="1" ht="11.25">
      <c r="A3" s="252"/>
      <c r="B3" s="252"/>
      <c r="C3" s="252"/>
      <c r="D3" s="252"/>
      <c r="E3" s="252"/>
      <c r="F3" s="103"/>
      <c r="G3" s="91"/>
      <c r="H3" s="63"/>
      <c r="I3" s="63"/>
      <c r="J3" s="63"/>
      <c r="K3" s="63"/>
      <c r="L3" s="63"/>
      <c r="M3" s="64"/>
      <c r="N3" s="64"/>
    </row>
    <row r="4" spans="1:17" s="65" customFormat="1" ht="12.75">
      <c r="A4" s="264"/>
      <c r="B4" s="265"/>
      <c r="C4" s="61"/>
      <c r="D4" s="68"/>
      <c r="E4" s="61"/>
      <c r="F4" s="103"/>
      <c r="G4" s="92"/>
      <c r="H4" s="63"/>
      <c r="I4" s="63"/>
      <c r="J4" s="63"/>
      <c r="K4" s="63"/>
      <c r="L4" s="63"/>
      <c r="M4" s="64"/>
      <c r="N4" s="64"/>
    </row>
    <row r="5" spans="1:17" s="65" customFormat="1" ht="11.25">
      <c r="A5" s="67"/>
      <c r="B5" s="72"/>
      <c r="C5" s="61"/>
      <c r="D5" s="68"/>
      <c r="E5" s="61"/>
      <c r="F5" s="103"/>
      <c r="G5" s="92"/>
      <c r="H5" s="63"/>
      <c r="I5" s="63"/>
      <c r="J5" s="63"/>
      <c r="K5" s="63"/>
      <c r="L5" s="63"/>
      <c r="M5" s="64"/>
      <c r="N5" s="64"/>
    </row>
    <row r="6" spans="1:17" s="65" customFormat="1" ht="11.25">
      <c r="A6" s="252"/>
      <c r="B6" s="253"/>
      <c r="C6" s="253"/>
      <c r="D6" s="253"/>
      <c r="E6" s="253"/>
      <c r="F6" s="253"/>
      <c r="G6" s="253"/>
      <c r="H6" s="63"/>
      <c r="I6" s="63"/>
      <c r="J6" s="63"/>
      <c r="K6" s="63"/>
    </row>
    <row r="7" spans="1:17" s="65" customFormat="1" ht="11.25">
      <c r="A7" s="252"/>
      <c r="B7" s="253"/>
      <c r="C7" s="253"/>
      <c r="D7" s="253"/>
      <c r="E7" s="253"/>
      <c r="F7" s="253"/>
      <c r="G7" s="253"/>
      <c r="H7" s="63"/>
      <c r="I7" s="63"/>
      <c r="J7" s="63"/>
      <c r="K7" s="63"/>
    </row>
    <row r="8" spans="1:17" s="65" customFormat="1" ht="11.25">
      <c r="A8" s="252"/>
      <c r="B8" s="253"/>
      <c r="C8" s="253"/>
      <c r="D8" s="253"/>
      <c r="E8" s="253"/>
      <c r="F8" s="253"/>
      <c r="G8" s="253"/>
      <c r="H8" s="63"/>
      <c r="I8" s="63"/>
      <c r="J8" s="63"/>
      <c r="K8" s="63"/>
      <c r="L8" s="153"/>
      <c r="M8" s="153"/>
      <c r="N8" s="153"/>
    </row>
    <row r="9" spans="1:17" s="65" customFormat="1" ht="11.25">
      <c r="A9" s="70"/>
      <c r="B9" s="73"/>
      <c r="C9" s="71"/>
      <c r="D9" s="82"/>
      <c r="E9" s="71"/>
      <c r="F9" s="104"/>
      <c r="G9" s="93"/>
      <c r="H9" s="63"/>
      <c r="I9" s="63"/>
      <c r="J9" s="63"/>
      <c r="K9" s="63"/>
      <c r="L9" s="63"/>
      <c r="M9" s="64"/>
      <c r="N9" s="64"/>
    </row>
    <row r="10" spans="1:17">
      <c r="A10" s="18" t="s">
        <v>0</v>
      </c>
      <c r="B10" s="74" t="s">
        <v>1</v>
      </c>
      <c r="C10" s="18" t="s">
        <v>2</v>
      </c>
      <c r="D10" s="27" t="s">
        <v>34</v>
      </c>
      <c r="E10" s="18" t="s">
        <v>3</v>
      </c>
      <c r="F10" s="18" t="s">
        <v>4</v>
      </c>
      <c r="G10" s="18" t="s">
        <v>35</v>
      </c>
      <c r="H10" s="28"/>
      <c r="I10" s="48" t="s">
        <v>85</v>
      </c>
      <c r="J10" s="28" t="s">
        <v>86</v>
      </c>
      <c r="K10" s="53" t="s">
        <v>87</v>
      </c>
      <c r="L10" s="48" t="s">
        <v>88</v>
      </c>
      <c r="M10" s="47" t="s">
        <v>89</v>
      </c>
      <c r="N10" s="47"/>
    </row>
    <row r="11" spans="1:17" ht="11.25">
      <c r="A11" s="270" t="s">
        <v>64</v>
      </c>
      <c r="B11" s="271"/>
      <c r="C11" s="271"/>
      <c r="D11" s="271"/>
      <c r="E11" s="271"/>
      <c r="F11" s="271"/>
      <c r="G11" s="272"/>
      <c r="H11" s="48"/>
      <c r="I11" s="165"/>
      <c r="J11" s="165"/>
      <c r="K11" s="165"/>
      <c r="L11" s="165"/>
      <c r="M11" s="166"/>
      <c r="N11" s="166"/>
      <c r="O11" s="159"/>
      <c r="P11" s="160"/>
      <c r="Q11" s="161"/>
    </row>
    <row r="12" spans="1:17" ht="36">
      <c r="A12" s="6">
        <v>1</v>
      </c>
      <c r="B12" s="75" t="s">
        <v>191</v>
      </c>
      <c r="C12" s="42" t="s">
        <v>190</v>
      </c>
      <c r="D12" s="83">
        <v>11897</v>
      </c>
      <c r="E12" s="6">
        <v>1</v>
      </c>
      <c r="F12" s="6" t="s">
        <v>7</v>
      </c>
      <c r="G12" s="50">
        <f t="shared" ref="G12:G14" si="0">D12*E12</f>
        <v>11897</v>
      </c>
      <c r="H12" s="28"/>
      <c r="I12" s="165">
        <v>1.22</v>
      </c>
      <c r="J12" s="165">
        <v>181</v>
      </c>
      <c r="K12" s="167">
        <f>J12*$J$2</f>
        <v>9751.0533630000009</v>
      </c>
      <c r="L12" s="167">
        <f>K12*E12</f>
        <v>9751.0533630000009</v>
      </c>
      <c r="M12" s="171">
        <f>CEILING(K12*I12,1)</f>
        <v>11897</v>
      </c>
      <c r="N12" s="166"/>
      <c r="O12" s="162"/>
      <c r="P12" s="160"/>
      <c r="Q12" s="161"/>
    </row>
    <row r="13" spans="1:17" ht="18">
      <c r="A13" s="6">
        <v>2</v>
      </c>
      <c r="B13" s="156" t="s">
        <v>91</v>
      </c>
      <c r="C13" s="42" t="s">
        <v>93</v>
      </c>
      <c r="D13" s="83">
        <v>10</v>
      </c>
      <c r="E13" s="16">
        <v>200</v>
      </c>
      <c r="F13" s="6" t="s">
        <v>7</v>
      </c>
      <c r="G13" s="50">
        <f t="shared" si="0"/>
        <v>2000</v>
      </c>
      <c r="H13" s="28"/>
      <c r="I13" s="165">
        <v>1.22</v>
      </c>
      <c r="J13" s="165">
        <v>0.14000000000000001</v>
      </c>
      <c r="K13" s="167">
        <f t="shared" ref="K13:K27" si="1">J13*$J$2</f>
        <v>7.5422512200000007</v>
      </c>
      <c r="L13" s="167">
        <f>K13*E13</f>
        <v>1508.4502440000001</v>
      </c>
      <c r="M13" s="171">
        <f t="shared" ref="M13:M56" si="2">CEILING(K13*I13,1)</f>
        <v>10</v>
      </c>
      <c r="N13" s="166"/>
      <c r="O13" s="159"/>
      <c r="P13" s="160"/>
      <c r="Q13" s="161"/>
    </row>
    <row r="14" spans="1:17" ht="18">
      <c r="A14" s="6">
        <v>3</v>
      </c>
      <c r="B14" s="156" t="s">
        <v>92</v>
      </c>
      <c r="C14" s="42" t="s">
        <v>94</v>
      </c>
      <c r="D14" s="83">
        <v>2011</v>
      </c>
      <c r="E14" s="16">
        <v>1</v>
      </c>
      <c r="F14" s="6" t="s">
        <v>7</v>
      </c>
      <c r="G14" s="50">
        <f t="shared" si="0"/>
        <v>2011</v>
      </c>
      <c r="H14" s="28"/>
      <c r="I14" s="165">
        <v>1.22</v>
      </c>
      <c r="J14" s="165">
        <v>30.59</v>
      </c>
      <c r="K14" s="167">
        <f t="shared" si="1"/>
        <v>1647.98189157</v>
      </c>
      <c r="L14" s="167">
        <f>K14*E14</f>
        <v>1647.98189157</v>
      </c>
      <c r="M14" s="171">
        <f t="shared" si="2"/>
        <v>2011</v>
      </c>
      <c r="N14" s="166"/>
      <c r="O14" s="159"/>
      <c r="P14" s="160"/>
      <c r="Q14" s="161"/>
    </row>
    <row r="15" spans="1:17" s="54" customFormat="1" ht="11.25">
      <c r="A15" s="6">
        <v>4</v>
      </c>
      <c r="B15" s="76"/>
      <c r="C15" s="3" t="s">
        <v>66</v>
      </c>
      <c r="D15" s="83">
        <v>29</v>
      </c>
      <c r="E15" s="6">
        <v>20</v>
      </c>
      <c r="F15" s="6" t="s">
        <v>6</v>
      </c>
      <c r="G15" s="88">
        <f>D15*E15</f>
        <v>580</v>
      </c>
      <c r="H15" s="35"/>
      <c r="I15" s="165">
        <v>1.22</v>
      </c>
      <c r="J15" s="167"/>
      <c r="K15" s="167">
        <v>23.6</v>
      </c>
      <c r="L15" s="167">
        <f>K15*E15</f>
        <v>472</v>
      </c>
      <c r="M15" s="171">
        <f t="shared" si="2"/>
        <v>29</v>
      </c>
      <c r="N15" s="166"/>
      <c r="O15" s="159"/>
      <c r="P15" s="160"/>
      <c r="Q15" s="161"/>
    </row>
    <row r="16" spans="1:17" ht="11.25">
      <c r="A16" s="273" t="s">
        <v>36</v>
      </c>
      <c r="B16" s="274"/>
      <c r="C16" s="274"/>
      <c r="D16" s="274"/>
      <c r="E16" s="274"/>
      <c r="F16" s="275"/>
      <c r="G16" s="155">
        <f>SUM(G12:G15)</f>
        <v>16488</v>
      </c>
      <c r="H16" s="48"/>
      <c r="I16" s="165"/>
      <c r="J16" s="165"/>
      <c r="K16" s="167"/>
      <c r="L16" s="167"/>
      <c r="M16" s="171"/>
      <c r="N16" s="166"/>
      <c r="O16" s="159"/>
      <c r="P16" s="164"/>
      <c r="Q16" s="161"/>
    </row>
    <row r="17" spans="1:17" ht="11.25">
      <c r="A17" s="240" t="s">
        <v>90</v>
      </c>
      <c r="B17" s="241"/>
      <c r="C17" s="241"/>
      <c r="D17" s="241"/>
      <c r="E17" s="241"/>
      <c r="F17" s="241"/>
      <c r="G17" s="242"/>
      <c r="H17" s="48"/>
      <c r="I17" s="165"/>
      <c r="J17" s="165"/>
      <c r="K17" s="167"/>
      <c r="L17" s="167"/>
      <c r="M17" s="171"/>
      <c r="N17" s="166"/>
      <c r="O17" s="159"/>
      <c r="P17" s="164"/>
      <c r="Q17" s="161"/>
    </row>
    <row r="18" spans="1:17" ht="27">
      <c r="A18" s="6">
        <v>1</v>
      </c>
      <c r="B18" s="52" t="s">
        <v>96</v>
      </c>
      <c r="C18" s="42" t="s">
        <v>95</v>
      </c>
      <c r="D18" s="83">
        <v>872</v>
      </c>
      <c r="E18" s="6">
        <v>1</v>
      </c>
      <c r="F18" s="6" t="s">
        <v>5</v>
      </c>
      <c r="G18" s="50">
        <f t="shared" ref="G18:G27" si="3">D18*E18</f>
        <v>872</v>
      </c>
      <c r="H18" s="48"/>
      <c r="I18" s="165">
        <v>1.22</v>
      </c>
      <c r="J18" s="165">
        <v>13.26</v>
      </c>
      <c r="K18" s="167">
        <f t="shared" si="1"/>
        <v>714.35893698000007</v>
      </c>
      <c r="L18" s="167">
        <f>K18*E18</f>
        <v>714.35893698000007</v>
      </c>
      <c r="M18" s="171">
        <f t="shared" si="2"/>
        <v>872</v>
      </c>
      <c r="N18" s="166"/>
      <c r="O18" s="159"/>
      <c r="P18" s="164"/>
      <c r="Q18" s="161"/>
    </row>
    <row r="19" spans="1:17" ht="36">
      <c r="A19" s="6">
        <v>2</v>
      </c>
      <c r="B19" s="52" t="s">
        <v>107</v>
      </c>
      <c r="C19" s="42" t="s">
        <v>108</v>
      </c>
      <c r="D19" s="83">
        <v>1051</v>
      </c>
      <c r="E19" s="6">
        <v>1</v>
      </c>
      <c r="F19" s="6" t="s">
        <v>5</v>
      </c>
      <c r="G19" s="50">
        <f t="shared" si="3"/>
        <v>1051</v>
      </c>
      <c r="H19" s="48"/>
      <c r="I19" s="165">
        <v>1.22</v>
      </c>
      <c r="J19" s="165">
        <v>15.98</v>
      </c>
      <c r="K19" s="167">
        <f t="shared" si="1"/>
        <v>860.89410354000006</v>
      </c>
      <c r="L19" s="167">
        <f>K19*E19</f>
        <v>860.89410354000006</v>
      </c>
      <c r="M19" s="171">
        <f t="shared" si="2"/>
        <v>1051</v>
      </c>
      <c r="N19" s="166"/>
      <c r="O19" s="159"/>
      <c r="P19" s="164"/>
      <c r="Q19" s="161"/>
    </row>
    <row r="20" spans="1:17" ht="11.25">
      <c r="A20" s="6">
        <v>3</v>
      </c>
      <c r="B20" s="52"/>
      <c r="C20" s="42" t="s">
        <v>97</v>
      </c>
      <c r="D20" s="83">
        <v>31</v>
      </c>
      <c r="E20" s="6">
        <v>1</v>
      </c>
      <c r="F20" s="6" t="s">
        <v>5</v>
      </c>
      <c r="G20" s="50">
        <f t="shared" si="3"/>
        <v>31</v>
      </c>
      <c r="H20" s="48"/>
      <c r="I20" s="165">
        <v>1.22</v>
      </c>
      <c r="J20" s="165">
        <v>0.47</v>
      </c>
      <c r="K20" s="167">
        <f t="shared" si="1"/>
        <v>25.320414809999999</v>
      </c>
      <c r="L20" s="167">
        <f>K20*E20</f>
        <v>25.320414809999999</v>
      </c>
      <c r="M20" s="171">
        <f t="shared" si="2"/>
        <v>31</v>
      </c>
      <c r="N20" s="166"/>
      <c r="O20" s="159"/>
      <c r="P20" s="164"/>
      <c r="Q20" s="161"/>
    </row>
    <row r="21" spans="1:17" ht="11.25">
      <c r="A21" s="6">
        <v>4</v>
      </c>
      <c r="B21" s="52"/>
      <c r="C21" s="42" t="s">
        <v>98</v>
      </c>
      <c r="D21" s="83">
        <v>31</v>
      </c>
      <c r="E21" s="6">
        <v>2</v>
      </c>
      <c r="F21" s="6" t="s">
        <v>5</v>
      </c>
      <c r="G21" s="50">
        <f t="shared" si="3"/>
        <v>62</v>
      </c>
      <c r="H21" s="48"/>
      <c r="I21" s="165">
        <v>1.22</v>
      </c>
      <c r="J21" s="165">
        <v>0.47</v>
      </c>
      <c r="K21" s="167">
        <f t="shared" si="1"/>
        <v>25.320414809999999</v>
      </c>
      <c r="L21" s="167">
        <f>K21*E21</f>
        <v>50.640829619999998</v>
      </c>
      <c r="M21" s="171">
        <f t="shared" si="2"/>
        <v>31</v>
      </c>
      <c r="N21" s="166"/>
      <c r="O21" s="159"/>
      <c r="P21" s="164"/>
      <c r="Q21" s="161"/>
    </row>
    <row r="22" spans="1:17" ht="18">
      <c r="A22" s="6">
        <v>5</v>
      </c>
      <c r="B22" s="52" t="s">
        <v>100</v>
      </c>
      <c r="C22" s="7" t="s">
        <v>99</v>
      </c>
      <c r="D22" s="83">
        <v>145</v>
      </c>
      <c r="E22" s="6">
        <v>8</v>
      </c>
      <c r="F22" s="6" t="s">
        <v>5</v>
      </c>
      <c r="G22" s="50">
        <f t="shared" si="3"/>
        <v>1160</v>
      </c>
      <c r="H22" s="48"/>
      <c r="I22" s="165">
        <v>1.22</v>
      </c>
      <c r="J22" s="165">
        <v>2.2000000000000002</v>
      </c>
      <c r="K22" s="167">
        <f t="shared" si="1"/>
        <v>118.52109060000002</v>
      </c>
      <c r="L22" s="167">
        <f t="shared" ref="L22:L25" si="4">K22*E22</f>
        <v>948.16872480000018</v>
      </c>
      <c r="M22" s="171">
        <f t="shared" si="2"/>
        <v>145</v>
      </c>
      <c r="N22" s="166"/>
      <c r="O22" s="159"/>
      <c r="P22" s="164"/>
      <c r="Q22" s="161"/>
    </row>
    <row r="23" spans="1:17" ht="18">
      <c r="A23" s="6">
        <v>6</v>
      </c>
      <c r="B23" s="75" t="s">
        <v>102</v>
      </c>
      <c r="C23" s="7" t="s">
        <v>101</v>
      </c>
      <c r="D23" s="83">
        <v>10</v>
      </c>
      <c r="E23" s="6">
        <v>4</v>
      </c>
      <c r="F23" s="6" t="s">
        <v>5</v>
      </c>
      <c r="G23" s="50">
        <f t="shared" si="3"/>
        <v>40</v>
      </c>
      <c r="H23" s="48"/>
      <c r="I23" s="165">
        <v>1.22</v>
      </c>
      <c r="J23" s="165">
        <v>0.15</v>
      </c>
      <c r="K23" s="167">
        <f t="shared" si="1"/>
        <v>8.0809834499999997</v>
      </c>
      <c r="L23" s="167">
        <f t="shared" si="4"/>
        <v>32.323933799999999</v>
      </c>
      <c r="M23" s="171">
        <f t="shared" si="2"/>
        <v>10</v>
      </c>
      <c r="N23" s="166"/>
      <c r="O23" s="159"/>
      <c r="P23" s="164"/>
      <c r="Q23" s="161"/>
    </row>
    <row r="24" spans="1:17" ht="27">
      <c r="A24" s="6">
        <v>7</v>
      </c>
      <c r="B24" s="156" t="s">
        <v>103</v>
      </c>
      <c r="C24" s="42" t="s">
        <v>104</v>
      </c>
      <c r="D24" s="83">
        <v>123</v>
      </c>
      <c r="E24" s="6">
        <v>8</v>
      </c>
      <c r="F24" s="6" t="s">
        <v>5</v>
      </c>
      <c r="G24" s="50">
        <f t="shared" si="3"/>
        <v>984</v>
      </c>
      <c r="H24" s="48"/>
      <c r="I24" s="165">
        <v>1.22</v>
      </c>
      <c r="J24" s="165">
        <v>1.86</v>
      </c>
      <c r="K24" s="167">
        <f t="shared" si="1"/>
        <v>100.20419478000001</v>
      </c>
      <c r="L24" s="167">
        <f t="shared" si="4"/>
        <v>801.63355824000007</v>
      </c>
      <c r="M24" s="171">
        <f t="shared" si="2"/>
        <v>123</v>
      </c>
      <c r="N24" s="166"/>
      <c r="O24" s="159"/>
      <c r="P24" s="164"/>
      <c r="Q24" s="161"/>
    </row>
    <row r="25" spans="1:17" ht="18">
      <c r="A25" s="6">
        <v>8</v>
      </c>
      <c r="B25" s="156" t="s">
        <v>106</v>
      </c>
      <c r="C25" s="42" t="s">
        <v>105</v>
      </c>
      <c r="D25" s="83">
        <v>8</v>
      </c>
      <c r="E25" s="6">
        <v>8</v>
      </c>
      <c r="F25" s="6" t="s">
        <v>5</v>
      </c>
      <c r="G25" s="50">
        <f t="shared" si="3"/>
        <v>64</v>
      </c>
      <c r="H25" s="48"/>
      <c r="I25" s="165">
        <v>1.22</v>
      </c>
      <c r="J25" s="165">
        <v>0.11</v>
      </c>
      <c r="K25" s="167">
        <f t="shared" si="1"/>
        <v>5.92605453</v>
      </c>
      <c r="L25" s="167">
        <f t="shared" si="4"/>
        <v>47.40843624</v>
      </c>
      <c r="M25" s="171">
        <f t="shared" si="2"/>
        <v>8</v>
      </c>
      <c r="N25" s="166"/>
      <c r="O25" s="159"/>
      <c r="P25" s="164"/>
      <c r="Q25" s="161"/>
    </row>
    <row r="26" spans="1:17" ht="27">
      <c r="A26" s="6">
        <v>9</v>
      </c>
      <c r="B26" s="156" t="s">
        <v>110</v>
      </c>
      <c r="C26" s="7" t="s">
        <v>109</v>
      </c>
      <c r="D26" s="83">
        <v>583</v>
      </c>
      <c r="E26" s="6">
        <v>4</v>
      </c>
      <c r="F26" s="6" t="s">
        <v>5</v>
      </c>
      <c r="G26" s="50">
        <f t="shared" si="3"/>
        <v>2332</v>
      </c>
      <c r="H26" s="48"/>
      <c r="I26" s="165">
        <v>1.22</v>
      </c>
      <c r="J26" s="165">
        <v>8.8699999999999992</v>
      </c>
      <c r="K26" s="167">
        <f t="shared" si="1"/>
        <v>477.85548800999999</v>
      </c>
      <c r="L26" s="167">
        <f>K26*E26</f>
        <v>1911.42195204</v>
      </c>
      <c r="M26" s="171">
        <f t="shared" si="2"/>
        <v>583</v>
      </c>
      <c r="N26" s="166"/>
      <c r="O26" s="159"/>
      <c r="P26" s="164"/>
      <c r="Q26" s="161"/>
    </row>
    <row r="27" spans="1:17" ht="36">
      <c r="A27" s="6">
        <v>10</v>
      </c>
      <c r="B27" s="156" t="s">
        <v>112</v>
      </c>
      <c r="C27" s="7" t="s">
        <v>111</v>
      </c>
      <c r="D27" s="83">
        <v>47</v>
      </c>
      <c r="E27" s="6">
        <v>120</v>
      </c>
      <c r="F27" s="6" t="s">
        <v>6</v>
      </c>
      <c r="G27" s="50">
        <f t="shared" si="3"/>
        <v>5640</v>
      </c>
      <c r="H27" s="48"/>
      <c r="I27" s="165">
        <v>1.22</v>
      </c>
      <c r="J27" s="165">
        <v>0.71</v>
      </c>
      <c r="K27" s="167">
        <f t="shared" si="1"/>
        <v>38.249988330000001</v>
      </c>
      <c r="L27" s="167">
        <f>K27*E27</f>
        <v>4589.9985996000005</v>
      </c>
      <c r="M27" s="171">
        <f t="shared" si="2"/>
        <v>47</v>
      </c>
      <c r="N27" s="166"/>
      <c r="O27" s="159"/>
      <c r="P27" s="164"/>
      <c r="Q27" s="161"/>
    </row>
    <row r="28" spans="1:17" ht="11.25">
      <c r="A28" s="243" t="s">
        <v>36</v>
      </c>
      <c r="B28" s="244"/>
      <c r="C28" s="244"/>
      <c r="D28" s="244"/>
      <c r="E28" s="244"/>
      <c r="F28" s="245"/>
      <c r="G28" s="19">
        <f>SUM(G18:G27)</f>
        <v>12236</v>
      </c>
      <c r="H28" s="48"/>
      <c r="I28" s="165"/>
      <c r="J28" s="165"/>
      <c r="K28" s="167"/>
      <c r="L28" s="167"/>
      <c r="M28" s="171"/>
      <c r="N28" s="166"/>
      <c r="O28" s="159"/>
      <c r="P28" s="164"/>
      <c r="Q28" s="161"/>
    </row>
    <row r="29" spans="1:17" ht="11.25">
      <c r="A29" s="240" t="s">
        <v>62</v>
      </c>
      <c r="B29" s="241"/>
      <c r="C29" s="241"/>
      <c r="D29" s="241"/>
      <c r="E29" s="241"/>
      <c r="F29" s="241"/>
      <c r="G29" s="242"/>
      <c r="H29" s="49"/>
      <c r="I29" s="165"/>
      <c r="J29" s="165"/>
      <c r="K29" s="167"/>
      <c r="L29" s="167"/>
      <c r="M29" s="171"/>
      <c r="N29" s="166"/>
      <c r="O29" s="159"/>
      <c r="P29" s="160"/>
      <c r="Q29" s="161"/>
    </row>
    <row r="30" spans="1:17" ht="45">
      <c r="A30" s="6">
        <v>1</v>
      </c>
      <c r="B30" s="52" t="s">
        <v>113</v>
      </c>
      <c r="C30" s="42" t="s">
        <v>114</v>
      </c>
      <c r="D30" s="83">
        <v>4800</v>
      </c>
      <c r="E30" s="6">
        <f>CEILING(2269/305,1)</f>
        <v>8</v>
      </c>
      <c r="F30" s="6" t="s">
        <v>5</v>
      </c>
      <c r="G30" s="50">
        <f>D30*E30</f>
        <v>38400</v>
      </c>
      <c r="H30" s="35"/>
      <c r="I30" s="165">
        <v>1.22</v>
      </c>
      <c r="J30" s="167">
        <f>73.03</f>
        <v>73.03</v>
      </c>
      <c r="K30" s="167">
        <f t="shared" ref="K30:K36" si="5">J30*$J$2</f>
        <v>3934.3614756900001</v>
      </c>
      <c r="L30" s="167">
        <f>K30*E30</f>
        <v>31474.891805520001</v>
      </c>
      <c r="M30" s="171">
        <f>CEILING(K30*I30,1)</f>
        <v>4800</v>
      </c>
      <c r="N30" s="166"/>
      <c r="O30" s="159"/>
      <c r="P30" s="160"/>
      <c r="Q30" s="163"/>
    </row>
    <row r="31" spans="1:17" ht="18">
      <c r="A31" s="6">
        <v>2</v>
      </c>
      <c r="B31" s="52" t="s">
        <v>116</v>
      </c>
      <c r="C31" s="42" t="s">
        <v>115</v>
      </c>
      <c r="D31" s="83">
        <v>1497</v>
      </c>
      <c r="E31" s="6">
        <v>4</v>
      </c>
      <c r="F31" s="6" t="s">
        <v>5</v>
      </c>
      <c r="G31" s="50">
        <f t="shared" ref="G31:G41" si="6">D31*E31</f>
        <v>5988</v>
      </c>
      <c r="H31" s="35"/>
      <c r="I31" s="165">
        <v>1.22</v>
      </c>
      <c r="J31" s="167">
        <v>22.77</v>
      </c>
      <c r="K31" s="167">
        <f t="shared" si="5"/>
        <v>1226.69328771</v>
      </c>
      <c r="L31" s="167">
        <f>K31*E31</f>
        <v>4906.7731508400002</v>
      </c>
      <c r="M31" s="171">
        <f t="shared" ref="M31:M34" si="7">CEILING(K31*I31,1)</f>
        <v>1497</v>
      </c>
      <c r="N31" s="166"/>
      <c r="O31" s="159"/>
      <c r="P31" s="160"/>
      <c r="Q31" s="163"/>
    </row>
    <row r="32" spans="1:17" ht="18">
      <c r="A32" s="6">
        <v>3</v>
      </c>
      <c r="B32" s="52" t="s">
        <v>118</v>
      </c>
      <c r="C32" s="42" t="s">
        <v>117</v>
      </c>
      <c r="D32" s="83">
        <v>315</v>
      </c>
      <c r="E32" s="6">
        <v>6</v>
      </c>
      <c r="F32" s="6" t="s">
        <v>5</v>
      </c>
      <c r="G32" s="50">
        <f t="shared" si="6"/>
        <v>1890</v>
      </c>
      <c r="H32" s="35"/>
      <c r="I32" s="165">
        <v>1.22</v>
      </c>
      <c r="J32" s="167">
        <v>4.79</v>
      </c>
      <c r="K32" s="167">
        <f t="shared" si="5"/>
        <v>258.05273817</v>
      </c>
      <c r="L32" s="167">
        <f t="shared" ref="L32:L49" si="8">K32*E32</f>
        <v>1548.31642902</v>
      </c>
      <c r="M32" s="171">
        <f t="shared" si="7"/>
        <v>315</v>
      </c>
      <c r="N32" s="166"/>
      <c r="O32" s="159"/>
      <c r="P32" s="160"/>
      <c r="Q32" s="163"/>
    </row>
    <row r="33" spans="1:17" ht="18">
      <c r="A33" s="6">
        <v>4</v>
      </c>
      <c r="B33" s="52" t="s">
        <v>193</v>
      </c>
      <c r="C33" s="42" t="s">
        <v>192</v>
      </c>
      <c r="D33" s="83">
        <v>58</v>
      </c>
      <c r="E33" s="6">
        <v>56</v>
      </c>
      <c r="F33" s="6" t="s">
        <v>5</v>
      </c>
      <c r="G33" s="50">
        <f t="shared" si="6"/>
        <v>3248</v>
      </c>
      <c r="H33" s="35"/>
      <c r="I33" s="165">
        <v>1.22</v>
      </c>
      <c r="J33" s="167">
        <v>0.87</v>
      </c>
      <c r="K33" s="167">
        <f t="shared" si="5"/>
        <v>46.86970401</v>
      </c>
      <c r="L33" s="167">
        <f t="shared" si="8"/>
        <v>2624.7034245599998</v>
      </c>
      <c r="M33" s="171">
        <f t="shared" si="7"/>
        <v>58</v>
      </c>
      <c r="N33" s="166"/>
      <c r="O33" s="159"/>
      <c r="P33" s="160"/>
      <c r="Q33" s="163"/>
    </row>
    <row r="34" spans="1:17" ht="18">
      <c r="A34" s="6">
        <v>5</v>
      </c>
      <c r="B34" s="52" t="s">
        <v>120</v>
      </c>
      <c r="C34" s="42" t="s">
        <v>119</v>
      </c>
      <c r="D34" s="83">
        <v>120</v>
      </c>
      <c r="E34" s="6">
        <v>56</v>
      </c>
      <c r="F34" s="6" t="s">
        <v>5</v>
      </c>
      <c r="G34" s="50">
        <f t="shared" si="6"/>
        <v>6720</v>
      </c>
      <c r="H34" s="35"/>
      <c r="I34" s="165">
        <v>1.22</v>
      </c>
      <c r="J34" s="167">
        <v>1.82</v>
      </c>
      <c r="K34" s="167">
        <f t="shared" si="5"/>
        <v>98.049265860000006</v>
      </c>
      <c r="L34" s="167">
        <f t="shared" si="8"/>
        <v>5490.7588881600004</v>
      </c>
      <c r="M34" s="171">
        <f t="shared" si="7"/>
        <v>120</v>
      </c>
      <c r="N34" s="166"/>
      <c r="O34" s="159"/>
      <c r="P34" s="160"/>
      <c r="Q34" s="163"/>
    </row>
    <row r="35" spans="1:17" ht="18">
      <c r="A35" s="6">
        <v>6</v>
      </c>
      <c r="B35" s="52" t="s">
        <v>203</v>
      </c>
      <c r="C35" s="42" t="s">
        <v>204</v>
      </c>
      <c r="D35" s="83">
        <v>35</v>
      </c>
      <c r="E35" s="6">
        <v>46</v>
      </c>
      <c r="F35" s="6" t="s">
        <v>5</v>
      </c>
      <c r="G35" s="50">
        <f t="shared" si="6"/>
        <v>1610</v>
      </c>
      <c r="H35" s="35"/>
      <c r="I35" s="165">
        <v>1.22</v>
      </c>
      <c r="J35" s="167">
        <v>0.53</v>
      </c>
      <c r="K35" s="167">
        <f t="shared" si="5"/>
        <v>28.552808190000004</v>
      </c>
      <c r="L35" s="167">
        <f t="shared" ref="L35" si="9">K35*E35</f>
        <v>1313.4291767400002</v>
      </c>
      <c r="M35" s="171">
        <f>CEILING(K35*I35,1)</f>
        <v>35</v>
      </c>
      <c r="N35" s="166"/>
      <c r="O35" s="159"/>
      <c r="P35" s="160"/>
      <c r="Q35" s="163"/>
    </row>
    <row r="36" spans="1:17" ht="18">
      <c r="A36" s="6">
        <v>7</v>
      </c>
      <c r="B36" s="52" t="s">
        <v>206</v>
      </c>
      <c r="C36" s="42" t="s">
        <v>205</v>
      </c>
      <c r="D36" s="83">
        <v>51</v>
      </c>
      <c r="E36" s="6">
        <f>E35</f>
        <v>46</v>
      </c>
      <c r="F36" s="6" t="s">
        <v>5</v>
      </c>
      <c r="G36" s="50">
        <f t="shared" si="6"/>
        <v>2346</v>
      </c>
      <c r="H36" s="35"/>
      <c r="I36" s="165">
        <v>1.22</v>
      </c>
      <c r="J36" s="167">
        <v>0.77</v>
      </c>
      <c r="K36" s="167">
        <f t="shared" si="5"/>
        <v>41.482381710000006</v>
      </c>
      <c r="L36" s="167">
        <f t="shared" ref="L36" si="10">K36*E36</f>
        <v>1908.1895586600003</v>
      </c>
      <c r="M36" s="171">
        <f t="shared" ref="M36" si="11">CEILING(K36*I36,1)</f>
        <v>51</v>
      </c>
      <c r="N36" s="166"/>
      <c r="O36" s="159"/>
      <c r="P36" s="160"/>
      <c r="Q36" s="163"/>
    </row>
    <row r="37" spans="1:17" ht="18">
      <c r="A37" s="6">
        <v>8</v>
      </c>
      <c r="B37" s="52">
        <v>770239</v>
      </c>
      <c r="C37" s="42" t="s">
        <v>53</v>
      </c>
      <c r="D37" s="83">
        <v>835</v>
      </c>
      <c r="E37" s="6">
        <v>3</v>
      </c>
      <c r="F37" s="6" t="s">
        <v>5</v>
      </c>
      <c r="G37" s="50">
        <f t="shared" si="6"/>
        <v>2505</v>
      </c>
      <c r="H37" s="35"/>
      <c r="I37" s="165">
        <v>1.22</v>
      </c>
      <c r="J37" s="167"/>
      <c r="K37" s="167">
        <f>1139.9*0.6</f>
        <v>683.94</v>
      </c>
      <c r="L37" s="167">
        <f t="shared" si="8"/>
        <v>2051.8200000000002</v>
      </c>
      <c r="M37" s="171">
        <f t="shared" si="2"/>
        <v>835</v>
      </c>
      <c r="N37" s="166"/>
      <c r="O37" s="159"/>
      <c r="P37" s="160"/>
      <c r="Q37" s="163"/>
    </row>
    <row r="38" spans="1:17" ht="11.25">
      <c r="A38" s="6">
        <v>9</v>
      </c>
      <c r="B38" s="52">
        <v>770151</v>
      </c>
      <c r="C38" s="42" t="s">
        <v>121</v>
      </c>
      <c r="D38" s="83">
        <v>171</v>
      </c>
      <c r="E38" s="6">
        <f>E37</f>
        <v>3</v>
      </c>
      <c r="F38" s="6" t="s">
        <v>5</v>
      </c>
      <c r="G38" s="50">
        <f t="shared" si="6"/>
        <v>513</v>
      </c>
      <c r="H38" s="35"/>
      <c r="I38" s="165">
        <v>1.22</v>
      </c>
      <c r="K38" s="167">
        <f>232.6*0.6</f>
        <v>139.56</v>
      </c>
      <c r="L38" s="167">
        <f t="shared" si="8"/>
        <v>418.68</v>
      </c>
      <c r="M38" s="171">
        <f t="shared" si="2"/>
        <v>171</v>
      </c>
      <c r="N38" s="166"/>
      <c r="O38" s="159"/>
      <c r="P38" s="160"/>
      <c r="Q38" s="163"/>
    </row>
    <row r="39" spans="1:17" ht="11.25">
      <c r="A39" s="6">
        <v>10</v>
      </c>
      <c r="B39" s="52">
        <v>30033</v>
      </c>
      <c r="C39" s="42" t="s">
        <v>196</v>
      </c>
      <c r="D39" s="83">
        <v>307</v>
      </c>
      <c r="E39" s="6">
        <v>38</v>
      </c>
      <c r="F39" s="6" t="s">
        <v>6</v>
      </c>
      <c r="G39" s="50">
        <f t="shared" si="6"/>
        <v>11666</v>
      </c>
      <c r="H39" s="35"/>
      <c r="I39" s="165">
        <v>1.22</v>
      </c>
      <c r="K39" s="167">
        <f>418.61*0.6</f>
        <v>251.166</v>
      </c>
      <c r="L39" s="167">
        <f t="shared" si="8"/>
        <v>9544.3079999999991</v>
      </c>
      <c r="M39" s="171">
        <f t="shared" si="2"/>
        <v>307</v>
      </c>
      <c r="N39" s="166"/>
      <c r="O39" s="159">
        <v>75</v>
      </c>
      <c r="P39" s="160"/>
      <c r="Q39" s="163"/>
    </row>
    <row r="40" spans="1:17" ht="11.25">
      <c r="A40" s="6">
        <v>11</v>
      </c>
      <c r="B40" s="52">
        <v>33609</v>
      </c>
      <c r="C40" s="42" t="s">
        <v>197</v>
      </c>
      <c r="D40" s="83">
        <v>57</v>
      </c>
      <c r="E40" s="6">
        <f>E39</f>
        <v>38</v>
      </c>
      <c r="F40" s="6" t="s">
        <v>5</v>
      </c>
      <c r="G40" s="50">
        <f t="shared" si="6"/>
        <v>2166</v>
      </c>
      <c r="H40" s="35"/>
      <c r="I40" s="165">
        <v>1.22</v>
      </c>
      <c r="K40" s="167">
        <f>77.14*0.6</f>
        <v>46.283999999999999</v>
      </c>
      <c r="L40" s="167">
        <f t="shared" si="8"/>
        <v>1758.7919999999999</v>
      </c>
      <c r="M40" s="171">
        <f t="shared" si="2"/>
        <v>57</v>
      </c>
      <c r="N40" s="166"/>
      <c r="O40" s="159"/>
      <c r="P40" s="160"/>
      <c r="Q40" s="163"/>
    </row>
    <row r="41" spans="1:17" ht="11.25">
      <c r="A41" s="6">
        <v>12</v>
      </c>
      <c r="B41" s="52">
        <v>30300</v>
      </c>
      <c r="C41" s="7" t="s">
        <v>198</v>
      </c>
      <c r="D41" s="83">
        <v>85</v>
      </c>
      <c r="E41" s="6">
        <v>13</v>
      </c>
      <c r="F41" s="6" t="s">
        <v>5</v>
      </c>
      <c r="G41" s="50">
        <f t="shared" si="6"/>
        <v>1105</v>
      </c>
      <c r="H41" s="35"/>
      <c r="I41" s="165">
        <v>1.22</v>
      </c>
      <c r="K41" s="167">
        <f>116.08*0.6</f>
        <v>69.647999999999996</v>
      </c>
      <c r="L41" s="167">
        <f t="shared" si="8"/>
        <v>905.42399999999998</v>
      </c>
      <c r="M41" s="171">
        <f t="shared" si="2"/>
        <v>85</v>
      </c>
      <c r="N41" s="166"/>
      <c r="O41" s="159"/>
      <c r="P41" s="164"/>
      <c r="Q41" s="161"/>
    </row>
    <row r="42" spans="1:17" s="53" customFormat="1" ht="11.25">
      <c r="A42" s="6">
        <v>13</v>
      </c>
      <c r="B42" s="156">
        <v>30303</v>
      </c>
      <c r="C42" s="42" t="s">
        <v>199</v>
      </c>
      <c r="D42" s="83">
        <v>342</v>
      </c>
      <c r="E42" s="6">
        <v>4</v>
      </c>
      <c r="F42" s="6" t="s">
        <v>5</v>
      </c>
      <c r="G42" s="50">
        <f>D42*E42</f>
        <v>1368</v>
      </c>
      <c r="H42" s="35"/>
      <c r="I42" s="165">
        <v>1.22</v>
      </c>
      <c r="K42" s="167">
        <f>466.29*0.6</f>
        <v>279.774</v>
      </c>
      <c r="L42" s="167">
        <f t="shared" si="8"/>
        <v>1119.096</v>
      </c>
      <c r="M42" s="171">
        <f t="shared" si="2"/>
        <v>342</v>
      </c>
      <c r="N42" s="166"/>
      <c r="O42" s="159"/>
      <c r="P42" s="164"/>
      <c r="Q42" s="161"/>
    </row>
    <row r="43" spans="1:17" ht="11.25">
      <c r="A43" s="6">
        <v>14</v>
      </c>
      <c r="B43" s="156">
        <v>30226</v>
      </c>
      <c r="C43" s="7" t="s">
        <v>200</v>
      </c>
      <c r="D43" s="83">
        <v>731</v>
      </c>
      <c r="E43" s="6">
        <v>2</v>
      </c>
      <c r="F43" s="6" t="s">
        <v>5</v>
      </c>
      <c r="G43" s="50">
        <f>D43*E43</f>
        <v>1462</v>
      </c>
      <c r="H43" s="28"/>
      <c r="I43" s="165">
        <v>1.22</v>
      </c>
      <c r="J43" s="47"/>
      <c r="K43" s="167">
        <f>998.14*0.6</f>
        <v>598.88400000000001</v>
      </c>
      <c r="L43" s="167">
        <f t="shared" si="8"/>
        <v>1197.768</v>
      </c>
      <c r="M43" s="171">
        <f t="shared" si="2"/>
        <v>731</v>
      </c>
      <c r="N43" s="166"/>
      <c r="O43" s="159"/>
      <c r="P43" s="160"/>
      <c r="Q43" s="161"/>
    </row>
    <row r="44" spans="1:17" ht="11.25">
      <c r="A44" s="6">
        <v>15</v>
      </c>
      <c r="B44" s="156">
        <v>30301</v>
      </c>
      <c r="C44" s="42" t="s">
        <v>201</v>
      </c>
      <c r="D44" s="83">
        <v>217</v>
      </c>
      <c r="E44" s="6">
        <v>1</v>
      </c>
      <c r="F44" s="6" t="s">
        <v>5</v>
      </c>
      <c r="G44" s="50">
        <f>D44*E44</f>
        <v>217</v>
      </c>
      <c r="H44" s="28"/>
      <c r="I44" s="165">
        <v>1.22</v>
      </c>
      <c r="J44" s="47"/>
      <c r="K44" s="167">
        <f>295.32*0.6</f>
        <v>177.19199999999998</v>
      </c>
      <c r="L44" s="167">
        <f t="shared" si="8"/>
        <v>177.19199999999998</v>
      </c>
      <c r="M44" s="171">
        <f t="shared" si="2"/>
        <v>217</v>
      </c>
      <c r="N44" s="166"/>
      <c r="O44" s="159"/>
      <c r="P44" s="160"/>
      <c r="Q44" s="161"/>
    </row>
    <row r="45" spans="1:17" ht="11.25">
      <c r="A45" s="6">
        <v>16</v>
      </c>
      <c r="B45" s="156">
        <v>30378</v>
      </c>
      <c r="C45" s="7" t="s">
        <v>202</v>
      </c>
      <c r="D45" s="83">
        <v>216</v>
      </c>
      <c r="E45" s="6">
        <v>17</v>
      </c>
      <c r="F45" s="6" t="s">
        <v>5</v>
      </c>
      <c r="G45" s="50">
        <f t="shared" ref="G45:G49" si="12">D45*E45</f>
        <v>3672</v>
      </c>
      <c r="H45" s="28"/>
      <c r="I45" s="165">
        <v>1.22</v>
      </c>
      <c r="J45" s="47"/>
      <c r="K45" s="167">
        <f>294.59*0.6</f>
        <v>176.75399999999999</v>
      </c>
      <c r="L45" s="167">
        <f t="shared" si="8"/>
        <v>3004.8179999999998</v>
      </c>
      <c r="M45" s="171">
        <f t="shared" si="2"/>
        <v>216</v>
      </c>
      <c r="N45" s="166"/>
      <c r="O45" s="159"/>
      <c r="P45" s="160"/>
      <c r="Q45" s="161"/>
    </row>
    <row r="46" spans="1:17" ht="18">
      <c r="A46" s="6">
        <v>17</v>
      </c>
      <c r="B46" s="156">
        <v>80051</v>
      </c>
      <c r="C46" s="7" t="s">
        <v>123</v>
      </c>
      <c r="D46" s="83">
        <v>95</v>
      </c>
      <c r="E46" s="6">
        <v>1</v>
      </c>
      <c r="F46" s="6" t="s">
        <v>5</v>
      </c>
      <c r="G46" s="50">
        <f t="shared" si="12"/>
        <v>95</v>
      </c>
      <c r="H46" s="28"/>
      <c r="I46" s="165">
        <v>1.22</v>
      </c>
      <c r="J46" s="47"/>
      <c r="K46" s="167">
        <f>128.99*0.6</f>
        <v>77.394000000000005</v>
      </c>
      <c r="L46" s="167">
        <f t="shared" si="8"/>
        <v>77.394000000000005</v>
      </c>
      <c r="M46" s="171">
        <f t="shared" si="2"/>
        <v>95</v>
      </c>
      <c r="N46" s="166"/>
      <c r="O46" s="159"/>
      <c r="P46" s="160"/>
      <c r="Q46" s="161"/>
    </row>
    <row r="47" spans="1:17" ht="18">
      <c r="A47" s="6">
        <v>18</v>
      </c>
      <c r="B47" s="156">
        <v>80052</v>
      </c>
      <c r="C47" s="7" t="s">
        <v>122</v>
      </c>
      <c r="D47" s="83">
        <v>230</v>
      </c>
      <c r="E47" s="6">
        <v>1</v>
      </c>
      <c r="F47" s="6" t="s">
        <v>5</v>
      </c>
      <c r="G47" s="50">
        <f t="shared" si="12"/>
        <v>230</v>
      </c>
      <c r="H47" s="28"/>
      <c r="I47" s="165">
        <v>1.22</v>
      </c>
      <c r="J47" s="47"/>
      <c r="K47" s="167">
        <f>313.76*0.6</f>
        <v>188.256</v>
      </c>
      <c r="L47" s="167">
        <f t="shared" si="8"/>
        <v>188.256</v>
      </c>
      <c r="M47" s="171">
        <f t="shared" si="2"/>
        <v>230</v>
      </c>
      <c r="N47" s="166"/>
      <c r="O47" s="159"/>
      <c r="P47" s="160"/>
      <c r="Q47" s="161"/>
    </row>
    <row r="48" spans="1:17" ht="18">
      <c r="A48" s="6">
        <v>19</v>
      </c>
      <c r="B48" s="156">
        <v>89630</v>
      </c>
      <c r="C48" s="7" t="s">
        <v>124</v>
      </c>
      <c r="D48" s="83">
        <v>3293</v>
      </c>
      <c r="E48" s="6">
        <f>E49</f>
        <v>5</v>
      </c>
      <c r="F48" s="6" t="s">
        <v>5</v>
      </c>
      <c r="G48" s="50">
        <f t="shared" si="12"/>
        <v>16465</v>
      </c>
      <c r="H48" s="28"/>
      <c r="I48" s="165">
        <v>1.22</v>
      </c>
      <c r="J48" s="47"/>
      <c r="K48" s="167">
        <f>4498.15*0.6</f>
        <v>2698.89</v>
      </c>
      <c r="L48" s="167">
        <f t="shared" si="8"/>
        <v>13494.449999999999</v>
      </c>
      <c r="M48" s="171">
        <f t="shared" si="2"/>
        <v>3293</v>
      </c>
      <c r="N48" s="166"/>
      <c r="O48" s="159"/>
      <c r="P48" s="160"/>
      <c r="Q48" s="161"/>
    </row>
    <row r="49" spans="1:17" ht="18">
      <c r="A49" s="6">
        <v>20</v>
      </c>
      <c r="B49" s="156">
        <v>89620</v>
      </c>
      <c r="C49" s="7" t="s">
        <v>125</v>
      </c>
      <c r="D49" s="83">
        <v>7659</v>
      </c>
      <c r="E49" s="6">
        <v>5</v>
      </c>
      <c r="F49" s="6" t="s">
        <v>5</v>
      </c>
      <c r="G49" s="50">
        <f t="shared" si="12"/>
        <v>38295</v>
      </c>
      <c r="H49" s="28"/>
      <c r="I49" s="165">
        <v>1.22</v>
      </c>
      <c r="J49" s="47"/>
      <c r="K49" s="167">
        <f>10463.02*0.6</f>
        <v>6277.8119999999999</v>
      </c>
      <c r="L49" s="167">
        <f t="shared" si="8"/>
        <v>31389.059999999998</v>
      </c>
      <c r="M49" s="171">
        <f t="shared" si="2"/>
        <v>7659</v>
      </c>
      <c r="N49" s="166"/>
      <c r="O49" s="159"/>
      <c r="P49" s="160"/>
      <c r="Q49" s="161"/>
    </row>
    <row r="50" spans="1:17" ht="11.25">
      <c r="A50" s="243" t="s">
        <v>36</v>
      </c>
      <c r="B50" s="244"/>
      <c r="C50" s="244"/>
      <c r="D50" s="244"/>
      <c r="E50" s="244"/>
      <c r="F50" s="245"/>
      <c r="G50" s="19">
        <f>SUM(G30:G49)</f>
        <v>139961</v>
      </c>
      <c r="H50" s="28"/>
      <c r="I50" s="165"/>
      <c r="J50" s="165"/>
      <c r="K50" s="167"/>
      <c r="L50" s="167"/>
      <c r="M50" s="171"/>
      <c r="N50" s="166"/>
      <c r="O50" s="159"/>
      <c r="P50" s="160"/>
      <c r="Q50" s="161"/>
    </row>
    <row r="51" spans="1:17" ht="11.25">
      <c r="A51" s="246" t="s">
        <v>126</v>
      </c>
      <c r="B51" s="247"/>
      <c r="C51" s="247"/>
      <c r="D51" s="247"/>
      <c r="E51" s="247"/>
      <c r="F51" s="247"/>
      <c r="G51" s="248"/>
      <c r="H51" s="28"/>
      <c r="I51" s="165"/>
      <c r="J51" s="165"/>
      <c r="K51" s="167"/>
      <c r="L51" s="167"/>
      <c r="M51" s="171"/>
      <c r="N51" s="166"/>
      <c r="O51" s="159"/>
      <c r="P51" s="160"/>
      <c r="Q51" s="161"/>
    </row>
    <row r="52" spans="1:17" ht="27">
      <c r="A52" s="6">
        <v>1</v>
      </c>
      <c r="B52" s="156"/>
      <c r="C52" s="7" t="s">
        <v>127</v>
      </c>
      <c r="D52" s="83">
        <v>10</v>
      </c>
      <c r="E52" s="6">
        <v>600</v>
      </c>
      <c r="F52" s="6" t="s">
        <v>6</v>
      </c>
      <c r="G52" s="50">
        <f>D52*E52</f>
        <v>6000</v>
      </c>
      <c r="H52" s="28"/>
      <c r="I52" s="165">
        <v>1.22</v>
      </c>
      <c r="J52" s="165"/>
      <c r="K52" s="167">
        <v>7.7</v>
      </c>
      <c r="L52" s="167">
        <f>K52*E52</f>
        <v>4620</v>
      </c>
      <c r="M52" s="171">
        <f t="shared" si="2"/>
        <v>10</v>
      </c>
      <c r="N52" s="166"/>
      <c r="O52" s="159"/>
      <c r="P52" s="160"/>
      <c r="Q52" s="161"/>
    </row>
    <row r="53" spans="1:17" ht="11.25">
      <c r="A53" s="6">
        <v>2</v>
      </c>
      <c r="B53" s="156"/>
      <c r="C53" s="7" t="s">
        <v>128</v>
      </c>
      <c r="D53" s="83">
        <v>2</v>
      </c>
      <c r="E53" s="6">
        <v>600</v>
      </c>
      <c r="F53" s="6" t="s">
        <v>6</v>
      </c>
      <c r="G53" s="50">
        <f t="shared" ref="G53:G56" si="13">D53*E53</f>
        <v>1200</v>
      </c>
      <c r="H53" s="28"/>
      <c r="I53" s="165">
        <v>1.22</v>
      </c>
      <c r="J53" s="165"/>
      <c r="K53" s="167">
        <v>1</v>
      </c>
      <c r="L53" s="167">
        <f>K53*E53</f>
        <v>600</v>
      </c>
      <c r="M53" s="171">
        <f t="shared" si="2"/>
        <v>2</v>
      </c>
      <c r="N53" s="166"/>
      <c r="O53" s="159"/>
      <c r="P53" s="160"/>
      <c r="Q53" s="161"/>
    </row>
    <row r="54" spans="1:17" ht="18">
      <c r="A54" s="6">
        <v>3</v>
      </c>
      <c r="B54" s="156"/>
      <c r="C54" s="7" t="s">
        <v>129</v>
      </c>
      <c r="D54" s="83">
        <v>16</v>
      </c>
      <c r="E54" s="6">
        <v>24</v>
      </c>
      <c r="F54" s="6" t="s">
        <v>6</v>
      </c>
      <c r="G54" s="50">
        <f t="shared" si="13"/>
        <v>384</v>
      </c>
      <c r="H54" s="28"/>
      <c r="I54" s="165">
        <v>1.22</v>
      </c>
      <c r="J54" s="165"/>
      <c r="K54" s="167">
        <v>12.4</v>
      </c>
      <c r="L54" s="167">
        <f>K54*E54</f>
        <v>297.60000000000002</v>
      </c>
      <c r="M54" s="171">
        <f t="shared" si="2"/>
        <v>16</v>
      </c>
      <c r="N54" s="166"/>
      <c r="O54" s="159"/>
      <c r="P54" s="160"/>
      <c r="Q54" s="161"/>
    </row>
    <row r="55" spans="1:17" ht="18">
      <c r="A55" s="6">
        <v>4</v>
      </c>
      <c r="B55" s="156"/>
      <c r="C55" s="7" t="s">
        <v>10</v>
      </c>
      <c r="D55" s="83">
        <v>4</v>
      </c>
      <c r="E55" s="6">
        <f>E33+E26</f>
        <v>60</v>
      </c>
      <c r="F55" s="6" t="s">
        <v>5</v>
      </c>
      <c r="G55" s="50">
        <f t="shared" si="13"/>
        <v>240</v>
      </c>
      <c r="H55" s="28"/>
      <c r="I55" s="165">
        <v>2</v>
      </c>
      <c r="J55" s="165"/>
      <c r="K55" s="167">
        <v>2</v>
      </c>
      <c r="L55" s="167">
        <f>K55*E55</f>
        <v>120</v>
      </c>
      <c r="M55" s="171">
        <f t="shared" si="2"/>
        <v>4</v>
      </c>
      <c r="N55" s="166"/>
      <c r="O55" s="159"/>
      <c r="P55" s="160"/>
      <c r="Q55" s="161"/>
    </row>
    <row r="56" spans="1:17" ht="11.25">
      <c r="A56" s="6">
        <v>5</v>
      </c>
      <c r="B56" s="156"/>
      <c r="C56" s="7" t="s">
        <v>130</v>
      </c>
      <c r="D56" s="83">
        <v>7000</v>
      </c>
      <c r="E56" s="6">
        <v>1</v>
      </c>
      <c r="F56" s="6" t="s">
        <v>131</v>
      </c>
      <c r="G56" s="50">
        <f t="shared" si="13"/>
        <v>7000</v>
      </c>
      <c r="H56" s="28"/>
      <c r="I56" s="165">
        <v>1.5</v>
      </c>
      <c r="J56" s="165"/>
      <c r="K56" s="167">
        <v>5000</v>
      </c>
      <c r="L56" s="167">
        <f>K56*E56</f>
        <v>5000</v>
      </c>
      <c r="M56" s="171">
        <f t="shared" si="2"/>
        <v>7500</v>
      </c>
      <c r="N56" s="166"/>
      <c r="O56" s="159"/>
      <c r="P56" s="160"/>
      <c r="Q56" s="161"/>
    </row>
    <row r="57" spans="1:17" ht="11.25">
      <c r="A57" s="243" t="s">
        <v>36</v>
      </c>
      <c r="B57" s="244"/>
      <c r="C57" s="244"/>
      <c r="D57" s="244"/>
      <c r="E57" s="244"/>
      <c r="F57" s="245"/>
      <c r="G57" s="19">
        <f>SUM(G52:G56)</f>
        <v>14824</v>
      </c>
      <c r="H57" s="28"/>
      <c r="I57" s="165"/>
      <c r="J57" s="165"/>
      <c r="K57" s="165"/>
      <c r="L57" s="165"/>
      <c r="M57" s="166"/>
      <c r="N57" s="166"/>
      <c r="O57" s="159"/>
      <c r="P57" s="160"/>
      <c r="Q57" s="161"/>
    </row>
    <row r="58" spans="1:17" ht="11.25">
      <c r="A58" s="243" t="s">
        <v>37</v>
      </c>
      <c r="B58" s="244"/>
      <c r="C58" s="244"/>
      <c r="D58" s="244"/>
      <c r="E58" s="244"/>
      <c r="F58" s="245"/>
      <c r="G58" s="19">
        <f>G16+G28+G50+G57</f>
        <v>183509</v>
      </c>
      <c r="H58" s="55"/>
      <c r="I58" s="249" t="s">
        <v>139</v>
      </c>
      <c r="J58" s="249"/>
      <c r="K58" s="249"/>
      <c r="L58" s="167">
        <f>SUM(L12:L56)</f>
        <v>148593.37542174</v>
      </c>
      <c r="M58" s="166"/>
      <c r="N58" s="166"/>
      <c r="O58" s="159"/>
      <c r="P58" s="160"/>
      <c r="Q58" s="161"/>
    </row>
    <row r="59" spans="1:17" ht="11.25">
      <c r="A59" s="18" t="s">
        <v>0</v>
      </c>
      <c r="B59" s="74" t="s">
        <v>2</v>
      </c>
      <c r="C59" s="254" t="s">
        <v>34</v>
      </c>
      <c r="D59" s="255"/>
      <c r="E59" s="18" t="s">
        <v>3</v>
      </c>
      <c r="F59" s="18" t="s">
        <v>4</v>
      </c>
      <c r="G59" s="18" t="s">
        <v>35</v>
      </c>
      <c r="H59" s="55"/>
      <c r="I59" s="165"/>
      <c r="J59" s="165"/>
      <c r="K59" s="165"/>
      <c r="L59" s="165"/>
      <c r="M59" s="166"/>
      <c r="N59" s="166"/>
      <c r="O59" s="159"/>
      <c r="P59" s="160"/>
      <c r="Q59" s="163"/>
    </row>
    <row r="60" spans="1:17" ht="11.25">
      <c r="A60" s="266" t="s">
        <v>83</v>
      </c>
      <c r="B60" s="267"/>
      <c r="C60" s="267"/>
      <c r="D60" s="267"/>
      <c r="E60" s="267"/>
      <c r="F60" s="267"/>
      <c r="G60" s="268"/>
      <c r="H60" s="56"/>
      <c r="I60" s="251"/>
      <c r="J60" s="251"/>
      <c r="K60" s="251"/>
      <c r="L60" s="251"/>
      <c r="M60" s="250"/>
      <c r="N60" s="250"/>
      <c r="O60" s="159"/>
      <c r="P60" s="160"/>
      <c r="Q60" s="163"/>
    </row>
    <row r="61" spans="1:17" ht="11.25">
      <c r="A61" s="2">
        <v>1</v>
      </c>
      <c r="B61" s="20"/>
      <c r="C61" s="3" t="s">
        <v>133</v>
      </c>
      <c r="D61" s="86">
        <v>2200</v>
      </c>
      <c r="E61" s="2">
        <f>E12</f>
        <v>1</v>
      </c>
      <c r="F61" s="2" t="s">
        <v>5</v>
      </c>
      <c r="G61" s="97">
        <f>D61*E61</f>
        <v>2200</v>
      </c>
      <c r="H61" s="56"/>
      <c r="I61" s="251"/>
      <c r="J61" s="251"/>
      <c r="K61" s="251"/>
      <c r="L61" s="251"/>
      <c r="M61" s="250"/>
      <c r="N61" s="250"/>
      <c r="O61" s="159"/>
      <c r="P61" s="160"/>
      <c r="Q61" s="163"/>
    </row>
    <row r="62" spans="1:17" ht="11.25">
      <c r="A62" s="2">
        <v>2</v>
      </c>
      <c r="B62" s="78"/>
      <c r="C62" s="42" t="s">
        <v>19</v>
      </c>
      <c r="D62" s="85">
        <v>45</v>
      </c>
      <c r="E62" s="33">
        <f>E31+E32</f>
        <v>10</v>
      </c>
      <c r="F62" s="2" t="s">
        <v>5</v>
      </c>
      <c r="G62" s="97">
        <f>D62*E62</f>
        <v>450</v>
      </c>
      <c r="H62" s="55"/>
      <c r="I62" s="251"/>
      <c r="J62" s="251"/>
      <c r="K62" s="251"/>
      <c r="L62" s="251"/>
      <c r="M62" s="250"/>
      <c r="N62" s="250"/>
      <c r="O62" s="159"/>
      <c r="P62" s="160"/>
      <c r="Q62" s="163"/>
    </row>
    <row r="63" spans="1:17" ht="11.25">
      <c r="A63" s="2">
        <v>3</v>
      </c>
      <c r="B63" s="77"/>
      <c r="C63" s="3" t="s">
        <v>21</v>
      </c>
      <c r="D63" s="86">
        <v>600</v>
      </c>
      <c r="E63" s="2">
        <v>1</v>
      </c>
      <c r="F63" s="2" t="s">
        <v>5</v>
      </c>
      <c r="G63" s="97">
        <f>D63*E63</f>
        <v>600</v>
      </c>
      <c r="H63" s="56"/>
      <c r="I63" s="251"/>
      <c r="J63" s="251"/>
      <c r="K63" s="251"/>
      <c r="L63" s="251"/>
      <c r="M63" s="250"/>
      <c r="N63" s="250"/>
      <c r="O63" s="159"/>
      <c r="P63" s="160"/>
      <c r="Q63" s="163"/>
    </row>
    <row r="64" spans="1:17" ht="11.25">
      <c r="A64" s="269" t="s">
        <v>36</v>
      </c>
      <c r="B64" s="260"/>
      <c r="C64" s="260"/>
      <c r="D64" s="260"/>
      <c r="E64" s="260"/>
      <c r="F64" s="261"/>
      <c r="G64" s="96">
        <f>SUM(G61:G63)</f>
        <v>3250</v>
      </c>
      <c r="I64" s="251"/>
      <c r="J64" s="251"/>
      <c r="K64" s="251"/>
      <c r="L64" s="251"/>
      <c r="M64" s="250"/>
      <c r="N64" s="250"/>
      <c r="O64" s="162"/>
      <c r="P64" s="160"/>
      <c r="Q64" s="161"/>
    </row>
    <row r="65" spans="1:17" ht="11.25">
      <c r="A65" s="266" t="s">
        <v>132</v>
      </c>
      <c r="B65" s="267"/>
      <c r="C65" s="267"/>
      <c r="D65" s="267"/>
      <c r="E65" s="267"/>
      <c r="F65" s="267"/>
      <c r="G65" s="268"/>
      <c r="I65" s="168"/>
      <c r="J65" s="168"/>
      <c r="K65" s="168"/>
      <c r="L65" s="168"/>
      <c r="M65" s="169"/>
      <c r="N65" s="169"/>
      <c r="O65" s="162"/>
      <c r="P65" s="160"/>
      <c r="Q65" s="161"/>
    </row>
    <row r="66" spans="1:17" ht="11.25">
      <c r="A66" s="2">
        <v>1</v>
      </c>
      <c r="B66" s="20"/>
      <c r="C66" s="3" t="s">
        <v>182</v>
      </c>
      <c r="D66" s="86">
        <v>1200</v>
      </c>
      <c r="E66" s="2">
        <f>E18+E19</f>
        <v>2</v>
      </c>
      <c r="F66" s="2" t="s">
        <v>5</v>
      </c>
      <c r="G66" s="97">
        <f>D66*E66</f>
        <v>2400</v>
      </c>
      <c r="I66" s="168"/>
      <c r="J66" s="168"/>
      <c r="K66" s="168"/>
      <c r="L66" s="168"/>
      <c r="M66" s="169"/>
      <c r="N66" s="169"/>
      <c r="O66" s="162"/>
      <c r="P66" s="160"/>
      <c r="Q66" s="161"/>
    </row>
    <row r="67" spans="1:17" ht="18">
      <c r="A67" s="2">
        <v>2</v>
      </c>
      <c r="B67" s="20"/>
      <c r="C67" s="3" t="s">
        <v>135</v>
      </c>
      <c r="D67" s="86">
        <v>90</v>
      </c>
      <c r="E67" s="2">
        <f>E27</f>
        <v>120</v>
      </c>
      <c r="F67" s="2" t="s">
        <v>6</v>
      </c>
      <c r="G67" s="97">
        <f>D67*E67</f>
        <v>10800</v>
      </c>
      <c r="I67" s="168">
        <v>35</v>
      </c>
      <c r="J67" s="168">
        <f>I67*E67</f>
        <v>4200</v>
      </c>
      <c r="K67" s="168"/>
      <c r="L67" s="168"/>
      <c r="M67" s="169"/>
      <c r="N67" s="169"/>
      <c r="O67" s="162"/>
      <c r="P67" s="160"/>
      <c r="Q67" s="161"/>
    </row>
    <row r="68" spans="1:17" ht="11.25">
      <c r="A68" s="2">
        <v>3</v>
      </c>
      <c r="B68" s="78"/>
      <c r="C68" s="42" t="s">
        <v>183</v>
      </c>
      <c r="D68" s="85">
        <v>750</v>
      </c>
      <c r="E68" s="33">
        <v>8</v>
      </c>
      <c r="F68" s="2" t="s">
        <v>5</v>
      </c>
      <c r="G68" s="97">
        <f t="shared" ref="G68" si="14">D68*E68</f>
        <v>6000</v>
      </c>
      <c r="I68" s="168"/>
      <c r="J68" s="168">
        <v>2000</v>
      </c>
      <c r="K68" s="168"/>
      <c r="L68" s="168"/>
      <c r="M68" s="169"/>
      <c r="N68" s="169"/>
      <c r="O68" s="162"/>
      <c r="P68" s="160"/>
      <c r="Q68" s="161"/>
    </row>
    <row r="69" spans="1:17" ht="11.25">
      <c r="A69" s="269" t="s">
        <v>36</v>
      </c>
      <c r="B69" s="260"/>
      <c r="C69" s="260"/>
      <c r="D69" s="260"/>
      <c r="E69" s="260"/>
      <c r="F69" s="261"/>
      <c r="G69" s="96">
        <f>SUM(G66:G68)</f>
        <v>19200</v>
      </c>
      <c r="I69" s="168"/>
      <c r="J69" s="168"/>
      <c r="K69" s="168"/>
      <c r="L69" s="168"/>
      <c r="M69" s="169"/>
      <c r="N69" s="169"/>
      <c r="O69" s="162"/>
      <c r="P69" s="160"/>
      <c r="Q69" s="161"/>
    </row>
    <row r="70" spans="1:17" ht="11.25">
      <c r="A70" s="266" t="s">
        <v>63</v>
      </c>
      <c r="B70" s="267"/>
      <c r="C70" s="267"/>
      <c r="D70" s="267"/>
      <c r="E70" s="267"/>
      <c r="F70" s="267"/>
      <c r="G70" s="268"/>
      <c r="H70" s="55"/>
      <c r="I70" s="168"/>
      <c r="J70" s="168"/>
      <c r="K70" s="168"/>
      <c r="L70" s="168"/>
      <c r="M70" s="250"/>
      <c r="N70" s="250"/>
      <c r="O70" s="159"/>
      <c r="P70" s="160"/>
      <c r="Q70" s="163"/>
    </row>
    <row r="71" spans="1:17" s="58" customFormat="1" ht="11.25">
      <c r="A71" s="5">
        <v>1</v>
      </c>
      <c r="B71" s="31"/>
      <c r="C71" s="41" t="s">
        <v>134</v>
      </c>
      <c r="D71" s="85">
        <v>380</v>
      </c>
      <c r="E71" s="5">
        <v>15</v>
      </c>
      <c r="F71" s="30" t="s">
        <v>6</v>
      </c>
      <c r="G71" s="95">
        <f>D71*E71</f>
        <v>5700</v>
      </c>
      <c r="H71" s="57"/>
      <c r="I71" s="168">
        <v>100</v>
      </c>
      <c r="J71" s="168">
        <f>I71*E71</f>
        <v>1500</v>
      </c>
      <c r="K71" s="168"/>
      <c r="L71" s="168"/>
      <c r="M71" s="250"/>
      <c r="N71" s="250"/>
      <c r="O71" s="159"/>
      <c r="P71" s="164"/>
      <c r="Q71" s="161"/>
    </row>
    <row r="72" spans="1:17" s="58" customFormat="1" ht="11.25">
      <c r="A72" s="5">
        <v>2</v>
      </c>
      <c r="B72" s="31"/>
      <c r="C72" s="41" t="s">
        <v>80</v>
      </c>
      <c r="D72" s="85">
        <v>25</v>
      </c>
      <c r="E72" s="5">
        <f>E54</f>
        <v>24</v>
      </c>
      <c r="F72" s="30" t="s">
        <v>6</v>
      </c>
      <c r="G72" s="95">
        <f>D72*E72</f>
        <v>600</v>
      </c>
      <c r="H72" s="57"/>
      <c r="I72" s="168"/>
      <c r="J72" s="168"/>
      <c r="K72" s="168"/>
      <c r="L72" s="168"/>
      <c r="M72" s="250"/>
      <c r="N72" s="250"/>
      <c r="O72" s="159"/>
      <c r="P72" s="164"/>
      <c r="Q72" s="161"/>
    </row>
    <row r="73" spans="1:17" ht="18">
      <c r="A73" s="5">
        <v>3</v>
      </c>
      <c r="B73" s="20"/>
      <c r="C73" s="41" t="s">
        <v>11</v>
      </c>
      <c r="D73" s="85">
        <v>2.5</v>
      </c>
      <c r="E73" s="5">
        <f>E30*305</f>
        <v>2440</v>
      </c>
      <c r="F73" s="5" t="s">
        <v>6</v>
      </c>
      <c r="G73" s="95">
        <f>D73*E73</f>
        <v>6100</v>
      </c>
      <c r="H73" s="47"/>
      <c r="I73" s="168"/>
      <c r="J73" s="168"/>
      <c r="K73" s="168"/>
      <c r="L73" s="168"/>
      <c r="M73" s="250"/>
      <c r="N73" s="250"/>
      <c r="O73" s="159"/>
      <c r="P73" s="160"/>
      <c r="Q73" s="163"/>
    </row>
    <row r="74" spans="1:17" ht="11.25">
      <c r="A74" s="5">
        <v>4</v>
      </c>
      <c r="B74" s="77"/>
      <c r="C74" s="7" t="s">
        <v>78</v>
      </c>
      <c r="D74" s="85">
        <v>14</v>
      </c>
      <c r="E74" s="5">
        <f>E73</f>
        <v>2440</v>
      </c>
      <c r="F74" s="5" t="s">
        <v>6</v>
      </c>
      <c r="G74" s="95">
        <f t="shared" ref="G74:G80" si="15">D74*E74</f>
        <v>34160</v>
      </c>
      <c r="H74" s="55"/>
      <c r="I74" s="168"/>
      <c r="J74" s="168"/>
      <c r="K74" s="168"/>
      <c r="L74" s="168"/>
      <c r="M74" s="157"/>
      <c r="N74" s="158"/>
      <c r="O74" s="146"/>
      <c r="P74" s="146"/>
      <c r="Q74" s="146"/>
    </row>
    <row r="75" spans="1:17" ht="11.25">
      <c r="A75" s="5">
        <v>5</v>
      </c>
      <c r="B75" s="77"/>
      <c r="C75" s="7" t="s">
        <v>136</v>
      </c>
      <c r="D75" s="85">
        <v>45</v>
      </c>
      <c r="E75" s="5">
        <f>E45</f>
        <v>17</v>
      </c>
      <c r="F75" s="30" t="s">
        <v>5</v>
      </c>
      <c r="G75" s="95">
        <f t="shared" si="15"/>
        <v>765</v>
      </c>
      <c r="H75" s="55"/>
      <c r="I75" s="168"/>
      <c r="J75" s="168"/>
      <c r="K75" s="168"/>
      <c r="L75" s="168"/>
      <c r="M75" s="157"/>
      <c r="N75" s="158"/>
      <c r="O75" s="146"/>
      <c r="P75" s="146"/>
      <c r="Q75" s="146"/>
    </row>
    <row r="76" spans="1:17" ht="11.25">
      <c r="A76" s="5">
        <v>6</v>
      </c>
      <c r="B76" s="78"/>
      <c r="C76" s="42" t="s">
        <v>81</v>
      </c>
      <c r="D76" s="85">
        <v>20</v>
      </c>
      <c r="E76" s="33">
        <f>E46+E47</f>
        <v>2</v>
      </c>
      <c r="F76" s="30" t="s">
        <v>5</v>
      </c>
      <c r="G76" s="95">
        <f t="shared" si="15"/>
        <v>40</v>
      </c>
      <c r="H76" s="55"/>
      <c r="I76" s="168"/>
      <c r="J76" s="168"/>
      <c r="K76" s="168"/>
      <c r="L76" s="168"/>
      <c r="M76" s="37"/>
      <c r="N76" s="38"/>
    </row>
    <row r="77" spans="1:17" ht="11.25">
      <c r="A77" s="5">
        <v>7</v>
      </c>
      <c r="B77" s="77"/>
      <c r="C77" s="7" t="s">
        <v>12</v>
      </c>
      <c r="D77" s="85">
        <v>45</v>
      </c>
      <c r="E77" s="5">
        <f>E33</f>
        <v>56</v>
      </c>
      <c r="F77" s="5" t="s">
        <v>5</v>
      </c>
      <c r="G77" s="95">
        <f t="shared" si="15"/>
        <v>2520</v>
      </c>
      <c r="H77" s="55"/>
      <c r="I77" s="168"/>
      <c r="J77" s="168"/>
      <c r="K77" s="168"/>
      <c r="L77" s="168"/>
      <c r="M77" s="37"/>
      <c r="N77" s="38"/>
    </row>
    <row r="78" spans="1:17" ht="11.25">
      <c r="A78" s="5">
        <v>8</v>
      </c>
      <c r="B78" s="77"/>
      <c r="C78" s="7" t="s">
        <v>13</v>
      </c>
      <c r="D78" s="85">
        <v>55</v>
      </c>
      <c r="E78" s="5">
        <v>64</v>
      </c>
      <c r="F78" s="5" t="s">
        <v>5</v>
      </c>
      <c r="G78" s="95">
        <f t="shared" si="15"/>
        <v>3520</v>
      </c>
      <c r="H78" s="55"/>
      <c r="I78" s="168"/>
      <c r="J78" s="168"/>
      <c r="K78" s="168"/>
      <c r="L78" s="168"/>
      <c r="M78" s="37"/>
      <c r="N78" s="38"/>
    </row>
    <row r="79" spans="1:17" ht="11.25">
      <c r="A79" s="5">
        <v>9</v>
      </c>
      <c r="B79" s="79"/>
      <c r="C79" s="7" t="s">
        <v>14</v>
      </c>
      <c r="D79" s="85">
        <v>20</v>
      </c>
      <c r="E79" s="5">
        <f>E78</f>
        <v>64</v>
      </c>
      <c r="F79" s="5" t="s">
        <v>5</v>
      </c>
      <c r="G79" s="95">
        <f t="shared" si="15"/>
        <v>1280</v>
      </c>
      <c r="H79" s="55"/>
      <c r="I79" s="168">
        <v>400</v>
      </c>
      <c r="J79" s="168">
        <f>I79*E79</f>
        <v>25600</v>
      </c>
      <c r="K79" s="168"/>
      <c r="L79" s="168"/>
      <c r="M79" s="39"/>
      <c r="N79" s="40"/>
    </row>
    <row r="80" spans="1:17" ht="18">
      <c r="A80" s="5">
        <v>10</v>
      </c>
      <c r="B80" s="78"/>
      <c r="C80" s="7" t="s">
        <v>15</v>
      </c>
      <c r="D80" s="85">
        <v>60</v>
      </c>
      <c r="E80" s="5">
        <f>E78</f>
        <v>64</v>
      </c>
      <c r="F80" s="30" t="s">
        <v>5</v>
      </c>
      <c r="G80" s="95">
        <f t="shared" si="15"/>
        <v>3840</v>
      </c>
      <c r="H80" s="55"/>
      <c r="I80" s="168"/>
      <c r="J80" s="168"/>
      <c r="K80" s="168"/>
      <c r="L80" s="168"/>
      <c r="M80" s="47"/>
      <c r="N80" s="47"/>
    </row>
    <row r="81" spans="1:14" ht="18">
      <c r="A81" s="5">
        <v>11</v>
      </c>
      <c r="B81" s="20"/>
      <c r="C81" s="7" t="s">
        <v>79</v>
      </c>
      <c r="D81" s="86">
        <v>1250</v>
      </c>
      <c r="E81" s="8">
        <v>3</v>
      </c>
      <c r="F81" s="2" t="s">
        <v>5</v>
      </c>
      <c r="G81" s="97">
        <f>D81*E81</f>
        <v>3750</v>
      </c>
      <c r="H81" s="55"/>
      <c r="I81" s="168"/>
      <c r="J81" s="168"/>
      <c r="K81" s="168"/>
      <c r="L81" s="168"/>
      <c r="M81" s="47"/>
      <c r="N81" s="47"/>
    </row>
    <row r="82" spans="1:14">
      <c r="A82" s="5">
        <v>12</v>
      </c>
      <c r="B82" s="77"/>
      <c r="C82" s="7" t="s">
        <v>18</v>
      </c>
      <c r="D82" s="86">
        <v>150</v>
      </c>
      <c r="E82" s="8">
        <v>5</v>
      </c>
      <c r="F82" s="2" t="s">
        <v>5</v>
      </c>
      <c r="G82" s="97">
        <f t="shared" ref="G82:G84" si="16">D82*E82</f>
        <v>750</v>
      </c>
      <c r="H82" s="55"/>
      <c r="I82" s="56"/>
      <c r="J82" s="55"/>
      <c r="K82" s="47"/>
      <c r="L82" s="56"/>
      <c r="M82" s="47"/>
      <c r="N82" s="47"/>
    </row>
    <row r="83" spans="1:14" ht="11.25">
      <c r="A83" s="5">
        <v>13</v>
      </c>
      <c r="B83" s="77"/>
      <c r="C83" s="7" t="s">
        <v>17</v>
      </c>
      <c r="D83" s="85">
        <v>65</v>
      </c>
      <c r="E83" s="8">
        <f>E39</f>
        <v>38</v>
      </c>
      <c r="F83" s="2" t="s">
        <v>6</v>
      </c>
      <c r="G83" s="97">
        <f t="shared" si="16"/>
        <v>2470</v>
      </c>
      <c r="H83" s="55"/>
      <c r="I83" s="56">
        <v>25</v>
      </c>
      <c r="J83" s="168">
        <f>I83*E83</f>
        <v>950</v>
      </c>
      <c r="K83" s="47"/>
      <c r="L83" s="56"/>
      <c r="M83" s="47"/>
      <c r="N83" s="47"/>
    </row>
    <row r="84" spans="1:14">
      <c r="A84" s="5">
        <v>14</v>
      </c>
      <c r="B84" s="78"/>
      <c r="C84" s="7" t="s">
        <v>16</v>
      </c>
      <c r="D84" s="85">
        <v>20</v>
      </c>
      <c r="E84" s="8">
        <f>E40+E41+E42+E43+E44</f>
        <v>58</v>
      </c>
      <c r="F84" s="12" t="s">
        <v>5</v>
      </c>
      <c r="G84" s="97">
        <f t="shared" si="16"/>
        <v>1160</v>
      </c>
      <c r="H84" s="55"/>
      <c r="I84" s="56"/>
      <c r="J84" s="55"/>
      <c r="K84" s="47"/>
      <c r="L84" s="56"/>
      <c r="M84" s="47"/>
      <c r="N84" s="47"/>
    </row>
    <row r="85" spans="1:14" ht="11.25">
      <c r="A85" s="5">
        <v>15</v>
      </c>
      <c r="B85" s="78"/>
      <c r="C85" s="7" t="s">
        <v>20</v>
      </c>
      <c r="D85" s="85">
        <v>2800</v>
      </c>
      <c r="E85" s="5">
        <f>E49</f>
        <v>5</v>
      </c>
      <c r="F85" s="30" t="s">
        <v>5</v>
      </c>
      <c r="G85" s="34">
        <f>D85*E85</f>
        <v>14000</v>
      </c>
      <c r="H85" s="46"/>
      <c r="I85" s="58">
        <v>1000</v>
      </c>
      <c r="J85" s="168">
        <f>I85*E85</f>
        <v>5000</v>
      </c>
      <c r="K85" s="47"/>
      <c r="L85" s="58"/>
      <c r="M85" s="47"/>
      <c r="N85" s="47"/>
    </row>
    <row r="86" spans="1:14" ht="11.25">
      <c r="A86" s="5">
        <v>16</v>
      </c>
      <c r="B86" s="78"/>
      <c r="C86" s="7" t="s">
        <v>184</v>
      </c>
      <c r="D86" s="85">
        <v>3000</v>
      </c>
      <c r="E86" s="5">
        <v>1</v>
      </c>
      <c r="F86" s="30" t="s">
        <v>131</v>
      </c>
      <c r="G86" s="34">
        <f>D86*E86</f>
        <v>3000</v>
      </c>
      <c r="H86" s="46"/>
      <c r="I86" s="58"/>
      <c r="J86" s="168"/>
      <c r="K86" s="47"/>
      <c r="L86" s="58"/>
      <c r="M86" s="47"/>
      <c r="N86" s="47"/>
    </row>
    <row r="87" spans="1:14">
      <c r="A87" s="259" t="s">
        <v>36</v>
      </c>
      <c r="B87" s="260"/>
      <c r="C87" s="260"/>
      <c r="D87" s="260"/>
      <c r="E87" s="260"/>
      <c r="F87" s="261"/>
      <c r="G87" s="123">
        <f>SUM(G71:G86)</f>
        <v>83655</v>
      </c>
      <c r="H87" s="46"/>
      <c r="J87" s="46"/>
      <c r="K87" s="47"/>
      <c r="M87" s="47"/>
      <c r="N87" s="47"/>
    </row>
    <row r="88" spans="1:14">
      <c r="A88" s="243" t="s">
        <v>38</v>
      </c>
      <c r="B88" s="244"/>
      <c r="C88" s="244"/>
      <c r="D88" s="244"/>
      <c r="E88" s="244"/>
      <c r="F88" s="245"/>
      <c r="G88" s="98">
        <f>G64+G69+G87</f>
        <v>106105</v>
      </c>
      <c r="H88" s="60"/>
      <c r="J88" s="46"/>
      <c r="K88" s="47"/>
      <c r="M88" s="47"/>
      <c r="N88" s="47"/>
    </row>
    <row r="89" spans="1:14">
      <c r="A89" s="256" t="s">
        <v>39</v>
      </c>
      <c r="B89" s="257"/>
      <c r="C89" s="257"/>
      <c r="D89" s="257"/>
      <c r="E89" s="257"/>
      <c r="F89" s="258"/>
      <c r="G89" s="98">
        <f>G88+G58</f>
        <v>289614</v>
      </c>
      <c r="H89" s="60"/>
      <c r="I89" s="58"/>
      <c r="J89" s="46"/>
      <c r="K89" s="47"/>
      <c r="L89" s="58"/>
      <c r="M89" s="47"/>
      <c r="N89" s="47"/>
    </row>
    <row r="90" spans="1:14">
      <c r="A90" s="256" t="s">
        <v>40</v>
      </c>
      <c r="B90" s="257"/>
      <c r="C90" s="257"/>
      <c r="D90" s="257"/>
      <c r="E90" s="257"/>
      <c r="F90" s="258"/>
      <c r="G90" s="99">
        <f>G89/118*18</f>
        <v>44178.406779661018</v>
      </c>
      <c r="H90" s="46"/>
      <c r="I90" s="58"/>
      <c r="J90" s="46"/>
      <c r="K90" s="47"/>
      <c r="L90" s="58"/>
      <c r="M90" s="47"/>
      <c r="N90" s="47"/>
    </row>
    <row r="91" spans="1:14">
      <c r="H91" s="47"/>
      <c r="I91" s="47"/>
      <c r="J91" s="47"/>
      <c r="K91" s="47"/>
      <c r="L91" s="47"/>
      <c r="M91" s="47"/>
      <c r="N91" s="47"/>
    </row>
    <row r="92" spans="1:14">
      <c r="H92" s="47"/>
      <c r="I92" s="47"/>
      <c r="J92" s="47"/>
      <c r="K92" s="47"/>
      <c r="L92" s="47"/>
      <c r="M92" s="47"/>
      <c r="N92" s="47"/>
    </row>
    <row r="93" spans="1:14">
      <c r="H93" s="47"/>
      <c r="I93" s="47"/>
      <c r="J93" s="47"/>
      <c r="K93" s="47"/>
      <c r="L93" s="47"/>
      <c r="M93" s="47"/>
      <c r="N93" s="47"/>
    </row>
    <row r="94" spans="1:14">
      <c r="H94" s="47"/>
      <c r="I94" s="47"/>
      <c r="J94" s="47"/>
      <c r="K94" s="47"/>
      <c r="L94" s="47"/>
      <c r="M94" s="47"/>
      <c r="N94" s="47"/>
    </row>
    <row r="95" spans="1:14">
      <c r="H95" s="47"/>
      <c r="I95" s="47"/>
      <c r="J95" s="47"/>
      <c r="K95" s="47"/>
      <c r="L95" s="47"/>
      <c r="M95" s="47"/>
      <c r="N95" s="47"/>
    </row>
    <row r="96" spans="1:14">
      <c r="H96" s="47"/>
      <c r="I96" s="47"/>
      <c r="J96" s="47"/>
      <c r="K96" s="47"/>
      <c r="L96" s="47"/>
      <c r="M96" s="47"/>
      <c r="N96" s="47"/>
    </row>
    <row r="97" spans="3:14">
      <c r="H97" s="47"/>
      <c r="I97" s="47"/>
      <c r="J97" s="47"/>
      <c r="K97" s="47"/>
      <c r="L97" s="47"/>
      <c r="M97" s="47"/>
      <c r="N97" s="47"/>
    </row>
    <row r="98" spans="3:14">
      <c r="H98" s="47"/>
      <c r="I98" s="47"/>
      <c r="J98" s="47"/>
      <c r="K98" s="47"/>
      <c r="L98" s="47"/>
      <c r="M98" s="47"/>
      <c r="N98" s="47"/>
    </row>
    <row r="99" spans="3:14">
      <c r="H99" s="47"/>
      <c r="I99" s="47"/>
      <c r="J99" s="47"/>
      <c r="K99" s="47"/>
      <c r="L99" s="47"/>
      <c r="M99" s="47"/>
      <c r="N99" s="47"/>
    </row>
    <row r="100" spans="3:14">
      <c r="H100" s="47"/>
      <c r="I100" s="47"/>
      <c r="J100" s="47"/>
      <c r="K100" s="47"/>
      <c r="L100" s="47"/>
      <c r="M100" s="47"/>
      <c r="N100" s="47"/>
    </row>
    <row r="101" spans="3:14">
      <c r="H101" s="47"/>
      <c r="I101" s="47"/>
      <c r="J101" s="47"/>
      <c r="K101" s="47"/>
      <c r="L101" s="47"/>
      <c r="M101" s="47"/>
      <c r="N101" s="47"/>
    </row>
    <row r="102" spans="3:14">
      <c r="H102" s="47"/>
      <c r="I102" s="47"/>
      <c r="J102" s="47"/>
      <c r="K102" s="47"/>
      <c r="L102" s="47"/>
      <c r="M102" s="47"/>
      <c r="N102" s="47"/>
    </row>
    <row r="103" spans="3:14">
      <c r="H103" s="47"/>
      <c r="I103" s="47"/>
      <c r="J103" s="47"/>
      <c r="K103" s="47"/>
      <c r="L103" s="47"/>
      <c r="M103" s="47"/>
      <c r="N103" s="47"/>
    </row>
    <row r="104" spans="3:14">
      <c r="H104" s="47"/>
      <c r="I104" s="47"/>
      <c r="J104" s="47"/>
      <c r="K104" s="47"/>
      <c r="L104" s="47"/>
      <c r="M104" s="47"/>
      <c r="N104" s="47"/>
    </row>
    <row r="105" spans="3:14">
      <c r="H105" s="47"/>
      <c r="I105" s="47"/>
      <c r="J105" s="47"/>
      <c r="K105" s="47"/>
      <c r="L105" s="47"/>
      <c r="M105" s="47"/>
      <c r="N105" s="47"/>
    </row>
    <row r="106" spans="3:14">
      <c r="C106" s="45"/>
      <c r="D106" s="45"/>
      <c r="E106" s="45"/>
      <c r="H106" s="47"/>
      <c r="I106" s="47"/>
      <c r="J106" s="47"/>
      <c r="K106" s="47"/>
      <c r="L106" s="47"/>
      <c r="M106" s="47"/>
      <c r="N106" s="47"/>
    </row>
    <row r="107" spans="3:14">
      <c r="C107" s="45"/>
      <c r="D107" s="45"/>
      <c r="E107" s="45"/>
      <c r="H107" s="47"/>
      <c r="I107" s="47"/>
      <c r="J107" s="47"/>
      <c r="K107" s="47"/>
      <c r="L107" s="47"/>
      <c r="M107" s="47"/>
      <c r="N107" s="47"/>
    </row>
    <row r="108" spans="3:14">
      <c r="H108" s="47"/>
      <c r="I108" s="47"/>
      <c r="J108" s="47"/>
      <c r="K108" s="47"/>
      <c r="L108" s="47"/>
      <c r="M108" s="47"/>
      <c r="N108" s="47"/>
    </row>
    <row r="109" spans="3:14">
      <c r="H109" s="47"/>
      <c r="I109" s="47"/>
      <c r="J109" s="47"/>
      <c r="K109" s="47"/>
      <c r="L109" s="47"/>
      <c r="M109" s="47"/>
      <c r="N109" s="47"/>
    </row>
    <row r="110" spans="3:14">
      <c r="H110" s="47"/>
      <c r="I110" s="47"/>
      <c r="J110" s="47"/>
      <c r="K110" s="47"/>
      <c r="L110" s="47"/>
      <c r="M110" s="47"/>
      <c r="N110" s="47"/>
    </row>
    <row r="111" spans="3:14">
      <c r="H111" s="47"/>
      <c r="I111" s="47"/>
      <c r="J111" s="47"/>
      <c r="K111" s="47"/>
      <c r="L111" s="47"/>
      <c r="M111" s="47"/>
      <c r="N111" s="47"/>
    </row>
    <row r="112" spans="3:14">
      <c r="C112" s="46"/>
      <c r="H112" s="47"/>
      <c r="I112" s="47"/>
      <c r="J112" s="47"/>
      <c r="K112" s="47"/>
      <c r="L112" s="47"/>
      <c r="M112" s="47"/>
      <c r="N112" s="47"/>
    </row>
    <row r="113" spans="2:14">
      <c r="B113" s="81"/>
      <c r="C113" s="45"/>
      <c r="D113" s="45"/>
      <c r="E113" s="46"/>
      <c r="H113" s="47"/>
      <c r="I113" s="47"/>
      <c r="J113" s="47"/>
      <c r="K113" s="47"/>
      <c r="L113" s="47"/>
      <c r="M113" s="47"/>
      <c r="N113" s="47"/>
    </row>
    <row r="114" spans="2:14">
      <c r="H114" s="47"/>
      <c r="I114" s="47"/>
      <c r="J114" s="47"/>
      <c r="K114" s="47"/>
      <c r="L114" s="47"/>
      <c r="M114" s="47"/>
      <c r="N114" s="47"/>
    </row>
    <row r="115" spans="2:14">
      <c r="H115" s="47"/>
      <c r="I115" s="47"/>
      <c r="J115" s="47"/>
      <c r="K115" s="47"/>
      <c r="L115" s="47"/>
      <c r="M115" s="47"/>
      <c r="N115" s="47"/>
    </row>
    <row r="116" spans="2:14">
      <c r="H116" s="47"/>
      <c r="I116" s="47"/>
      <c r="J116" s="47"/>
      <c r="K116" s="47"/>
      <c r="L116" s="47"/>
      <c r="M116" s="47"/>
      <c r="N116" s="47"/>
    </row>
    <row r="117" spans="2:14">
      <c r="H117" s="47"/>
      <c r="I117" s="47"/>
      <c r="J117" s="47"/>
      <c r="K117" s="47"/>
      <c r="L117" s="47"/>
      <c r="M117" s="47"/>
      <c r="N117" s="47"/>
    </row>
    <row r="118" spans="2:14">
      <c r="G118" s="101"/>
      <c r="H118" s="47"/>
      <c r="I118" s="47"/>
      <c r="J118" s="47"/>
      <c r="K118" s="47"/>
      <c r="L118" s="47"/>
      <c r="M118" s="47"/>
      <c r="N118" s="47"/>
    </row>
    <row r="119" spans="2:14">
      <c r="G119" s="101"/>
    </row>
  </sheetData>
  <mergeCells count="41">
    <mergeCell ref="A90:F90"/>
    <mergeCell ref="A87:F87"/>
    <mergeCell ref="A88:F88"/>
    <mergeCell ref="A89:F89"/>
    <mergeCell ref="A1:D1"/>
    <mergeCell ref="A2:E2"/>
    <mergeCell ref="A3:E3"/>
    <mergeCell ref="A4:B4"/>
    <mergeCell ref="A70:G70"/>
    <mergeCell ref="A60:G60"/>
    <mergeCell ref="A50:F50"/>
    <mergeCell ref="A65:G65"/>
    <mergeCell ref="A69:F69"/>
    <mergeCell ref="A29:G29"/>
    <mergeCell ref="A64:F64"/>
    <mergeCell ref="A11:G11"/>
    <mergeCell ref="I60:L60"/>
    <mergeCell ref="M60:N60"/>
    <mergeCell ref="I61:L61"/>
    <mergeCell ref="M61:N61"/>
    <mergeCell ref="A6:G6"/>
    <mergeCell ref="A7:G7"/>
    <mergeCell ref="A8:G8"/>
    <mergeCell ref="C59:D59"/>
    <mergeCell ref="A16:F16"/>
    <mergeCell ref="A58:F58"/>
    <mergeCell ref="M71:N71"/>
    <mergeCell ref="M72:N72"/>
    <mergeCell ref="M73:N73"/>
    <mergeCell ref="M70:N70"/>
    <mergeCell ref="I62:L62"/>
    <mergeCell ref="M62:N62"/>
    <mergeCell ref="I63:L63"/>
    <mergeCell ref="M63:N63"/>
    <mergeCell ref="I64:L64"/>
    <mergeCell ref="M64:N64"/>
    <mergeCell ref="A17:G17"/>
    <mergeCell ref="A28:F28"/>
    <mergeCell ref="A51:G51"/>
    <mergeCell ref="A57:F57"/>
    <mergeCell ref="I58:K58"/>
  </mergeCells>
  <pageMargins left="0.70866141732283472" right="0.70866141732283472" top="0.74803149606299213" bottom="0.74803149606299213" header="0.31496062992125984" footer="0.31496062992125984"/>
  <pageSetup paperSize="9" scale="9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view="pageBreakPreview" zoomScale="60" zoomScaleNormal="115" workbookViewId="0">
      <selection activeCell="A9" sqref="A1:G9"/>
    </sheetView>
  </sheetViews>
  <sheetFormatPr defaultRowHeight="9"/>
  <cols>
    <col min="1" max="1" width="3.28515625" style="47" customWidth="1"/>
    <col min="2" max="2" width="16.7109375" style="47" customWidth="1"/>
    <col min="3" max="3" width="39.5703125" style="47" customWidth="1"/>
    <col min="4" max="4" width="9.140625" style="46" customWidth="1"/>
    <col min="5" max="5" width="8" style="47" customWidth="1"/>
    <col min="6" max="6" width="5.42578125" style="46" customWidth="1"/>
    <col min="7" max="7" width="12.7109375" style="100" customWidth="1"/>
    <col min="8" max="8" width="11.7109375" style="46" bestFit="1" customWidth="1"/>
    <col min="9" max="9" width="11.85546875" style="57" customWidth="1"/>
    <col min="10" max="10" width="12.140625" style="57" customWidth="1"/>
    <col min="11" max="11" width="9.140625" style="59"/>
    <col min="12" max="12" width="10.5703125" style="59" customWidth="1"/>
    <col min="13" max="13" width="12.28515625" style="59" customWidth="1"/>
    <col min="14" max="20" width="9.140625" style="59"/>
    <col min="21" max="16384" width="9.140625" style="47"/>
  </cols>
  <sheetData>
    <row r="1" spans="1:20" s="65" customFormat="1" ht="11.25">
      <c r="A1" s="262"/>
      <c r="B1" s="262"/>
      <c r="C1" s="262"/>
      <c r="D1" s="262"/>
      <c r="E1" s="262"/>
      <c r="F1" s="64"/>
      <c r="G1" s="108"/>
      <c r="H1" s="63"/>
      <c r="I1" s="63" t="str">
        <f>СКС!I1</f>
        <v>ЦБ</v>
      </c>
      <c r="J1" s="63" t="str">
        <f>СКС!J1</f>
        <v>ЦБ+3%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s="65" customFormat="1" ht="11.25">
      <c r="A2" s="263"/>
      <c r="B2" s="263"/>
      <c r="C2" s="263"/>
      <c r="D2" s="263"/>
      <c r="E2" s="263"/>
      <c r="F2" s="263"/>
      <c r="G2" s="106"/>
      <c r="H2" s="170">
        <f>СКС!H2</f>
        <v>42123</v>
      </c>
      <c r="I2" s="63">
        <f>СКС!I2</f>
        <v>52.304099999999998</v>
      </c>
      <c r="J2" s="63">
        <f>СКС!J2</f>
        <v>53.873223000000003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s="65" customFormat="1" ht="11.25">
      <c r="A3" s="252"/>
      <c r="B3" s="252"/>
      <c r="C3" s="252"/>
      <c r="D3" s="252"/>
      <c r="E3" s="252"/>
      <c r="F3" s="252"/>
      <c r="G3" s="106"/>
      <c r="H3" s="64"/>
      <c r="I3" s="117"/>
      <c r="J3" s="117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65" customFormat="1" ht="11.25">
      <c r="A4" s="264"/>
      <c r="B4" s="279"/>
      <c r="D4" s="107"/>
      <c r="F4" s="64"/>
      <c r="G4" s="106"/>
      <c r="H4" s="64"/>
      <c r="I4" s="117"/>
      <c r="J4" s="117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s="65" customFormat="1" ht="11.25">
      <c r="B5" s="106"/>
      <c r="D5" s="107"/>
      <c r="F5" s="64"/>
      <c r="G5" s="106"/>
      <c r="H5" s="64"/>
      <c r="I5" s="117"/>
      <c r="J5" s="117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s="65" customFormat="1" ht="11.25">
      <c r="A6" s="252"/>
      <c r="B6" s="253"/>
      <c r="C6" s="253"/>
      <c r="D6" s="253"/>
      <c r="E6" s="253"/>
      <c r="F6" s="253"/>
      <c r="G6" s="253"/>
      <c r="H6" s="63"/>
      <c r="I6" s="63"/>
      <c r="J6" s="63"/>
      <c r="K6" s="63"/>
    </row>
    <row r="7" spans="1:20" s="65" customFormat="1" ht="11.25">
      <c r="A7" s="252"/>
      <c r="B7" s="253"/>
      <c r="C7" s="253"/>
      <c r="D7" s="253"/>
      <c r="E7" s="253"/>
      <c r="F7" s="253"/>
      <c r="G7" s="253"/>
      <c r="H7" s="63"/>
      <c r="I7" s="63"/>
      <c r="J7" s="63"/>
      <c r="K7" s="63"/>
    </row>
    <row r="8" spans="1:20" s="65" customFormat="1" ht="11.25">
      <c r="A8" s="252"/>
      <c r="B8" s="253"/>
      <c r="C8" s="253"/>
      <c r="D8" s="253"/>
      <c r="E8" s="253"/>
      <c r="F8" s="253"/>
      <c r="G8" s="253"/>
      <c r="H8" s="63"/>
      <c r="I8" s="63"/>
      <c r="J8" s="63"/>
      <c r="K8" s="63"/>
    </row>
    <row r="9" spans="1:20" s="65" customFormat="1" ht="11.25">
      <c r="A9" s="278"/>
      <c r="B9" s="278"/>
      <c r="C9" s="278"/>
      <c r="D9" s="278"/>
      <c r="E9" s="278"/>
      <c r="F9" s="278"/>
      <c r="G9" s="278"/>
      <c r="H9" s="64"/>
      <c r="I9" s="117"/>
      <c r="J9" s="117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0">
      <c r="A10" s="18" t="s">
        <v>0</v>
      </c>
      <c r="B10" s="18" t="s">
        <v>1</v>
      </c>
      <c r="C10" s="18" t="s">
        <v>2</v>
      </c>
      <c r="D10" s="27" t="s">
        <v>34</v>
      </c>
      <c r="E10" s="18" t="s">
        <v>3</v>
      </c>
      <c r="F10" s="18" t="s">
        <v>4</v>
      </c>
      <c r="G10" s="18" t="s">
        <v>35</v>
      </c>
      <c r="H10" s="48"/>
      <c r="I10" s="48" t="str">
        <f>СКС!I10</f>
        <v>Наценка</v>
      </c>
      <c r="J10" s="28" t="str">
        <f>СКС!J10</f>
        <v>Вход $</v>
      </c>
      <c r="K10" s="53" t="str">
        <f>СКС!K10</f>
        <v>Вход Р.</v>
      </c>
      <c r="L10" s="48" t="str">
        <f>СКС!L10</f>
        <v>Сумма вход Р.</v>
      </c>
      <c r="M10" s="47" t="str">
        <f>СКС!M10</f>
        <v>Цена продажа Р.</v>
      </c>
      <c r="N10" s="47"/>
      <c r="O10" s="47"/>
      <c r="P10" s="47"/>
      <c r="Q10" s="47"/>
      <c r="R10" s="47"/>
      <c r="S10" s="47"/>
      <c r="T10" s="47"/>
    </row>
    <row r="11" spans="1:20">
      <c r="A11" s="240" t="s">
        <v>141</v>
      </c>
      <c r="B11" s="241"/>
      <c r="C11" s="241"/>
      <c r="D11" s="241"/>
      <c r="E11" s="241"/>
      <c r="F11" s="241"/>
      <c r="G11" s="242"/>
      <c r="H11" s="48"/>
      <c r="I11" s="128"/>
      <c r="J11" s="128"/>
      <c r="N11" s="47"/>
      <c r="O11" s="47"/>
      <c r="P11" s="47"/>
      <c r="Q11" s="47"/>
      <c r="R11" s="47"/>
      <c r="S11" s="47"/>
      <c r="T11" s="47"/>
    </row>
    <row r="12" spans="1:20" s="53" customFormat="1" ht="45">
      <c r="A12" s="6">
        <v>3</v>
      </c>
      <c r="B12" s="32" t="s">
        <v>146</v>
      </c>
      <c r="C12" s="32" t="s">
        <v>147</v>
      </c>
      <c r="D12" s="83">
        <v>4800</v>
      </c>
      <c r="E12" s="4">
        <v>5</v>
      </c>
      <c r="F12" s="6" t="s">
        <v>5</v>
      </c>
      <c r="G12" s="50">
        <f t="shared" ref="G12:G24" si="0">D12*E12</f>
        <v>24000</v>
      </c>
      <c r="H12" s="35"/>
      <c r="I12" s="165">
        <v>1.22</v>
      </c>
      <c r="J12" s="167">
        <f>СКС!J30</f>
        <v>73.03</v>
      </c>
      <c r="K12" s="167">
        <f>J12*$J$2</f>
        <v>3934.3614756900001</v>
      </c>
      <c r="L12" s="167">
        <f t="shared" ref="L12:L24" si="1">K12*E12</f>
        <v>19671.807378450001</v>
      </c>
      <c r="M12" s="171">
        <f>CEILING(K12*I12,1)</f>
        <v>4800</v>
      </c>
    </row>
    <row r="13" spans="1:20" s="130" customFormat="1" ht="27">
      <c r="A13" s="124">
        <v>4</v>
      </c>
      <c r="B13" s="32" t="s">
        <v>149</v>
      </c>
      <c r="C13" s="126" t="s">
        <v>148</v>
      </c>
      <c r="D13" s="83">
        <v>1689</v>
      </c>
      <c r="E13" s="4">
        <v>2</v>
      </c>
      <c r="F13" s="124" t="s">
        <v>5</v>
      </c>
      <c r="G13" s="125">
        <f>D13*E13</f>
        <v>3378</v>
      </c>
      <c r="H13" s="35"/>
      <c r="I13" s="165">
        <v>1.22</v>
      </c>
      <c r="J13" s="167">
        <v>25.69</v>
      </c>
      <c r="K13" s="167">
        <f>J13*$J$2</f>
        <v>1384.0030988700003</v>
      </c>
      <c r="L13" s="167">
        <f t="shared" si="1"/>
        <v>2768.0061977400005</v>
      </c>
      <c r="M13" s="171">
        <f>CEILING(K13*I13,1)</f>
        <v>1689</v>
      </c>
    </row>
    <row r="14" spans="1:20" s="53" customFormat="1" ht="18">
      <c r="A14" s="6">
        <v>5</v>
      </c>
      <c r="B14" s="52" t="s">
        <v>116</v>
      </c>
      <c r="C14" s="42" t="s">
        <v>115</v>
      </c>
      <c r="D14" s="83">
        <v>1497</v>
      </c>
      <c r="E14" s="6">
        <v>1</v>
      </c>
      <c r="F14" s="6" t="s">
        <v>5</v>
      </c>
      <c r="G14" s="50">
        <f t="shared" ref="G14:G16" si="2">D14*E14</f>
        <v>1497</v>
      </c>
      <c r="H14" s="35"/>
      <c r="I14" s="165">
        <v>1.22</v>
      </c>
      <c r="J14" s="167">
        <f>СКС!J31</f>
        <v>22.77</v>
      </c>
      <c r="K14" s="167">
        <f>J14*$J$2</f>
        <v>1226.69328771</v>
      </c>
      <c r="L14" s="167">
        <f t="shared" si="1"/>
        <v>1226.69328771</v>
      </c>
      <c r="M14" s="171">
        <f t="shared" ref="M14:M16" si="3">CEILING(K14*I14,1)</f>
        <v>1497</v>
      </c>
    </row>
    <row r="15" spans="1:20" ht="18">
      <c r="A15" s="124">
        <v>6</v>
      </c>
      <c r="B15" s="52" t="s">
        <v>118</v>
      </c>
      <c r="C15" s="42" t="s">
        <v>117</v>
      </c>
      <c r="D15" s="83">
        <v>315</v>
      </c>
      <c r="E15" s="6">
        <v>1</v>
      </c>
      <c r="F15" s="6" t="s">
        <v>5</v>
      </c>
      <c r="G15" s="50">
        <f t="shared" si="2"/>
        <v>315</v>
      </c>
      <c r="H15" s="35"/>
      <c r="I15" s="165">
        <v>1.22</v>
      </c>
      <c r="J15" s="167">
        <f>СКС!J32</f>
        <v>4.79</v>
      </c>
      <c r="K15" s="167">
        <f>J15*$J$2</f>
        <v>258.05273817</v>
      </c>
      <c r="L15" s="167">
        <f t="shared" si="1"/>
        <v>258.05273817</v>
      </c>
      <c r="M15" s="171">
        <f t="shared" si="3"/>
        <v>315</v>
      </c>
      <c r="N15" s="51"/>
      <c r="O15" s="47"/>
      <c r="P15" s="47"/>
      <c r="Q15" s="47"/>
      <c r="R15" s="47"/>
      <c r="S15" s="47"/>
      <c r="T15" s="47"/>
    </row>
    <row r="16" spans="1:20" s="53" customFormat="1" ht="18">
      <c r="A16" s="6">
        <v>7</v>
      </c>
      <c r="B16" s="52" t="s">
        <v>193</v>
      </c>
      <c r="C16" s="42" t="s">
        <v>192</v>
      </c>
      <c r="D16" s="83">
        <v>58</v>
      </c>
      <c r="E16" s="6">
        <v>25</v>
      </c>
      <c r="F16" s="6" t="s">
        <v>5</v>
      </c>
      <c r="G16" s="50">
        <f t="shared" si="2"/>
        <v>1450</v>
      </c>
      <c r="H16" s="35"/>
      <c r="I16" s="165">
        <v>1.22</v>
      </c>
      <c r="J16" s="167">
        <v>0.87</v>
      </c>
      <c r="K16" s="167">
        <f>J16*$J$2</f>
        <v>46.86970401</v>
      </c>
      <c r="L16" s="167">
        <f t="shared" si="1"/>
        <v>1171.7426002499999</v>
      </c>
      <c r="M16" s="171">
        <f t="shared" si="3"/>
        <v>58</v>
      </c>
    </row>
    <row r="17" spans="1:20" ht="11.25">
      <c r="A17" s="277" t="s">
        <v>36</v>
      </c>
      <c r="B17" s="277"/>
      <c r="C17" s="277"/>
      <c r="D17" s="277"/>
      <c r="E17" s="277"/>
      <c r="F17" s="277"/>
      <c r="G17" s="19">
        <f>SUM(G12:G16)</f>
        <v>30640</v>
      </c>
      <c r="H17" s="35"/>
      <c r="I17" s="165"/>
      <c r="J17" s="167"/>
      <c r="K17" s="167"/>
      <c r="L17" s="167"/>
      <c r="M17" s="171"/>
      <c r="N17" s="47"/>
      <c r="O17" s="47"/>
      <c r="P17" s="47"/>
      <c r="Q17" s="47"/>
      <c r="R17" s="47"/>
      <c r="S17" s="47"/>
      <c r="T17" s="47"/>
    </row>
    <row r="18" spans="1:20" ht="11.25">
      <c r="A18" s="276" t="s">
        <v>65</v>
      </c>
      <c r="B18" s="276"/>
      <c r="C18" s="276"/>
      <c r="D18" s="276"/>
      <c r="E18" s="276"/>
      <c r="F18" s="276"/>
      <c r="G18" s="276"/>
      <c r="H18" s="35"/>
      <c r="I18" s="165"/>
      <c r="J18" s="167"/>
      <c r="K18" s="167"/>
      <c r="L18" s="167"/>
      <c r="M18" s="171"/>
      <c r="N18" s="47"/>
      <c r="O18" s="47"/>
      <c r="P18" s="47"/>
      <c r="Q18" s="47"/>
      <c r="R18" s="47"/>
      <c r="S18" s="47"/>
      <c r="T18" s="47"/>
    </row>
    <row r="19" spans="1:20" ht="36">
      <c r="A19" s="6">
        <v>1</v>
      </c>
      <c r="B19" s="3" t="s">
        <v>152</v>
      </c>
      <c r="C19" s="3" t="s">
        <v>151</v>
      </c>
      <c r="D19" s="83">
        <v>644</v>
      </c>
      <c r="E19" s="4">
        <v>1</v>
      </c>
      <c r="F19" s="6" t="s">
        <v>5</v>
      </c>
      <c r="G19" s="50">
        <f t="shared" si="0"/>
        <v>644</v>
      </c>
      <c r="H19" s="35"/>
      <c r="I19" s="165">
        <v>1.22</v>
      </c>
      <c r="J19" s="167">
        <v>9.7899999999999991</v>
      </c>
      <c r="K19" s="167">
        <f>J19*$J$2</f>
        <v>527.41885317000003</v>
      </c>
      <c r="L19" s="167">
        <f t="shared" si="1"/>
        <v>527.41885317000003</v>
      </c>
      <c r="M19" s="171">
        <f>CEILING(K19*I19,1)</f>
        <v>644</v>
      </c>
      <c r="N19" s="47"/>
      <c r="O19" s="47"/>
      <c r="P19" s="47"/>
      <c r="Q19" s="47"/>
      <c r="R19" s="47"/>
      <c r="S19" s="47"/>
      <c r="T19" s="47"/>
    </row>
    <row r="20" spans="1:20" ht="27">
      <c r="A20" s="6">
        <v>2</v>
      </c>
      <c r="B20" s="16"/>
      <c r="C20" s="3" t="s">
        <v>150</v>
      </c>
      <c r="D20" s="83">
        <v>8</v>
      </c>
      <c r="E20" s="4">
        <v>800</v>
      </c>
      <c r="F20" s="6" t="s">
        <v>6</v>
      </c>
      <c r="G20" s="50">
        <f t="shared" si="0"/>
        <v>6400</v>
      </c>
      <c r="H20" s="35"/>
      <c r="I20" s="165">
        <v>1.22</v>
      </c>
      <c r="J20" s="167"/>
      <c r="K20" s="167">
        <v>6</v>
      </c>
      <c r="L20" s="167">
        <f t="shared" si="1"/>
        <v>4800</v>
      </c>
      <c r="M20" s="171">
        <f t="shared" ref="M20:M22" si="4">CEILING(K20*I20,1)</f>
        <v>8</v>
      </c>
      <c r="N20" s="47"/>
      <c r="O20" s="47"/>
      <c r="P20" s="47"/>
      <c r="Q20" s="47"/>
      <c r="R20" s="47"/>
      <c r="S20" s="47"/>
      <c r="T20" s="47"/>
    </row>
    <row r="21" spans="1:20" ht="11.25">
      <c r="A21" s="6">
        <v>3</v>
      </c>
      <c r="B21" s="16"/>
      <c r="C21" s="3" t="s">
        <v>163</v>
      </c>
      <c r="D21" s="83">
        <v>2</v>
      </c>
      <c r="E21" s="4">
        <f>E20</f>
        <v>800</v>
      </c>
      <c r="F21" s="6" t="s">
        <v>5</v>
      </c>
      <c r="G21" s="50">
        <f t="shared" si="0"/>
        <v>1600</v>
      </c>
      <c r="H21" s="35"/>
      <c r="I21" s="165">
        <v>1.22</v>
      </c>
      <c r="J21" s="167"/>
      <c r="K21" s="167">
        <v>1</v>
      </c>
      <c r="L21" s="167">
        <f t="shared" si="1"/>
        <v>800</v>
      </c>
      <c r="M21" s="171">
        <f t="shared" si="4"/>
        <v>2</v>
      </c>
      <c r="N21" s="47"/>
      <c r="O21" s="47"/>
      <c r="P21" s="47"/>
      <c r="Q21" s="47"/>
      <c r="R21" s="47"/>
      <c r="S21" s="47"/>
      <c r="T21" s="47"/>
    </row>
    <row r="22" spans="1:20" s="53" customFormat="1" ht="18">
      <c r="A22" s="6">
        <v>4</v>
      </c>
      <c r="B22" s="16"/>
      <c r="C22" s="156" t="s">
        <v>75</v>
      </c>
      <c r="D22" s="83">
        <v>45</v>
      </c>
      <c r="E22" s="16">
        <v>25</v>
      </c>
      <c r="F22" s="6" t="s">
        <v>5</v>
      </c>
      <c r="G22" s="90">
        <f>D22*E22</f>
        <v>1125</v>
      </c>
      <c r="H22" s="35"/>
      <c r="I22" s="165">
        <v>1.22</v>
      </c>
      <c r="J22" s="167"/>
      <c r="K22" s="167">
        <v>36.4</v>
      </c>
      <c r="L22" s="167">
        <f t="shared" si="1"/>
        <v>910</v>
      </c>
      <c r="M22" s="171">
        <f t="shared" si="4"/>
        <v>45</v>
      </c>
    </row>
    <row r="23" spans="1:20" ht="18">
      <c r="A23" s="6">
        <v>5</v>
      </c>
      <c r="B23" s="3"/>
      <c r="C23" s="7" t="s">
        <v>10</v>
      </c>
      <c r="D23" s="83">
        <v>4</v>
      </c>
      <c r="E23" s="6">
        <v>30</v>
      </c>
      <c r="F23" s="6" t="s">
        <v>5</v>
      </c>
      <c r="G23" s="50">
        <f t="shared" ref="G23" si="5">D23*E23</f>
        <v>120</v>
      </c>
      <c r="H23" s="28"/>
      <c r="I23" s="165">
        <v>2</v>
      </c>
      <c r="J23" s="165"/>
      <c r="K23" s="167">
        <v>2</v>
      </c>
      <c r="L23" s="167">
        <f t="shared" si="1"/>
        <v>60</v>
      </c>
      <c r="M23" s="171">
        <f t="shared" ref="M23" si="6">CEILING(K23*I23,1)</f>
        <v>4</v>
      </c>
      <c r="N23" s="47"/>
      <c r="O23" s="47"/>
      <c r="P23" s="47"/>
      <c r="Q23" s="47"/>
      <c r="R23" s="47"/>
      <c r="S23" s="47"/>
      <c r="T23" s="47"/>
    </row>
    <row r="24" spans="1:20" ht="11.25">
      <c r="A24" s="6">
        <v>6</v>
      </c>
      <c r="B24" s="10"/>
      <c r="C24" s="7" t="s">
        <v>76</v>
      </c>
      <c r="D24" s="84">
        <v>5000</v>
      </c>
      <c r="E24" s="6">
        <v>1</v>
      </c>
      <c r="F24" s="4" t="s">
        <v>131</v>
      </c>
      <c r="G24" s="50">
        <f t="shared" si="0"/>
        <v>5000</v>
      </c>
      <c r="H24" s="35"/>
      <c r="I24" s="165">
        <v>2.5</v>
      </c>
      <c r="J24" s="165"/>
      <c r="K24" s="167">
        <v>2000</v>
      </c>
      <c r="L24" s="167">
        <f t="shared" si="1"/>
        <v>2000</v>
      </c>
      <c r="M24" s="171">
        <f>CEILING(K24*I24,1)</f>
        <v>5000</v>
      </c>
      <c r="N24" s="47"/>
      <c r="O24" s="47"/>
      <c r="P24" s="47"/>
      <c r="Q24" s="47"/>
      <c r="R24" s="47"/>
      <c r="S24" s="47"/>
      <c r="T24" s="47"/>
    </row>
    <row r="25" spans="1:20" ht="11.25">
      <c r="A25" s="277" t="s">
        <v>36</v>
      </c>
      <c r="B25" s="277"/>
      <c r="C25" s="277"/>
      <c r="D25" s="277"/>
      <c r="E25" s="277"/>
      <c r="F25" s="277"/>
      <c r="G25" s="19">
        <f>SUM(G19:G24)</f>
        <v>14889</v>
      </c>
      <c r="H25" s="35"/>
      <c r="I25" s="249" t="s">
        <v>139</v>
      </c>
      <c r="J25" s="249"/>
      <c r="K25" s="249"/>
      <c r="L25" s="167">
        <f>SUM(L12:L24)</f>
        <v>34193.721055490001</v>
      </c>
      <c r="M25" s="171"/>
      <c r="N25" s="47"/>
      <c r="O25" s="47"/>
      <c r="P25" s="47"/>
      <c r="Q25" s="47"/>
      <c r="R25" s="47"/>
      <c r="S25" s="47"/>
      <c r="T25" s="47"/>
    </row>
    <row r="26" spans="1:20" ht="11.25">
      <c r="A26" s="277" t="s">
        <v>37</v>
      </c>
      <c r="B26" s="277"/>
      <c r="C26" s="277"/>
      <c r="D26" s="277"/>
      <c r="E26" s="277"/>
      <c r="F26" s="277"/>
      <c r="G26" s="19">
        <f>G25+G17</f>
        <v>45529</v>
      </c>
      <c r="H26" s="35"/>
      <c r="I26" s="165"/>
      <c r="J26" s="167"/>
      <c r="K26" s="167"/>
      <c r="L26" s="167"/>
      <c r="M26" s="171"/>
      <c r="N26" s="47"/>
      <c r="O26" s="47"/>
      <c r="P26" s="47"/>
      <c r="Q26" s="47"/>
      <c r="R26" s="47"/>
      <c r="S26" s="47"/>
      <c r="T26" s="47"/>
    </row>
    <row r="27" spans="1:20" ht="11.25">
      <c r="A27" s="18" t="s">
        <v>0</v>
      </c>
      <c r="B27" s="18" t="s">
        <v>2</v>
      </c>
      <c r="C27" s="254" t="s">
        <v>34</v>
      </c>
      <c r="D27" s="255"/>
      <c r="E27" s="18" t="s">
        <v>3</v>
      </c>
      <c r="F27" s="18" t="s">
        <v>4</v>
      </c>
      <c r="G27" s="94" t="s">
        <v>35</v>
      </c>
      <c r="H27" s="35"/>
      <c r="I27" s="165"/>
      <c r="J27" s="167"/>
      <c r="K27" s="167"/>
      <c r="L27" s="167"/>
      <c r="M27" s="171"/>
      <c r="N27" s="47"/>
      <c r="O27" s="47"/>
      <c r="P27" s="47"/>
      <c r="Q27" s="47"/>
      <c r="R27" s="47"/>
      <c r="S27" s="47"/>
      <c r="T27" s="47"/>
    </row>
    <row r="28" spans="1:20" ht="11.25">
      <c r="A28" s="266" t="s">
        <v>59</v>
      </c>
      <c r="B28" s="267"/>
      <c r="C28" s="267"/>
      <c r="D28" s="267"/>
      <c r="E28" s="267"/>
      <c r="F28" s="267"/>
      <c r="G28" s="268"/>
      <c r="H28" s="35"/>
      <c r="I28" s="165"/>
      <c r="J28" s="167"/>
      <c r="K28" s="167"/>
      <c r="L28" s="167"/>
      <c r="M28" s="171"/>
      <c r="N28" s="47"/>
      <c r="O28" s="47"/>
      <c r="P28" s="47"/>
      <c r="Q28" s="47"/>
      <c r="R28" s="47"/>
      <c r="S28" s="47"/>
      <c r="T28" s="47"/>
    </row>
    <row r="29" spans="1:20" s="131" customFormat="1" ht="11.25">
      <c r="A29" s="2">
        <v>1</v>
      </c>
      <c r="B29" s="20"/>
      <c r="C29" s="127" t="s">
        <v>22</v>
      </c>
      <c r="D29" s="86">
        <v>19</v>
      </c>
      <c r="E29" s="2">
        <f>E12*305</f>
        <v>1525</v>
      </c>
      <c r="F29" s="2" t="s">
        <v>6</v>
      </c>
      <c r="G29" s="21">
        <f t="shared" ref="G29:G34" si="7">D29*E29</f>
        <v>28975</v>
      </c>
      <c r="H29" s="35"/>
      <c r="I29" s="165"/>
      <c r="J29" s="167"/>
      <c r="K29" s="167"/>
      <c r="L29" s="167"/>
      <c r="M29" s="171"/>
    </row>
    <row r="30" spans="1:20" s="131" customFormat="1" ht="11.25">
      <c r="A30" s="2">
        <v>2</v>
      </c>
      <c r="B30" s="20"/>
      <c r="C30" s="127" t="s">
        <v>154</v>
      </c>
      <c r="D30" s="86">
        <v>22</v>
      </c>
      <c r="E30" s="2">
        <f>E13*100</f>
        <v>200</v>
      </c>
      <c r="F30" s="2" t="s">
        <v>6</v>
      </c>
      <c r="G30" s="21">
        <f t="shared" si="7"/>
        <v>4400</v>
      </c>
      <c r="H30" s="35"/>
      <c r="I30" s="165"/>
      <c r="J30" s="167"/>
      <c r="K30" s="167"/>
      <c r="L30" s="167"/>
      <c r="M30" s="171"/>
    </row>
    <row r="31" spans="1:20" ht="18">
      <c r="A31" s="2">
        <v>3</v>
      </c>
      <c r="B31" s="1"/>
      <c r="C31" s="7" t="s">
        <v>23</v>
      </c>
      <c r="D31" s="86">
        <v>175</v>
      </c>
      <c r="E31" s="5">
        <v>25</v>
      </c>
      <c r="F31" s="2" t="s">
        <v>5</v>
      </c>
      <c r="G31" s="97">
        <f t="shared" si="7"/>
        <v>4375</v>
      </c>
      <c r="H31" s="35"/>
      <c r="I31" s="165"/>
      <c r="J31" s="167"/>
      <c r="K31" s="167"/>
      <c r="L31" s="167"/>
      <c r="M31" s="171"/>
      <c r="N31" s="47"/>
      <c r="O31" s="47"/>
      <c r="P31" s="47"/>
      <c r="Q31" s="47"/>
      <c r="R31" s="47"/>
      <c r="S31" s="47"/>
      <c r="T31" s="47"/>
    </row>
    <row r="32" spans="1:20" ht="11.25">
      <c r="A32" s="2">
        <v>5</v>
      </c>
      <c r="B32" s="1"/>
      <c r="C32" s="7" t="s">
        <v>24</v>
      </c>
      <c r="D32" s="86">
        <v>60</v>
      </c>
      <c r="E32" s="5">
        <v>25</v>
      </c>
      <c r="F32" s="2" t="s">
        <v>5</v>
      </c>
      <c r="G32" s="97">
        <f t="shared" si="7"/>
        <v>1500</v>
      </c>
      <c r="H32" s="35"/>
      <c r="I32" s="165"/>
      <c r="J32" s="167"/>
      <c r="K32" s="167"/>
      <c r="L32" s="167"/>
      <c r="M32" s="171"/>
      <c r="N32" s="47"/>
      <c r="O32" s="47"/>
      <c r="P32" s="47"/>
      <c r="Q32" s="47"/>
      <c r="R32" s="47"/>
      <c r="S32" s="47"/>
      <c r="T32" s="47"/>
    </row>
    <row r="33" spans="1:20" ht="11.25">
      <c r="A33" s="2">
        <v>6</v>
      </c>
      <c r="B33" s="1"/>
      <c r="C33" s="7" t="s">
        <v>41</v>
      </c>
      <c r="D33" s="86">
        <v>20</v>
      </c>
      <c r="E33" s="5">
        <f>E32+5</f>
        <v>30</v>
      </c>
      <c r="F33" s="2" t="s">
        <v>5</v>
      </c>
      <c r="G33" s="97">
        <f t="shared" si="7"/>
        <v>600</v>
      </c>
      <c r="H33" s="35"/>
      <c r="I33" s="165"/>
      <c r="J33" s="167"/>
      <c r="K33" s="167"/>
      <c r="L33" s="167"/>
      <c r="M33" s="171"/>
      <c r="N33" s="47"/>
      <c r="O33" s="47"/>
      <c r="P33" s="47"/>
      <c r="Q33" s="47"/>
      <c r="R33" s="47"/>
      <c r="S33" s="47"/>
      <c r="T33" s="47"/>
    </row>
    <row r="34" spans="1:20" ht="11.25">
      <c r="A34" s="2">
        <v>7</v>
      </c>
      <c r="B34" s="78"/>
      <c r="C34" s="42" t="s">
        <v>19</v>
      </c>
      <c r="D34" s="85">
        <v>45</v>
      </c>
      <c r="E34" s="33">
        <f>E14+E15</f>
        <v>2</v>
      </c>
      <c r="F34" s="2" t="s">
        <v>5</v>
      </c>
      <c r="G34" s="97">
        <f t="shared" si="7"/>
        <v>90</v>
      </c>
      <c r="H34" s="35"/>
      <c r="I34" s="165"/>
      <c r="J34" s="167"/>
      <c r="K34" s="167"/>
      <c r="L34" s="167"/>
      <c r="M34" s="171"/>
      <c r="N34" s="38"/>
      <c r="O34" s="47"/>
      <c r="P34" s="47"/>
      <c r="Q34" s="47"/>
      <c r="R34" s="47"/>
      <c r="S34" s="47"/>
      <c r="T34" s="47"/>
    </row>
    <row r="35" spans="1:20" ht="11.25">
      <c r="A35" s="269" t="s">
        <v>36</v>
      </c>
      <c r="B35" s="260"/>
      <c r="C35" s="260"/>
      <c r="D35" s="260"/>
      <c r="E35" s="260"/>
      <c r="F35" s="261"/>
      <c r="G35" s="96">
        <f>SUM(G29:G34)</f>
        <v>39940</v>
      </c>
      <c r="H35" s="35"/>
      <c r="I35" s="165"/>
      <c r="J35" s="167"/>
      <c r="K35" s="167"/>
      <c r="L35" s="167"/>
      <c r="M35" s="171"/>
      <c r="N35" s="47"/>
      <c r="O35" s="47"/>
      <c r="P35" s="47"/>
      <c r="Q35" s="47"/>
      <c r="R35" s="47"/>
      <c r="S35" s="47"/>
      <c r="T35" s="47"/>
    </row>
    <row r="36" spans="1:20" ht="11.25">
      <c r="A36" s="266" t="s">
        <v>60</v>
      </c>
      <c r="B36" s="267"/>
      <c r="C36" s="267"/>
      <c r="D36" s="267"/>
      <c r="E36" s="267"/>
      <c r="F36" s="267"/>
      <c r="G36" s="268"/>
      <c r="H36" s="35"/>
      <c r="I36" s="165"/>
      <c r="J36" s="167"/>
      <c r="K36" s="167"/>
      <c r="L36" s="167"/>
      <c r="M36" s="171"/>
      <c r="N36" s="47"/>
      <c r="O36" s="47"/>
      <c r="P36" s="47"/>
      <c r="Q36" s="47"/>
      <c r="R36" s="47"/>
      <c r="S36" s="47"/>
      <c r="T36" s="47"/>
    </row>
    <row r="37" spans="1:20" ht="11.25">
      <c r="A37" s="2">
        <v>1</v>
      </c>
      <c r="B37" s="1"/>
      <c r="C37" s="3" t="s">
        <v>25</v>
      </c>
      <c r="D37" s="86">
        <v>45</v>
      </c>
      <c r="E37" s="8">
        <f>E31</f>
        <v>25</v>
      </c>
      <c r="F37" s="2" t="s">
        <v>5</v>
      </c>
      <c r="G37" s="97">
        <f>D37*E37</f>
        <v>1125</v>
      </c>
      <c r="H37" s="35"/>
      <c r="I37" s="165">
        <v>1200</v>
      </c>
      <c r="J37" s="167">
        <f>I37*E37</f>
        <v>30000</v>
      </c>
      <c r="K37" s="167"/>
      <c r="L37" s="167"/>
      <c r="M37" s="171"/>
      <c r="N37" s="47"/>
      <c r="O37" s="47"/>
      <c r="P37" s="47"/>
      <c r="Q37" s="47"/>
      <c r="R37" s="47"/>
      <c r="S37" s="47"/>
      <c r="T37" s="47"/>
    </row>
    <row r="38" spans="1:20" ht="11.25">
      <c r="A38" s="2">
        <v>2</v>
      </c>
      <c r="B38" s="1"/>
      <c r="C38" s="3" t="s">
        <v>13</v>
      </c>
      <c r="D38" s="86">
        <v>55</v>
      </c>
      <c r="E38" s="8">
        <f>E31</f>
        <v>25</v>
      </c>
      <c r="F38" s="2" t="s">
        <v>5</v>
      </c>
      <c r="G38" s="97">
        <f>D38*E38</f>
        <v>1375</v>
      </c>
      <c r="H38" s="35"/>
      <c r="I38" s="165"/>
      <c r="J38" s="167">
        <v>5000</v>
      </c>
      <c r="K38" s="167"/>
      <c r="L38" s="167"/>
      <c r="M38" s="171"/>
      <c r="N38" s="47"/>
      <c r="O38" s="47"/>
      <c r="P38" s="47"/>
      <c r="Q38" s="47"/>
      <c r="R38" s="47"/>
      <c r="S38" s="47"/>
      <c r="T38" s="47"/>
    </row>
    <row r="39" spans="1:20" ht="11.25">
      <c r="A39" s="2">
        <v>3</v>
      </c>
      <c r="B39" s="22"/>
      <c r="C39" s="3" t="s">
        <v>43</v>
      </c>
      <c r="D39" s="86">
        <v>2100</v>
      </c>
      <c r="E39" s="5">
        <v>18</v>
      </c>
      <c r="F39" s="12" t="s">
        <v>5</v>
      </c>
      <c r="G39" s="97">
        <f>D39*E39</f>
        <v>37800</v>
      </c>
      <c r="H39" s="35"/>
      <c r="I39" s="165"/>
      <c r="J39" s="167"/>
      <c r="K39" s="167"/>
      <c r="L39" s="167"/>
      <c r="M39" s="171"/>
      <c r="N39" s="47"/>
      <c r="O39" s="47"/>
      <c r="P39" s="47"/>
      <c r="Q39" s="47"/>
      <c r="R39" s="47"/>
      <c r="S39" s="47"/>
      <c r="T39" s="47"/>
    </row>
    <row r="40" spans="1:20" ht="11.25">
      <c r="A40" s="2">
        <v>4</v>
      </c>
      <c r="B40" s="22"/>
      <c r="C40" s="3" t="s">
        <v>44</v>
      </c>
      <c r="D40" s="86">
        <v>2450</v>
      </c>
      <c r="E40" s="5">
        <v>7</v>
      </c>
      <c r="F40" s="12" t="s">
        <v>5</v>
      </c>
      <c r="G40" s="97">
        <f>D40*E40</f>
        <v>17150</v>
      </c>
      <c r="H40" s="35"/>
      <c r="I40" s="165"/>
      <c r="J40" s="167"/>
      <c r="K40" s="167"/>
      <c r="L40" s="167"/>
      <c r="M40" s="171"/>
      <c r="N40" s="47"/>
      <c r="O40" s="47"/>
      <c r="P40" s="47"/>
      <c r="Q40" s="47"/>
      <c r="R40" s="47"/>
      <c r="S40" s="47"/>
      <c r="T40" s="47"/>
    </row>
    <row r="41" spans="1:20" ht="11.25">
      <c r="A41" s="269" t="s">
        <v>36</v>
      </c>
      <c r="B41" s="260"/>
      <c r="C41" s="260"/>
      <c r="D41" s="260"/>
      <c r="E41" s="260"/>
      <c r="F41" s="261"/>
      <c r="G41" s="96">
        <f>SUM(G37:G40)</f>
        <v>57450</v>
      </c>
      <c r="H41" s="35"/>
      <c r="I41" s="165"/>
      <c r="J41" s="167"/>
      <c r="K41" s="167"/>
      <c r="L41" s="167"/>
      <c r="M41" s="171"/>
      <c r="N41" s="47"/>
      <c r="O41" s="47"/>
      <c r="P41" s="47"/>
      <c r="Q41" s="47"/>
      <c r="R41" s="47"/>
      <c r="S41" s="47"/>
      <c r="T41" s="47"/>
    </row>
    <row r="42" spans="1:20" ht="11.25">
      <c r="A42" s="266" t="s">
        <v>61</v>
      </c>
      <c r="B42" s="267"/>
      <c r="C42" s="267"/>
      <c r="D42" s="267"/>
      <c r="E42" s="267"/>
      <c r="F42" s="267"/>
      <c r="G42" s="268"/>
      <c r="H42" s="35"/>
      <c r="I42" s="165"/>
      <c r="J42" s="167"/>
      <c r="K42" s="167"/>
      <c r="L42" s="167"/>
      <c r="M42" s="171"/>
      <c r="N42" s="47"/>
      <c r="O42" s="47"/>
      <c r="P42" s="47"/>
      <c r="Q42" s="47"/>
      <c r="R42" s="47"/>
      <c r="S42" s="47"/>
      <c r="T42" s="47"/>
    </row>
    <row r="43" spans="1:20" ht="11.25">
      <c r="A43" s="2">
        <v>1</v>
      </c>
      <c r="B43" s="122"/>
      <c r="C43" s="7" t="s">
        <v>153</v>
      </c>
      <c r="D43" s="85">
        <v>9000</v>
      </c>
      <c r="E43" s="5">
        <v>1</v>
      </c>
      <c r="F43" s="5" t="s">
        <v>5</v>
      </c>
      <c r="G43" s="95">
        <f t="shared" ref="G43" si="8">D43*E43</f>
        <v>9000</v>
      </c>
      <c r="H43" s="35"/>
      <c r="I43" s="165"/>
      <c r="J43" s="167"/>
      <c r="K43" s="167"/>
      <c r="L43" s="167"/>
      <c r="M43" s="171"/>
      <c r="N43" s="47"/>
      <c r="O43" s="47"/>
      <c r="P43" s="47"/>
      <c r="Q43" s="47"/>
      <c r="R43" s="47"/>
      <c r="S43" s="47"/>
      <c r="T43" s="47"/>
    </row>
    <row r="44" spans="1:20" ht="11.25">
      <c r="A44" s="269" t="s">
        <v>36</v>
      </c>
      <c r="B44" s="260"/>
      <c r="C44" s="260"/>
      <c r="D44" s="260"/>
      <c r="E44" s="260"/>
      <c r="F44" s="261"/>
      <c r="G44" s="96">
        <f>SUM(G43:G43)</f>
        <v>9000</v>
      </c>
      <c r="H44" s="35"/>
      <c r="I44" s="165"/>
      <c r="J44" s="167"/>
      <c r="K44" s="167"/>
      <c r="L44" s="167"/>
      <c r="M44" s="171"/>
      <c r="N44" s="47"/>
      <c r="O44" s="47"/>
      <c r="P44" s="47"/>
      <c r="Q44" s="47"/>
      <c r="R44" s="47"/>
      <c r="S44" s="47"/>
      <c r="T44" s="47"/>
    </row>
    <row r="45" spans="1:20" ht="11.25">
      <c r="A45" s="243" t="s">
        <v>38</v>
      </c>
      <c r="B45" s="244"/>
      <c r="C45" s="244"/>
      <c r="D45" s="244"/>
      <c r="E45" s="244"/>
      <c r="F45" s="245"/>
      <c r="G45" s="98">
        <f>G35+G41+G44</f>
        <v>106390</v>
      </c>
      <c r="H45" s="35"/>
      <c r="I45" s="165"/>
      <c r="J45" s="167"/>
      <c r="K45" s="167"/>
      <c r="L45" s="167"/>
      <c r="M45" s="171"/>
      <c r="N45" s="47"/>
      <c r="O45" s="47"/>
      <c r="P45" s="47"/>
      <c r="Q45" s="47"/>
      <c r="R45" s="47"/>
      <c r="S45" s="47"/>
      <c r="T45" s="47"/>
    </row>
    <row r="46" spans="1:20">
      <c r="A46" s="256" t="s">
        <v>39</v>
      </c>
      <c r="B46" s="257"/>
      <c r="C46" s="257"/>
      <c r="D46" s="257"/>
      <c r="E46" s="257"/>
      <c r="F46" s="258"/>
      <c r="G46" s="98">
        <f>G45+G26</f>
        <v>151919</v>
      </c>
      <c r="H46" s="45"/>
      <c r="I46" s="172"/>
      <c r="J46" s="172"/>
      <c r="K46" s="172"/>
      <c r="N46" s="47"/>
      <c r="O46" s="47"/>
      <c r="P46" s="47"/>
      <c r="Q46" s="47"/>
      <c r="R46" s="47"/>
      <c r="S46" s="47"/>
      <c r="T46" s="47"/>
    </row>
    <row r="47" spans="1:20">
      <c r="A47" s="256" t="s">
        <v>40</v>
      </c>
      <c r="B47" s="257"/>
      <c r="C47" s="257"/>
      <c r="D47" s="257"/>
      <c r="E47" s="257"/>
      <c r="F47" s="258"/>
      <c r="G47" s="99">
        <f>G46/118*18</f>
        <v>23174.084745762713</v>
      </c>
      <c r="H47" s="45"/>
      <c r="I47" s="172"/>
      <c r="J47" s="172"/>
      <c r="K47" s="172"/>
      <c r="N47" s="47"/>
      <c r="O47" s="47"/>
      <c r="P47" s="47"/>
      <c r="Q47" s="47"/>
      <c r="R47" s="47"/>
      <c r="S47" s="47"/>
      <c r="T47" s="47"/>
    </row>
    <row r="48" spans="1:20">
      <c r="H48" s="45"/>
      <c r="I48" s="172"/>
      <c r="J48" s="172"/>
      <c r="K48" s="172"/>
    </row>
    <row r="49" spans="3:11">
      <c r="C49" s="58"/>
      <c r="H49" s="58"/>
      <c r="I49" s="172"/>
      <c r="J49" s="172"/>
      <c r="K49" s="172"/>
    </row>
    <row r="50" spans="3:11">
      <c r="H50" s="58"/>
      <c r="I50" s="172"/>
      <c r="J50" s="172"/>
      <c r="K50" s="172"/>
    </row>
    <row r="51" spans="3:11">
      <c r="H51" s="58"/>
      <c r="I51" s="172"/>
      <c r="J51" s="172"/>
      <c r="K51" s="172"/>
    </row>
    <row r="52" spans="3:11">
      <c r="I52" s="172"/>
      <c r="J52" s="172"/>
      <c r="K52" s="172"/>
    </row>
    <row r="53" spans="3:11">
      <c r="I53" s="172"/>
      <c r="J53" s="172"/>
      <c r="K53" s="172"/>
    </row>
    <row r="54" spans="3:11">
      <c r="I54" s="172"/>
      <c r="J54" s="172"/>
      <c r="K54" s="172"/>
    </row>
    <row r="55" spans="3:11">
      <c r="K55" s="172"/>
    </row>
    <row r="56" spans="3:11">
      <c r="K56" s="172"/>
    </row>
  </sheetData>
  <mergeCells count="24">
    <mergeCell ref="A11:G11"/>
    <mergeCell ref="A17:F17"/>
    <mergeCell ref="A1:E1"/>
    <mergeCell ref="A2:F2"/>
    <mergeCell ref="A3:F3"/>
    <mergeCell ref="A9:G9"/>
    <mergeCell ref="A4:B4"/>
    <mergeCell ref="A6:G6"/>
    <mergeCell ref="A7:G7"/>
    <mergeCell ref="A8:G8"/>
    <mergeCell ref="I25:K25"/>
    <mergeCell ref="A45:F45"/>
    <mergeCell ref="A46:F46"/>
    <mergeCell ref="A47:F47"/>
    <mergeCell ref="A18:G18"/>
    <mergeCell ref="A42:G42"/>
    <mergeCell ref="A44:F44"/>
    <mergeCell ref="C27:D27"/>
    <mergeCell ref="A28:G28"/>
    <mergeCell ref="A35:F35"/>
    <mergeCell ref="A36:G36"/>
    <mergeCell ref="A41:F41"/>
    <mergeCell ref="A25:F25"/>
    <mergeCell ref="A26:F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view="pageBreakPreview" zoomScale="60" zoomScaleNormal="85" workbookViewId="0">
      <selection activeCell="G9" sqref="A1:G9"/>
    </sheetView>
  </sheetViews>
  <sheetFormatPr defaultRowHeight="9"/>
  <cols>
    <col min="1" max="1" width="2.7109375" style="47" customWidth="1"/>
    <col min="2" max="2" width="16.7109375" style="47" customWidth="1"/>
    <col min="3" max="3" width="40.7109375" style="47" customWidth="1"/>
    <col min="4" max="4" width="9.140625" style="46" customWidth="1"/>
    <col min="5" max="5" width="6.7109375" style="100" bestFit="1" customWidth="1"/>
    <col min="6" max="6" width="4.42578125" style="46" customWidth="1"/>
    <col min="7" max="7" width="13.28515625" style="47" customWidth="1"/>
    <col min="8" max="8" width="10.140625" style="111" bestFit="1" customWidth="1"/>
    <col min="9" max="9" width="10.85546875" style="110" customWidth="1"/>
    <col min="10" max="10" width="10.85546875" style="109" customWidth="1"/>
    <col min="11" max="11" width="9.140625" style="109"/>
    <col min="12" max="12" width="10.140625" style="47" customWidth="1"/>
    <col min="13" max="13" width="12.140625" style="47" customWidth="1"/>
    <col min="14" max="16384" width="9.140625" style="47"/>
  </cols>
  <sheetData>
    <row r="1" spans="1:13" s="65" customFormat="1" ht="11.25">
      <c r="A1" s="262"/>
      <c r="B1" s="262"/>
      <c r="C1" s="262"/>
      <c r="D1" s="262"/>
      <c r="E1" s="61"/>
      <c r="F1" s="102"/>
      <c r="G1" s="62"/>
      <c r="H1" s="63"/>
      <c r="I1" s="63" t="str">
        <f>СКС!I1</f>
        <v>ЦБ</v>
      </c>
      <c r="J1" s="63" t="str">
        <f>СКС!J1</f>
        <v>ЦБ+3%</v>
      </c>
      <c r="K1" s="115"/>
    </row>
    <row r="2" spans="1:13" s="65" customFormat="1" ht="11.25">
      <c r="A2" s="263"/>
      <c r="B2" s="263"/>
      <c r="C2" s="263"/>
      <c r="D2" s="263"/>
      <c r="E2" s="263"/>
      <c r="F2" s="103"/>
      <c r="G2" s="66"/>
      <c r="H2" s="170">
        <f>СКС!H2</f>
        <v>42123</v>
      </c>
      <c r="I2" s="63">
        <f>СКС!I2</f>
        <v>52.304099999999998</v>
      </c>
      <c r="J2" s="63">
        <f>СКС!J2</f>
        <v>53.873223000000003</v>
      </c>
      <c r="K2" s="115"/>
    </row>
    <row r="3" spans="1:13" s="65" customFormat="1" ht="11.25">
      <c r="A3" s="252"/>
      <c r="B3" s="252"/>
      <c r="C3" s="252"/>
      <c r="D3" s="252"/>
      <c r="E3" s="252"/>
      <c r="F3" s="103"/>
      <c r="G3" s="62"/>
      <c r="H3" s="112"/>
      <c r="I3" s="113"/>
      <c r="J3" s="114"/>
      <c r="K3" s="115"/>
    </row>
    <row r="4" spans="1:13" s="65" customFormat="1" ht="11.25">
      <c r="A4" s="264"/>
      <c r="B4" s="279"/>
      <c r="C4" s="61"/>
      <c r="D4" s="68"/>
      <c r="E4" s="61"/>
      <c r="F4" s="103"/>
      <c r="G4" s="66"/>
      <c r="H4" s="112"/>
      <c r="I4" s="113"/>
      <c r="J4" s="114"/>
      <c r="K4" s="115"/>
    </row>
    <row r="5" spans="1:13" s="65" customFormat="1" ht="11.25">
      <c r="D5" s="64"/>
      <c r="E5" s="106"/>
      <c r="F5" s="64"/>
      <c r="H5" s="116"/>
      <c r="I5" s="113"/>
      <c r="J5" s="115"/>
      <c r="K5" s="115"/>
    </row>
    <row r="6" spans="1:13" s="65" customFormat="1" ht="11.25">
      <c r="A6" s="252"/>
      <c r="B6" s="253"/>
      <c r="C6" s="253"/>
      <c r="D6" s="253"/>
      <c r="E6" s="253"/>
      <c r="F6" s="253"/>
      <c r="G6" s="253"/>
      <c r="H6" s="63"/>
      <c r="I6" s="63"/>
      <c r="J6" s="63"/>
      <c r="K6" s="63"/>
    </row>
    <row r="7" spans="1:13" s="65" customFormat="1" ht="11.25">
      <c r="A7" s="252"/>
      <c r="B7" s="253"/>
      <c r="C7" s="253"/>
      <c r="D7" s="253"/>
      <c r="E7" s="253"/>
      <c r="F7" s="253"/>
      <c r="G7" s="253"/>
      <c r="H7" s="63"/>
      <c r="I7" s="63"/>
      <c r="J7" s="63"/>
      <c r="K7" s="63"/>
    </row>
    <row r="8" spans="1:13" s="65" customFormat="1" ht="11.25">
      <c r="A8" s="252"/>
      <c r="B8" s="253"/>
      <c r="C8" s="253"/>
      <c r="D8" s="253"/>
      <c r="E8" s="253"/>
      <c r="F8" s="253"/>
      <c r="G8" s="253"/>
      <c r="H8" s="63"/>
      <c r="I8" s="63"/>
      <c r="J8" s="63"/>
      <c r="K8" s="63"/>
    </row>
    <row r="9" spans="1:13" s="65" customFormat="1" ht="11.25">
      <c r="A9" s="118"/>
      <c r="B9" s="118"/>
      <c r="C9" s="118"/>
      <c r="D9" s="119"/>
      <c r="E9" s="118"/>
      <c r="F9" s="119"/>
      <c r="G9" s="120"/>
      <c r="H9" s="112"/>
      <c r="I9" s="113"/>
      <c r="J9" s="115"/>
      <c r="K9" s="115"/>
    </row>
    <row r="10" spans="1:13">
      <c r="A10" s="18" t="s">
        <v>0</v>
      </c>
      <c r="B10" s="18" t="s">
        <v>1</v>
      </c>
      <c r="C10" s="18" t="s">
        <v>2</v>
      </c>
      <c r="D10" s="27" t="s">
        <v>34</v>
      </c>
      <c r="E10" s="18" t="s">
        <v>3</v>
      </c>
      <c r="F10" s="18" t="s">
        <v>4</v>
      </c>
      <c r="G10" s="87" t="s">
        <v>35</v>
      </c>
      <c r="H10" s="48"/>
      <c r="I10" s="48" t="s">
        <v>85</v>
      </c>
      <c r="J10" s="28" t="s">
        <v>86</v>
      </c>
      <c r="K10" s="53" t="s">
        <v>87</v>
      </c>
      <c r="L10" s="48" t="s">
        <v>88</v>
      </c>
      <c r="M10" s="47" t="s">
        <v>89</v>
      </c>
    </row>
    <row r="11" spans="1:13">
      <c r="A11" s="240" t="s">
        <v>55</v>
      </c>
      <c r="B11" s="241"/>
      <c r="C11" s="241"/>
      <c r="D11" s="241"/>
      <c r="E11" s="241"/>
      <c r="F11" s="241"/>
      <c r="G11" s="242"/>
      <c r="H11" s="48"/>
      <c r="I11" s="129"/>
      <c r="J11" s="49"/>
      <c r="K11" s="58"/>
    </row>
    <row r="12" spans="1:13" s="53" customFormat="1" ht="27">
      <c r="A12" s="6">
        <v>5</v>
      </c>
      <c r="B12" s="6" t="s">
        <v>33</v>
      </c>
      <c r="C12" s="42" t="s">
        <v>156</v>
      </c>
      <c r="D12" s="174">
        <v>3292.2212399999999</v>
      </c>
      <c r="E12" s="4">
        <v>5</v>
      </c>
      <c r="F12" s="6" t="s">
        <v>5</v>
      </c>
      <c r="G12" s="88">
        <f t="shared" ref="G12:G17" si="0">D12*E12</f>
        <v>16461.106199999998</v>
      </c>
      <c r="H12" s="35"/>
      <c r="I12" s="165">
        <v>1.22</v>
      </c>
      <c r="J12" s="167"/>
      <c r="K12" s="167">
        <v>2698.5419999999999</v>
      </c>
      <c r="L12" s="167">
        <f t="shared" ref="L12:L18" si="1">E12*K12</f>
        <v>13492.71</v>
      </c>
      <c r="M12" s="171">
        <f t="shared" ref="M12:M17" si="2">K12*I12</f>
        <v>3292.2212399999999</v>
      </c>
    </row>
    <row r="13" spans="1:13" s="53" customFormat="1" ht="18">
      <c r="A13" s="6">
        <v>7</v>
      </c>
      <c r="B13" s="173" t="s">
        <v>42</v>
      </c>
      <c r="C13" s="175" t="s">
        <v>70</v>
      </c>
      <c r="D13" s="174">
        <v>1599.42</v>
      </c>
      <c r="E13" s="4">
        <f>E12*2</f>
        <v>10</v>
      </c>
      <c r="F13" s="6" t="s">
        <v>5</v>
      </c>
      <c r="G13" s="88">
        <f t="shared" si="0"/>
        <v>15994.2</v>
      </c>
      <c r="H13" s="35"/>
      <c r="I13" s="165">
        <v>1.22</v>
      </c>
      <c r="J13" s="167"/>
      <c r="K13" s="167">
        <v>1311</v>
      </c>
      <c r="L13" s="167">
        <f t="shared" si="1"/>
        <v>13110</v>
      </c>
      <c r="M13" s="171">
        <f t="shared" si="2"/>
        <v>1599.42</v>
      </c>
    </row>
    <row r="14" spans="1:13" s="53" customFormat="1" ht="18">
      <c r="A14" s="6">
        <v>11</v>
      </c>
      <c r="B14" s="176" t="s">
        <v>30</v>
      </c>
      <c r="C14" s="7" t="s">
        <v>32</v>
      </c>
      <c r="D14" s="174">
        <v>3788.1</v>
      </c>
      <c r="E14" s="4">
        <f>E12</f>
        <v>5</v>
      </c>
      <c r="F14" s="6" t="s">
        <v>5</v>
      </c>
      <c r="G14" s="88">
        <f t="shared" si="0"/>
        <v>18940.5</v>
      </c>
      <c r="H14" s="35"/>
      <c r="I14" s="165">
        <v>1.22</v>
      </c>
      <c r="J14" s="167"/>
      <c r="K14" s="167">
        <v>3105</v>
      </c>
      <c r="L14" s="167">
        <f t="shared" si="1"/>
        <v>15525</v>
      </c>
      <c r="M14" s="171">
        <f t="shared" si="2"/>
        <v>3788.1</v>
      </c>
    </row>
    <row r="15" spans="1:13" s="53" customFormat="1" ht="18">
      <c r="A15" s="6">
        <v>12</v>
      </c>
      <c r="B15" s="6" t="s">
        <v>31</v>
      </c>
      <c r="C15" s="177" t="s">
        <v>45</v>
      </c>
      <c r="D15" s="174">
        <v>1307.1080000000002</v>
      </c>
      <c r="E15" s="4">
        <f>E14</f>
        <v>5</v>
      </c>
      <c r="F15" s="6" t="s">
        <v>5</v>
      </c>
      <c r="G15" s="88">
        <f>D15*E15</f>
        <v>6535.5400000000009</v>
      </c>
      <c r="H15" s="35"/>
      <c r="I15" s="165">
        <v>1.22</v>
      </c>
      <c r="J15" s="167"/>
      <c r="K15" s="167">
        <v>1071.4000000000001</v>
      </c>
      <c r="L15" s="167">
        <f t="shared" si="1"/>
        <v>5357</v>
      </c>
      <c r="M15" s="171">
        <f t="shared" si="2"/>
        <v>1307.1080000000002</v>
      </c>
    </row>
    <row r="16" spans="1:13" s="53" customFormat="1" ht="18">
      <c r="A16" s="6">
        <v>13</v>
      </c>
      <c r="B16" s="176" t="s">
        <v>158</v>
      </c>
      <c r="C16" s="7" t="s">
        <v>157</v>
      </c>
      <c r="D16" s="174">
        <v>173.97199999999998</v>
      </c>
      <c r="E16" s="4">
        <f>E14</f>
        <v>5</v>
      </c>
      <c r="F16" s="6" t="s">
        <v>5</v>
      </c>
      <c r="G16" s="88">
        <f t="shared" si="0"/>
        <v>869.8599999999999</v>
      </c>
      <c r="H16" s="35"/>
      <c r="I16" s="165">
        <v>1.22</v>
      </c>
      <c r="J16" s="167"/>
      <c r="K16" s="167">
        <v>142.6</v>
      </c>
      <c r="L16" s="167">
        <f t="shared" si="1"/>
        <v>713</v>
      </c>
      <c r="M16" s="171">
        <f t="shared" si="2"/>
        <v>173.97199999999998</v>
      </c>
    </row>
    <row r="17" spans="1:13" s="53" customFormat="1" ht="11.25">
      <c r="A17" s="6">
        <v>14</v>
      </c>
      <c r="B17" s="176" t="s">
        <v>194</v>
      </c>
      <c r="C17" s="7" t="s">
        <v>195</v>
      </c>
      <c r="D17" s="174">
        <v>1450</v>
      </c>
      <c r="E17" s="4">
        <f>E12</f>
        <v>5</v>
      </c>
      <c r="F17" s="6" t="s">
        <v>5</v>
      </c>
      <c r="G17" s="88">
        <f t="shared" si="0"/>
        <v>7250</v>
      </c>
      <c r="H17" s="35"/>
      <c r="I17" s="165">
        <v>1.22</v>
      </c>
      <c r="J17" s="167"/>
      <c r="K17" s="167">
        <v>900</v>
      </c>
      <c r="L17" s="167">
        <f t="shared" si="1"/>
        <v>4500</v>
      </c>
      <c r="M17" s="171">
        <f t="shared" si="2"/>
        <v>1098</v>
      </c>
    </row>
    <row r="18" spans="1:13" s="53" customFormat="1" ht="11.25">
      <c r="A18" s="6">
        <v>15</v>
      </c>
      <c r="B18" s="228"/>
      <c r="C18" s="7" t="s">
        <v>159</v>
      </c>
      <c r="D18" s="174">
        <v>854</v>
      </c>
      <c r="E18" s="4">
        <f>E17</f>
        <v>5</v>
      </c>
      <c r="F18" s="6" t="s">
        <v>5</v>
      </c>
      <c r="G18" s="88">
        <f>D18*E18</f>
        <v>4270</v>
      </c>
      <c r="H18" s="35"/>
      <c r="I18" s="165">
        <v>1.22</v>
      </c>
      <c r="J18" s="167"/>
      <c r="K18" s="167">
        <v>700</v>
      </c>
      <c r="L18" s="167">
        <f t="shared" si="1"/>
        <v>3500</v>
      </c>
      <c r="M18" s="171">
        <f>K18*I18</f>
        <v>854</v>
      </c>
    </row>
    <row r="19" spans="1:13" s="53" customFormat="1" ht="11.25">
      <c r="A19" s="243" t="s">
        <v>36</v>
      </c>
      <c r="B19" s="244"/>
      <c r="C19" s="244"/>
      <c r="D19" s="244"/>
      <c r="E19" s="244"/>
      <c r="F19" s="245"/>
      <c r="G19" s="89">
        <f>SUM(G12:G18)</f>
        <v>70321.206200000001</v>
      </c>
      <c r="H19" s="35"/>
      <c r="I19" s="165"/>
      <c r="J19" s="167"/>
      <c r="K19" s="167"/>
      <c r="L19" s="167"/>
      <c r="M19" s="171"/>
    </row>
    <row r="20" spans="1:13" s="53" customFormat="1" ht="11.25">
      <c r="A20" s="240" t="s">
        <v>8</v>
      </c>
      <c r="B20" s="241"/>
      <c r="C20" s="241"/>
      <c r="D20" s="241"/>
      <c r="E20" s="241"/>
      <c r="F20" s="241"/>
      <c r="G20" s="242"/>
      <c r="H20" s="35"/>
      <c r="I20" s="165"/>
      <c r="J20" s="167"/>
      <c r="K20" s="167"/>
      <c r="L20" s="167"/>
      <c r="M20" s="171"/>
    </row>
    <row r="21" spans="1:13" s="53" customFormat="1" ht="45">
      <c r="A21" s="6">
        <v>1</v>
      </c>
      <c r="B21" s="32" t="s">
        <v>161</v>
      </c>
      <c r="C21" s="32" t="s">
        <v>160</v>
      </c>
      <c r="D21" s="83">
        <v>4800</v>
      </c>
      <c r="E21" s="6">
        <v>1</v>
      </c>
      <c r="F21" s="6" t="s">
        <v>5</v>
      </c>
      <c r="G21" s="50">
        <f>D21*E21</f>
        <v>4800</v>
      </c>
      <c r="H21" s="35"/>
      <c r="I21" s="165">
        <v>1.22</v>
      </c>
      <c r="J21" s="167">
        <f>СКС!J30</f>
        <v>73.03</v>
      </c>
      <c r="K21" s="167">
        <f>J21*$J$2</f>
        <v>3934.3614756900001</v>
      </c>
      <c r="L21" s="167">
        <f>K21*E21</f>
        <v>3934.3614756900001</v>
      </c>
      <c r="M21" s="171">
        <f>CEILING(K21*I21,1)</f>
        <v>4800</v>
      </c>
    </row>
    <row r="22" spans="1:13" s="53" customFormat="1" ht="11.25">
      <c r="A22" s="6">
        <v>2</v>
      </c>
      <c r="B22" s="178"/>
      <c r="C22" s="3" t="s">
        <v>186</v>
      </c>
      <c r="D22" s="83">
        <v>29</v>
      </c>
      <c r="E22" s="6">
        <v>40</v>
      </c>
      <c r="F22" s="6" t="s">
        <v>6</v>
      </c>
      <c r="G22" s="88">
        <f>D22*E22</f>
        <v>1160</v>
      </c>
      <c r="H22" s="35"/>
      <c r="I22" s="165">
        <v>1.22</v>
      </c>
      <c r="J22" s="167"/>
      <c r="K22" s="167">
        <v>23.6</v>
      </c>
      <c r="L22" s="167">
        <f t="shared" ref="L22:L30" si="3">K22*E22</f>
        <v>944</v>
      </c>
      <c r="M22" s="171">
        <f t="shared" ref="M22:M30" si="4">CEILING(K22*I22,1)</f>
        <v>29</v>
      </c>
    </row>
    <row r="23" spans="1:13" s="130" customFormat="1" ht="11.25">
      <c r="A23" s="6">
        <v>3</v>
      </c>
      <c r="B23" s="6"/>
      <c r="C23" s="3" t="s">
        <v>162</v>
      </c>
      <c r="D23" s="83">
        <v>12</v>
      </c>
      <c r="E23" s="6">
        <v>100</v>
      </c>
      <c r="F23" s="124" t="s">
        <v>6</v>
      </c>
      <c r="G23" s="125">
        <f>D23*E23</f>
        <v>1200</v>
      </c>
      <c r="H23" s="35"/>
      <c r="I23" s="165">
        <v>1.22</v>
      </c>
      <c r="J23" s="167"/>
      <c r="K23" s="167">
        <v>8.6</v>
      </c>
      <c r="L23" s="167">
        <f t="shared" si="3"/>
        <v>860</v>
      </c>
      <c r="M23" s="171">
        <f t="shared" si="4"/>
        <v>11</v>
      </c>
    </row>
    <row r="24" spans="1:13" ht="11.25">
      <c r="A24" s="243" t="s">
        <v>36</v>
      </c>
      <c r="B24" s="244"/>
      <c r="C24" s="244"/>
      <c r="D24" s="244"/>
      <c r="E24" s="244"/>
      <c r="F24" s="245"/>
      <c r="G24" s="89">
        <f>SUM(G21:G23)</f>
        <v>7160</v>
      </c>
      <c r="H24" s="35"/>
      <c r="I24" s="165"/>
      <c r="J24" s="167"/>
      <c r="K24" s="167"/>
      <c r="L24" s="167"/>
      <c r="M24" s="171"/>
    </row>
    <row r="25" spans="1:13" s="53" customFormat="1" ht="11.25">
      <c r="A25" s="246" t="s">
        <v>54</v>
      </c>
      <c r="B25" s="247"/>
      <c r="C25" s="247"/>
      <c r="D25" s="247"/>
      <c r="E25" s="247"/>
      <c r="F25" s="247"/>
      <c r="G25" s="248"/>
      <c r="H25" s="35"/>
      <c r="I25" s="165"/>
      <c r="J25" s="167"/>
      <c r="K25" s="167"/>
      <c r="L25" s="167"/>
      <c r="M25" s="171"/>
    </row>
    <row r="26" spans="1:13" ht="27">
      <c r="A26" s="6">
        <v>1</v>
      </c>
      <c r="B26" s="16"/>
      <c r="C26" s="3" t="s">
        <v>150</v>
      </c>
      <c r="D26" s="83">
        <v>8</v>
      </c>
      <c r="E26" s="4">
        <v>200</v>
      </c>
      <c r="F26" s="6" t="s">
        <v>6</v>
      </c>
      <c r="G26" s="50">
        <f t="shared" ref="G26:G27" si="5">D26*E26</f>
        <v>1600</v>
      </c>
      <c r="H26" s="35"/>
      <c r="I26" s="165">
        <v>1.22</v>
      </c>
      <c r="J26" s="167"/>
      <c r="K26" s="167">
        <v>6</v>
      </c>
      <c r="L26" s="167">
        <f t="shared" ref="L26:L28" si="6">K26*E26</f>
        <v>1200</v>
      </c>
      <c r="M26" s="171">
        <f t="shared" ref="M26:M28" si="7">CEILING(K26*I26,1)</f>
        <v>8</v>
      </c>
    </row>
    <row r="27" spans="1:13" ht="11.25">
      <c r="A27" s="6">
        <v>2</v>
      </c>
      <c r="B27" s="16"/>
      <c r="C27" s="3" t="s">
        <v>163</v>
      </c>
      <c r="D27" s="83">
        <v>2</v>
      </c>
      <c r="E27" s="4">
        <v>200</v>
      </c>
      <c r="F27" s="6" t="s">
        <v>5</v>
      </c>
      <c r="G27" s="50">
        <f t="shared" si="5"/>
        <v>400</v>
      </c>
      <c r="H27" s="35"/>
      <c r="I27" s="165">
        <v>1.22</v>
      </c>
      <c r="J27" s="167"/>
      <c r="K27" s="167">
        <v>1</v>
      </c>
      <c r="L27" s="167">
        <f t="shared" si="6"/>
        <v>200</v>
      </c>
      <c r="M27" s="171">
        <f t="shared" si="7"/>
        <v>2</v>
      </c>
    </row>
    <row r="28" spans="1:13" s="53" customFormat="1" ht="18">
      <c r="A28" s="6">
        <v>3</v>
      </c>
      <c r="B28" s="16"/>
      <c r="C28" s="156" t="s">
        <v>75</v>
      </c>
      <c r="D28" s="83">
        <v>45</v>
      </c>
      <c r="E28" s="16">
        <v>5</v>
      </c>
      <c r="F28" s="6" t="s">
        <v>5</v>
      </c>
      <c r="G28" s="90">
        <f>D28*E28</f>
        <v>225</v>
      </c>
      <c r="H28" s="35"/>
      <c r="I28" s="165">
        <v>1.22</v>
      </c>
      <c r="J28" s="167"/>
      <c r="K28" s="167">
        <v>36.4</v>
      </c>
      <c r="L28" s="167">
        <f t="shared" si="6"/>
        <v>182</v>
      </c>
      <c r="M28" s="171">
        <f t="shared" si="7"/>
        <v>45</v>
      </c>
    </row>
    <row r="29" spans="1:13" s="53" customFormat="1" ht="11.25">
      <c r="A29" s="6">
        <v>4</v>
      </c>
      <c r="B29" s="16">
        <v>30008</v>
      </c>
      <c r="C29" s="156" t="s">
        <v>164</v>
      </c>
      <c r="D29" s="83">
        <v>51</v>
      </c>
      <c r="E29" s="16">
        <v>26</v>
      </c>
      <c r="F29" s="4" t="s">
        <v>6</v>
      </c>
      <c r="G29" s="90">
        <f>D29*E29</f>
        <v>1326</v>
      </c>
      <c r="H29" s="35"/>
      <c r="I29" s="165">
        <v>1.22</v>
      </c>
      <c r="J29" s="167"/>
      <c r="K29" s="167">
        <f>69.23*0.6</f>
        <v>41.538000000000004</v>
      </c>
      <c r="L29" s="167">
        <f t="shared" si="3"/>
        <v>1079.9880000000001</v>
      </c>
      <c r="M29" s="171">
        <f t="shared" si="4"/>
        <v>51</v>
      </c>
    </row>
    <row r="30" spans="1:13" s="53" customFormat="1" ht="11.25">
      <c r="A30" s="6">
        <v>5</v>
      </c>
      <c r="B30" s="179"/>
      <c r="C30" s="3" t="s">
        <v>9</v>
      </c>
      <c r="D30" s="84">
        <v>5000</v>
      </c>
      <c r="E30" s="4">
        <v>1</v>
      </c>
      <c r="F30" s="4" t="s">
        <v>5</v>
      </c>
      <c r="G30" s="90">
        <f>D30*E30</f>
        <v>5000</v>
      </c>
      <c r="H30" s="35"/>
      <c r="I30" s="165">
        <v>1.666666</v>
      </c>
      <c r="J30" s="167"/>
      <c r="K30" s="167">
        <v>3000</v>
      </c>
      <c r="L30" s="167">
        <f t="shared" si="3"/>
        <v>3000</v>
      </c>
      <c r="M30" s="171">
        <f t="shared" si="4"/>
        <v>5000</v>
      </c>
    </row>
    <row r="31" spans="1:13" ht="11.25">
      <c r="A31" s="243" t="s">
        <v>36</v>
      </c>
      <c r="B31" s="244"/>
      <c r="C31" s="244"/>
      <c r="D31" s="244"/>
      <c r="E31" s="244"/>
      <c r="F31" s="245"/>
      <c r="G31" s="89">
        <f>SUM(G26:G30)</f>
        <v>8551</v>
      </c>
      <c r="H31" s="35"/>
      <c r="I31" s="249" t="s">
        <v>139</v>
      </c>
      <c r="J31" s="249"/>
      <c r="K31" s="249"/>
      <c r="L31" s="167">
        <f>SUM(L12:L30)</f>
        <v>67598.059475689995</v>
      </c>
      <c r="M31" s="171"/>
    </row>
    <row r="32" spans="1:13" ht="11.25">
      <c r="A32" s="243" t="s">
        <v>37</v>
      </c>
      <c r="B32" s="244"/>
      <c r="C32" s="244"/>
      <c r="D32" s="244"/>
      <c r="E32" s="244"/>
      <c r="F32" s="245"/>
      <c r="G32" s="89">
        <f>G31+G24+G19</f>
        <v>86032.206200000001</v>
      </c>
      <c r="H32" s="35"/>
      <c r="I32" s="165"/>
      <c r="J32" s="167"/>
      <c r="K32" s="167"/>
      <c r="L32" s="167"/>
      <c r="M32" s="171"/>
    </row>
    <row r="33" spans="1:13" ht="11.25">
      <c r="A33" s="18" t="s">
        <v>0</v>
      </c>
      <c r="B33" s="18" t="s">
        <v>2</v>
      </c>
      <c r="C33" s="254" t="s">
        <v>34</v>
      </c>
      <c r="D33" s="255"/>
      <c r="E33" s="18" t="s">
        <v>3</v>
      </c>
      <c r="F33" s="18" t="s">
        <v>4</v>
      </c>
      <c r="G33" s="87" t="s">
        <v>35</v>
      </c>
      <c r="H33" s="35"/>
      <c r="I33" s="165"/>
      <c r="J33" s="167"/>
      <c r="K33" s="167"/>
      <c r="L33" s="167"/>
      <c r="M33" s="171"/>
    </row>
    <row r="34" spans="1:13" s="53" customFormat="1" ht="11.25">
      <c r="A34" s="266" t="s">
        <v>67</v>
      </c>
      <c r="B34" s="267"/>
      <c r="C34" s="267"/>
      <c r="D34" s="267"/>
      <c r="E34" s="267"/>
      <c r="F34" s="267"/>
      <c r="G34" s="268"/>
      <c r="H34" s="35"/>
      <c r="I34" s="165"/>
      <c r="J34" s="167"/>
      <c r="K34" s="167"/>
      <c r="L34" s="167"/>
      <c r="M34" s="171"/>
    </row>
    <row r="35" spans="1:13" ht="11.25">
      <c r="A35" s="2">
        <v>1</v>
      </c>
      <c r="B35" s="1"/>
      <c r="C35" s="17" t="s">
        <v>46</v>
      </c>
      <c r="D35" s="85">
        <v>2600</v>
      </c>
      <c r="E35" s="8">
        <f>E12</f>
        <v>5</v>
      </c>
      <c r="F35" s="2" t="s">
        <v>5</v>
      </c>
      <c r="G35" s="21">
        <f t="shared" ref="G35:G39" si="8">D35*E35</f>
        <v>13000</v>
      </c>
      <c r="H35" s="35"/>
      <c r="I35" s="165"/>
      <c r="J35" s="167"/>
      <c r="K35" s="167"/>
      <c r="L35" s="167"/>
      <c r="M35" s="171"/>
    </row>
    <row r="36" spans="1:13" ht="11.25">
      <c r="A36" s="2">
        <v>3</v>
      </c>
      <c r="B36" s="1"/>
      <c r="C36" s="17" t="s">
        <v>27</v>
      </c>
      <c r="D36" s="85">
        <v>550</v>
      </c>
      <c r="E36" s="8">
        <f>E13</f>
        <v>10</v>
      </c>
      <c r="F36" s="2" t="s">
        <v>5</v>
      </c>
      <c r="G36" s="21">
        <f t="shared" si="8"/>
        <v>5500</v>
      </c>
      <c r="H36" s="35"/>
      <c r="I36" s="165"/>
      <c r="J36" s="167"/>
      <c r="K36" s="167"/>
      <c r="L36" s="167"/>
      <c r="M36" s="171"/>
    </row>
    <row r="37" spans="1:13" ht="11.25">
      <c r="A37" s="2">
        <v>4</v>
      </c>
      <c r="B37" s="22"/>
      <c r="C37" s="17" t="s">
        <v>28</v>
      </c>
      <c r="D37" s="85">
        <v>2400</v>
      </c>
      <c r="E37" s="8">
        <f>E14</f>
        <v>5</v>
      </c>
      <c r="F37" s="12" t="s">
        <v>5</v>
      </c>
      <c r="G37" s="21">
        <f t="shared" si="8"/>
        <v>12000</v>
      </c>
      <c r="H37" s="35"/>
      <c r="I37" s="165"/>
      <c r="J37" s="167"/>
      <c r="K37" s="167"/>
      <c r="L37" s="167"/>
      <c r="M37" s="171"/>
    </row>
    <row r="38" spans="1:13" ht="11.25">
      <c r="A38" s="2">
        <v>5</v>
      </c>
      <c r="B38" s="22"/>
      <c r="C38" s="17" t="s">
        <v>71</v>
      </c>
      <c r="D38" s="85">
        <v>350</v>
      </c>
      <c r="E38" s="8">
        <f>E16</f>
        <v>5</v>
      </c>
      <c r="F38" s="12" t="s">
        <v>5</v>
      </c>
      <c r="G38" s="21">
        <f t="shared" si="8"/>
        <v>1750</v>
      </c>
      <c r="H38" s="35"/>
      <c r="I38" s="165"/>
      <c r="J38" s="167"/>
      <c r="K38" s="167"/>
      <c r="L38" s="167"/>
      <c r="M38" s="171"/>
    </row>
    <row r="39" spans="1:13" ht="18">
      <c r="A39" s="2">
        <v>6</v>
      </c>
      <c r="B39" s="22"/>
      <c r="C39" s="9" t="s">
        <v>29</v>
      </c>
      <c r="D39" s="85">
        <v>850</v>
      </c>
      <c r="E39" s="8">
        <f>E17</f>
        <v>5</v>
      </c>
      <c r="F39" s="12" t="s">
        <v>5</v>
      </c>
      <c r="G39" s="21">
        <f t="shared" si="8"/>
        <v>4250</v>
      </c>
      <c r="H39" s="35"/>
      <c r="I39" s="165"/>
      <c r="J39" s="167"/>
      <c r="K39" s="167"/>
      <c r="L39" s="167"/>
      <c r="M39" s="171"/>
    </row>
    <row r="40" spans="1:13" ht="11.25">
      <c r="A40" s="269" t="s">
        <v>36</v>
      </c>
      <c r="B40" s="260"/>
      <c r="C40" s="260"/>
      <c r="D40" s="260"/>
      <c r="E40" s="260"/>
      <c r="F40" s="261"/>
      <c r="G40" s="24">
        <f>SUM(G35:G39)</f>
        <v>36500</v>
      </c>
      <c r="H40" s="35"/>
      <c r="I40" s="165"/>
      <c r="J40" s="167"/>
      <c r="K40" s="167"/>
      <c r="L40" s="167"/>
      <c r="M40" s="171"/>
    </row>
    <row r="41" spans="1:13" ht="11.25">
      <c r="A41" s="266" t="s">
        <v>59</v>
      </c>
      <c r="B41" s="267"/>
      <c r="C41" s="267"/>
      <c r="D41" s="267"/>
      <c r="E41" s="267"/>
      <c r="F41" s="267"/>
      <c r="G41" s="268"/>
      <c r="H41" s="35"/>
      <c r="I41" s="165"/>
      <c r="J41" s="167"/>
      <c r="K41" s="167"/>
      <c r="L41" s="167"/>
      <c r="M41" s="171"/>
    </row>
    <row r="42" spans="1:13" ht="11.25">
      <c r="A42" s="2">
        <v>1</v>
      </c>
      <c r="B42" s="1"/>
      <c r="C42" s="3" t="s">
        <v>72</v>
      </c>
      <c r="D42" s="85">
        <v>30</v>
      </c>
      <c r="E42" s="5">
        <f>E21*305</f>
        <v>305</v>
      </c>
      <c r="F42" s="2" t="s">
        <v>6</v>
      </c>
      <c r="G42" s="21">
        <f>D42*E42</f>
        <v>9150</v>
      </c>
      <c r="H42" s="35"/>
      <c r="I42" s="165"/>
      <c r="J42" s="167"/>
      <c r="K42" s="167"/>
      <c r="L42" s="167"/>
      <c r="M42" s="171"/>
    </row>
    <row r="43" spans="1:13" ht="11.25">
      <c r="A43" s="2">
        <v>2</v>
      </c>
      <c r="B43" s="1"/>
      <c r="C43" s="3" t="s">
        <v>26</v>
      </c>
      <c r="D43" s="85">
        <v>35</v>
      </c>
      <c r="E43" s="5">
        <f>E22+E23</f>
        <v>140</v>
      </c>
      <c r="F43" s="2" t="s">
        <v>6</v>
      </c>
      <c r="G43" s="21">
        <f>D43*E43</f>
        <v>4900</v>
      </c>
      <c r="H43" s="35"/>
      <c r="I43" s="165"/>
      <c r="J43" s="167"/>
      <c r="K43" s="167"/>
      <c r="L43" s="167"/>
      <c r="M43" s="171"/>
    </row>
    <row r="44" spans="1:13" ht="11.25">
      <c r="A44" s="2">
        <v>3</v>
      </c>
      <c r="B44" s="1"/>
      <c r="C44" s="3" t="s">
        <v>73</v>
      </c>
      <c r="D44" s="85">
        <v>45</v>
      </c>
      <c r="E44" s="5">
        <f>E29</f>
        <v>26</v>
      </c>
      <c r="F44" s="2" t="s">
        <v>6</v>
      </c>
      <c r="G44" s="21">
        <f>D44*E44</f>
        <v>1170</v>
      </c>
      <c r="H44" s="35"/>
      <c r="I44" s="165"/>
      <c r="J44" s="167"/>
      <c r="K44" s="167"/>
      <c r="L44" s="167"/>
      <c r="M44" s="171"/>
    </row>
    <row r="45" spans="1:13" s="53" customFormat="1" ht="11.25">
      <c r="A45" s="269" t="s">
        <v>36</v>
      </c>
      <c r="B45" s="260"/>
      <c r="C45" s="260"/>
      <c r="D45" s="260"/>
      <c r="E45" s="260"/>
      <c r="F45" s="261"/>
      <c r="G45" s="24">
        <f>SUM(G42:G44)</f>
        <v>15220</v>
      </c>
      <c r="H45" s="35"/>
      <c r="I45" s="165"/>
      <c r="J45" s="167"/>
      <c r="K45" s="167"/>
      <c r="L45" s="167"/>
      <c r="M45" s="171"/>
    </row>
    <row r="46" spans="1:13">
      <c r="A46" s="266" t="s">
        <v>61</v>
      </c>
      <c r="B46" s="267"/>
      <c r="C46" s="267"/>
      <c r="D46" s="267"/>
      <c r="E46" s="267"/>
      <c r="F46" s="267"/>
      <c r="G46" s="268"/>
      <c r="H46" s="56"/>
      <c r="I46" s="56"/>
      <c r="J46" s="55"/>
      <c r="K46" s="47"/>
    </row>
    <row r="47" spans="1:13">
      <c r="A47" s="2">
        <v>1</v>
      </c>
      <c r="B47" s="20"/>
      <c r="C47" s="9" t="s">
        <v>189</v>
      </c>
      <c r="D47" s="86">
        <v>7000</v>
      </c>
      <c r="E47" s="8">
        <v>1</v>
      </c>
      <c r="F47" s="2" t="s">
        <v>5</v>
      </c>
      <c r="G47" s="21">
        <f>D47*E47</f>
        <v>7000</v>
      </c>
      <c r="H47" s="56"/>
      <c r="I47" s="56"/>
      <c r="J47" s="55"/>
      <c r="K47" s="47"/>
    </row>
    <row r="48" spans="1:13">
      <c r="A48" s="269" t="s">
        <v>36</v>
      </c>
      <c r="B48" s="260"/>
      <c r="C48" s="260"/>
      <c r="D48" s="260"/>
      <c r="E48" s="260"/>
      <c r="F48" s="261"/>
      <c r="G48" s="24">
        <f>SUM(G47:G47)</f>
        <v>7000</v>
      </c>
      <c r="H48" s="56"/>
      <c r="I48" s="56"/>
      <c r="J48" s="55"/>
      <c r="K48" s="47"/>
    </row>
    <row r="49" spans="1:11">
      <c r="A49" s="243" t="s">
        <v>38</v>
      </c>
      <c r="B49" s="244"/>
      <c r="C49" s="244"/>
      <c r="D49" s="244"/>
      <c r="E49" s="244"/>
      <c r="F49" s="245"/>
      <c r="G49" s="25">
        <f>G45+G40+G48</f>
        <v>58720</v>
      </c>
      <c r="H49" s="56"/>
      <c r="I49" s="56">
        <f>G49/5</f>
        <v>11744</v>
      </c>
      <c r="J49" s="55"/>
      <c r="K49" s="47"/>
    </row>
    <row r="50" spans="1:11">
      <c r="A50" s="256" t="s">
        <v>39</v>
      </c>
      <c r="B50" s="257"/>
      <c r="C50" s="257"/>
      <c r="D50" s="257"/>
      <c r="E50" s="257"/>
      <c r="F50" s="258"/>
      <c r="G50" s="25">
        <f>G49+G32</f>
        <v>144752.20620000002</v>
      </c>
      <c r="H50" s="56"/>
      <c r="I50" s="56"/>
      <c r="J50" s="55"/>
      <c r="K50" s="47"/>
    </row>
    <row r="51" spans="1:11">
      <c r="A51" s="256" t="s">
        <v>40</v>
      </c>
      <c r="B51" s="257"/>
      <c r="C51" s="257"/>
      <c r="D51" s="257"/>
      <c r="E51" s="257"/>
      <c r="F51" s="258"/>
      <c r="G51" s="26">
        <f>G50/118*18</f>
        <v>22080.845013559323</v>
      </c>
      <c r="H51" s="56"/>
      <c r="I51" s="56"/>
      <c r="J51" s="47"/>
    </row>
    <row r="52" spans="1:11">
      <c r="H52" s="56"/>
      <c r="I52" s="56"/>
      <c r="J52" s="55"/>
    </row>
    <row r="53" spans="1:11">
      <c r="H53" s="56"/>
      <c r="I53" s="56"/>
      <c r="J53" s="55"/>
    </row>
    <row r="54" spans="1:11">
      <c r="H54" s="56"/>
      <c r="I54" s="56"/>
      <c r="J54" s="55"/>
    </row>
    <row r="55" spans="1:11">
      <c r="H55" s="56"/>
      <c r="I55" s="56"/>
      <c r="J55" s="55"/>
    </row>
    <row r="56" spans="1:11">
      <c r="H56" s="56"/>
      <c r="I56" s="56"/>
      <c r="J56" s="28"/>
    </row>
    <row r="57" spans="1:11">
      <c r="H57" s="56"/>
      <c r="I57" s="56"/>
      <c r="J57" s="55"/>
    </row>
    <row r="58" spans="1:11">
      <c r="H58" s="56"/>
      <c r="I58" s="56"/>
      <c r="J58" s="55"/>
    </row>
    <row r="59" spans="1:11">
      <c r="H59" s="56"/>
      <c r="I59" s="56"/>
      <c r="J59" s="55"/>
    </row>
    <row r="60" spans="1:11">
      <c r="H60" s="56"/>
      <c r="I60" s="56"/>
      <c r="J60" s="55"/>
    </row>
    <row r="61" spans="1:11">
      <c r="H61" s="56"/>
      <c r="I61" s="56"/>
      <c r="J61" s="55"/>
    </row>
    <row r="62" spans="1:11">
      <c r="H62" s="45"/>
      <c r="J62" s="46"/>
    </row>
    <row r="63" spans="1:11">
      <c r="H63" s="45"/>
      <c r="J63" s="46"/>
    </row>
    <row r="64" spans="1:11">
      <c r="H64" s="45"/>
      <c r="J64" s="46"/>
    </row>
    <row r="65" spans="8:10">
      <c r="H65" s="45"/>
      <c r="J65" s="46"/>
    </row>
    <row r="66" spans="8:10">
      <c r="H66" s="45"/>
      <c r="J66" s="46"/>
    </row>
    <row r="67" spans="8:10">
      <c r="H67" s="45"/>
      <c r="J67" s="46"/>
    </row>
    <row r="68" spans="8:10">
      <c r="H68" s="45"/>
      <c r="J68" s="46"/>
    </row>
    <row r="69" spans="8:10">
      <c r="H69" s="45"/>
      <c r="J69" s="46"/>
    </row>
    <row r="70" spans="8:10">
      <c r="H70" s="45"/>
      <c r="J70" s="46"/>
    </row>
    <row r="71" spans="8:10">
      <c r="H71" s="45"/>
      <c r="J71" s="46"/>
    </row>
  </sheetData>
  <mergeCells count="25">
    <mergeCell ref="A19:F19"/>
    <mergeCell ref="A20:G20"/>
    <mergeCell ref="A24:F24"/>
    <mergeCell ref="A1:D1"/>
    <mergeCell ref="A2:E2"/>
    <mergeCell ref="A3:E3"/>
    <mergeCell ref="A8:G8"/>
    <mergeCell ref="A11:G11"/>
    <mergeCell ref="A4:B4"/>
    <mergeCell ref="A6:G6"/>
    <mergeCell ref="A7:G7"/>
    <mergeCell ref="A25:G25"/>
    <mergeCell ref="A31:F31"/>
    <mergeCell ref="A32:F32"/>
    <mergeCell ref="C33:D33"/>
    <mergeCell ref="A41:G41"/>
    <mergeCell ref="I31:K31"/>
    <mergeCell ref="A50:F50"/>
    <mergeCell ref="A51:F51"/>
    <mergeCell ref="A45:F45"/>
    <mergeCell ref="A34:G34"/>
    <mergeCell ref="A40:F40"/>
    <mergeCell ref="A46:G46"/>
    <mergeCell ref="A48:F48"/>
    <mergeCell ref="A49:F49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zoomScale="60" zoomScaleNormal="115" workbookViewId="0">
      <selection activeCell="G38" sqref="A1:G38"/>
    </sheetView>
  </sheetViews>
  <sheetFormatPr defaultRowHeight="9"/>
  <cols>
    <col min="1" max="1" width="3.5703125" style="152" customWidth="1"/>
    <col min="2" max="2" width="21.42578125" style="49" customWidth="1"/>
    <col min="3" max="3" width="40.140625" style="49" customWidth="1"/>
    <col min="4" max="4" width="9.140625" style="149" customWidth="1"/>
    <col min="5" max="5" width="7.42578125" style="49" customWidth="1"/>
    <col min="6" max="6" width="6.28515625" style="49" customWidth="1"/>
    <col min="7" max="7" width="12.7109375" style="49" bestFit="1" customWidth="1"/>
    <col min="8" max="8" width="10.7109375" style="150" customWidth="1"/>
    <col min="9" max="9" width="10" style="150" customWidth="1"/>
    <col min="10" max="10" width="9.7109375" style="150" customWidth="1"/>
    <col min="11" max="11" width="9.140625" style="150"/>
    <col min="12" max="12" width="12.42578125" style="150" customWidth="1"/>
    <col min="13" max="13" width="12.42578125" style="49" customWidth="1"/>
    <col min="14" max="16384" width="9.140625" style="49"/>
  </cols>
  <sheetData>
    <row r="1" spans="1:13" s="136" customFormat="1" ht="11.25">
      <c r="A1" s="291"/>
      <c r="B1" s="292"/>
      <c r="C1" s="292"/>
      <c r="D1" s="292"/>
      <c r="E1" s="132"/>
      <c r="F1" s="133"/>
      <c r="G1" s="134"/>
      <c r="H1" s="63"/>
      <c r="I1" s="63" t="str">
        <f>СКС!I1</f>
        <v>ЦБ</v>
      </c>
      <c r="J1" s="63" t="str">
        <f>СКС!J1</f>
        <v>ЦБ+3%</v>
      </c>
      <c r="K1" s="135"/>
      <c r="L1" s="135"/>
    </row>
    <row r="2" spans="1:13" s="140" customFormat="1" ht="11.25">
      <c r="A2" s="293"/>
      <c r="B2" s="294"/>
      <c r="C2" s="294"/>
      <c r="D2" s="294"/>
      <c r="E2" s="294"/>
      <c r="F2" s="137"/>
      <c r="G2" s="138"/>
      <c r="H2" s="170">
        <f>СКС!H2</f>
        <v>42123</v>
      </c>
      <c r="I2" s="63">
        <f>СКС!I2</f>
        <v>52.304099999999998</v>
      </c>
      <c r="J2" s="63">
        <f>СКС!J2</f>
        <v>53.873223000000003</v>
      </c>
      <c r="K2" s="139"/>
      <c r="L2" s="139"/>
    </row>
    <row r="3" spans="1:13" s="140" customFormat="1" ht="11.25">
      <c r="A3" s="288"/>
      <c r="B3" s="295"/>
      <c r="C3" s="295"/>
      <c r="D3" s="295"/>
      <c r="E3" s="295"/>
      <c r="F3" s="137"/>
      <c r="G3" s="141"/>
      <c r="H3" s="139"/>
      <c r="I3" s="139"/>
      <c r="J3" s="139"/>
      <c r="K3" s="139"/>
      <c r="L3" s="139"/>
    </row>
    <row r="4" spans="1:13" s="140" customFormat="1" ht="11.25">
      <c r="A4" s="286"/>
      <c r="B4" s="287"/>
      <c r="C4" s="137"/>
      <c r="D4" s="143"/>
      <c r="E4" s="137"/>
      <c r="F4" s="137"/>
      <c r="G4" s="138"/>
      <c r="H4" s="139"/>
      <c r="I4" s="139"/>
      <c r="J4" s="139"/>
      <c r="K4" s="139"/>
      <c r="L4" s="139"/>
    </row>
    <row r="5" spans="1:13" s="140" customFormat="1" ht="11.25">
      <c r="A5" s="142"/>
      <c r="B5" s="137"/>
      <c r="C5" s="137"/>
      <c r="D5" s="143"/>
      <c r="E5" s="137"/>
      <c r="F5" s="137"/>
      <c r="G5" s="138"/>
      <c r="H5" s="139"/>
      <c r="I5" s="139"/>
      <c r="J5" s="139"/>
      <c r="K5" s="139"/>
      <c r="L5" s="139"/>
    </row>
    <row r="6" spans="1:13" s="140" customFormat="1" ht="11.25">
      <c r="A6" s="288"/>
      <c r="B6" s="289"/>
      <c r="C6" s="289"/>
      <c r="D6" s="289"/>
      <c r="E6" s="289"/>
      <c r="F6" s="289"/>
      <c r="G6" s="289"/>
      <c r="H6" s="139"/>
      <c r="I6" s="139"/>
      <c r="J6" s="139"/>
      <c r="K6" s="139"/>
      <c r="L6" s="139"/>
    </row>
    <row r="7" spans="1:13" s="140" customFormat="1" ht="11.25">
      <c r="A7" s="288"/>
      <c r="B7" s="289"/>
      <c r="C7" s="289"/>
      <c r="D7" s="289"/>
      <c r="E7" s="289"/>
      <c r="F7" s="289"/>
      <c r="G7" s="289"/>
      <c r="H7" s="139"/>
      <c r="I7" s="139"/>
      <c r="J7" s="139"/>
      <c r="K7" s="139"/>
      <c r="L7" s="139"/>
    </row>
    <row r="8" spans="1:13" s="140" customFormat="1" ht="11.25">
      <c r="A8" s="288"/>
      <c r="B8" s="289"/>
      <c r="C8" s="289"/>
      <c r="D8" s="289"/>
      <c r="E8" s="289"/>
      <c r="F8" s="289"/>
      <c r="G8" s="289"/>
      <c r="H8" s="139"/>
      <c r="I8" s="139"/>
      <c r="J8" s="139"/>
      <c r="K8" s="139"/>
      <c r="L8" s="139"/>
    </row>
    <row r="9" spans="1:13" s="140" customFormat="1" ht="11.25">
      <c r="A9" s="144"/>
      <c r="B9" s="71"/>
      <c r="C9" s="71"/>
      <c r="D9" s="82"/>
      <c r="E9" s="71"/>
      <c r="F9" s="69"/>
      <c r="G9" s="69"/>
      <c r="H9" s="139"/>
      <c r="I9" s="139"/>
      <c r="J9" s="139"/>
      <c r="K9" s="139"/>
      <c r="L9" s="139"/>
    </row>
    <row r="10" spans="1:13">
      <c r="A10" s="145" t="s">
        <v>0</v>
      </c>
      <c r="B10" s="18" t="s">
        <v>1</v>
      </c>
      <c r="C10" s="18" t="s">
        <v>2</v>
      </c>
      <c r="D10" s="27" t="s">
        <v>34</v>
      </c>
      <c r="E10" s="18" t="s">
        <v>3</v>
      </c>
      <c r="F10" s="18" t="s">
        <v>4</v>
      </c>
      <c r="G10" s="87" t="s">
        <v>35</v>
      </c>
      <c r="H10" s="28"/>
      <c r="I10" s="48" t="s">
        <v>85</v>
      </c>
      <c r="J10" s="28" t="s">
        <v>86</v>
      </c>
      <c r="K10" s="53" t="s">
        <v>87</v>
      </c>
      <c r="L10" s="48" t="s">
        <v>88</v>
      </c>
      <c r="M10" s="47" t="s">
        <v>89</v>
      </c>
    </row>
    <row r="11" spans="1:13">
      <c r="A11" s="290" t="s">
        <v>56</v>
      </c>
      <c r="B11" s="241"/>
      <c r="C11" s="241"/>
      <c r="D11" s="241"/>
      <c r="E11" s="241"/>
      <c r="F11" s="241"/>
      <c r="G11" s="242"/>
      <c r="H11" s="49"/>
      <c r="I11" s="28"/>
      <c r="J11" s="49"/>
      <c r="K11" s="146"/>
      <c r="L11" s="28"/>
    </row>
    <row r="12" spans="1:13" ht="18">
      <c r="A12" s="147">
        <v>1</v>
      </c>
      <c r="B12" s="13" t="s">
        <v>48</v>
      </c>
      <c r="C12" s="14" t="s">
        <v>49</v>
      </c>
      <c r="D12" s="83">
        <v>6990</v>
      </c>
      <c r="E12" s="6">
        <v>6</v>
      </c>
      <c r="F12" s="6" t="s">
        <v>5</v>
      </c>
      <c r="G12" s="88">
        <f>D12*E12</f>
        <v>41940</v>
      </c>
      <c r="H12" s="28"/>
      <c r="I12" s="165">
        <v>1.3</v>
      </c>
      <c r="J12" s="165"/>
      <c r="K12" s="167">
        <v>5320</v>
      </c>
      <c r="L12" s="167">
        <f>K12*E12</f>
        <v>31920</v>
      </c>
      <c r="M12" s="171">
        <f>K12*I12</f>
        <v>6916</v>
      </c>
    </row>
    <row r="13" spans="1:13" ht="18">
      <c r="A13" s="147">
        <v>2</v>
      </c>
      <c r="B13" s="13" t="s">
        <v>74</v>
      </c>
      <c r="C13" s="14" t="s">
        <v>166</v>
      </c>
      <c r="D13" s="83">
        <v>79990</v>
      </c>
      <c r="E13" s="6">
        <v>1</v>
      </c>
      <c r="F13" s="6" t="s">
        <v>5</v>
      </c>
      <c r="G13" s="88">
        <f>D13*E13</f>
        <v>79990</v>
      </c>
      <c r="H13" s="35"/>
      <c r="I13" s="165">
        <v>1.3</v>
      </c>
      <c r="J13" s="165"/>
      <c r="K13" s="167">
        <v>60800</v>
      </c>
      <c r="L13" s="167">
        <f>K13*E13</f>
        <v>60800</v>
      </c>
      <c r="M13" s="171">
        <f>K13*I13</f>
        <v>79040</v>
      </c>
    </row>
    <row r="14" spans="1:13" ht="11.25">
      <c r="A14" s="147">
        <v>3</v>
      </c>
      <c r="B14" s="15" t="s">
        <v>50</v>
      </c>
      <c r="C14" s="7" t="s">
        <v>51</v>
      </c>
      <c r="D14" s="83">
        <v>7990</v>
      </c>
      <c r="E14" s="6">
        <v>1</v>
      </c>
      <c r="F14" s="6" t="s">
        <v>131</v>
      </c>
      <c r="G14" s="88">
        <f>D14*E14</f>
        <v>7990</v>
      </c>
      <c r="H14" s="28"/>
      <c r="I14" s="165">
        <v>1.3</v>
      </c>
      <c r="J14" s="165"/>
      <c r="K14" s="167">
        <v>6080</v>
      </c>
      <c r="L14" s="167">
        <f>K14*E14</f>
        <v>6080</v>
      </c>
      <c r="M14" s="171">
        <f>K14*I14</f>
        <v>7904</v>
      </c>
    </row>
    <row r="15" spans="1:13" ht="11.25">
      <c r="A15" s="285" t="s">
        <v>36</v>
      </c>
      <c r="B15" s="244"/>
      <c r="C15" s="244"/>
      <c r="D15" s="244"/>
      <c r="E15" s="244"/>
      <c r="F15" s="245"/>
      <c r="G15" s="89">
        <f>SUM(G12:G14)</f>
        <v>129920</v>
      </c>
      <c r="H15" s="35"/>
      <c r="I15" s="165"/>
      <c r="J15" s="165"/>
      <c r="K15" s="167"/>
      <c r="L15" s="167"/>
      <c r="M15" s="171"/>
    </row>
    <row r="16" spans="1:13" ht="11.25">
      <c r="A16" s="290" t="s">
        <v>57</v>
      </c>
      <c r="B16" s="241"/>
      <c r="C16" s="241"/>
      <c r="D16" s="241"/>
      <c r="E16" s="241"/>
      <c r="F16" s="241"/>
      <c r="G16" s="242"/>
      <c r="H16" s="28"/>
      <c r="I16" s="165"/>
      <c r="J16" s="165"/>
      <c r="K16" s="167"/>
      <c r="L16" s="167"/>
      <c r="M16" s="171"/>
    </row>
    <row r="17" spans="1:13" ht="11.25">
      <c r="A17" s="147">
        <v>1</v>
      </c>
      <c r="B17" s="10"/>
      <c r="C17" s="11" t="s">
        <v>84</v>
      </c>
      <c r="D17" s="83">
        <v>58</v>
      </c>
      <c r="E17" s="6">
        <v>150</v>
      </c>
      <c r="F17" s="6" t="s">
        <v>6</v>
      </c>
      <c r="G17" s="88">
        <f>D17*E17</f>
        <v>8700</v>
      </c>
      <c r="H17" s="35"/>
      <c r="I17" s="165">
        <v>1.22</v>
      </c>
      <c r="J17" s="165"/>
      <c r="K17" s="167">
        <v>110</v>
      </c>
      <c r="L17" s="167">
        <f t="shared" ref="L17" si="0">K17*E17</f>
        <v>16500</v>
      </c>
      <c r="M17" s="171">
        <f>K17*I17</f>
        <v>134.19999999999999</v>
      </c>
    </row>
    <row r="18" spans="1:13" ht="11.25">
      <c r="A18" s="147">
        <v>2</v>
      </c>
      <c r="B18" s="10"/>
      <c r="C18" s="3" t="s">
        <v>162</v>
      </c>
      <c r="D18" s="83">
        <v>12</v>
      </c>
      <c r="E18" s="6">
        <v>50</v>
      </c>
      <c r="F18" s="124" t="s">
        <v>6</v>
      </c>
      <c r="G18" s="125">
        <f>D18*E18</f>
        <v>600</v>
      </c>
      <c r="H18" s="35"/>
      <c r="I18" s="165">
        <v>1.22</v>
      </c>
      <c r="J18" s="167"/>
      <c r="K18" s="167">
        <v>8.6</v>
      </c>
      <c r="L18" s="167">
        <f t="shared" ref="L18" si="1">K18*E18</f>
        <v>430</v>
      </c>
      <c r="M18" s="171">
        <f t="shared" ref="M18" si="2">CEILING(K18*I18,1)</f>
        <v>11</v>
      </c>
    </row>
    <row r="19" spans="1:13" ht="11.25">
      <c r="A19" s="285" t="s">
        <v>36</v>
      </c>
      <c r="B19" s="244"/>
      <c r="C19" s="244"/>
      <c r="D19" s="244"/>
      <c r="E19" s="244"/>
      <c r="F19" s="245"/>
      <c r="G19" s="89">
        <f>SUM(G17:G17)</f>
        <v>8700</v>
      </c>
      <c r="H19" s="28"/>
      <c r="I19" s="165"/>
      <c r="J19" s="165"/>
      <c r="K19" s="167"/>
      <c r="L19" s="167"/>
      <c r="M19" s="171"/>
    </row>
    <row r="20" spans="1:13" ht="11.25">
      <c r="A20" s="290" t="s">
        <v>58</v>
      </c>
      <c r="B20" s="241"/>
      <c r="C20" s="241"/>
      <c r="D20" s="241"/>
      <c r="E20" s="241"/>
      <c r="F20" s="241"/>
      <c r="G20" s="242"/>
      <c r="H20" s="35"/>
      <c r="I20" s="165"/>
      <c r="J20" s="165"/>
      <c r="K20" s="167"/>
      <c r="L20" s="167"/>
      <c r="M20" s="171"/>
    </row>
    <row r="21" spans="1:13" ht="27">
      <c r="A21" s="147">
        <v>1</v>
      </c>
      <c r="B21" s="52"/>
      <c r="C21" s="3" t="s">
        <v>150</v>
      </c>
      <c r="D21" s="83">
        <v>8</v>
      </c>
      <c r="E21" s="4">
        <f>E17+E18</f>
        <v>200</v>
      </c>
      <c r="F21" s="6" t="s">
        <v>6</v>
      </c>
      <c r="G21" s="50">
        <f t="shared" ref="G21:G22" si="3">D21*E21</f>
        <v>1600</v>
      </c>
      <c r="H21" s="35"/>
      <c r="I21" s="165">
        <v>1.22</v>
      </c>
      <c r="J21" s="167"/>
      <c r="K21" s="167">
        <v>6</v>
      </c>
      <c r="L21" s="167">
        <f t="shared" ref="L21:L22" si="4">K21*E21</f>
        <v>1200</v>
      </c>
      <c r="M21" s="171">
        <f>CEILING(K21*I21,1)</f>
        <v>8</v>
      </c>
    </row>
    <row r="22" spans="1:13" ht="11.25">
      <c r="A22" s="147">
        <v>2</v>
      </c>
      <c r="B22" s="52"/>
      <c r="C22" s="3" t="s">
        <v>163</v>
      </c>
      <c r="D22" s="83">
        <v>2</v>
      </c>
      <c r="E22" s="4">
        <f>E21</f>
        <v>200</v>
      </c>
      <c r="F22" s="6" t="s">
        <v>5</v>
      </c>
      <c r="G22" s="50">
        <f t="shared" si="3"/>
        <v>400</v>
      </c>
      <c r="H22" s="35"/>
      <c r="I22" s="165">
        <v>1.22</v>
      </c>
      <c r="J22" s="167"/>
      <c r="K22" s="167">
        <v>1</v>
      </c>
      <c r="L22" s="167">
        <f t="shared" si="4"/>
        <v>200</v>
      </c>
      <c r="M22" s="171">
        <f>CEILING(K22*I22,1)</f>
        <v>2</v>
      </c>
    </row>
    <row r="23" spans="1:13" s="146" customFormat="1" ht="11.25">
      <c r="A23" s="147">
        <v>3</v>
      </c>
      <c r="B23" s="52"/>
      <c r="C23" s="156" t="s">
        <v>68</v>
      </c>
      <c r="D23" s="84">
        <v>135</v>
      </c>
      <c r="E23" s="16">
        <v>4</v>
      </c>
      <c r="F23" s="4" t="s">
        <v>5</v>
      </c>
      <c r="G23" s="90">
        <f>D23*E23</f>
        <v>540</v>
      </c>
      <c r="H23" s="35"/>
      <c r="I23" s="165"/>
      <c r="J23" s="165"/>
      <c r="K23" s="167"/>
      <c r="L23" s="167">
        <f t="shared" ref="L23:L24" si="5">K23*E23</f>
        <v>0</v>
      </c>
      <c r="M23" s="171">
        <f>CEILING(K23*I23,1)</f>
        <v>0</v>
      </c>
    </row>
    <row r="24" spans="1:13" ht="11.25">
      <c r="A24" s="147">
        <v>4</v>
      </c>
      <c r="B24" s="52"/>
      <c r="C24" s="3" t="s">
        <v>9</v>
      </c>
      <c r="D24" s="84">
        <v>5000</v>
      </c>
      <c r="E24" s="4">
        <v>1</v>
      </c>
      <c r="F24" s="4" t="s">
        <v>5</v>
      </c>
      <c r="G24" s="90">
        <f>D24*E24</f>
        <v>5000</v>
      </c>
      <c r="H24" s="28"/>
      <c r="I24" s="165">
        <v>2.5</v>
      </c>
      <c r="J24" s="165"/>
      <c r="K24" s="167">
        <v>2000</v>
      </c>
      <c r="L24" s="167">
        <f t="shared" si="5"/>
        <v>2000</v>
      </c>
      <c r="M24" s="171">
        <f>CEILING(K24*I24,1)</f>
        <v>5000</v>
      </c>
    </row>
    <row r="25" spans="1:13" ht="11.25">
      <c r="A25" s="285" t="s">
        <v>36</v>
      </c>
      <c r="B25" s="244"/>
      <c r="C25" s="244"/>
      <c r="D25" s="244"/>
      <c r="E25" s="244"/>
      <c r="F25" s="245"/>
      <c r="G25" s="89">
        <f>SUM(G21:G24)</f>
        <v>7540</v>
      </c>
      <c r="H25" s="35"/>
      <c r="I25" s="249" t="s">
        <v>139</v>
      </c>
      <c r="J25" s="249"/>
      <c r="K25" s="249"/>
      <c r="L25" s="167">
        <f>SUM(L12:L24)</f>
        <v>119130</v>
      </c>
      <c r="M25" s="171"/>
    </row>
    <row r="26" spans="1:13" ht="11.25">
      <c r="A26" s="285" t="s">
        <v>37</v>
      </c>
      <c r="B26" s="244"/>
      <c r="C26" s="244"/>
      <c r="D26" s="244"/>
      <c r="E26" s="244"/>
      <c r="F26" s="245"/>
      <c r="G26" s="89">
        <f>G19+G15+G25</f>
        <v>146160</v>
      </c>
      <c r="H26" s="28"/>
      <c r="I26" s="165"/>
      <c r="J26" s="165"/>
      <c r="K26" s="167"/>
      <c r="L26" s="167"/>
      <c r="M26" s="171"/>
    </row>
    <row r="27" spans="1:13" ht="11.25">
      <c r="A27" s="145" t="s">
        <v>0</v>
      </c>
      <c r="B27" s="18" t="s">
        <v>2</v>
      </c>
      <c r="C27" s="254" t="s">
        <v>34</v>
      </c>
      <c r="D27" s="255"/>
      <c r="E27" s="18" t="s">
        <v>3</v>
      </c>
      <c r="F27" s="18" t="s">
        <v>4</v>
      </c>
      <c r="G27" s="87" t="s">
        <v>35</v>
      </c>
      <c r="H27" s="35"/>
      <c r="I27" s="165"/>
      <c r="J27" s="165"/>
      <c r="K27" s="167"/>
      <c r="L27" s="167"/>
      <c r="M27" s="171"/>
    </row>
    <row r="28" spans="1:13" ht="11.25">
      <c r="A28" s="281" t="s">
        <v>59</v>
      </c>
      <c r="B28" s="267"/>
      <c r="C28" s="267"/>
      <c r="D28" s="267"/>
      <c r="E28" s="267"/>
      <c r="F28" s="267"/>
      <c r="G28" s="268"/>
      <c r="H28" s="28"/>
      <c r="I28" s="165"/>
      <c r="J28" s="165"/>
      <c r="K28" s="167"/>
      <c r="L28" s="167"/>
      <c r="M28" s="171"/>
    </row>
    <row r="29" spans="1:13" ht="18">
      <c r="A29" s="148">
        <v>1</v>
      </c>
      <c r="B29" s="20"/>
      <c r="C29" s="22" t="s">
        <v>11</v>
      </c>
      <c r="D29" s="85">
        <v>2.5</v>
      </c>
      <c r="E29" s="5">
        <f>E17+E18</f>
        <v>200</v>
      </c>
      <c r="F29" s="5" t="s">
        <v>6</v>
      </c>
      <c r="G29" s="29">
        <f>D29*E29</f>
        <v>500</v>
      </c>
      <c r="H29" s="35"/>
      <c r="I29" s="165">
        <v>15</v>
      </c>
      <c r="J29" s="165">
        <f>E29*I29</f>
        <v>3000</v>
      </c>
      <c r="K29" s="167"/>
      <c r="L29" s="167"/>
      <c r="M29" s="171"/>
    </row>
    <row r="30" spans="1:13" ht="11.25">
      <c r="A30" s="148">
        <v>2</v>
      </c>
      <c r="B30" s="1"/>
      <c r="C30" s="43" t="s">
        <v>69</v>
      </c>
      <c r="D30" s="85">
        <v>28</v>
      </c>
      <c r="E30" s="5">
        <f>E17</f>
        <v>150</v>
      </c>
      <c r="F30" s="5" t="s">
        <v>6</v>
      </c>
      <c r="G30" s="29">
        <f t="shared" ref="G30:G34" si="6">D30*E30</f>
        <v>4200</v>
      </c>
      <c r="H30" s="28"/>
      <c r="I30" s="165"/>
      <c r="J30" s="165"/>
      <c r="K30" s="167"/>
      <c r="L30" s="167"/>
      <c r="M30" s="171"/>
    </row>
    <row r="31" spans="1:13" ht="11.25">
      <c r="A31" s="148">
        <v>3</v>
      </c>
      <c r="B31" s="1"/>
      <c r="C31" s="3" t="s">
        <v>26</v>
      </c>
      <c r="D31" s="85">
        <v>35</v>
      </c>
      <c r="E31" s="5">
        <f>E18</f>
        <v>50</v>
      </c>
      <c r="F31" s="5" t="s">
        <v>6</v>
      </c>
      <c r="G31" s="29">
        <f t="shared" si="6"/>
        <v>1750</v>
      </c>
      <c r="H31" s="28"/>
      <c r="I31" s="165"/>
      <c r="J31" s="165"/>
      <c r="K31" s="167"/>
      <c r="L31" s="167"/>
      <c r="M31" s="171"/>
    </row>
    <row r="32" spans="1:13" ht="18">
      <c r="A32" s="148">
        <v>4</v>
      </c>
      <c r="B32" s="22"/>
      <c r="C32" s="32" t="s">
        <v>82</v>
      </c>
      <c r="D32" s="121">
        <v>1350</v>
      </c>
      <c r="E32" s="33">
        <f>E12</f>
        <v>6</v>
      </c>
      <c r="F32" s="30" t="s">
        <v>5</v>
      </c>
      <c r="G32" s="29">
        <f>D32*E32</f>
        <v>8100</v>
      </c>
      <c r="H32" s="35"/>
      <c r="I32" s="165"/>
      <c r="J32" s="165"/>
      <c r="K32" s="167"/>
      <c r="L32" s="167"/>
      <c r="M32" s="171"/>
    </row>
    <row r="33" spans="1:13" ht="11.25">
      <c r="A33" s="148">
        <v>5</v>
      </c>
      <c r="B33" s="1"/>
      <c r="C33" s="7" t="s">
        <v>47</v>
      </c>
      <c r="D33" s="85">
        <v>2000</v>
      </c>
      <c r="E33" s="5">
        <f>E13</f>
        <v>1</v>
      </c>
      <c r="F33" s="30" t="s">
        <v>5</v>
      </c>
      <c r="G33" s="29">
        <f t="shared" si="6"/>
        <v>2000</v>
      </c>
      <c r="H33" s="28"/>
      <c r="I33" s="165"/>
      <c r="J33" s="165"/>
      <c r="K33" s="167"/>
      <c r="L33" s="167"/>
      <c r="M33" s="171"/>
    </row>
    <row r="34" spans="1:13" ht="11.25">
      <c r="A34" s="148">
        <v>6</v>
      </c>
      <c r="B34" s="23"/>
      <c r="C34" s="44" t="s">
        <v>52</v>
      </c>
      <c r="D34" s="121">
        <v>6000</v>
      </c>
      <c r="E34" s="36">
        <v>1</v>
      </c>
      <c r="F34" s="30" t="s">
        <v>5</v>
      </c>
      <c r="G34" s="29">
        <f t="shared" si="6"/>
        <v>6000</v>
      </c>
      <c r="H34" s="28"/>
      <c r="I34" s="165"/>
      <c r="J34" s="165"/>
      <c r="K34" s="167"/>
      <c r="L34" s="167"/>
      <c r="M34" s="171"/>
    </row>
    <row r="35" spans="1:13" ht="11.25">
      <c r="A35" s="282" t="s">
        <v>36</v>
      </c>
      <c r="B35" s="283"/>
      <c r="C35" s="283"/>
      <c r="D35" s="283"/>
      <c r="E35" s="283"/>
      <c r="F35" s="284"/>
      <c r="G35" s="24">
        <f>SUM(G29:G34)</f>
        <v>22550</v>
      </c>
      <c r="H35" s="28"/>
      <c r="I35" s="165"/>
      <c r="J35" s="165"/>
      <c r="K35" s="167"/>
      <c r="L35" s="167"/>
      <c r="M35" s="171"/>
    </row>
    <row r="36" spans="1:13">
      <c r="A36" s="285" t="s">
        <v>38</v>
      </c>
      <c r="B36" s="244"/>
      <c r="C36" s="244"/>
      <c r="D36" s="244"/>
      <c r="E36" s="244"/>
      <c r="F36" s="245"/>
      <c r="G36" s="25">
        <f>G35</f>
        <v>22550</v>
      </c>
      <c r="H36" s="149"/>
      <c r="J36" s="149"/>
      <c r="K36" s="49"/>
    </row>
    <row r="37" spans="1:13">
      <c r="A37" s="280" t="s">
        <v>39</v>
      </c>
      <c r="B37" s="257"/>
      <c r="C37" s="257"/>
      <c r="D37" s="257"/>
      <c r="E37" s="257"/>
      <c r="F37" s="258"/>
      <c r="G37" s="25">
        <f>G36+G26</f>
        <v>168710</v>
      </c>
      <c r="H37" s="149"/>
      <c r="I37" s="154"/>
      <c r="J37" s="149"/>
      <c r="K37" s="49"/>
      <c r="L37" s="151"/>
    </row>
    <row r="38" spans="1:13">
      <c r="A38" s="280" t="s">
        <v>40</v>
      </c>
      <c r="B38" s="257"/>
      <c r="C38" s="257"/>
      <c r="D38" s="257"/>
      <c r="E38" s="257"/>
      <c r="F38" s="258"/>
      <c r="G38" s="26">
        <f>G37*18/118</f>
        <v>25735.423728813559</v>
      </c>
      <c r="H38" s="149"/>
      <c r="I38" s="151"/>
      <c r="J38" s="149"/>
      <c r="K38" s="49"/>
      <c r="L38" s="151"/>
    </row>
    <row r="39" spans="1:13">
      <c r="H39" s="49"/>
      <c r="I39" s="49"/>
      <c r="J39" s="49"/>
      <c r="K39" s="49"/>
      <c r="L39" s="49"/>
    </row>
    <row r="40" spans="1:13">
      <c r="H40" s="49"/>
      <c r="I40" s="49"/>
      <c r="J40" s="49"/>
      <c r="K40" s="49"/>
      <c r="L40" s="49"/>
    </row>
    <row r="41" spans="1:13">
      <c r="H41" s="49"/>
      <c r="I41" s="49"/>
      <c r="J41" s="49"/>
      <c r="K41" s="49"/>
      <c r="L41" s="49"/>
    </row>
    <row r="42" spans="1:13">
      <c r="H42" s="49"/>
      <c r="I42" s="128"/>
      <c r="J42" s="128"/>
      <c r="K42" s="49"/>
      <c r="L42" s="49"/>
    </row>
    <row r="43" spans="1:13">
      <c r="H43" s="49"/>
      <c r="I43" s="49"/>
      <c r="J43" s="49"/>
      <c r="K43" s="49"/>
      <c r="L43" s="49"/>
    </row>
    <row r="44" spans="1:13">
      <c r="H44" s="49"/>
      <c r="I44" s="49"/>
      <c r="J44" s="49"/>
      <c r="K44" s="49"/>
      <c r="L44" s="49"/>
    </row>
    <row r="45" spans="1:13">
      <c r="H45" s="49"/>
      <c r="I45" s="49"/>
      <c r="J45" s="49"/>
      <c r="K45" s="49"/>
      <c r="L45" s="49"/>
    </row>
    <row r="46" spans="1:13">
      <c r="H46" s="49"/>
      <c r="I46" s="49"/>
      <c r="J46" s="49"/>
      <c r="K46" s="49"/>
      <c r="L46" s="49"/>
    </row>
    <row r="47" spans="1:13">
      <c r="H47" s="49"/>
      <c r="I47" s="49"/>
      <c r="J47" s="49"/>
      <c r="K47" s="49"/>
      <c r="L47" s="49"/>
    </row>
    <row r="48" spans="1:13">
      <c r="A48" s="49"/>
      <c r="H48" s="49"/>
      <c r="I48" s="49"/>
      <c r="J48" s="49"/>
      <c r="K48" s="49"/>
      <c r="L48" s="49"/>
    </row>
    <row r="49" spans="1:12">
      <c r="A49" s="49"/>
      <c r="H49" s="49"/>
      <c r="I49" s="49"/>
      <c r="J49" s="49"/>
      <c r="K49" s="49"/>
      <c r="L49" s="49"/>
    </row>
    <row r="50" spans="1:12">
      <c r="A50" s="49"/>
      <c r="H50" s="49"/>
      <c r="I50" s="49"/>
      <c r="J50" s="49"/>
      <c r="K50" s="49"/>
      <c r="L50" s="49"/>
    </row>
    <row r="51" spans="1:12">
      <c r="A51" s="49"/>
      <c r="H51" s="49"/>
      <c r="I51" s="49"/>
      <c r="J51" s="49"/>
      <c r="K51" s="49"/>
      <c r="L51" s="49"/>
    </row>
    <row r="52" spans="1:12">
      <c r="A52" s="49"/>
      <c r="H52" s="49"/>
      <c r="I52" s="49"/>
      <c r="J52" s="49"/>
      <c r="K52" s="49"/>
      <c r="L52" s="49"/>
    </row>
    <row r="53" spans="1:12">
      <c r="A53" s="49"/>
      <c r="H53" s="49"/>
      <c r="I53" s="49"/>
      <c r="J53" s="49"/>
      <c r="K53" s="49"/>
      <c r="L53" s="49"/>
    </row>
    <row r="54" spans="1:12">
      <c r="A54" s="49"/>
      <c r="C54" s="150"/>
      <c r="D54" s="150"/>
      <c r="E54" s="150"/>
      <c r="F54" s="149"/>
      <c r="H54" s="49"/>
      <c r="I54" s="49"/>
      <c r="J54" s="49"/>
      <c r="K54" s="49"/>
      <c r="L54" s="49"/>
    </row>
    <row r="55" spans="1:12">
      <c r="A55" s="49"/>
      <c r="C55" s="150"/>
      <c r="D55" s="150"/>
      <c r="E55" s="150"/>
      <c r="F55" s="149"/>
      <c r="H55" s="49"/>
      <c r="I55" s="49"/>
      <c r="J55" s="49"/>
      <c r="K55" s="49"/>
      <c r="L55" s="49"/>
    </row>
    <row r="56" spans="1:12">
      <c r="A56" s="49"/>
      <c r="H56" s="49"/>
      <c r="I56" s="49"/>
      <c r="J56" s="49"/>
      <c r="K56" s="49"/>
      <c r="L56" s="49"/>
    </row>
    <row r="57" spans="1:12">
      <c r="A57" s="49"/>
      <c r="H57" s="49"/>
      <c r="I57" s="49"/>
      <c r="J57" s="49"/>
      <c r="K57" s="49"/>
      <c r="L57" s="49"/>
    </row>
    <row r="58" spans="1:12">
      <c r="A58" s="49"/>
      <c r="H58" s="49"/>
      <c r="I58" s="49"/>
      <c r="J58" s="49"/>
      <c r="K58" s="49"/>
      <c r="L58" s="49"/>
    </row>
    <row r="59" spans="1:12">
      <c r="A59" s="49"/>
      <c r="H59" s="49"/>
      <c r="I59" s="49"/>
      <c r="J59" s="49"/>
      <c r="K59" s="49"/>
      <c r="L59" s="49"/>
    </row>
    <row r="60" spans="1:12">
      <c r="A60" s="49"/>
      <c r="B60" s="149"/>
      <c r="C60" s="149"/>
      <c r="H60" s="49"/>
      <c r="I60" s="49"/>
      <c r="J60" s="49"/>
      <c r="K60" s="49"/>
      <c r="L60" s="49"/>
    </row>
    <row r="61" spans="1:12">
      <c r="A61" s="49"/>
      <c r="B61" s="150"/>
      <c r="C61" s="150"/>
      <c r="D61" s="150"/>
      <c r="E61" s="149"/>
      <c r="F61" s="149"/>
      <c r="H61" s="49"/>
      <c r="I61" s="49"/>
      <c r="J61" s="49"/>
      <c r="K61" s="49"/>
      <c r="L61" s="49"/>
    </row>
    <row r="62" spans="1:12">
      <c r="A62" s="49"/>
      <c r="F62" s="149"/>
      <c r="H62" s="49"/>
      <c r="I62" s="49"/>
      <c r="J62" s="49"/>
      <c r="K62" s="49"/>
      <c r="L62" s="49"/>
    </row>
    <row r="63" spans="1:12">
      <c r="A63" s="49"/>
      <c r="F63" s="149"/>
      <c r="H63" s="49"/>
      <c r="I63" s="49"/>
      <c r="J63" s="49"/>
      <c r="K63" s="49"/>
      <c r="L63" s="49"/>
    </row>
    <row r="64" spans="1:12">
      <c r="A64" s="49"/>
      <c r="F64" s="149"/>
      <c r="H64" s="49"/>
      <c r="I64" s="49"/>
      <c r="J64" s="49"/>
      <c r="K64" s="49"/>
      <c r="L64" s="49"/>
    </row>
    <row r="65" spans="1:12">
      <c r="A65" s="49"/>
      <c r="F65" s="149"/>
      <c r="H65" s="49"/>
      <c r="I65" s="49"/>
      <c r="J65" s="49"/>
      <c r="K65" s="49"/>
      <c r="L65" s="49"/>
    </row>
    <row r="66" spans="1:12">
      <c r="A66" s="49"/>
      <c r="G66" s="128"/>
      <c r="H66" s="49"/>
      <c r="I66" s="49"/>
      <c r="J66" s="49"/>
      <c r="K66" s="49"/>
      <c r="L66" s="49"/>
    </row>
    <row r="67" spans="1:12">
      <c r="A67" s="49"/>
      <c r="G67" s="128"/>
      <c r="H67" s="49"/>
      <c r="I67" s="49"/>
      <c r="J67" s="49"/>
      <c r="K67" s="49"/>
      <c r="L67" s="49"/>
    </row>
    <row r="68" spans="1:12">
      <c r="A68" s="49"/>
      <c r="H68" s="49"/>
      <c r="I68" s="49"/>
      <c r="J68" s="49"/>
      <c r="K68" s="49"/>
      <c r="L68" s="49"/>
    </row>
  </sheetData>
  <mergeCells count="21">
    <mergeCell ref="A20:G20"/>
    <mergeCell ref="A25:F25"/>
    <mergeCell ref="A26:F26"/>
    <mergeCell ref="A15:F15"/>
    <mergeCell ref="A11:G11"/>
    <mergeCell ref="A4:B4"/>
    <mergeCell ref="A7:G7"/>
    <mergeCell ref="A16:G16"/>
    <mergeCell ref="A19:F19"/>
    <mergeCell ref="A1:D1"/>
    <mergeCell ref="A2:E2"/>
    <mergeCell ref="A3:E3"/>
    <mergeCell ref="A6:G6"/>
    <mergeCell ref="A8:G8"/>
    <mergeCell ref="I25:K25"/>
    <mergeCell ref="A38:F38"/>
    <mergeCell ref="C27:D27"/>
    <mergeCell ref="A28:G28"/>
    <mergeCell ref="A35:F35"/>
    <mergeCell ref="A36:F36"/>
    <mergeCell ref="A37:F37"/>
  </mergeCells>
  <pageMargins left="0.70866141732283472" right="0.70866141732283472" top="0.74803149606299213" bottom="0.74803149606299213" header="0.31496062992125984" footer="0.31496062992125984"/>
  <pageSetup paperSize="9" scale="88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BreakPreview" zoomScale="60" zoomScaleNormal="115" workbookViewId="0">
      <selection activeCell="P15" sqref="P15"/>
    </sheetView>
  </sheetViews>
  <sheetFormatPr defaultRowHeight="9"/>
  <cols>
    <col min="1" max="1" width="3.28515625" style="47" customWidth="1"/>
    <col min="2" max="2" width="16.7109375" style="47" customWidth="1"/>
    <col min="3" max="3" width="39.5703125" style="47" customWidth="1"/>
    <col min="4" max="4" width="9.140625" style="46" customWidth="1"/>
    <col min="5" max="5" width="8" style="47" customWidth="1"/>
    <col min="6" max="6" width="5.42578125" style="46" customWidth="1"/>
    <col min="7" max="7" width="12.7109375" style="100" customWidth="1"/>
    <col min="8" max="8" width="11.7109375" style="46" bestFit="1" customWidth="1"/>
    <col min="9" max="9" width="11.85546875" style="57" customWidth="1"/>
    <col min="10" max="10" width="12.140625" style="57" customWidth="1"/>
    <col min="11" max="11" width="9.140625" style="59"/>
    <col min="12" max="12" width="10.5703125" style="59" customWidth="1"/>
    <col min="13" max="13" width="12.28515625" style="59" customWidth="1"/>
    <col min="14" max="20" width="9.140625" style="59"/>
    <col min="21" max="16384" width="9.140625" style="47"/>
  </cols>
  <sheetData>
    <row r="1" spans="1:20" s="153" customFormat="1" ht="11.25">
      <c r="A1" s="262"/>
      <c r="B1" s="262"/>
      <c r="C1" s="262"/>
      <c r="D1" s="262"/>
      <c r="E1" s="262"/>
      <c r="F1" s="64"/>
      <c r="G1" s="108"/>
      <c r="H1" s="63"/>
      <c r="I1" s="63" t="str">
        <f>СКС!I1</f>
        <v>ЦБ</v>
      </c>
      <c r="J1" s="63" t="str">
        <f>СКС!J1</f>
        <v>ЦБ+3%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s="153" customFormat="1" ht="11.25">
      <c r="A2" s="263"/>
      <c r="B2" s="263"/>
      <c r="C2" s="263"/>
      <c r="D2" s="263"/>
      <c r="E2" s="263"/>
      <c r="F2" s="263"/>
      <c r="G2" s="106"/>
      <c r="H2" s="170">
        <f>СКС!H2</f>
        <v>42123</v>
      </c>
      <c r="I2" s="63">
        <f>СКС!I2</f>
        <v>52.304099999999998</v>
      </c>
      <c r="J2" s="63">
        <f>СКС!J2</f>
        <v>53.873223000000003</v>
      </c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s="153" customFormat="1" ht="11.25">
      <c r="A3" s="252"/>
      <c r="B3" s="252"/>
      <c r="C3" s="252"/>
      <c r="D3" s="252"/>
      <c r="E3" s="252"/>
      <c r="F3" s="252"/>
      <c r="G3" s="106"/>
      <c r="H3" s="64"/>
      <c r="I3" s="117"/>
      <c r="J3" s="117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153" customFormat="1" ht="11.25">
      <c r="A4" s="264"/>
      <c r="B4" s="279"/>
      <c r="D4" s="107"/>
      <c r="F4" s="64"/>
      <c r="G4" s="106"/>
      <c r="H4" s="64"/>
      <c r="I4" s="117"/>
      <c r="J4" s="117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s="153" customFormat="1" ht="11.25">
      <c r="B5" s="106"/>
      <c r="D5" s="107"/>
      <c r="F5" s="64"/>
      <c r="G5" s="106"/>
      <c r="H5" s="64"/>
      <c r="I5" s="117"/>
      <c r="J5" s="117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s="153" customFormat="1" ht="11.25">
      <c r="A6" s="252"/>
      <c r="B6" s="253"/>
      <c r="C6" s="253"/>
      <c r="D6" s="253"/>
      <c r="E6" s="253"/>
      <c r="F6" s="253"/>
      <c r="G6" s="253"/>
      <c r="H6" s="63"/>
      <c r="I6" s="63"/>
      <c r="J6" s="63"/>
      <c r="K6" s="63"/>
    </row>
    <row r="7" spans="1:20" s="153" customFormat="1" ht="11.25">
      <c r="A7" s="252"/>
      <c r="B7" s="253"/>
      <c r="C7" s="253"/>
      <c r="D7" s="253"/>
      <c r="E7" s="253"/>
      <c r="F7" s="253"/>
      <c r="G7" s="253"/>
      <c r="H7" s="63"/>
      <c r="I7" s="63"/>
      <c r="J7" s="63"/>
      <c r="K7" s="63"/>
    </row>
    <row r="8" spans="1:20" s="153" customFormat="1" ht="11.25">
      <c r="A8" s="252" t="s">
        <v>140</v>
      </c>
      <c r="B8" s="253"/>
      <c r="C8" s="253"/>
      <c r="D8" s="253"/>
      <c r="E8" s="253"/>
      <c r="F8" s="253"/>
      <c r="G8" s="253"/>
      <c r="H8" s="63"/>
      <c r="I8" s="63"/>
      <c r="J8" s="63"/>
      <c r="K8" s="63"/>
    </row>
    <row r="9" spans="1:20" s="153" customFormat="1" ht="11.25">
      <c r="A9" s="278"/>
      <c r="B9" s="278"/>
      <c r="C9" s="278"/>
      <c r="D9" s="278"/>
      <c r="E9" s="278"/>
      <c r="F9" s="278"/>
      <c r="G9" s="278"/>
      <c r="H9" s="64"/>
      <c r="I9" s="117"/>
      <c r="J9" s="117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0">
      <c r="A10" s="18" t="s">
        <v>0</v>
      </c>
      <c r="B10" s="18" t="s">
        <v>1</v>
      </c>
      <c r="C10" s="18" t="s">
        <v>2</v>
      </c>
      <c r="D10" s="27" t="s">
        <v>34</v>
      </c>
      <c r="E10" s="18" t="s">
        <v>3</v>
      </c>
      <c r="F10" s="18" t="s">
        <v>4</v>
      </c>
      <c r="G10" s="18" t="s">
        <v>35</v>
      </c>
      <c r="H10" s="48"/>
      <c r="I10" s="48" t="str">
        <f>СКС!I10</f>
        <v>Наценка</v>
      </c>
      <c r="J10" s="28" t="str">
        <f>СКС!J10</f>
        <v>Вход $</v>
      </c>
      <c r="K10" s="53" t="str">
        <f>СКС!K10</f>
        <v>Вход Р.</v>
      </c>
      <c r="L10" s="48" t="str">
        <f>СКС!L10</f>
        <v>Сумма вход Р.</v>
      </c>
      <c r="M10" s="47" t="str">
        <f>СКС!M10</f>
        <v>Цена продажа Р.</v>
      </c>
      <c r="N10" s="47"/>
      <c r="O10" s="47"/>
      <c r="P10" s="47"/>
      <c r="Q10" s="47"/>
      <c r="R10" s="47"/>
      <c r="S10" s="47"/>
      <c r="T10" s="47"/>
    </row>
    <row r="11" spans="1:20">
      <c r="A11" s="240" t="s">
        <v>141</v>
      </c>
      <c r="B11" s="241"/>
      <c r="C11" s="241"/>
      <c r="D11" s="241"/>
      <c r="E11" s="241"/>
      <c r="F11" s="241"/>
      <c r="G11" s="242"/>
      <c r="H11" s="48"/>
      <c r="I11" s="128"/>
      <c r="J11" s="128"/>
      <c r="N11" s="47"/>
      <c r="O11" s="47"/>
      <c r="P11" s="47"/>
      <c r="Q11" s="47"/>
      <c r="R11" s="47"/>
      <c r="S11" s="47"/>
      <c r="T11" s="47"/>
    </row>
    <row r="12" spans="1:20" s="53" customFormat="1" ht="81">
      <c r="A12" s="6">
        <v>1</v>
      </c>
      <c r="B12" s="32" t="s">
        <v>143</v>
      </c>
      <c r="C12" s="32" t="s">
        <v>142</v>
      </c>
      <c r="D12" s="83">
        <v>20121</v>
      </c>
      <c r="E12" s="4">
        <v>7</v>
      </c>
      <c r="F12" s="6" t="s">
        <v>5</v>
      </c>
      <c r="G12" s="50">
        <f t="shared" ref="G12" si="0">D12*E12</f>
        <v>140847</v>
      </c>
      <c r="H12" s="35"/>
      <c r="I12" s="165">
        <v>1.22</v>
      </c>
      <c r="J12" s="167"/>
      <c r="K12" s="167">
        <f>21990*0.75</f>
        <v>16492.5</v>
      </c>
      <c r="L12" s="167">
        <f>K12*E12</f>
        <v>115447.5</v>
      </c>
      <c r="M12" s="171">
        <f t="shared" ref="M12:M13" si="1">CEILING(K12*I12,1)</f>
        <v>20121</v>
      </c>
    </row>
    <row r="13" spans="1:20" s="130" customFormat="1" ht="81">
      <c r="A13" s="124">
        <v>2</v>
      </c>
      <c r="B13" s="32" t="s">
        <v>145</v>
      </c>
      <c r="C13" s="126" t="s">
        <v>144</v>
      </c>
      <c r="D13" s="83">
        <v>20121</v>
      </c>
      <c r="E13" s="4">
        <v>18</v>
      </c>
      <c r="F13" s="124" t="s">
        <v>5</v>
      </c>
      <c r="G13" s="125">
        <f>D13*E13</f>
        <v>362178</v>
      </c>
      <c r="H13" s="35"/>
      <c r="I13" s="165">
        <v>1.22</v>
      </c>
      <c r="J13" s="167"/>
      <c r="K13" s="167">
        <f>21990*0.75</f>
        <v>16492.5</v>
      </c>
      <c r="L13" s="167">
        <f t="shared" ref="L13" si="2">K13*E13</f>
        <v>296865</v>
      </c>
      <c r="M13" s="171">
        <f t="shared" si="1"/>
        <v>20121</v>
      </c>
    </row>
    <row r="14" spans="1:20" ht="11.25">
      <c r="A14" s="256" t="s">
        <v>185</v>
      </c>
      <c r="B14" s="257"/>
      <c r="C14" s="257"/>
      <c r="D14" s="257"/>
      <c r="E14" s="257"/>
      <c r="F14" s="258"/>
      <c r="G14" s="98">
        <f>SUM(G12:G13)</f>
        <v>503025</v>
      </c>
      <c r="H14" s="45"/>
      <c r="I14" s="249" t="s">
        <v>139</v>
      </c>
      <c r="J14" s="249"/>
      <c r="K14" s="249"/>
      <c r="L14" s="167">
        <f>SUM(L12:L13)</f>
        <v>412312.5</v>
      </c>
      <c r="N14" s="47"/>
      <c r="O14" s="47"/>
      <c r="P14" s="47"/>
      <c r="Q14" s="47"/>
      <c r="R14" s="47"/>
      <c r="S14" s="47"/>
      <c r="T14" s="47"/>
    </row>
    <row r="15" spans="1:20">
      <c r="A15" s="256" t="s">
        <v>40</v>
      </c>
      <c r="B15" s="257"/>
      <c r="C15" s="257"/>
      <c r="D15" s="257"/>
      <c r="E15" s="257"/>
      <c r="F15" s="258"/>
      <c r="G15" s="99">
        <f>G14/118*18</f>
        <v>76732.627118644072</v>
      </c>
      <c r="H15" s="45"/>
      <c r="I15" s="172"/>
      <c r="J15" s="172"/>
      <c r="K15" s="172"/>
      <c r="N15" s="47"/>
      <c r="O15" s="47"/>
      <c r="P15" s="47"/>
      <c r="Q15" s="47"/>
      <c r="R15" s="47"/>
      <c r="S15" s="47"/>
      <c r="T15" s="47"/>
    </row>
    <row r="16" spans="1:20">
      <c r="H16" s="45"/>
      <c r="I16" s="172"/>
      <c r="J16" s="172"/>
      <c r="K16" s="172"/>
    </row>
    <row r="17" spans="3:11">
      <c r="C17" s="58"/>
      <c r="H17" s="58"/>
      <c r="I17" s="172"/>
      <c r="J17" s="172"/>
      <c r="K17" s="172"/>
    </row>
    <row r="18" spans="3:11">
      <c r="H18" s="58"/>
      <c r="I18" s="172"/>
      <c r="J18" s="172"/>
      <c r="K18" s="172"/>
    </row>
    <row r="19" spans="3:11">
      <c r="H19" s="58"/>
      <c r="I19" s="172"/>
      <c r="J19" s="172"/>
      <c r="K19" s="172"/>
    </row>
    <row r="20" spans="3:11">
      <c r="I20" s="172"/>
      <c r="J20" s="172"/>
      <c r="K20" s="172"/>
    </row>
    <row r="21" spans="3:11">
      <c r="I21" s="172"/>
      <c r="J21" s="172"/>
      <c r="K21" s="172"/>
    </row>
    <row r="22" spans="3:11">
      <c r="I22" s="172"/>
      <c r="J22" s="172"/>
      <c r="K22" s="172"/>
    </row>
    <row r="23" spans="3:11">
      <c r="K23" s="172"/>
    </row>
    <row r="24" spans="3:11">
      <c r="K24" s="172"/>
    </row>
  </sheetData>
  <mergeCells count="12">
    <mergeCell ref="A7:G7"/>
    <mergeCell ref="A1:E1"/>
    <mergeCell ref="A2:F2"/>
    <mergeCell ref="A3:F3"/>
    <mergeCell ref="A4:B4"/>
    <mergeCell ref="A6:G6"/>
    <mergeCell ref="I14:K14"/>
    <mergeCell ref="A14:F14"/>
    <mergeCell ref="A15:F15"/>
    <mergeCell ref="A8:G8"/>
    <mergeCell ref="A9:G9"/>
    <mergeCell ref="A11: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Сводный лист</vt:lpstr>
      <vt:lpstr>СКС</vt:lpstr>
      <vt:lpstr>Монтаж ВН</vt:lpstr>
      <vt:lpstr>СКУД</vt:lpstr>
      <vt:lpstr>Звук Bose</vt:lpstr>
      <vt:lpstr>Видеокамеры</vt:lpstr>
      <vt:lpstr>Видеокамеры!Область_печати</vt:lpstr>
      <vt:lpstr>'Звук Bose'!Область_печати</vt:lpstr>
      <vt:lpstr>'Монтаж ВН'!Область_печати</vt:lpstr>
      <vt:lpstr>'Сводный лист'!Область_печати</vt:lpstr>
      <vt:lpstr>СКС!Область_печати</vt:lpstr>
      <vt:lpstr>СКУД!Область_печати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Андрей Орлов</cp:lastModifiedBy>
  <cp:lastPrinted>2012-07-04T07:27:10Z</cp:lastPrinted>
  <dcterms:created xsi:type="dcterms:W3CDTF">1996-10-08T23:32:33Z</dcterms:created>
  <dcterms:modified xsi:type="dcterms:W3CDTF">2017-11-07T13:54:10Z</dcterms:modified>
</cp:coreProperties>
</file>