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updateLinks="always" codeName="ЭтаКнига" defaultThemeVersion="124226"/>
  <bookViews>
    <workbookView xWindow="120" yWindow="120" windowWidth="12375" windowHeight="11760" tabRatio="692" activeTab="1"/>
  </bookViews>
  <sheets>
    <sheet name="Старт" sheetId="2" r:id="rId1"/>
    <sheet name="1" sheetId="1" r:id="rId2"/>
  </sheets>
  <definedNames>
    <definedName name="_xlnm._FilterDatabase" localSheetId="1" hidden="1">'1'!$B$16:$M$16</definedName>
  </definedNames>
  <calcPr calcId="124519"/>
</workbook>
</file>

<file path=xl/calcChain.xml><?xml version="1.0" encoding="utf-8"?>
<calcChain xmlns="http://schemas.openxmlformats.org/spreadsheetml/2006/main">
  <c r="B8" i="1"/>
  <c r="J17"/>
  <c r="N10"/>
  <c r="P50"/>
  <c r="P48"/>
  <c r="P46"/>
  <c r="P44"/>
  <c r="P42"/>
  <c r="P40"/>
  <c r="P38"/>
  <c r="P36"/>
  <c r="P34"/>
  <c r="P32"/>
  <c r="P30"/>
  <c r="P28"/>
  <c r="P26"/>
  <c r="P24"/>
  <c r="P18"/>
  <c r="P20"/>
  <c r="P22"/>
  <c r="F14"/>
  <c r="H9" i="2"/>
  <c r="N8" i="1"/>
  <c r="B14"/>
  <c r="Q15"/>
  <c r="C14"/>
  <c r="E16"/>
  <c r="E14"/>
  <c r="Q21"/>
  <c r="Q20"/>
  <c r="K22" s="1"/>
  <c r="Q19"/>
  <c r="K21" s="1"/>
  <c r="Q18"/>
  <c r="K20" s="1"/>
  <c r="Q17"/>
  <c r="Q16"/>
  <c r="Q14"/>
  <c r="O14"/>
  <c r="M16"/>
  <c r="L16"/>
  <c r="K16"/>
  <c r="J16"/>
  <c r="I16"/>
  <c r="H16"/>
  <c r="G16"/>
  <c r="F16"/>
  <c r="D16"/>
  <c r="C16"/>
  <c r="B16"/>
  <c r="A16"/>
  <c r="A17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M14"/>
  <c r="L14"/>
  <c r="K14"/>
  <c r="J15"/>
  <c r="I15"/>
  <c r="H15"/>
  <c r="H14"/>
  <c r="G14"/>
  <c r="D14"/>
  <c r="A14"/>
  <c r="L12"/>
  <c r="L11"/>
  <c r="L10"/>
  <c r="L9"/>
  <c r="L8"/>
  <c r="L7"/>
  <c r="H12"/>
  <c r="H11"/>
  <c r="H10"/>
  <c r="H9"/>
  <c r="H8"/>
  <c r="H7"/>
  <c r="F8"/>
  <c r="D8"/>
  <c r="C8"/>
  <c r="B12"/>
  <c r="B11"/>
  <c r="B10"/>
  <c r="L27" s="1"/>
  <c r="B9"/>
  <c r="B7"/>
  <c r="L5"/>
  <c r="L4"/>
  <c r="L3"/>
  <c r="L2"/>
  <c r="L1"/>
  <c r="J2"/>
  <c r="I2"/>
  <c r="H5"/>
  <c r="H4"/>
  <c r="H3"/>
  <c r="H2"/>
  <c r="H1"/>
  <c r="D5"/>
  <c r="D4"/>
  <c r="D3"/>
  <c r="D2"/>
  <c r="D1"/>
  <c r="B5"/>
  <c r="B1"/>
  <c r="E18"/>
  <c r="E19"/>
  <c r="E20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7"/>
  <c r="K18"/>
  <c r="K23"/>
  <c r="B2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J18"/>
  <c r="J19"/>
  <c r="J20"/>
  <c r="J21"/>
  <c r="J22"/>
  <c r="J23"/>
  <c r="J24"/>
  <c r="K24" s="1"/>
  <c r="J25"/>
  <c r="K25" s="1"/>
  <c r="J26"/>
  <c r="K26" s="1"/>
  <c r="J27"/>
  <c r="K27" s="1"/>
  <c r="J28"/>
  <c r="K28" s="1"/>
  <c r="J29"/>
  <c r="K29" s="1"/>
  <c r="J30"/>
  <c r="K30" s="1"/>
  <c r="J31"/>
  <c r="K31" s="1"/>
  <c r="J32"/>
  <c r="K32" s="1"/>
  <c r="J33"/>
  <c r="K33" s="1"/>
  <c r="J34"/>
  <c r="K34" s="1"/>
  <c r="J35"/>
  <c r="K35" s="1"/>
  <c r="J36"/>
  <c r="K36" s="1"/>
  <c r="J37"/>
  <c r="K37" s="1"/>
  <c r="J38"/>
  <c r="K38" s="1"/>
  <c r="J39"/>
  <c r="K39" s="1"/>
  <c r="J40"/>
  <c r="K40" s="1"/>
  <c r="J41"/>
  <c r="K41" s="1"/>
  <c r="J42"/>
  <c r="K42" s="1"/>
  <c r="J43"/>
  <c r="K43" s="1"/>
  <c r="J44"/>
  <c r="K44" s="1"/>
  <c r="J45"/>
  <c r="K45" s="1"/>
  <c r="J46"/>
  <c r="K46" s="1"/>
  <c r="J47"/>
  <c r="K47" s="1"/>
  <c r="J48"/>
  <c r="K48" s="1"/>
  <c r="J49"/>
  <c r="K49" s="1"/>
  <c r="J50"/>
  <c r="K50" s="1"/>
  <c r="J51"/>
  <c r="K51" s="1"/>
  <c r="J52"/>
  <c r="K52" s="1"/>
  <c r="J53"/>
  <c r="K53" s="1"/>
  <c r="J54"/>
  <c r="K54" s="1"/>
  <c r="J55"/>
  <c r="K55" s="1"/>
  <c r="J56"/>
  <c r="K56" s="1"/>
  <c r="J57"/>
  <c r="K57" s="1"/>
  <c r="J58"/>
  <c r="K58" s="1"/>
  <c r="J59"/>
  <c r="K59" s="1"/>
  <c r="J60"/>
  <c r="K60" s="1"/>
  <c r="J61"/>
  <c r="K61" s="1"/>
  <c r="J62"/>
  <c r="K62" s="1"/>
  <c r="J63"/>
  <c r="K63" s="1"/>
  <c r="J64"/>
  <c r="K64" s="1"/>
  <c r="J65"/>
  <c r="K65" s="1"/>
  <c r="J66"/>
  <c r="K66" s="1"/>
  <c r="J67"/>
  <c r="K67" s="1"/>
  <c r="J68"/>
  <c r="K68" s="1"/>
  <c r="J69"/>
  <c r="K69" s="1"/>
  <c r="J70"/>
  <c r="K70" s="1"/>
  <c r="J71"/>
  <c r="K71" s="1"/>
  <c r="J72"/>
  <c r="K72" s="1"/>
  <c r="J73"/>
  <c r="K73" s="1"/>
  <c r="J74"/>
  <c r="K74" s="1"/>
  <c r="J75"/>
  <c r="K75" s="1"/>
  <c r="J76"/>
  <c r="K76" s="1"/>
  <c r="J77"/>
  <c r="K77" s="1"/>
  <c r="J78"/>
  <c r="K78" s="1"/>
  <c r="J79"/>
  <c r="K79" s="1"/>
  <c r="J80"/>
  <c r="K80" s="1"/>
  <c r="J81"/>
  <c r="K81" s="1"/>
  <c r="J82"/>
  <c r="K82" s="1"/>
  <c r="J83"/>
  <c r="K83" s="1"/>
  <c r="J84"/>
  <c r="K84" s="1"/>
  <c r="J85"/>
  <c r="K85" s="1"/>
  <c r="J86"/>
  <c r="K86" s="1"/>
  <c r="J87"/>
  <c r="K87" s="1"/>
  <c r="J88"/>
  <c r="K88" s="1"/>
  <c r="J89"/>
  <c r="K89" s="1"/>
  <c r="J90"/>
  <c r="K90" s="1"/>
  <c r="J91"/>
  <c r="K91" s="1"/>
  <c r="J92"/>
  <c r="K92" s="1"/>
  <c r="J93"/>
  <c r="K93" s="1"/>
  <c r="J94"/>
  <c r="K94" s="1"/>
  <c r="J95"/>
  <c r="K95" s="1"/>
  <c r="J96"/>
  <c r="K96" s="1"/>
  <c r="J97"/>
  <c r="K97" s="1"/>
  <c r="J98"/>
  <c r="K98" s="1"/>
  <c r="J99"/>
  <c r="K99" s="1"/>
  <c r="J100"/>
  <c r="K100" s="1"/>
  <c r="J101"/>
  <c r="K101" s="1"/>
  <c r="J102"/>
  <c r="K102" s="1"/>
  <c r="J103"/>
  <c r="K103" s="1"/>
  <c r="J104"/>
  <c r="K104" s="1"/>
  <c r="J105"/>
  <c r="K105" s="1"/>
  <c r="J106"/>
  <c r="K106" s="1"/>
  <c r="J107"/>
  <c r="K107" s="1"/>
  <c r="J108"/>
  <c r="K108" s="1"/>
  <c r="J109"/>
  <c r="K109" s="1"/>
  <c r="J110"/>
  <c r="K110" s="1"/>
  <c r="J111"/>
  <c r="K111" s="1"/>
  <c r="J112"/>
  <c r="K112" s="1"/>
  <c r="J113"/>
  <c r="K113" s="1"/>
  <c r="J114"/>
  <c r="K114" s="1"/>
  <c r="J115"/>
  <c r="K115" s="1"/>
  <c r="J116"/>
  <c r="K116" s="1"/>
  <c r="H19" i="2"/>
  <c r="H16"/>
  <c r="L19" i="1"/>
  <c r="L51"/>
  <c r="L83"/>
  <c r="L115"/>
  <c r="P17" l="1"/>
  <c r="P21"/>
  <c r="P19"/>
  <c r="P23"/>
  <c r="P25"/>
  <c r="P27"/>
  <c r="P29"/>
  <c r="P31"/>
  <c r="P33"/>
  <c r="P35"/>
  <c r="P37"/>
  <c r="P39"/>
  <c r="P41"/>
  <c r="P43"/>
  <c r="P45"/>
  <c r="P47"/>
  <c r="P49"/>
  <c r="P51"/>
  <c r="P53"/>
  <c r="P55"/>
  <c r="P57"/>
  <c r="P59"/>
  <c r="P61"/>
  <c r="P63"/>
  <c r="P65"/>
  <c r="P67"/>
  <c r="P69"/>
  <c r="P71"/>
  <c r="P73"/>
  <c r="P75"/>
  <c r="P77"/>
  <c r="P79"/>
  <c r="P81"/>
  <c r="P83"/>
  <c r="P85"/>
  <c r="P87"/>
  <c r="P89"/>
  <c r="P91"/>
  <c r="P93"/>
  <c r="P95"/>
  <c r="P97"/>
  <c r="P99"/>
  <c r="P101"/>
  <c r="P103"/>
  <c r="P105"/>
  <c r="P107"/>
  <c r="P109"/>
  <c r="P111"/>
  <c r="P113"/>
  <c r="P115"/>
  <c r="L35"/>
  <c r="P52"/>
  <c r="P15" s="1"/>
  <c r="N16" s="1"/>
  <c r="P54"/>
  <c r="P56"/>
  <c r="P58"/>
  <c r="P60"/>
  <c r="P62"/>
  <c r="P64"/>
  <c r="P66"/>
  <c r="P68"/>
  <c r="P70"/>
  <c r="P72"/>
  <c r="P74"/>
  <c r="P76"/>
  <c r="P78"/>
  <c r="P80"/>
  <c r="P82"/>
  <c r="P84"/>
  <c r="P86"/>
  <c r="P88"/>
  <c r="P90"/>
  <c r="P92"/>
  <c r="P94"/>
  <c r="P96"/>
  <c r="P98"/>
  <c r="P100"/>
  <c r="P102"/>
  <c r="P104"/>
  <c r="P106"/>
  <c r="P108"/>
  <c r="P110"/>
  <c r="P112"/>
  <c r="P114"/>
  <c r="P116"/>
  <c r="L17"/>
  <c r="L99"/>
  <c r="L67"/>
  <c r="L107"/>
  <c r="L91"/>
  <c r="L75"/>
  <c r="L59"/>
  <c r="L43"/>
  <c r="L23"/>
  <c r="M17"/>
  <c r="L111"/>
  <c r="L103"/>
  <c r="L95"/>
  <c r="L87"/>
  <c r="L79"/>
  <c r="L71"/>
  <c r="L63"/>
  <c r="L55"/>
  <c r="L47"/>
  <c r="L39"/>
  <c r="L31"/>
  <c r="K19"/>
  <c r="L18"/>
  <c r="L20"/>
  <c r="L22"/>
  <c r="L24"/>
  <c r="L26"/>
  <c r="L28"/>
  <c r="L30"/>
  <c r="L32"/>
  <c r="L34"/>
  <c r="L36"/>
  <c r="L38"/>
  <c r="L40"/>
  <c r="L42"/>
  <c r="L44"/>
  <c r="L46"/>
  <c r="L48"/>
  <c r="L50"/>
  <c r="L52"/>
  <c r="L54"/>
  <c r="L56"/>
  <c r="L58"/>
  <c r="L60"/>
  <c r="L62"/>
  <c r="L64"/>
  <c r="L66"/>
  <c r="L68"/>
  <c r="L70"/>
  <c r="L72"/>
  <c r="L74"/>
  <c r="L76"/>
  <c r="L78"/>
  <c r="L80"/>
  <c r="L82"/>
  <c r="L84"/>
  <c r="L86"/>
  <c r="L88"/>
  <c r="L90"/>
  <c r="L92"/>
  <c r="L94"/>
  <c r="L96"/>
  <c r="L98"/>
  <c r="L100"/>
  <c r="L102"/>
  <c r="L104"/>
  <c r="L106"/>
  <c r="L108"/>
  <c r="L110"/>
  <c r="L112"/>
  <c r="L114"/>
  <c r="L116"/>
  <c r="L113"/>
  <c r="L109"/>
  <c r="L105"/>
  <c r="L101"/>
  <c r="L97"/>
  <c r="L93"/>
  <c r="L89"/>
  <c r="L85"/>
  <c r="L81"/>
  <c r="L77"/>
  <c r="L73"/>
  <c r="L69"/>
  <c r="L65"/>
  <c r="L61"/>
  <c r="L57"/>
  <c r="L53"/>
  <c r="L49"/>
  <c r="L45"/>
  <c r="L41"/>
  <c r="L37"/>
  <c r="L33"/>
  <c r="L29"/>
  <c r="L25"/>
  <c r="L21"/>
  <c r="H13" i="2"/>
  <c r="H6"/>
  <c r="M18" i="1" l="1"/>
  <c r="M19"/>
  <c r="B3"/>
  <c r="K17" l="1"/>
  <c r="N17" l="1"/>
  <c r="N19"/>
  <c r="N21"/>
  <c r="N23"/>
  <c r="N25"/>
  <c r="N27"/>
  <c r="N29"/>
  <c r="N31"/>
  <c r="N33"/>
  <c r="N35"/>
  <c r="N37"/>
  <c r="N39"/>
  <c r="N41"/>
  <c r="N43"/>
  <c r="N45"/>
  <c r="N47"/>
  <c r="N49"/>
  <c r="N51"/>
  <c r="N53"/>
  <c r="N55"/>
  <c r="N57"/>
  <c r="N59"/>
  <c r="N61"/>
  <c r="N63"/>
  <c r="N65"/>
  <c r="N67"/>
  <c r="N69"/>
  <c r="N71"/>
  <c r="N73"/>
  <c r="N75"/>
  <c r="N77"/>
  <c r="N79"/>
  <c r="N81"/>
  <c r="N83"/>
  <c r="N85"/>
  <c r="N87"/>
  <c r="N89"/>
  <c r="N91"/>
  <c r="N93"/>
  <c r="N95"/>
  <c r="N97"/>
  <c r="N99"/>
  <c r="N101"/>
  <c r="N103"/>
  <c r="N105"/>
  <c r="N107"/>
  <c r="N109"/>
  <c r="N111"/>
  <c r="N113"/>
  <c r="N115"/>
  <c r="N18"/>
  <c r="N20"/>
  <c r="N22"/>
  <c r="N24"/>
  <c r="N26"/>
  <c r="N28"/>
  <c r="N30"/>
  <c r="N32"/>
  <c r="N34"/>
  <c r="N36"/>
  <c r="N38"/>
  <c r="N40"/>
  <c r="N42"/>
  <c r="N44"/>
  <c r="N46"/>
  <c r="N48"/>
  <c r="N50"/>
  <c r="N52"/>
  <c r="N54"/>
  <c r="N56"/>
  <c r="N58"/>
  <c r="N60"/>
  <c r="N62"/>
  <c r="N64"/>
  <c r="N66"/>
  <c r="N68"/>
  <c r="N70"/>
  <c r="N72"/>
  <c r="N74"/>
  <c r="N76"/>
  <c r="N78"/>
  <c r="N80"/>
  <c r="N82"/>
  <c r="N84"/>
  <c r="N86"/>
  <c r="N88"/>
  <c r="N90"/>
  <c r="N92"/>
  <c r="N94"/>
  <c r="N96"/>
  <c r="N98"/>
  <c r="N100"/>
  <c r="N102"/>
  <c r="N104"/>
  <c r="N106"/>
  <c r="N108"/>
  <c r="N110"/>
  <c r="N112"/>
  <c r="N114"/>
  <c r="N116"/>
  <c r="O17" l="1"/>
  <c r="O21"/>
  <c r="O23"/>
  <c r="O25"/>
  <c r="O29"/>
  <c r="O31"/>
  <c r="O33"/>
  <c r="O37"/>
  <c r="O39"/>
  <c r="O41"/>
  <c r="O45"/>
  <c r="O47"/>
  <c r="O49"/>
  <c r="O53"/>
  <c r="O55"/>
  <c r="O57"/>
  <c r="O61"/>
  <c r="O63"/>
  <c r="O65"/>
  <c r="O69"/>
  <c r="O71"/>
  <c r="O73"/>
  <c r="O77"/>
  <c r="O79"/>
  <c r="O81"/>
  <c r="O85"/>
  <c r="O87"/>
  <c r="O89"/>
  <c r="O93"/>
  <c r="O95"/>
  <c r="O97"/>
  <c r="O101"/>
  <c r="O103"/>
  <c r="O105"/>
  <c r="O109"/>
  <c r="O111"/>
  <c r="O113"/>
  <c r="O18"/>
  <c r="O20"/>
  <c r="O26"/>
  <c r="O28"/>
  <c r="O32"/>
  <c r="O34"/>
  <c r="O36"/>
  <c r="O40"/>
  <c r="O42"/>
  <c r="O44"/>
  <c r="O48"/>
  <c r="O50"/>
  <c r="O52"/>
  <c r="O56"/>
  <c r="O58"/>
  <c r="O60"/>
  <c r="O64"/>
  <c r="O66"/>
  <c r="O72"/>
  <c r="O74"/>
  <c r="O76"/>
  <c r="O80"/>
  <c r="O82"/>
  <c r="O84"/>
  <c r="O88"/>
  <c r="O90"/>
  <c r="O92"/>
  <c r="O98"/>
  <c r="O100"/>
  <c r="O104"/>
  <c r="O106"/>
  <c r="O112"/>
  <c r="O114"/>
  <c r="O116"/>
  <c r="O24"/>
  <c r="O68"/>
  <c r="O108"/>
  <c r="O19"/>
  <c r="O27"/>
  <c r="O35"/>
  <c r="O43"/>
  <c r="O51"/>
  <c r="O59"/>
  <c r="O67"/>
  <c r="O75"/>
  <c r="O83"/>
  <c r="O91"/>
  <c r="O99"/>
  <c r="O107"/>
  <c r="O115"/>
  <c r="O96" l="1"/>
  <c r="O38" l="1"/>
  <c r="O54"/>
  <c r="O70"/>
  <c r="O86"/>
  <c r="O102"/>
  <c r="O30"/>
  <c r="O46"/>
  <c r="O62"/>
  <c r="O78"/>
  <c r="O94"/>
  <c r="O110"/>
  <c r="O22"/>
  <c r="N14" l="1"/>
  <c r="C5"/>
</calcChain>
</file>

<file path=xl/comments1.xml><?xml version="1.0" encoding="utf-8"?>
<comments xmlns="http://schemas.openxmlformats.org/spreadsheetml/2006/main">
  <authors>
    <author>wtolyan</author>
  </authors>
  <commentList>
    <comment ref="C14" authorId="0">
      <text>
        <r>
          <rPr>
            <b/>
            <sz val="9"/>
            <color indexed="81"/>
            <rFont val="Tahoma"/>
            <family val="2"/>
            <charset val="204"/>
          </rPr>
          <t>Выберите тип операции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4" authorId="0">
      <text>
        <r>
          <rPr>
            <b/>
            <sz val="9"/>
            <color indexed="81"/>
            <rFont val="Tahoma"/>
            <family val="2"/>
            <charset val="204"/>
          </rPr>
          <t>Выберите тип продажи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4" authorId="0">
      <text>
        <r>
          <rPr>
            <b/>
            <sz val="9"/>
            <color indexed="81"/>
            <rFont val="Tahoma"/>
            <family val="2"/>
            <charset val="204"/>
          </rPr>
          <t>Заполняется при внесении оплаты за прошлые продажи и при возвратах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<sst xmlns="http://schemas.openxmlformats.org/spreadsheetml/2006/main" count="34" uniqueCount="31">
  <si>
    <t>Сумма</t>
  </si>
  <si>
    <t>Текущий месяц:</t>
  </si>
  <si>
    <t>Начальный остаток в кассе:</t>
  </si>
  <si>
    <t>Опт</t>
  </si>
  <si>
    <t>Розница</t>
  </si>
  <si>
    <t>МНЗ</t>
  </si>
  <si>
    <t>Вид продаж</t>
  </si>
  <si>
    <t>Премия продавца, %</t>
  </si>
  <si>
    <t>Торговая точка:</t>
  </si>
  <si>
    <t>Торговые точки:</t>
  </si>
  <si>
    <t>Рынок "Ярмарка"</t>
  </si>
  <si>
    <t>Магазин в ТК "Гранд Сити"</t>
  </si>
  <si>
    <t>Оклад продавца за 1 день</t>
  </si>
  <si>
    <t>Задолженность покупателей:</t>
  </si>
  <si>
    <t>Невыплаченная заработная плата:</t>
  </si>
  <si>
    <t>Страница ввода начальных данных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</si>
  <si>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</si>
  <si>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</si>
  <si>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</si>
  <si>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</si>
  <si>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</si>
  <si>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</si>
  <si>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</si>
  <si>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</si>
  <si>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</si>
  <si>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</si>
  <si>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</si>
  <si>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</si>
  <si>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Месяцы:</t>
  </si>
  <si>
    <t>Статус дня:</t>
  </si>
  <si>
    <t>Рабочим днем</t>
  </si>
</sst>
</file>

<file path=xl/styles.xml><?xml version="1.0" encoding="utf-8"?>
<styleSheet xmlns="http://schemas.openxmlformats.org/spreadsheetml/2006/main">
  <numFmts count="1">
    <numFmt numFmtId="164" formatCode="dd/mm/yy;@"/>
  </numFmts>
  <fonts count="1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4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rgb="FF29FF29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5FF85"/>
        <bgColor indexed="64"/>
      </patternFill>
    </fill>
    <fill>
      <patternFill patternType="solid">
        <fgColor rgb="FF29FF29"/>
        <bgColor auto="1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/>
    <xf numFmtId="0" fontId="0" fillId="0" borderId="1" xfId="0" applyBorder="1" applyAlignment="1">
      <alignment wrapText="1"/>
    </xf>
    <xf numFmtId="0" fontId="8" fillId="2" borderId="1" xfId="0" applyFont="1" applyFill="1" applyBorder="1" applyAlignment="1" applyProtection="1">
      <alignment horizontal="left"/>
      <protection locked="0" hidden="1"/>
    </xf>
    <xf numFmtId="0" fontId="8" fillId="2" borderId="1" xfId="0" applyFont="1" applyFill="1" applyBorder="1" applyAlignment="1" applyProtection="1">
      <alignment horizontal="center"/>
      <protection locked="0" hidden="1"/>
    </xf>
    <xf numFmtId="164" fontId="0" fillId="2" borderId="1" xfId="0" applyNumberFormat="1" applyFill="1" applyBorder="1" applyAlignment="1" applyProtection="1">
      <alignment horizontal="center"/>
      <protection locked="0" hidden="1"/>
    </xf>
    <xf numFmtId="0" fontId="0" fillId="2" borderId="1" xfId="0" applyFill="1" applyBorder="1" applyProtection="1">
      <protection locked="0" hidden="1"/>
    </xf>
    <xf numFmtId="0" fontId="1" fillId="0" borderId="0" xfId="0" applyFon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2" fontId="8" fillId="0" borderId="1" xfId="0" applyNumberFormat="1" applyFont="1" applyBorder="1" applyAlignment="1" applyProtection="1">
      <alignment horizontal="right"/>
      <protection hidden="1"/>
    </xf>
    <xf numFmtId="2" fontId="8" fillId="0" borderId="11" xfId="0" applyNumberFormat="1" applyFont="1" applyBorder="1" applyAlignment="1" applyProtection="1">
      <alignment horizontal="right"/>
      <protection hidden="1"/>
    </xf>
    <xf numFmtId="2" fontId="7" fillId="0" borderId="14" xfId="0" applyNumberFormat="1" applyFont="1" applyBorder="1" applyAlignment="1" applyProtection="1">
      <alignment horizontal="right"/>
      <protection hidden="1"/>
    </xf>
    <xf numFmtId="2" fontId="7" fillId="0" borderId="15" xfId="0" applyNumberFormat="1" applyFont="1" applyBorder="1" applyAlignment="1" applyProtection="1">
      <alignment horizontal="right"/>
      <protection hidden="1"/>
    </xf>
    <xf numFmtId="0" fontId="0" fillId="0" borderId="0" xfId="0" applyBorder="1" applyAlignment="1" applyProtection="1">
      <alignment horizontal="center"/>
      <protection hidden="1"/>
    </xf>
    <xf numFmtId="0" fontId="10" fillId="0" borderId="0" xfId="0" applyFont="1" applyBorder="1" applyProtection="1">
      <protection hidden="1"/>
    </xf>
    <xf numFmtId="2" fontId="8" fillId="0" borderId="15" xfId="0" applyNumberFormat="1" applyFont="1" applyBorder="1" applyAlignment="1" applyProtection="1">
      <alignment horizontal="right"/>
      <protection hidden="1"/>
    </xf>
    <xf numFmtId="2" fontId="7" fillId="0" borderId="11" xfId="0" applyNumberFormat="1" applyFont="1" applyBorder="1" applyAlignment="1" applyProtection="1">
      <alignment horizontal="right"/>
      <protection hidden="1"/>
    </xf>
    <xf numFmtId="0" fontId="1" fillId="0" borderId="0" xfId="0" applyFont="1" applyBorder="1" applyProtection="1">
      <protection hidden="1"/>
    </xf>
    <xf numFmtId="0" fontId="0" fillId="0" borderId="1" xfId="0" applyBorder="1" applyProtection="1">
      <protection hidden="1"/>
    </xf>
    <xf numFmtId="0" fontId="0" fillId="0" borderId="11" xfId="0" applyBorder="1" applyProtection="1">
      <protection hidden="1"/>
    </xf>
    <xf numFmtId="0" fontId="9" fillId="0" borderId="0" xfId="0" applyFont="1" applyAlignment="1" applyProtection="1">
      <alignment horizontal="center" wrapText="1"/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8" fillId="2" borderId="12" xfId="0" applyFont="1" applyFill="1" applyBorder="1" applyAlignment="1" applyProtection="1">
      <alignment wrapText="1"/>
      <protection locked="0" hidden="1"/>
    </xf>
    <xf numFmtId="0" fontId="8" fillId="2" borderId="12" xfId="0" applyFont="1" applyFill="1" applyBorder="1" applyProtection="1">
      <protection locked="0" hidden="1"/>
    </xf>
    <xf numFmtId="0" fontId="8" fillId="0" borderId="12" xfId="0" applyFont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center" wrapText="1"/>
      <protection hidden="1"/>
    </xf>
    <xf numFmtId="0" fontId="8" fillId="0" borderId="11" xfId="0" applyFont="1" applyBorder="1" applyAlignment="1" applyProtection="1">
      <alignment horizontal="center"/>
      <protection hidden="1"/>
    </xf>
    <xf numFmtId="0" fontId="8" fillId="0" borderId="12" xfId="0" applyFont="1" applyBorder="1" applyProtection="1">
      <protection hidden="1"/>
    </xf>
    <xf numFmtId="0" fontId="7" fillId="0" borderId="13" xfId="0" applyFont="1" applyFill="1" applyBorder="1" applyProtection="1">
      <protection hidden="1"/>
    </xf>
    <xf numFmtId="0" fontId="8" fillId="0" borderId="13" xfId="0" applyFont="1" applyBorder="1" applyProtection="1"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8" fillId="0" borderId="3" xfId="0" applyFont="1" applyBorder="1" applyAlignment="1" applyProtection="1">
      <alignment horizontal="center" vertical="center" wrapText="1"/>
      <protection hidden="1"/>
    </xf>
    <xf numFmtId="0" fontId="7" fillId="0" borderId="13" xfId="0" applyFont="1" applyBorder="1" applyProtection="1">
      <protection hidden="1"/>
    </xf>
    <xf numFmtId="0" fontId="8" fillId="0" borderId="11" xfId="0" applyFont="1" applyBorder="1" applyAlignment="1" applyProtection="1">
      <alignment horizontal="center" vertical="center" wrapText="1"/>
      <protection hidden="1"/>
    </xf>
    <xf numFmtId="0" fontId="7" fillId="0" borderId="12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7" fillId="0" borderId="11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0" fillId="0" borderId="1" xfId="0" applyFill="1" applyBorder="1" applyProtection="1"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8" fillId="0" borderId="10" xfId="0" applyFont="1" applyBorder="1" applyAlignment="1" applyProtection="1">
      <alignment horizontal="center"/>
      <protection hidden="1"/>
    </xf>
    <xf numFmtId="2" fontId="8" fillId="2" borderId="1" xfId="0" applyNumberFormat="1" applyFont="1" applyFill="1" applyBorder="1" applyAlignment="1" applyProtection="1">
      <alignment horizontal="left"/>
      <protection locked="0" hidden="1"/>
    </xf>
    <xf numFmtId="2" fontId="0" fillId="0" borderId="1" xfId="0" applyNumberFormat="1" applyBorder="1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8" fillId="0" borderId="12" xfId="0" applyFont="1" applyBorder="1" applyAlignment="1" applyProtection="1">
      <alignment horizontal="left"/>
      <protection hidden="1"/>
    </xf>
    <xf numFmtId="0" fontId="0" fillId="0" borderId="0" xfId="0" applyAlignment="1" applyProtection="1">
      <alignment horizontal="center"/>
      <protection hidden="1"/>
    </xf>
    <xf numFmtId="0" fontId="8" fillId="0" borderId="0" xfId="0" applyFont="1" applyBorder="1" applyAlignment="1" applyProtection="1">
      <alignment horizontal="center" vertical="center" wrapText="1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protection hidden="1"/>
    </xf>
    <xf numFmtId="0" fontId="8" fillId="0" borderId="4" xfId="0" applyFont="1" applyBorder="1" applyProtection="1">
      <protection hidden="1"/>
    </xf>
    <xf numFmtId="0" fontId="8" fillId="0" borderId="0" xfId="0" applyFont="1" applyBorder="1" applyAlignment="1" applyProtection="1">
      <alignment horizontal="center"/>
      <protection hidden="1"/>
    </xf>
    <xf numFmtId="0" fontId="8" fillId="0" borderId="0" xfId="0" applyFont="1" applyBorder="1" applyAlignment="1" applyProtection="1">
      <alignment wrapText="1"/>
      <protection hidden="1"/>
    </xf>
    <xf numFmtId="0" fontId="0" fillId="0" borderId="0" xfId="0" applyBorder="1" applyAlignment="1" applyProtection="1">
      <alignment horizontal="center" wrapText="1"/>
      <protection hidden="1"/>
    </xf>
    <xf numFmtId="0" fontId="1" fillId="0" borderId="0" xfId="0" applyFont="1" applyAlignment="1" applyProtection="1">
      <alignment horizontal="center" vertical="center" textRotation="90"/>
      <protection hidden="1"/>
    </xf>
    <xf numFmtId="0" fontId="8" fillId="0" borderId="0" xfId="0" applyFont="1" applyBorder="1" applyAlignment="1" applyProtection="1">
      <protection hidden="1"/>
    </xf>
    <xf numFmtId="0" fontId="0" fillId="0" borderId="0" xfId="0" applyBorder="1" applyProtection="1">
      <protection hidden="1"/>
    </xf>
    <xf numFmtId="0" fontId="7" fillId="0" borderId="0" xfId="0" applyFont="1" applyProtection="1">
      <protection hidden="1"/>
    </xf>
    <xf numFmtId="0" fontId="8" fillId="0" borderId="0" xfId="0" applyFont="1" applyBorder="1" applyProtection="1">
      <protection hidden="1"/>
    </xf>
    <xf numFmtId="0" fontId="8" fillId="0" borderId="19" xfId="0" applyFont="1" applyBorder="1" applyProtection="1">
      <protection hidden="1"/>
    </xf>
    <xf numFmtId="2" fontId="7" fillId="0" borderId="0" xfId="0" applyNumberFormat="1" applyFont="1" applyAlignment="1" applyProtection="1">
      <alignment horizontal="center"/>
      <protection hidden="1"/>
    </xf>
    <xf numFmtId="0" fontId="8" fillId="0" borderId="0" xfId="0" applyFont="1" applyProtection="1">
      <protection hidden="1"/>
    </xf>
    <xf numFmtId="0" fontId="8" fillId="0" borderId="0" xfId="0" applyFont="1" applyFill="1" applyBorder="1" applyProtection="1">
      <protection hidden="1"/>
    </xf>
    <xf numFmtId="0" fontId="7" fillId="0" borderId="0" xfId="0" applyFont="1" applyBorder="1" applyAlignment="1" applyProtection="1">
      <protection hidden="1"/>
    </xf>
    <xf numFmtId="0" fontId="8" fillId="0" borderId="10" xfId="0" applyFont="1" applyBorder="1" applyAlignment="1" applyProtection="1">
      <alignment horizontal="center" vertical="center"/>
      <protection hidden="1"/>
    </xf>
    <xf numFmtId="0" fontId="8" fillId="0" borderId="4" xfId="0" applyFont="1" applyBorder="1" applyAlignment="1" applyProtection="1">
      <alignment horizontal="center" vertical="center" wrapText="1"/>
      <protection hidden="1"/>
    </xf>
    <xf numFmtId="0" fontId="8" fillId="0" borderId="11" xfId="0" applyFont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horizontal="center" wrapText="1"/>
      <protection hidden="1"/>
    </xf>
    <xf numFmtId="2" fontId="8" fillId="0" borderId="2" xfId="0" applyNumberFormat="1" applyFont="1" applyBorder="1" applyAlignment="1" applyProtection="1">
      <alignment horizontal="right"/>
      <protection hidden="1"/>
    </xf>
    <xf numFmtId="0" fontId="0" fillId="0" borderId="0" xfId="0" applyAlignment="1" applyProtection="1">
      <alignment horizontal="left"/>
      <protection hidden="1"/>
    </xf>
    <xf numFmtId="0" fontId="1" fillId="0" borderId="0" xfId="0" applyFont="1" applyAlignment="1" applyProtection="1">
      <alignment horizontal="center"/>
      <protection hidden="1"/>
    </xf>
    <xf numFmtId="0" fontId="13" fillId="0" borderId="0" xfId="0" applyFont="1" applyAlignment="1"/>
    <xf numFmtId="0" fontId="0" fillId="0" borderId="16" xfId="0" applyBorder="1"/>
    <xf numFmtId="0" fontId="0" fillId="0" borderId="17" xfId="0" applyBorder="1"/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24" xfId="0" applyBorder="1"/>
    <xf numFmtId="0" fontId="0" fillId="0" borderId="0" xfId="0" applyBorder="1"/>
    <xf numFmtId="0" fontId="6" fillId="0" borderId="0" xfId="0" applyFont="1" applyBorder="1"/>
    <xf numFmtId="0" fontId="4" fillId="0" borderId="25" xfId="0" applyFont="1" applyBorder="1" applyAlignment="1" applyProtection="1">
      <alignment horizontal="center" vertical="center"/>
      <protection hidden="1"/>
    </xf>
    <xf numFmtId="0" fontId="0" fillId="0" borderId="0" xfId="0" applyBorder="1" applyAlignment="1">
      <alignment horizontal="center"/>
    </xf>
    <xf numFmtId="0" fontId="0" fillId="0" borderId="25" xfId="0" applyBorder="1" applyProtection="1">
      <protection hidden="1"/>
    </xf>
    <xf numFmtId="0" fontId="5" fillId="0" borderId="25" xfId="0" applyFont="1" applyBorder="1" applyProtection="1">
      <protection hidden="1"/>
    </xf>
    <xf numFmtId="49" fontId="0" fillId="0" borderId="0" xfId="0" applyNumberFormat="1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center"/>
    </xf>
    <xf numFmtId="0" fontId="0" fillId="0" borderId="28" xfId="0" applyBorder="1"/>
    <xf numFmtId="0" fontId="14" fillId="2" borderId="6" xfId="0" applyFont="1" applyFill="1" applyBorder="1" applyAlignment="1" applyProtection="1">
      <alignment horizontal="center"/>
      <protection locked="0"/>
    </xf>
    <xf numFmtId="0" fontId="14" fillId="2" borderId="6" xfId="0" applyNumberFormat="1" applyFont="1" applyFill="1" applyBorder="1" applyAlignment="1" applyProtection="1">
      <alignment horizontal="center"/>
      <protection locked="0" hidden="1"/>
    </xf>
    <xf numFmtId="2" fontId="14" fillId="2" borderId="6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0" fillId="3" borderId="0" xfId="0" applyFill="1" applyAlignment="1" applyProtection="1">
      <alignment horizontal="center"/>
      <protection locked="0" hidden="1"/>
    </xf>
    <xf numFmtId="0" fontId="7" fillId="0" borderId="16" xfId="0" applyFont="1" applyBorder="1" applyAlignment="1" applyProtection="1">
      <alignment horizontal="center" vertical="center"/>
      <protection hidden="1"/>
    </xf>
    <xf numFmtId="0" fontId="7" fillId="0" borderId="17" xfId="0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16" xfId="0" applyFont="1" applyBorder="1" applyAlignment="1" applyProtection="1">
      <alignment horizontal="center"/>
      <protection hidden="1"/>
    </xf>
    <xf numFmtId="0" fontId="7" fillId="0" borderId="18" xfId="0" applyFont="1" applyBorder="1" applyAlignment="1" applyProtection="1">
      <alignment horizontal="center"/>
      <protection hidden="1"/>
    </xf>
    <xf numFmtId="0" fontId="7" fillId="0" borderId="7" xfId="0" applyFont="1" applyBorder="1" applyAlignment="1" applyProtection="1">
      <alignment horizontal="center" vertical="center"/>
      <protection hidden="1"/>
    </xf>
    <xf numFmtId="0" fontId="7" fillId="0" borderId="8" xfId="0" applyFont="1" applyBorder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22" xfId="0" applyBorder="1" applyAlignment="1" applyProtection="1">
      <alignment horizontal="center" vertical="center" wrapText="1"/>
      <protection hidden="1"/>
    </xf>
    <xf numFmtId="0" fontId="0" fillId="0" borderId="5" xfId="0" applyBorder="1" applyAlignment="1" applyProtection="1">
      <alignment horizontal="center" vertical="center" wrapText="1"/>
      <protection hidden="1"/>
    </xf>
    <xf numFmtId="0" fontId="0" fillId="0" borderId="20" xfId="0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8" fillId="0" borderId="12" xfId="0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0" fillId="0" borderId="23" xfId="0" applyBorder="1" applyAlignment="1" applyProtection="1">
      <alignment horizontal="center" vertical="center" wrapText="1"/>
      <protection hidden="1"/>
    </xf>
    <xf numFmtId="0" fontId="0" fillId="0" borderId="11" xfId="0" applyBorder="1" applyAlignment="1" applyProtection="1">
      <alignment horizontal="center" vertical="center" wrapText="1"/>
      <protection hidden="1"/>
    </xf>
    <xf numFmtId="0" fontId="11" fillId="0" borderId="24" xfId="0" applyFont="1" applyBorder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12" fillId="0" borderId="25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25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7" fillId="0" borderId="25" xfId="0" applyFont="1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8" fillId="0" borderId="12" xfId="0" applyFont="1" applyBorder="1" applyAlignment="1" applyProtection="1">
      <alignment horizontal="left" wrapText="1"/>
      <protection hidden="1"/>
    </xf>
    <xf numFmtId="0" fontId="8" fillId="0" borderId="1" xfId="0" applyFont="1" applyBorder="1" applyAlignment="1" applyProtection="1">
      <alignment horizontal="left" wrapText="1"/>
      <protection hidden="1"/>
    </xf>
    <xf numFmtId="0" fontId="8" fillId="0" borderId="12" xfId="0" applyFont="1" applyBorder="1" applyAlignment="1" applyProtection="1">
      <alignment horizontal="left"/>
      <protection hidden="1"/>
    </xf>
    <xf numFmtId="0" fontId="8" fillId="0" borderId="1" xfId="0" applyFont="1" applyBorder="1" applyAlignment="1" applyProtection="1">
      <alignment horizontal="left"/>
      <protection hidden="1"/>
    </xf>
    <xf numFmtId="0" fontId="8" fillId="0" borderId="13" xfId="0" applyFont="1" applyBorder="1" applyAlignment="1" applyProtection="1">
      <alignment horizontal="left"/>
      <protection hidden="1"/>
    </xf>
    <xf numFmtId="0" fontId="8" fillId="0" borderId="14" xfId="0" applyFont="1" applyBorder="1" applyAlignment="1" applyProtection="1">
      <alignment horizontal="left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horizontal="center"/>
      <protection hidden="1"/>
    </xf>
    <xf numFmtId="0" fontId="7" fillId="0" borderId="8" xfId="0" applyFont="1" applyBorder="1" applyAlignment="1" applyProtection="1">
      <alignment horizontal="center"/>
      <protection hidden="1"/>
    </xf>
    <xf numFmtId="0" fontId="7" fillId="0" borderId="9" xfId="0" applyFont="1" applyBorder="1" applyAlignment="1" applyProtection="1">
      <alignment horizontal="center"/>
      <protection hidden="1"/>
    </xf>
  </cellXfs>
  <cellStyles count="1">
    <cellStyle name="Обычный" xfId="0" builtinId="0"/>
  </cellStyles>
  <dxfs count="11">
    <dxf>
      <font>
        <b/>
        <i val="0"/>
        <color rgb="FF29FF29"/>
      </font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ont>
        <u/>
        <color rgb="FFFF0000"/>
      </font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FF61E8"/>
        </patternFill>
      </fill>
    </dxf>
  </dxfs>
  <tableStyles count="0" defaultTableStyle="TableStyleMedium9" defaultPivotStyle="PivotStyleLight16"/>
  <colors>
    <mruColors>
      <color rgb="FF29FF29"/>
      <color rgb="FF85FF85"/>
      <color rgb="FFFF66CC"/>
      <color rgb="FFA3FFA3"/>
      <color rgb="FFFF6699"/>
      <color rgb="FFFF61E8"/>
      <color rgb="FFFF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W23"/>
  <sheetViews>
    <sheetView showGridLines="0" zoomScale="80" zoomScaleNormal="80" workbookViewId="0">
      <selection activeCell="G20" sqref="G20"/>
    </sheetView>
  </sheetViews>
  <sheetFormatPr defaultRowHeight="15" customHeight="1"/>
  <cols>
    <col min="1" max="1" width="11.140625" customWidth="1"/>
    <col min="2" max="4" width="8.140625" customWidth="1"/>
    <col min="6" max="6" width="44.85546875" customWidth="1"/>
    <col min="7" max="7" width="55.7109375" style="1" customWidth="1"/>
    <col min="8" max="8" width="69.85546875" customWidth="1"/>
    <col min="9" max="15" width="0" hidden="1" customWidth="1"/>
    <col min="16" max="16" width="25.85546875" hidden="1" customWidth="1"/>
    <col min="17" max="17" width="9.140625" hidden="1" customWidth="1"/>
    <col min="18" max="18" width="13.42578125" hidden="1" customWidth="1"/>
    <col min="19" max="19" width="12.5703125" hidden="1" customWidth="1"/>
    <col min="20" max="20" width="9.140625" hidden="1" customWidth="1"/>
    <col min="21" max="21" width="25.5703125" hidden="1" customWidth="1"/>
    <col min="22" max="22" width="0" hidden="1" customWidth="1"/>
    <col min="23" max="23" width="6.85546875" hidden="1" customWidth="1"/>
  </cols>
  <sheetData>
    <row r="1" spans="1:23" ht="32.25" customHeight="1">
      <c r="A1" s="3"/>
      <c r="P1" s="2" t="s">
        <v>9</v>
      </c>
      <c r="R1" s="4" t="s">
        <v>6</v>
      </c>
      <c r="S1" s="5" t="s">
        <v>7</v>
      </c>
      <c r="U1" s="2" t="s">
        <v>12</v>
      </c>
      <c r="W1" s="2" t="s">
        <v>28</v>
      </c>
    </row>
    <row r="2" spans="1:23" ht="15" customHeight="1">
      <c r="P2" s="2" t="s">
        <v>11</v>
      </c>
      <c r="R2" s="2" t="s">
        <v>4</v>
      </c>
      <c r="S2" s="2">
        <v>1</v>
      </c>
      <c r="U2" s="2">
        <v>500</v>
      </c>
      <c r="W2" s="2" t="s">
        <v>16</v>
      </c>
    </row>
    <row r="3" spans="1:23" ht="24" customHeight="1">
      <c r="F3" s="76"/>
      <c r="G3" s="76" t="s">
        <v>15</v>
      </c>
      <c r="H3" s="76"/>
      <c r="P3" s="2" t="s">
        <v>10</v>
      </c>
      <c r="R3" s="2" t="s">
        <v>3</v>
      </c>
      <c r="S3" s="2">
        <v>2</v>
      </c>
      <c r="W3" s="2" t="s">
        <v>17</v>
      </c>
    </row>
    <row r="4" spans="1:23" ht="15" customHeight="1" thickBot="1">
      <c r="R4" s="2" t="s">
        <v>5</v>
      </c>
      <c r="S4" s="2">
        <v>3</v>
      </c>
      <c r="W4" s="2" t="s">
        <v>18</v>
      </c>
    </row>
    <row r="5" spans="1:23" ht="37.5" customHeight="1" thickBot="1">
      <c r="B5" s="77"/>
      <c r="C5" s="78"/>
      <c r="D5" s="78"/>
      <c r="E5" s="78"/>
      <c r="F5" s="78"/>
      <c r="G5" s="79"/>
      <c r="H5" s="80"/>
      <c r="W5" s="2" t="s">
        <v>19</v>
      </c>
    </row>
    <row r="6" spans="1:23" ht="29.25" customHeight="1" thickBot="1">
      <c r="B6" s="81"/>
      <c r="C6" s="82"/>
      <c r="D6" s="82"/>
      <c r="E6" s="82"/>
      <c r="F6" s="83" t="s">
        <v>8</v>
      </c>
      <c r="G6" s="94" t="s">
        <v>11</v>
      </c>
      <c r="H6" s="84" t="str">
        <f>IF(G6="", "←   Укажите наименование торговой точки","")</f>
        <v/>
      </c>
      <c r="W6" s="2" t="s">
        <v>20</v>
      </c>
    </row>
    <row r="7" spans="1:23" ht="15" customHeight="1">
      <c r="B7" s="81"/>
      <c r="C7" s="82"/>
      <c r="D7" s="82"/>
      <c r="E7" s="82"/>
      <c r="F7" s="82"/>
      <c r="G7" s="85"/>
      <c r="H7" s="86"/>
      <c r="W7" s="2" t="s">
        <v>21</v>
      </c>
    </row>
    <row r="8" spans="1:23" ht="15" customHeight="1" thickBot="1">
      <c r="B8" s="81"/>
      <c r="C8" s="82"/>
      <c r="D8" s="82"/>
      <c r="E8" s="82"/>
      <c r="F8" s="82"/>
      <c r="G8" s="85"/>
      <c r="H8" s="87"/>
      <c r="W8" s="2" t="s">
        <v>22</v>
      </c>
    </row>
    <row r="9" spans="1:23" ht="29.25" customHeight="1" thickBot="1">
      <c r="B9" s="81"/>
      <c r="C9" s="82"/>
      <c r="D9" s="82"/>
      <c r="E9" s="82"/>
      <c r="F9" s="83" t="s">
        <v>1</v>
      </c>
      <c r="G9" s="95" t="s">
        <v>16</v>
      </c>
      <c r="H9" s="84" t="str">
        <f>IF(G9="", "←   Укажите текущий месяц","")</f>
        <v/>
      </c>
      <c r="W9" s="2" t="s">
        <v>23</v>
      </c>
    </row>
    <row r="10" spans="1:23" ht="15" customHeight="1">
      <c r="B10" s="81"/>
      <c r="C10" s="82"/>
      <c r="D10" s="82"/>
      <c r="E10" s="82"/>
      <c r="F10" s="82"/>
      <c r="G10" s="88"/>
      <c r="H10" s="86"/>
      <c r="W10" s="2" t="s">
        <v>24</v>
      </c>
    </row>
    <row r="11" spans="1:23" ht="15" customHeight="1">
      <c r="B11" s="81"/>
      <c r="C11" s="82"/>
      <c r="D11" s="82"/>
      <c r="E11" s="82"/>
      <c r="F11" s="82"/>
      <c r="G11" s="85"/>
      <c r="H11" s="86"/>
      <c r="W11" s="2" t="s">
        <v>25</v>
      </c>
    </row>
    <row r="12" spans="1:23" ht="9" customHeight="1" thickBot="1">
      <c r="B12" s="81"/>
      <c r="C12" s="82"/>
      <c r="D12" s="82"/>
      <c r="E12" s="82"/>
      <c r="F12" s="82"/>
      <c r="G12" s="85"/>
      <c r="H12" s="86"/>
      <c r="W12" s="2" t="s">
        <v>26</v>
      </c>
    </row>
    <row r="13" spans="1:23" ht="29.25" customHeight="1" thickBot="1">
      <c r="B13" s="81"/>
      <c r="C13" s="82"/>
      <c r="D13" s="82"/>
      <c r="E13" s="82"/>
      <c r="F13" s="83" t="s">
        <v>2</v>
      </c>
      <c r="G13" s="96">
        <v>1000</v>
      </c>
      <c r="H13" s="84" t="str">
        <f>IF(G13="", "←   Укажите остаток в кассе на начало месяца","")</f>
        <v/>
      </c>
      <c r="W13" s="2" t="s">
        <v>27</v>
      </c>
    </row>
    <row r="14" spans="1:23" ht="15" customHeight="1">
      <c r="B14" s="81"/>
      <c r="C14" s="82"/>
      <c r="D14" s="82"/>
      <c r="E14" s="82"/>
      <c r="F14" s="82"/>
      <c r="G14" s="85"/>
      <c r="H14" s="86"/>
    </row>
    <row r="15" spans="1:23" ht="15" customHeight="1" thickBot="1">
      <c r="B15" s="81"/>
      <c r="C15" s="82"/>
      <c r="D15" s="82"/>
      <c r="E15" s="82"/>
      <c r="F15" s="82"/>
      <c r="G15" s="85"/>
      <c r="H15" s="86"/>
    </row>
    <row r="16" spans="1:23" ht="33.75" customHeight="1" thickBot="1">
      <c r="B16" s="81"/>
      <c r="C16" s="82"/>
      <c r="D16" s="82"/>
      <c r="E16" s="82"/>
      <c r="F16" s="83" t="s">
        <v>13</v>
      </c>
      <c r="G16" s="96">
        <v>0</v>
      </c>
      <c r="H16" s="84" t="str">
        <f>IF(G16="", "←   Укажите сумму задолженности покупателей","")</f>
        <v/>
      </c>
    </row>
    <row r="17" spans="2:8" ht="15" customHeight="1">
      <c r="B17" s="81"/>
      <c r="C17" s="82"/>
      <c r="D17" s="82"/>
      <c r="E17" s="82"/>
      <c r="F17" s="82"/>
      <c r="G17" s="85"/>
      <c r="H17" s="86"/>
    </row>
    <row r="18" spans="2:8" ht="15" customHeight="1" thickBot="1">
      <c r="B18" s="81"/>
      <c r="C18" s="82"/>
      <c r="D18" s="82"/>
      <c r="E18" s="82"/>
      <c r="F18" s="82"/>
      <c r="G18" s="85"/>
      <c r="H18" s="86"/>
    </row>
    <row r="19" spans="2:8" ht="32.25" customHeight="1" thickBot="1">
      <c r="B19" s="81"/>
      <c r="C19" s="82"/>
      <c r="D19" s="82"/>
      <c r="E19" s="82"/>
      <c r="F19" s="83" t="s">
        <v>14</v>
      </c>
      <c r="G19" s="96">
        <v>300</v>
      </c>
      <c r="H19" s="84" t="str">
        <f>IF(G19="", "←   Укажите сумму невыплаченной заработной платы","")</f>
        <v/>
      </c>
    </row>
    <row r="20" spans="2:8" ht="15" customHeight="1">
      <c r="B20" s="81"/>
      <c r="C20" s="82"/>
      <c r="D20" s="82"/>
      <c r="E20" s="82"/>
      <c r="F20" s="82"/>
      <c r="G20" s="85"/>
      <c r="H20" s="89"/>
    </row>
    <row r="21" spans="2:8" ht="15" customHeight="1">
      <c r="B21" s="81"/>
      <c r="C21" s="82"/>
      <c r="D21" s="82"/>
      <c r="E21" s="82"/>
      <c r="F21" s="82"/>
      <c r="G21" s="85"/>
      <c r="H21" s="89"/>
    </row>
    <row r="22" spans="2:8" ht="15" customHeight="1">
      <c r="B22" s="81"/>
      <c r="C22" s="82"/>
      <c r="D22" s="82"/>
      <c r="E22" s="82"/>
      <c r="F22" s="82"/>
      <c r="G22" s="85"/>
      <c r="H22" s="89"/>
    </row>
    <row r="23" spans="2:8" ht="15" customHeight="1" thickBot="1">
      <c r="B23" s="90"/>
      <c r="C23" s="91"/>
      <c r="D23" s="91"/>
      <c r="E23" s="91"/>
      <c r="F23" s="91"/>
      <c r="G23" s="92"/>
      <c r="H23" s="93"/>
    </row>
  </sheetData>
  <sheetProtection autoFilter="0"/>
  <dataValidations count="2">
    <dataValidation type="list" allowBlank="1" showInputMessage="1" showErrorMessage="1" sqref="G6">
      <formula1>$P$2:$P$3</formula1>
    </dataValidation>
    <dataValidation type="list" allowBlank="1" showInputMessage="1" showErrorMessage="1" sqref="G9">
      <formula1>$W$2:$W$13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Q116"/>
  <sheetViews>
    <sheetView showGridLines="0" showZeros="0" tabSelected="1" workbookViewId="0">
      <pane xSplit="1" ySplit="16" topLeftCell="B17" activePane="bottomRight" state="frozen"/>
      <selection pane="topRight" activeCell="B1" sqref="B1"/>
      <selection pane="bottomLeft" activeCell="A17" sqref="A17"/>
      <selection pane="bottomRight" activeCell="B1024" sqref="B1024"/>
    </sheetView>
  </sheetViews>
  <sheetFormatPr defaultRowHeight="15"/>
  <cols>
    <col min="1" max="1" width="3.85546875" style="51" customWidth="1"/>
    <col min="2" max="2" width="48.85546875" style="11" customWidth="1"/>
    <col min="3" max="3" width="22.42578125" style="74" customWidth="1"/>
    <col min="4" max="4" width="12.42578125" style="51" customWidth="1"/>
    <col min="5" max="5" width="15.85546875" style="51" hidden="1" customWidth="1"/>
    <col min="6" max="6" width="12.42578125" style="51" customWidth="1"/>
    <col min="7" max="11" width="11.7109375" style="11" customWidth="1"/>
    <col min="12" max="12" width="12.28515625" style="11" customWidth="1"/>
    <col min="13" max="13" width="11.7109375" style="11" customWidth="1"/>
    <col min="14" max="14" width="49.140625" style="51" customWidth="1"/>
    <col min="15" max="15" width="9.140625" style="11" customWidth="1"/>
    <col min="16" max="16" width="3.5703125" style="11" customWidth="1"/>
    <col min="17" max="17" width="28.7109375" style="11" customWidth="1"/>
    <col min="18" max="18" width="10.28515625" style="11" bestFit="1" customWidth="1"/>
    <col min="19" max="16384" width="9.140625" style="11"/>
  </cols>
  <sheetData>
    <row r="1" spans="1:17" ht="12" customHeight="1">
      <c r="B1" s="119" t="str">
        <f>"Отчет продавца торговой точки"</f>
        <v>Отчет продавца торговой точки</v>
      </c>
      <c r="C1" s="120"/>
      <c r="D1" s="134" t="str">
        <f>"Касса"</f>
        <v>Касса</v>
      </c>
      <c r="E1" s="135"/>
      <c r="F1" s="136"/>
      <c r="G1" s="52"/>
      <c r="H1" s="134" t="str">
        <f>"Движение денежных средств"</f>
        <v>Движение денежных средств</v>
      </c>
      <c r="I1" s="135"/>
      <c r="J1" s="136"/>
      <c r="K1" s="53"/>
      <c r="L1" s="105" t="str">
        <f>"Задолженность покупателей"</f>
        <v>Задолженность покупателей</v>
      </c>
      <c r="M1" s="107"/>
      <c r="N1" s="10"/>
      <c r="O1" s="54"/>
      <c r="P1" s="54"/>
    </row>
    <row r="2" spans="1:17" ht="12" customHeight="1">
      <c r="B2" s="121" t="str">
        <f>Старт!G6</f>
        <v>Магазин в ТК "Гранд Сити"</v>
      </c>
      <c r="C2" s="122"/>
      <c r="D2" s="30" t="str">
        <f>"На начало дня"</f>
        <v>На начало дня</v>
      </c>
      <c r="E2" s="55"/>
      <c r="F2" s="13"/>
      <c r="G2" s="56"/>
      <c r="H2" s="27" t="str">
        <f>"Способ"</f>
        <v>Способ</v>
      </c>
      <c r="I2" s="28" t="str">
        <f>"Приход"</f>
        <v>Приход</v>
      </c>
      <c r="J2" s="29" t="str">
        <f>"Расход"</f>
        <v>Расход</v>
      </c>
      <c r="K2" s="57"/>
      <c r="L2" s="30" t="str">
        <f>"На начало дня"</f>
        <v>На начало дня</v>
      </c>
      <c r="M2" s="13"/>
      <c r="N2" s="58"/>
      <c r="O2" s="16"/>
      <c r="P2" s="16"/>
    </row>
    <row r="3" spans="1:17" ht="12" customHeight="1">
      <c r="A3" s="59"/>
      <c r="B3" s="123" t="str">
        <f>"за  &lt;&lt; 1 &gt;&gt; "&amp;Старт!G9</f>
        <v>за  &lt;&lt; 1 &gt;&gt; Январь</v>
      </c>
      <c r="C3" s="124"/>
      <c r="D3" s="30" t="str">
        <f>"Приход"</f>
        <v>Приход</v>
      </c>
      <c r="E3" s="55"/>
      <c r="F3" s="13"/>
      <c r="G3" s="56"/>
      <c r="H3" s="30" t="str">
        <f>"По карте"</f>
        <v>По карте</v>
      </c>
      <c r="I3" s="12"/>
      <c r="J3" s="13"/>
      <c r="K3" s="60"/>
      <c r="L3" s="30" t="str">
        <f>"Уменьшение"</f>
        <v>Уменьшение</v>
      </c>
      <c r="M3" s="13"/>
      <c r="N3" s="16"/>
      <c r="O3" s="61"/>
      <c r="P3" s="61"/>
    </row>
    <row r="4" spans="1:17" ht="12" customHeight="1">
      <c r="A4" s="59"/>
      <c r="B4" s="62"/>
      <c r="C4" s="63"/>
      <c r="D4" s="30" t="str">
        <f>"Расход"</f>
        <v>Расход</v>
      </c>
      <c r="E4" s="55"/>
      <c r="F4" s="13"/>
      <c r="G4" s="56"/>
      <c r="H4" s="30" t="str">
        <f>"Наличными"</f>
        <v>Наличными</v>
      </c>
      <c r="I4" s="12"/>
      <c r="J4" s="13"/>
      <c r="K4" s="60"/>
      <c r="L4" s="30" t="str">
        <f>"Увеличение"</f>
        <v>Увеличение</v>
      </c>
      <c r="M4" s="13"/>
      <c r="N4" s="61"/>
      <c r="O4" s="61"/>
      <c r="P4" s="61"/>
      <c r="Q4" s="21" t="s">
        <v>29</v>
      </c>
    </row>
    <row r="5" spans="1:17" ht="12" customHeight="1" thickBot="1">
      <c r="A5" s="59"/>
      <c r="B5" s="49" t="str">
        <f>"Контроль данных:"</f>
        <v>Контроль данных:</v>
      </c>
      <c r="C5" s="17" t="str">
        <f>IF(O15&gt;0,"ДОКУМЕНТ НЕ КОРРЕКТЕН!","Документ корректен")</f>
        <v>Документ корректен</v>
      </c>
      <c r="D5" s="32" t="str">
        <f>"На конец дня"</f>
        <v>На конец дня</v>
      </c>
      <c r="E5" s="64"/>
      <c r="F5" s="18"/>
      <c r="G5" s="56"/>
      <c r="H5" s="31" t="str">
        <f>"ИТОГО:"</f>
        <v>ИТОГО:</v>
      </c>
      <c r="I5" s="14"/>
      <c r="J5" s="15"/>
      <c r="K5" s="60"/>
      <c r="L5" s="32" t="str">
        <f>"На конец дня"</f>
        <v>На конец дня</v>
      </c>
      <c r="M5" s="18"/>
      <c r="N5" s="61"/>
      <c r="O5" s="61"/>
      <c r="P5" s="61"/>
      <c r="Q5" s="21" t="s">
        <v>30</v>
      </c>
    </row>
    <row r="6" spans="1:17" ht="8.25" customHeight="1" thickBot="1">
      <c r="A6" s="59"/>
      <c r="B6" s="62"/>
      <c r="C6" s="65"/>
      <c r="D6" s="56"/>
      <c r="E6" s="56"/>
      <c r="F6" s="56"/>
      <c r="G6" s="66"/>
      <c r="H6" s="67"/>
      <c r="I6" s="63"/>
      <c r="J6" s="63"/>
      <c r="K6" s="66"/>
      <c r="L6" s="63"/>
      <c r="M6" s="63"/>
      <c r="Q6" s="21"/>
    </row>
    <row r="7" spans="1:17" ht="12" customHeight="1">
      <c r="A7" s="59"/>
      <c r="B7" s="105" t="str">
        <f>"Торговля"</f>
        <v>Торговля</v>
      </c>
      <c r="C7" s="106"/>
      <c r="D7" s="106"/>
      <c r="E7" s="106"/>
      <c r="F7" s="107"/>
      <c r="G7" s="60"/>
      <c r="H7" s="100" t="str">
        <f>"Хозяйственная деятельность"</f>
        <v>Хозяйственная деятельность</v>
      </c>
      <c r="I7" s="101"/>
      <c r="J7" s="102"/>
      <c r="K7" s="68"/>
      <c r="L7" s="103" t="str">
        <f>"ЗП продавца"</f>
        <v>ЗП продавца</v>
      </c>
      <c r="M7" s="104"/>
      <c r="Q7" s="61"/>
    </row>
    <row r="8" spans="1:17" ht="39" customHeight="1">
      <c r="A8" s="59"/>
      <c r="B8" s="69" t="str">
        <f>"Вид продаж"</f>
        <v>Вид продаж</v>
      </c>
      <c r="C8" s="33" t="str">
        <f>"Продажи за день"</f>
        <v>Продажи за день</v>
      </c>
      <c r="D8" s="34" t="str">
        <f>"Оплата прошлых продаж"</f>
        <v>Оплата прошлых продаж</v>
      </c>
      <c r="E8" s="70"/>
      <c r="F8" s="36" t="str">
        <f>"Возвраты по рекламациям"</f>
        <v>Возвраты по рекламациям</v>
      </c>
      <c r="G8" s="63"/>
      <c r="H8" s="114" t="str">
        <f>"Типы операций"</f>
        <v>Типы операций</v>
      </c>
      <c r="I8" s="115"/>
      <c r="J8" s="71" t="s">
        <v>0</v>
      </c>
      <c r="K8" s="72"/>
      <c r="L8" s="30" t="str">
        <f>"Оклад"</f>
        <v>Оклад</v>
      </c>
      <c r="M8" s="13"/>
      <c r="N8" s="75" t="str">
        <f>"День &lt;&lt; 1 &gt;&gt; "&amp;Старт!G9&amp;" является:"</f>
        <v>День &lt;&lt; 1 &gt;&gt; Январь является:</v>
      </c>
    </row>
    <row r="9" spans="1:17" ht="12" customHeight="1">
      <c r="A9" s="59"/>
      <c r="B9" s="50" t="str">
        <f>"Розница"</f>
        <v>Розница</v>
      </c>
      <c r="C9" s="12"/>
      <c r="D9" s="12"/>
      <c r="E9" s="73"/>
      <c r="F9" s="13"/>
      <c r="G9" s="63"/>
      <c r="H9" s="127" t="str">
        <f>"Хозяйственные расходы"</f>
        <v>Хозяйственные расходы</v>
      </c>
      <c r="I9" s="128"/>
      <c r="J9" s="13"/>
      <c r="K9" s="63"/>
      <c r="L9" s="30" t="str">
        <f>"Премия"</f>
        <v>Премия</v>
      </c>
      <c r="M9" s="13"/>
      <c r="N9" s="99" t="s">
        <v>30</v>
      </c>
    </row>
    <row r="10" spans="1:17" ht="12" customHeight="1">
      <c r="B10" s="30" t="str">
        <f>"Опт"</f>
        <v>Опт</v>
      </c>
      <c r="C10" s="12"/>
      <c r="D10" s="12"/>
      <c r="E10" s="73"/>
      <c r="F10" s="13"/>
      <c r="G10" s="63"/>
      <c r="H10" s="129" t="str">
        <f>"Прочие поступления"</f>
        <v>Прочие поступления</v>
      </c>
      <c r="I10" s="130"/>
      <c r="J10" s="13"/>
      <c r="K10" s="63"/>
      <c r="L10" s="30" t="str">
        <f>"Начислено"</f>
        <v>Начислено</v>
      </c>
      <c r="M10" s="19"/>
      <c r="N10" s="98" t="str">
        <f>IF(N9="","День не объявлен рабочим.","")</f>
        <v/>
      </c>
    </row>
    <row r="11" spans="1:17" ht="12" customHeight="1">
      <c r="B11" s="30" t="str">
        <f>"МНЗ"</f>
        <v>МНЗ</v>
      </c>
      <c r="C11" s="12"/>
      <c r="D11" s="12"/>
      <c r="E11" s="73"/>
      <c r="F11" s="13"/>
      <c r="G11" s="66"/>
      <c r="H11" s="129" t="str">
        <f>"Выплата ЗП продавцу"</f>
        <v>Выплата ЗП продавцу</v>
      </c>
      <c r="I11" s="130"/>
      <c r="J11" s="13"/>
      <c r="K11" s="66"/>
      <c r="L11" s="30" t="str">
        <f>"Выплачено"</f>
        <v>Выплачено</v>
      </c>
      <c r="M11" s="13"/>
    </row>
    <row r="12" spans="1:17" ht="12" customHeight="1" thickBot="1">
      <c r="B12" s="35" t="str">
        <f>"ИТОГО:"</f>
        <v>ИТОГО:</v>
      </c>
      <c r="C12" s="14"/>
      <c r="D12" s="14"/>
      <c r="E12" s="14"/>
      <c r="F12" s="14"/>
      <c r="G12" s="66"/>
      <c r="H12" s="131" t="str">
        <f>"Сдача наличности в кассу"</f>
        <v>Сдача наличности в кассу</v>
      </c>
      <c r="I12" s="132"/>
      <c r="J12" s="18"/>
      <c r="K12" s="66"/>
      <c r="L12" s="32" t="str">
        <f>"Остаток"</f>
        <v>Остаток</v>
      </c>
      <c r="M12" s="18"/>
    </row>
    <row r="13" spans="1:17" ht="11.25" customHeight="1" thickBot="1">
      <c r="A13" s="16"/>
      <c r="B13" s="61"/>
      <c r="C13" s="16"/>
      <c r="D13" s="16"/>
      <c r="E13" s="16"/>
      <c r="F13" s="61"/>
      <c r="G13" s="61"/>
      <c r="H13" s="61"/>
      <c r="I13" s="61"/>
      <c r="J13" s="61"/>
      <c r="K13" s="61"/>
      <c r="L13" s="61"/>
      <c r="M13" s="61"/>
    </row>
    <row r="14" spans="1:17" ht="20.25" customHeight="1">
      <c r="A14" s="125" t="str">
        <f>"№"</f>
        <v>№</v>
      </c>
      <c r="B14" s="112" t="str">
        <f>"Запись"</f>
        <v>Запись</v>
      </c>
      <c r="C14" s="108" t="str">
        <f>"Тип операции"</f>
        <v>Тип операции</v>
      </c>
      <c r="D14" s="108" t="str">
        <f>"Вид продажи"</f>
        <v>Вид продажи</v>
      </c>
      <c r="E14" s="110" t="str">
        <f>"Вспомогательные данные"</f>
        <v>Вспомогательные данные</v>
      </c>
      <c r="F14" s="108" t="str">
        <f>"Дата прошлой продажи"</f>
        <v>Дата прошлой продажи</v>
      </c>
      <c r="G14" s="110" t="str">
        <f>"Сумма операции"</f>
        <v>Сумма операции</v>
      </c>
      <c r="H14" s="133" t="str">
        <f>"Сумма оплаты"</f>
        <v>Сумма оплаты</v>
      </c>
      <c r="I14" s="133"/>
      <c r="J14" s="133"/>
      <c r="K14" s="108" t="str">
        <f>"Остаток долга покупателя"</f>
        <v>Остаток долга покупателя</v>
      </c>
      <c r="L14" s="108" t="str">
        <f>"Премия продавца"</f>
        <v>Премия продавца</v>
      </c>
      <c r="M14" s="116" t="str">
        <f>"Остаток в кассе"</f>
        <v>Остаток в кассе</v>
      </c>
      <c r="N14" s="118" t="str">
        <f>IF(O15&gt;0,"Внимание! Укажите полную информацию и/или внесите исправления","")</f>
        <v/>
      </c>
      <c r="O14" s="11" t="str">
        <f>"Контроль"</f>
        <v>Контроль</v>
      </c>
      <c r="Q14" s="43" t="str">
        <f>"Типы операций"</f>
        <v>Типы операций</v>
      </c>
    </row>
    <row r="15" spans="1:17" ht="24.75" customHeight="1">
      <c r="A15" s="126"/>
      <c r="B15" s="113"/>
      <c r="C15" s="109"/>
      <c r="D15" s="109"/>
      <c r="E15" s="111"/>
      <c r="F15" s="109"/>
      <c r="G15" s="111"/>
      <c r="H15" s="39" t="str">
        <f>"По карте"</f>
        <v>По карте</v>
      </c>
      <c r="I15" s="39" t="str">
        <f>"Наличными"</f>
        <v>Наличными</v>
      </c>
      <c r="J15" s="39" t="str">
        <f>"Итого"</f>
        <v>Итого</v>
      </c>
      <c r="K15" s="109"/>
      <c r="L15" s="109"/>
      <c r="M15" s="117"/>
      <c r="N15" s="118"/>
      <c r="O15" s="20"/>
      <c r="P15" s="20">
        <f>IF(SUM(P17:P116)&gt;1,1,0)</f>
        <v>0</v>
      </c>
      <c r="Q15" s="48" t="str">
        <f>"Продажа"</f>
        <v>Продажа</v>
      </c>
    </row>
    <row r="16" spans="1:17" ht="14.25" customHeight="1">
      <c r="A16" s="45">
        <f>1</f>
        <v>1</v>
      </c>
      <c r="B16" s="37">
        <f>2</f>
        <v>2</v>
      </c>
      <c r="C16" s="38">
        <f>3</f>
        <v>3</v>
      </c>
      <c r="D16" s="38">
        <f>4</f>
        <v>4</v>
      </c>
      <c r="E16" s="40" t="str">
        <f>"4'"</f>
        <v>4'</v>
      </c>
      <c r="F16" s="38">
        <f>5</f>
        <v>5</v>
      </c>
      <c r="G16" s="40">
        <f>6</f>
        <v>6</v>
      </c>
      <c r="H16" s="41">
        <f>7</f>
        <v>7</v>
      </c>
      <c r="I16" s="41">
        <f>8</f>
        <v>8</v>
      </c>
      <c r="J16" s="41">
        <f>9</f>
        <v>9</v>
      </c>
      <c r="K16" s="38">
        <f>10</f>
        <v>10</v>
      </c>
      <c r="L16" s="38">
        <f>11</f>
        <v>11</v>
      </c>
      <c r="M16" s="42">
        <f>12</f>
        <v>12</v>
      </c>
      <c r="N16" s="97" t="str">
        <f>IF(P15=0,"","Операция выплаты ЗП уже была введена")</f>
        <v/>
      </c>
      <c r="O16" s="20"/>
      <c r="P16" s="20"/>
      <c r="Q16" s="21" t="str">
        <f>"Оплата прошлой продажи"</f>
        <v>Оплата прошлой продажи</v>
      </c>
    </row>
    <row r="17" spans="1:17" ht="30" customHeight="1">
      <c r="A17" s="46">
        <f>1</f>
        <v>1</v>
      </c>
      <c r="B17" s="25"/>
      <c r="C17" s="47"/>
      <c r="D17" s="7"/>
      <c r="E17" s="24" t="str">
        <f>C17&amp;D17</f>
        <v/>
      </c>
      <c r="F17" s="8"/>
      <c r="G17" s="9"/>
      <c r="H17" s="9"/>
      <c r="I17" s="9"/>
      <c r="J17" s="21">
        <f>H17+I17</f>
        <v>0</v>
      </c>
      <c r="K17" s="21">
        <f>IF(C17=Q15,G17-J17,0)</f>
        <v>0</v>
      </c>
      <c r="L17" s="21">
        <f>IF(AND(C17=$Q$15,D17=$B$9),G17*Старт!$S$2/100,IF(AND(C17=$Q$15,D17=$B$10),G17*Старт!$S$3/100,IF(AND(C17=$Q$15,D17=$B$11),G17*Старт!$S$4/100,0)))-IF(AND(C17=$Q$17,D17=$B$9),G17*Старт!$S$2/100,IF(AND(C17=$Q$17,D17=$B$10),G17*Старт!$S$3/100,IF(AND(C17=$Q$17,D17=$B$11),G17*Старт!$S$4/100,0)))</f>
        <v>0</v>
      </c>
      <c r="M17" s="22">
        <f>IF(G17="",0,IF(OR(C17=$Q$15,C17=$Q$16,C17=$Q$19),F2+I17,IF(OR(C17=$Q$17,C17=$Q$18,C17=$Q$20,C17=$Q$21),F2-I17,"")))</f>
        <v>0</v>
      </c>
      <c r="N17" s="23" t="str">
        <f>IF(AND(OR($B17&lt;&gt;0,$C17&lt;&gt;0,$D17&lt;&gt;0,$F17&lt;&gt;0,$G17&lt;&gt;0,$J17&gt;0),OR($N$9=$Q$6,$N$9="")),"День не объявлен рабочим",IF(AND(B17=0,OR($C17&lt;&gt;0,$D17&lt;&gt;0,$F17&lt;&gt;0,$G17&lt;&gt;0,$J17&gt;0))," &lt; 2 &gt; ","")&amp;IF(AND(G17+J17&gt;0,C17="")," &lt; 3 &gt; ","")&amp;(IF(AND(D17=0,OR(C17=$Q$15,C17=$Q$16,C17=$Q$17))," &lt; 4 &gt; ",""))&amp;(IF(AND(F17=0,OR(C17=$Q$16,C17=$Q$17))," &lt; 5 &gt; ",""))&amp;IF(AND(G17=0,J17&gt;0)," &lt; 6 &gt; ","")&amp;IF(AND(G17&gt;0,J17=0),"Укажите сумму оплаты. ","")&amp;IF(AND(AND(G17=0,J17=0),OR($C17&lt;&gt;0,$D17&lt;&gt;0,$F17&lt;&gt;0,$G17&lt;&gt;0,$J17&gt;0))," Укажите сумму операции и сумму оплаты. ","")&amp;IF(AND(H17&gt;0,OR(C17=$Q$18,C17=$Q$19,C17=$Q$20,C17=$Q$21)),"Оплата возможна только наличными. ","")&amp;IF(AND(J17&lt;G17,OR(C17=$Q$16,C17=$Q$17,C17=$Q$18,C17=$Q$19,C17=$Q$20,C17=$Q$21)),"Возможна только полная оплата. ","")&amp;IF(AND(C17=$Q$20,G17&gt;(Старт!$G$19+$M$10)),"Указанная сумма превышает размер ЗП. ","")&amp;IF(J17&gt;G17,"Сумма оплаты превышает сумму операции. ","")&amp;IF(M17&lt;0,"Отрицательный остаток в кассе. ",""))</f>
        <v/>
      </c>
      <c r="O17" s="11">
        <f t="shared" ref="O17:O80" si="0">IF(N17="",0,1)</f>
        <v>0</v>
      </c>
      <c r="P17" s="11">
        <f>IF(C17=$Q$20,1,0)</f>
        <v>0</v>
      </c>
      <c r="Q17" s="21" t="str">
        <f>"Возврат"</f>
        <v>Возврат</v>
      </c>
    </row>
    <row r="18" spans="1:17" ht="30" customHeight="1">
      <c r="A18" s="46">
        <f>A17+1</f>
        <v>2</v>
      </c>
      <c r="B18" s="25"/>
      <c r="C18" s="6"/>
      <c r="D18" s="7"/>
      <c r="E18" s="24" t="str">
        <f t="shared" ref="E18:E81" si="1">C18&amp;D18</f>
        <v/>
      </c>
      <c r="F18" s="8"/>
      <c r="G18" s="9"/>
      <c r="H18" s="9"/>
      <c r="I18" s="9"/>
      <c r="J18" s="21">
        <f t="shared" ref="J18:J81" si="2">H18+I18</f>
        <v>0</v>
      </c>
      <c r="K18" s="21">
        <f t="shared" ref="K18:K81" si="3">IF(C18=Q16,G18-J18,0)</f>
        <v>0</v>
      </c>
      <c r="L18" s="21">
        <f>IF(AND(C18=$Q$15,D18=$B$9),G18*Старт!$S$2/100,IF(AND(C18=$Q$15,D18=$B$10),G18*Старт!$S$3/100,IF(AND(C18=$Q$15,D18=$B$11),G18*Старт!$S$4/100,0)))-IF(AND(C18=$Q$17,D18=$B$9),G18*Старт!$S$2/100,IF(AND(C18=$Q$17,D18=$B$10),G18*Старт!$S$3/100,IF(AND(C18=$Q$17,D18=$B$11),G18*Старт!$S$4/100,0)))</f>
        <v>0</v>
      </c>
      <c r="M18" s="22">
        <f t="shared" ref="M18:M81" si="4">IF(G18="",0,IF(OR(C18=$Q$15,C18=$Q$16,C18=$Q$19),M17+I18,IF(OR(C18=$Q$17,C18=$Q$18,C18=$Q$20,C18=$Q$21),M17-I18,"")))</f>
        <v>0</v>
      </c>
      <c r="N18" s="23" t="str">
        <f>IF(AND(OR($B18&lt;&gt;0,$C18&lt;&gt;0,$D18&lt;&gt;0,$F18&lt;&gt;0,$G18&lt;&gt;0,$J18&gt;0),OR($N$9=$Q$6,$N$9="")),"День не объявлен рабочим",IF(AND(B18=0,OR($C18&lt;&gt;0,$D18&lt;&gt;0,$F18&lt;&gt;0,$G18&lt;&gt;0,$J18&gt;0))," &lt; 2 &gt; ","")&amp;IF(AND(G18+J18&gt;0,C18="")," &lt; 3 &gt; ","")&amp;(IF(AND(D18=0,OR(C18=$Q$15,C18=$Q$16,C18=$Q$17))," &lt; 4 &gt; ",""))&amp;(IF(AND(F18=0,OR(C18=$Q$16,C18=$Q$17))," &lt; 5 &gt; ",""))&amp;IF(AND(G18=0,J18&gt;0)," &lt; 6 &gt; ","")&amp;IF(AND(G18&gt;0,J18=0),"Укажите сумму оплаты. ","")&amp;IF(AND(AND(G18=0,J18=0),OR($C18&lt;&gt;0,$D18&lt;&gt;0,$F18&lt;&gt;0,$G18&lt;&gt;0,$J18&gt;0))," Укажите сумму операции и сумму оплаты. ","")&amp;IF(AND(H18&gt;0,OR(C18=$Q$18,C18=$Q$19,C18=$Q$20,C18=$Q$21)),"Оплата возможна только наличными. ","")&amp;IF(AND(J18&lt;G18,OR(C18=$Q$16,C18=$Q$17,C18=$Q$18,C18=$Q$19,C18=$Q$20,C18=$Q$21)),"Возможна только полная оплата. ","")&amp;IF(AND(C18=$Q$20,G18&gt;(Старт!$G$19+$M$10)),"Указанная сумма превышает размер ЗП. ","")&amp;IF(J18&gt;G18,"Сумма оплаты превышает сумму операции. ","")&amp;IF(M18&lt;0,"Отрицательный остаток в кассе. ",""))</f>
        <v/>
      </c>
      <c r="O18" s="11">
        <f t="shared" si="0"/>
        <v>0</v>
      </c>
      <c r="P18" s="11">
        <f t="shared" ref="P18:P81" si="5">IF(C18=$Q$20,1,0)</f>
        <v>0</v>
      </c>
      <c r="Q18" s="21" t="str">
        <f>"Хоз. Расходы"</f>
        <v>Хоз. Расходы</v>
      </c>
    </row>
    <row r="19" spans="1:17" ht="30" customHeight="1">
      <c r="A19" s="46">
        <f t="shared" ref="A19:A82" si="6">A18+1</f>
        <v>3</v>
      </c>
      <c r="B19" s="26"/>
      <c r="C19" s="6"/>
      <c r="D19" s="7"/>
      <c r="E19" s="24" t="str">
        <f t="shared" si="1"/>
        <v/>
      </c>
      <c r="F19" s="8"/>
      <c r="G19" s="9"/>
      <c r="H19" s="9"/>
      <c r="I19" s="9"/>
      <c r="J19" s="21">
        <f t="shared" si="2"/>
        <v>0</v>
      </c>
      <c r="K19" s="21">
        <f t="shared" si="3"/>
        <v>0</v>
      </c>
      <c r="L19" s="21">
        <f>IF(AND(C19=$Q$15,D19=$B$9),G19*Старт!$S$2/100,IF(AND(C19=$Q$15,D19=$B$10),G19*Старт!$S$3/100,IF(AND(C19=$Q$15,D19=$B$11),G19*Старт!$S$4/100,0)))-IF(AND(C19=$Q$17,D19=$B$9),G19*Старт!$S$2/100,IF(AND(C19=$Q$17,D19=$B$10),G19*Старт!$S$3/100,IF(AND(C19=$Q$17,D19=$B$11),G19*Старт!$S$4/100,0)))</f>
        <v>0</v>
      </c>
      <c r="M19" s="22">
        <f t="shared" si="4"/>
        <v>0</v>
      </c>
      <c r="N19" s="23" t="str">
        <f>IF(AND(OR($B19&lt;&gt;0,$C19&lt;&gt;0,$D19&lt;&gt;0,$F19&lt;&gt;0,$G19&lt;&gt;0,$J19&gt;0),OR($N$9=$Q$6,$N$9="")),"День не объявлен рабочим",IF(AND(B19=0,OR($C19&lt;&gt;0,$D19&lt;&gt;0,$F19&lt;&gt;0,$G19&lt;&gt;0,$J19&gt;0))," &lt; 2 &gt; ","")&amp;IF(AND(G19+J19&gt;0,C19="")," &lt; 3 &gt; ","")&amp;(IF(AND(D19=0,OR(C19=$Q$15,C19=$Q$16,C19=$Q$17))," &lt; 4 &gt; ",""))&amp;(IF(AND(F19=0,OR(C19=$Q$16,C19=$Q$17))," &lt; 5 &gt; ",""))&amp;IF(AND(G19=0,J19&gt;0)," &lt; 6 &gt; ","")&amp;IF(AND(G19&gt;0,J19=0),"Укажите сумму оплаты. ","")&amp;IF(AND(AND(G19=0,J19=0),OR($C19&lt;&gt;0,$D19&lt;&gt;0,$F19&lt;&gt;0,$G19&lt;&gt;0,$J19&gt;0))," Укажите сумму операции и сумму оплаты. ","")&amp;IF(AND(H19&gt;0,OR(C19=$Q$18,C19=$Q$19,C19=$Q$20,C19=$Q$21)),"Оплата возможна только наличными. ","")&amp;IF(AND(J19&lt;G19,OR(C19=$Q$16,C19=$Q$17,C19=$Q$18,C19=$Q$19,C19=$Q$20,C19=$Q$21)),"Возможна только полная оплата. ","")&amp;IF(AND(C19=$Q$20,G19&gt;(Старт!$G$19+$M$10)),"Указанная сумма превышает размер ЗП. ","")&amp;IF(J19&gt;G19,"Сумма оплаты превышает сумму операции. ","")&amp;IF(M19&lt;0,"Отрицательный остаток в кассе. ",""))</f>
        <v/>
      </c>
      <c r="O19" s="11">
        <f t="shared" si="0"/>
        <v>0</v>
      </c>
      <c r="P19" s="11">
        <f t="shared" si="5"/>
        <v>0</v>
      </c>
      <c r="Q19" s="21" t="str">
        <f>"Прочие поступления"</f>
        <v>Прочие поступления</v>
      </c>
    </row>
    <row r="20" spans="1:17" ht="30" customHeight="1">
      <c r="A20" s="46">
        <f t="shared" si="6"/>
        <v>4</v>
      </c>
      <c r="B20" s="26"/>
      <c r="C20" s="6"/>
      <c r="D20" s="7"/>
      <c r="E20" s="24" t="str">
        <f t="shared" si="1"/>
        <v/>
      </c>
      <c r="F20" s="8"/>
      <c r="G20" s="9"/>
      <c r="H20" s="9"/>
      <c r="I20" s="9"/>
      <c r="J20" s="21">
        <f t="shared" si="2"/>
        <v>0</v>
      </c>
      <c r="K20" s="21">
        <f t="shared" si="3"/>
        <v>0</v>
      </c>
      <c r="L20" s="21">
        <f>IF(AND(C20=$Q$15,D20=$B$9),G20*Старт!$S$2/100,IF(AND(C20=$Q$15,D20=$B$10),G20*Старт!$S$3/100,IF(AND(C20=$Q$15,D20=$B$11),G20*Старт!$S$4/100,0)))-IF(AND(C20=$Q$17,D20=$B$9),G20*Старт!$S$2/100,IF(AND(C20=$Q$17,D20=$B$10),G20*Старт!$S$3/100,IF(AND(C20=$Q$17,D20=$B$11),G20*Старт!$S$4/100,0)))</f>
        <v>0</v>
      </c>
      <c r="M20" s="22">
        <f t="shared" si="4"/>
        <v>0</v>
      </c>
      <c r="N20" s="23" t="str">
        <f>IF(AND(OR($B20&lt;&gt;0,$C20&lt;&gt;0,$D20&lt;&gt;0,$F20&lt;&gt;0,$G20&lt;&gt;0,$J20&gt;0),OR($N$9=$Q$6,$N$9="")),"День не объявлен рабочим",IF(AND(B20=0,OR($C20&lt;&gt;0,$D20&lt;&gt;0,$F20&lt;&gt;0,$G20&lt;&gt;0,$J20&gt;0))," &lt; 2 &gt; ","")&amp;IF(AND(G20+J20&gt;0,C20="")," &lt; 3 &gt; ","")&amp;(IF(AND(D20=0,OR(C20=$Q$15,C20=$Q$16,C20=$Q$17))," &lt; 4 &gt; ",""))&amp;(IF(AND(F20=0,OR(C20=$Q$16,C20=$Q$17))," &lt; 5 &gt; ",""))&amp;IF(AND(G20=0,J20&gt;0)," &lt; 6 &gt; ","")&amp;IF(AND(G20&gt;0,J20=0),"Укажите сумму оплаты. ","")&amp;IF(AND(AND(G20=0,J20=0),OR($C20&lt;&gt;0,$D20&lt;&gt;0,$F20&lt;&gt;0,$G20&lt;&gt;0,$J20&gt;0))," Укажите сумму операции и сумму оплаты. ","")&amp;IF(AND(H20&gt;0,OR(C20=$Q$18,C20=$Q$19,C20=$Q$20,C20=$Q$21)),"Оплата возможна только наличными. ","")&amp;IF(AND(J20&lt;G20,OR(C20=$Q$16,C20=$Q$17,C20=$Q$18,C20=$Q$19,C20=$Q$20,C20=$Q$21)),"Возможна только полная оплата. ","")&amp;IF(AND(C20=$Q$20,G20&gt;(Старт!$G$19+$M$10)),"Указанная сумма превышает размер ЗП. ","")&amp;IF(J20&gt;G20,"Сумма оплаты превышает сумму операции. ","")&amp;IF(M20&lt;0,"Отрицательный остаток в кассе. ",""))</f>
        <v/>
      </c>
      <c r="O20" s="11">
        <f t="shared" si="0"/>
        <v>0</v>
      </c>
      <c r="P20" s="11">
        <f t="shared" si="5"/>
        <v>0</v>
      </c>
      <c r="Q20" s="21" t="str">
        <f>"Выплата ЗП"</f>
        <v>Выплата ЗП</v>
      </c>
    </row>
    <row r="21" spans="1:17" ht="30" customHeight="1">
      <c r="A21" s="46">
        <f t="shared" si="6"/>
        <v>5</v>
      </c>
      <c r="B21" s="26"/>
      <c r="C21" s="6"/>
      <c r="D21" s="7"/>
      <c r="E21" s="24"/>
      <c r="F21" s="8"/>
      <c r="G21" s="9"/>
      <c r="H21" s="9"/>
      <c r="I21" s="9"/>
      <c r="J21" s="21">
        <f t="shared" si="2"/>
        <v>0</v>
      </c>
      <c r="K21" s="21">
        <f t="shared" si="3"/>
        <v>0</v>
      </c>
      <c r="L21" s="21">
        <f>IF(AND(C21=$Q$15,D21=$B$9),G21*Старт!$S$2/100,IF(AND(C21=$Q$15,D21=$B$10),G21*Старт!$S$3/100,IF(AND(C21=$Q$15,D21=$B$11),G21*Старт!$S$4/100,0)))-IF(AND(C21=$Q$17,D21=$B$9),G21*Старт!$S$2/100,IF(AND(C21=$Q$17,D21=$B$10),G21*Старт!$S$3/100,IF(AND(C21=$Q$17,D21=$B$11),G21*Старт!$S$4/100,0)))</f>
        <v>0</v>
      </c>
      <c r="M21" s="22">
        <f t="shared" si="4"/>
        <v>0</v>
      </c>
      <c r="N21" s="23" t="str">
        <f>IF(AND(OR($B21&lt;&gt;0,$C21&lt;&gt;0,$D21&lt;&gt;0,$F21&lt;&gt;0,$G21&lt;&gt;0,$J21&gt;0),OR($N$9=$Q$6,$N$9="")),"День не объявлен рабочим",IF(AND(B21=0,OR($C21&lt;&gt;0,$D21&lt;&gt;0,$F21&lt;&gt;0,$G21&lt;&gt;0,$J21&gt;0))," &lt; 2 &gt; ","")&amp;IF(AND(G21+J21&gt;0,C21="")," &lt; 3 &gt; ","")&amp;(IF(AND(D21=0,OR(C21=$Q$15,C21=$Q$16,C21=$Q$17))," &lt; 4 &gt; ",""))&amp;(IF(AND(F21=0,OR(C21=$Q$16,C21=$Q$17))," &lt; 5 &gt; ",""))&amp;IF(AND(G21=0,J21&gt;0)," &lt; 6 &gt; ","")&amp;IF(AND(G21&gt;0,J21=0),"Укажите сумму оплаты. ","")&amp;IF(AND(AND(G21=0,J21=0),OR($C21&lt;&gt;0,$D21&lt;&gt;0,$F21&lt;&gt;0,$G21&lt;&gt;0,$J21&gt;0))," Укажите сумму операции и сумму оплаты. ","")&amp;IF(AND(H21&gt;0,OR(C21=$Q$18,C21=$Q$19,C21=$Q$20,C21=$Q$21)),"Оплата возможна только наличными. ","")&amp;IF(AND(J21&lt;G21,OR(C21=$Q$16,C21=$Q$17,C21=$Q$18,C21=$Q$19,C21=$Q$20,C21=$Q$21)),"Возможна только полная оплата. ","")&amp;IF(AND(C21=$Q$20,G21&gt;(Старт!$G$19+$M$10)),"Указанная сумма превышает размер ЗП. ","")&amp;IF(J21&gt;G21,"Сумма оплаты превышает сумму операции. ","")&amp;IF(M21&lt;0,"Отрицательный остаток в кассе. ",""))</f>
        <v/>
      </c>
      <c r="O21" s="11">
        <f t="shared" si="0"/>
        <v>0</v>
      </c>
      <c r="P21" s="11">
        <f t="shared" si="5"/>
        <v>0</v>
      </c>
      <c r="Q21" s="44" t="str">
        <f>"Сдача наличности в кассу"</f>
        <v>Сдача наличности в кассу</v>
      </c>
    </row>
    <row r="22" spans="1:17" ht="30" customHeight="1">
      <c r="A22" s="46">
        <f t="shared" si="6"/>
        <v>6</v>
      </c>
      <c r="B22" s="26"/>
      <c r="C22" s="6"/>
      <c r="D22" s="7"/>
      <c r="E22" s="24" t="str">
        <f t="shared" si="1"/>
        <v/>
      </c>
      <c r="F22" s="8"/>
      <c r="G22" s="9"/>
      <c r="H22" s="9"/>
      <c r="I22" s="9"/>
      <c r="J22" s="21">
        <f t="shared" si="2"/>
        <v>0</v>
      </c>
      <c r="K22" s="21">
        <f t="shared" si="3"/>
        <v>0</v>
      </c>
      <c r="L22" s="21">
        <f>IF(AND(C22=$Q$15,D22=$B$9),G22*Старт!$S$2/100,IF(AND(C22=$Q$15,D22=$B$10),G22*Старт!$S$3/100,IF(AND(C22=$Q$15,D22=$B$11),G22*Старт!$S$4/100,0)))-IF(AND(C22=$Q$17,D22=$B$9),G22*Старт!$S$2/100,IF(AND(C22=$Q$17,D22=$B$10),G22*Старт!$S$3/100,IF(AND(C22=$Q$17,D22=$B$11),G22*Старт!$S$4/100,0)))</f>
        <v>0</v>
      </c>
      <c r="M22" s="22">
        <f t="shared" si="4"/>
        <v>0</v>
      </c>
      <c r="N22" s="23" t="str">
        <f>IF(AND(OR($B22&lt;&gt;0,$C22&lt;&gt;0,$D22&lt;&gt;0,$F22&lt;&gt;0,$G22&lt;&gt;0,$J22&gt;0),OR($N$9=$Q$6,$N$9="")),"День не объявлен рабочим",IF(AND(B22=0,OR($C22&lt;&gt;0,$D22&lt;&gt;0,$F22&lt;&gt;0,$G22&lt;&gt;0,$J22&gt;0))," &lt; 2 &gt; ","")&amp;IF(AND(G22+J22&gt;0,C22="")," &lt; 3 &gt; ","")&amp;(IF(AND(D22=0,OR(C22=$Q$15,C22=$Q$16,C22=$Q$17))," &lt; 4 &gt; ",""))&amp;(IF(AND(F22=0,OR(C22=$Q$16,C22=$Q$17))," &lt; 5 &gt; ",""))&amp;IF(AND(G22=0,J22&gt;0)," &lt; 6 &gt; ","")&amp;IF(AND(G22&gt;0,J22=0),"Укажите сумму оплаты. ","")&amp;IF(AND(AND(G22=0,J22=0),OR($C22&lt;&gt;0,$D22&lt;&gt;0,$F22&lt;&gt;0,$G22&lt;&gt;0,$J22&gt;0))," Укажите сумму операции и сумму оплаты. ","")&amp;IF(AND(H22&gt;0,OR(C22=$Q$18,C22=$Q$19,C22=$Q$20,C22=$Q$21)),"Оплата возможна только наличными. ","")&amp;IF(AND(J22&lt;G22,OR(C22=$Q$16,C22=$Q$17,C22=$Q$18,C22=$Q$19,C22=$Q$20,C22=$Q$21)),"Возможна только полная оплата. ","")&amp;IF(AND(C22=$Q$20,G22&gt;(Старт!$G$19+$M$10)),"Указанная сумма превышает размер ЗП. ","")&amp;IF(J22&gt;G22,"Сумма оплаты превышает сумму операции. ","")&amp;IF(M22&lt;0,"Отрицательный остаток в кассе. ",""))</f>
        <v/>
      </c>
      <c r="O22" s="11">
        <f t="shared" si="0"/>
        <v>0</v>
      </c>
      <c r="P22" s="11">
        <f t="shared" si="5"/>
        <v>0</v>
      </c>
    </row>
    <row r="23" spans="1:17" ht="30" customHeight="1">
      <c r="A23" s="46">
        <f t="shared" si="6"/>
        <v>7</v>
      </c>
      <c r="B23" s="26"/>
      <c r="C23" s="6"/>
      <c r="D23" s="7"/>
      <c r="E23" s="24" t="str">
        <f t="shared" si="1"/>
        <v/>
      </c>
      <c r="F23" s="8"/>
      <c r="G23" s="9"/>
      <c r="H23" s="9"/>
      <c r="I23" s="9"/>
      <c r="J23" s="21">
        <f t="shared" si="2"/>
        <v>0</v>
      </c>
      <c r="K23" s="21">
        <f t="shared" si="3"/>
        <v>0</v>
      </c>
      <c r="L23" s="21">
        <f>IF(AND(C23=$Q$15,D23=$B$9),G23*Старт!$S$2/100,IF(AND(C23=$Q$15,D23=$B$10),G23*Старт!$S$3/100,IF(AND(C23=$Q$15,D23=$B$11),G23*Старт!$S$4/100,0)))-IF(AND(C23=$Q$17,D23=$B$9),G23*Старт!$S$2/100,IF(AND(C23=$Q$17,D23=$B$10),G23*Старт!$S$3/100,IF(AND(C23=$Q$17,D23=$B$11),G23*Старт!$S$4/100,0)))</f>
        <v>0</v>
      </c>
      <c r="M23" s="22">
        <f t="shared" si="4"/>
        <v>0</v>
      </c>
      <c r="N23" s="23" t="str">
        <f>IF(AND(OR($B23&lt;&gt;0,$C23&lt;&gt;0,$D23&lt;&gt;0,$F23&lt;&gt;0,$G23&lt;&gt;0,$J23&gt;0),OR($N$9=$Q$6,$N$9="")),"День не объявлен рабочим",IF(AND(B23=0,OR($C23&lt;&gt;0,$D23&lt;&gt;0,$F23&lt;&gt;0,$G23&lt;&gt;0,$J23&gt;0))," &lt; 2 &gt; ","")&amp;IF(AND(G23+J23&gt;0,C23="")," &lt; 3 &gt; ","")&amp;(IF(AND(D23=0,OR(C23=$Q$15,C23=$Q$16,C23=$Q$17))," &lt; 4 &gt; ",""))&amp;(IF(AND(F23=0,OR(C23=$Q$16,C23=$Q$17))," &lt; 5 &gt; ",""))&amp;IF(AND(G23=0,J23&gt;0)," &lt; 6 &gt; ","")&amp;IF(AND(G23&gt;0,J23=0),"Укажите сумму оплаты. ","")&amp;IF(AND(AND(G23=0,J23=0),OR($C23&lt;&gt;0,$D23&lt;&gt;0,$F23&lt;&gt;0,$G23&lt;&gt;0,$J23&gt;0))," Укажите сумму операции и сумму оплаты. ","")&amp;IF(AND(H23&gt;0,OR(C23=$Q$18,C23=$Q$19,C23=$Q$20,C23=$Q$21)),"Оплата возможна только наличными. ","")&amp;IF(AND(J23&lt;G23,OR(C23=$Q$16,C23=$Q$17,C23=$Q$18,C23=$Q$19,C23=$Q$20,C23=$Q$21)),"Возможна только полная оплата. ","")&amp;IF(AND(C23=$Q$20,G23&gt;(Старт!$G$19+$M$10)),"Указанная сумма превышает размер ЗП. ","")&amp;IF(J23&gt;G23,"Сумма оплаты превышает сумму операции. ","")&amp;IF(M23&lt;0,"Отрицательный остаток в кассе. ",""))</f>
        <v/>
      </c>
      <c r="O23" s="11">
        <f t="shared" si="0"/>
        <v>0</v>
      </c>
      <c r="P23" s="11">
        <f t="shared" si="5"/>
        <v>0</v>
      </c>
    </row>
    <row r="24" spans="1:17" ht="30" customHeight="1">
      <c r="A24" s="46">
        <f t="shared" si="6"/>
        <v>8</v>
      </c>
      <c r="B24" s="26"/>
      <c r="C24" s="6"/>
      <c r="D24" s="7"/>
      <c r="E24" s="24" t="str">
        <f t="shared" si="1"/>
        <v/>
      </c>
      <c r="F24" s="8"/>
      <c r="G24" s="9"/>
      <c r="H24" s="9"/>
      <c r="I24" s="9"/>
      <c r="J24" s="21">
        <f t="shared" si="2"/>
        <v>0</v>
      </c>
      <c r="K24" s="21">
        <f t="shared" si="3"/>
        <v>0</v>
      </c>
      <c r="L24" s="21">
        <f>IF(AND(C24=$Q$15,D24=$B$9),G24*Старт!$S$2/100,IF(AND(C24=$Q$15,D24=$B$10),G24*Старт!$S$3/100,IF(AND(C24=$Q$15,D24=$B$11),G24*Старт!$S$4/100,0)))-IF(AND(C24=$Q$17,D24=$B$9),G24*Старт!$S$2/100,IF(AND(C24=$Q$17,D24=$B$10),G24*Старт!$S$3/100,IF(AND(C24=$Q$17,D24=$B$11),G24*Старт!$S$4/100,0)))</f>
        <v>0</v>
      </c>
      <c r="M24" s="22">
        <f t="shared" si="4"/>
        <v>0</v>
      </c>
      <c r="N24" s="23" t="str">
        <f>IF(AND(OR($B24&lt;&gt;0,$C24&lt;&gt;0,$D24&lt;&gt;0,$F24&lt;&gt;0,$G24&lt;&gt;0,$J24&gt;0),OR($N$9=$Q$6,$N$9="")),"День не объявлен рабочим",IF(AND(B24=0,OR($C24&lt;&gt;0,$D24&lt;&gt;0,$F24&lt;&gt;0,$G24&lt;&gt;0,$J24&gt;0))," &lt; 2 &gt; ","")&amp;IF(AND(G24+J24&gt;0,C24="")," &lt; 3 &gt; ","")&amp;(IF(AND(D24=0,OR(C24=$Q$15,C24=$Q$16,C24=$Q$17))," &lt; 4 &gt; ",""))&amp;(IF(AND(F24=0,OR(C24=$Q$16,C24=$Q$17))," &lt; 5 &gt; ",""))&amp;IF(AND(G24=0,J24&gt;0)," &lt; 6 &gt; ","")&amp;IF(AND(G24&gt;0,J24=0),"Укажите сумму оплаты. ","")&amp;IF(AND(AND(G24=0,J24=0),OR($C24&lt;&gt;0,$D24&lt;&gt;0,$F24&lt;&gt;0,$G24&lt;&gt;0,$J24&gt;0))," Укажите сумму операции и сумму оплаты. ","")&amp;IF(AND(H24&gt;0,OR(C24=$Q$18,C24=$Q$19,C24=$Q$20,C24=$Q$21)),"Оплата возможна только наличными. ","")&amp;IF(AND(J24&lt;G24,OR(C24=$Q$16,C24=$Q$17,C24=$Q$18,C24=$Q$19,C24=$Q$20,C24=$Q$21)),"Возможна только полная оплата. ","")&amp;IF(AND(C24=$Q$20,G24&gt;(Старт!$G$19+$M$10)),"Указанная сумма превышает размер ЗП. ","")&amp;IF(J24&gt;G24,"Сумма оплаты превышает сумму операции. ","")&amp;IF(M24&lt;0,"Отрицательный остаток в кассе. ",""))</f>
        <v/>
      </c>
      <c r="O24" s="11">
        <f t="shared" si="0"/>
        <v>0</v>
      </c>
      <c r="P24" s="11">
        <f t="shared" si="5"/>
        <v>0</v>
      </c>
    </row>
    <row r="25" spans="1:17" ht="30" customHeight="1">
      <c r="A25" s="46">
        <f t="shared" si="6"/>
        <v>9</v>
      </c>
      <c r="B25" s="26"/>
      <c r="C25" s="6"/>
      <c r="D25" s="7"/>
      <c r="E25" s="24" t="str">
        <f t="shared" si="1"/>
        <v/>
      </c>
      <c r="F25" s="8"/>
      <c r="G25" s="9"/>
      <c r="H25" s="9"/>
      <c r="I25" s="9"/>
      <c r="J25" s="21">
        <f t="shared" si="2"/>
        <v>0</v>
      </c>
      <c r="K25" s="21">
        <f t="shared" si="3"/>
        <v>0</v>
      </c>
      <c r="L25" s="21">
        <f>IF(AND(C25=$Q$15,D25=$B$9),G25*Старт!$S$2/100,IF(AND(C25=$Q$15,D25=$B$10),G25*Старт!$S$3/100,IF(AND(C25=$Q$15,D25=$B$11),G25*Старт!$S$4/100,0)))-IF(AND(C25=$Q$17,D25=$B$9),G25*Старт!$S$2/100,IF(AND(C25=$Q$17,D25=$B$10),G25*Старт!$S$3/100,IF(AND(C25=$Q$17,D25=$B$11),G25*Старт!$S$4/100,0)))</f>
        <v>0</v>
      </c>
      <c r="M25" s="22">
        <f t="shared" si="4"/>
        <v>0</v>
      </c>
      <c r="N25" s="23" t="str">
        <f>IF(AND(OR($B25&lt;&gt;0,$C25&lt;&gt;0,$D25&lt;&gt;0,$F25&lt;&gt;0,$G25&lt;&gt;0,$J25&gt;0),OR($N$9=$Q$6,$N$9="")),"День не объявлен рабочим",IF(AND(B25=0,OR($C25&lt;&gt;0,$D25&lt;&gt;0,$F25&lt;&gt;0,$G25&lt;&gt;0,$J25&gt;0))," &lt; 2 &gt; ","")&amp;IF(AND(G25+J25&gt;0,C25="")," &lt; 3 &gt; ","")&amp;(IF(AND(D25=0,OR(C25=$Q$15,C25=$Q$16,C25=$Q$17))," &lt; 4 &gt; ",""))&amp;(IF(AND(F25=0,OR(C25=$Q$16,C25=$Q$17))," &lt; 5 &gt; ",""))&amp;IF(AND(G25=0,J25&gt;0)," &lt; 6 &gt; ","")&amp;IF(AND(G25&gt;0,J25=0),"Укажите сумму оплаты. ","")&amp;IF(AND(AND(G25=0,J25=0),OR($C25&lt;&gt;0,$D25&lt;&gt;0,$F25&lt;&gt;0,$G25&lt;&gt;0,$J25&gt;0))," Укажите сумму операции и сумму оплаты. ","")&amp;IF(AND(H25&gt;0,OR(C25=$Q$18,C25=$Q$19,C25=$Q$20,C25=$Q$21)),"Оплата возможна только наличными. ","")&amp;IF(AND(J25&lt;G25,OR(C25=$Q$16,C25=$Q$17,C25=$Q$18,C25=$Q$19,C25=$Q$20,C25=$Q$21)),"Возможна только полная оплата. ","")&amp;IF(AND(C25=$Q$20,G25&gt;(Старт!$G$19+$M$10)),"Указанная сумма превышает размер ЗП. ","")&amp;IF(J25&gt;G25,"Сумма оплаты превышает сумму операции. ","")&amp;IF(M25&lt;0,"Отрицательный остаток в кассе. ",""))</f>
        <v/>
      </c>
      <c r="O25" s="11">
        <f t="shared" si="0"/>
        <v>0</v>
      </c>
      <c r="P25" s="11">
        <f t="shared" si="5"/>
        <v>0</v>
      </c>
    </row>
    <row r="26" spans="1:17" ht="30" customHeight="1">
      <c r="A26" s="46">
        <f t="shared" si="6"/>
        <v>10</v>
      </c>
      <c r="B26" s="26"/>
      <c r="C26" s="6"/>
      <c r="D26" s="7"/>
      <c r="E26" s="24" t="str">
        <f t="shared" si="1"/>
        <v/>
      </c>
      <c r="F26" s="8"/>
      <c r="G26" s="9"/>
      <c r="H26" s="9"/>
      <c r="I26" s="9"/>
      <c r="J26" s="21">
        <f t="shared" si="2"/>
        <v>0</v>
      </c>
      <c r="K26" s="21">
        <f t="shared" si="3"/>
        <v>0</v>
      </c>
      <c r="L26" s="21">
        <f>IF(AND(C26=$Q$15,D26=$B$9),G26*Старт!$S$2/100,IF(AND(C26=$Q$15,D26=$B$10),G26*Старт!$S$3/100,IF(AND(C26=$Q$15,D26=$B$11),G26*Старт!$S$4/100,0)))-IF(AND(C26=$Q$17,D26=$B$9),G26*Старт!$S$2/100,IF(AND(C26=$Q$17,D26=$B$10),G26*Старт!$S$3/100,IF(AND(C26=$Q$17,D26=$B$11),G26*Старт!$S$4/100,0)))</f>
        <v>0</v>
      </c>
      <c r="M26" s="22">
        <f t="shared" si="4"/>
        <v>0</v>
      </c>
      <c r="N26" s="23" t="str">
        <f>IF(AND(OR($B26&lt;&gt;0,$C26&lt;&gt;0,$D26&lt;&gt;0,$F26&lt;&gt;0,$G26&lt;&gt;0,$J26&gt;0),OR($N$9=$Q$6,$N$9="")),"День не объявлен рабочим",IF(AND(B26=0,OR($C26&lt;&gt;0,$D26&lt;&gt;0,$F26&lt;&gt;0,$G26&lt;&gt;0,$J26&gt;0))," &lt; 2 &gt; ","")&amp;IF(AND(G26+J26&gt;0,C26="")," &lt; 3 &gt; ","")&amp;(IF(AND(D26=0,OR(C26=$Q$15,C26=$Q$16,C26=$Q$17))," &lt; 4 &gt; ",""))&amp;(IF(AND(F26=0,OR(C26=$Q$16,C26=$Q$17))," &lt; 5 &gt; ",""))&amp;IF(AND(G26=0,J26&gt;0)," &lt; 6 &gt; ","")&amp;IF(AND(G26&gt;0,J26=0),"Укажите сумму оплаты. ","")&amp;IF(AND(AND(G26=0,J26=0),OR($C26&lt;&gt;0,$D26&lt;&gt;0,$F26&lt;&gt;0,$G26&lt;&gt;0,$J26&gt;0))," Укажите сумму операции и сумму оплаты. ","")&amp;IF(AND(H26&gt;0,OR(C26=$Q$18,C26=$Q$19,C26=$Q$20,C26=$Q$21)),"Оплата возможна только наличными. ","")&amp;IF(AND(J26&lt;G26,OR(C26=$Q$16,C26=$Q$17,C26=$Q$18,C26=$Q$19,C26=$Q$20,C26=$Q$21)),"Возможна только полная оплата. ","")&amp;IF(AND(C26=$Q$20,G26&gt;(Старт!$G$19+$M$10)),"Указанная сумма превышает размер ЗП. ","")&amp;IF(J26&gt;G26,"Сумма оплаты превышает сумму операции. ","")&amp;IF(M26&lt;0,"Отрицательный остаток в кассе. ",""))</f>
        <v/>
      </c>
      <c r="O26" s="11">
        <f t="shared" si="0"/>
        <v>0</v>
      </c>
      <c r="P26" s="11">
        <f t="shared" si="5"/>
        <v>0</v>
      </c>
    </row>
    <row r="27" spans="1:17" ht="30" customHeight="1">
      <c r="A27" s="46">
        <f t="shared" si="6"/>
        <v>11</v>
      </c>
      <c r="B27" s="26"/>
      <c r="C27" s="6"/>
      <c r="D27" s="7"/>
      <c r="E27" s="24" t="str">
        <f t="shared" si="1"/>
        <v/>
      </c>
      <c r="F27" s="8"/>
      <c r="G27" s="9"/>
      <c r="H27" s="9"/>
      <c r="I27" s="9"/>
      <c r="J27" s="21">
        <f t="shared" si="2"/>
        <v>0</v>
      </c>
      <c r="K27" s="21">
        <f t="shared" si="3"/>
        <v>0</v>
      </c>
      <c r="L27" s="21">
        <f>IF(AND(C27=$Q$15,D27=$B$9),G27*Старт!$S$2/100,IF(AND(C27=$Q$15,D27=$B$10),G27*Старт!$S$3/100,IF(AND(C27=$Q$15,D27=$B$11),G27*Старт!$S$4/100,0)))-IF(AND(C27=$Q$17,D27=$B$9),G27*Старт!$S$2/100,IF(AND(C27=$Q$17,D27=$B$10),G27*Старт!$S$3/100,IF(AND(C27=$Q$17,D27=$B$11),G27*Старт!$S$4/100,0)))</f>
        <v>0</v>
      </c>
      <c r="M27" s="22">
        <f t="shared" si="4"/>
        <v>0</v>
      </c>
      <c r="N27" s="23" t="str">
        <f>IF(AND(OR($B27&lt;&gt;0,$C27&lt;&gt;0,$D27&lt;&gt;0,$F27&lt;&gt;0,$G27&lt;&gt;0,$J27&gt;0),OR($N$9=$Q$6,$N$9="")),"День не объявлен рабочим",IF(AND(B27=0,OR($C27&lt;&gt;0,$D27&lt;&gt;0,$F27&lt;&gt;0,$G27&lt;&gt;0,$J27&gt;0))," &lt; 2 &gt; ","")&amp;IF(AND(G27+J27&gt;0,C27="")," &lt; 3 &gt; ","")&amp;(IF(AND(D27=0,OR(C27=$Q$15,C27=$Q$16,C27=$Q$17))," &lt; 4 &gt; ",""))&amp;(IF(AND(F27=0,OR(C27=$Q$16,C27=$Q$17))," &lt; 5 &gt; ",""))&amp;IF(AND(G27=0,J27&gt;0)," &lt; 6 &gt; ","")&amp;IF(AND(G27&gt;0,J27=0),"Укажите сумму оплаты. ","")&amp;IF(AND(AND(G27=0,J27=0),OR($C27&lt;&gt;0,$D27&lt;&gt;0,$F27&lt;&gt;0,$G27&lt;&gt;0,$J27&gt;0))," Укажите сумму операции и сумму оплаты. ","")&amp;IF(AND(H27&gt;0,OR(C27=$Q$18,C27=$Q$19,C27=$Q$20,C27=$Q$21)),"Оплата возможна только наличными. ","")&amp;IF(AND(J27&lt;G27,OR(C27=$Q$16,C27=$Q$17,C27=$Q$18,C27=$Q$19,C27=$Q$20,C27=$Q$21)),"Возможна только полная оплата. ","")&amp;IF(AND(C27=$Q$20,G27&gt;(Старт!$G$19+$M$10)),"Указанная сумма превышает размер ЗП. ","")&amp;IF(J27&gt;G27,"Сумма оплаты превышает сумму операции. ","")&amp;IF(M27&lt;0,"Отрицательный остаток в кассе. ",""))</f>
        <v/>
      </c>
      <c r="O27" s="11">
        <f t="shared" si="0"/>
        <v>0</v>
      </c>
      <c r="P27" s="11">
        <f t="shared" si="5"/>
        <v>0</v>
      </c>
    </row>
    <row r="28" spans="1:17" ht="30" customHeight="1">
      <c r="A28" s="46">
        <f t="shared" si="6"/>
        <v>12</v>
      </c>
      <c r="B28" s="26"/>
      <c r="C28" s="6"/>
      <c r="D28" s="7"/>
      <c r="E28" s="24" t="str">
        <f t="shared" si="1"/>
        <v/>
      </c>
      <c r="F28" s="8"/>
      <c r="G28" s="9"/>
      <c r="H28" s="9"/>
      <c r="I28" s="9"/>
      <c r="J28" s="21">
        <f t="shared" si="2"/>
        <v>0</v>
      </c>
      <c r="K28" s="21">
        <f t="shared" si="3"/>
        <v>0</v>
      </c>
      <c r="L28" s="21">
        <f>IF(AND(C28=$Q$15,D28=$B$9),G28*Старт!$S$2/100,IF(AND(C28=$Q$15,D28=$B$10),G28*Старт!$S$3/100,IF(AND(C28=$Q$15,D28=$B$11),G28*Старт!$S$4/100,0)))-IF(AND(C28=$Q$17,D28=$B$9),G28*Старт!$S$2/100,IF(AND(C28=$Q$17,D28=$B$10),G28*Старт!$S$3/100,IF(AND(C28=$Q$17,D28=$B$11),G28*Старт!$S$4/100,0)))</f>
        <v>0</v>
      </c>
      <c r="M28" s="22">
        <f t="shared" si="4"/>
        <v>0</v>
      </c>
      <c r="N28" s="23" t="str">
        <f>IF(AND(OR($B28&lt;&gt;0,$C28&lt;&gt;0,$D28&lt;&gt;0,$F28&lt;&gt;0,$G28&lt;&gt;0,$J28&gt;0),OR($N$9=$Q$6,$N$9="")),"День не объявлен рабочим",IF(AND(B28=0,OR($C28&lt;&gt;0,$D28&lt;&gt;0,$F28&lt;&gt;0,$G28&lt;&gt;0,$J28&gt;0))," &lt; 2 &gt; ","")&amp;IF(AND(G28+J28&gt;0,C28="")," &lt; 3 &gt; ","")&amp;(IF(AND(D28=0,OR(C28=$Q$15,C28=$Q$16,C28=$Q$17))," &lt; 4 &gt; ",""))&amp;(IF(AND(F28=0,OR(C28=$Q$16,C28=$Q$17))," &lt; 5 &gt; ",""))&amp;IF(AND(G28=0,J28&gt;0)," &lt; 6 &gt; ","")&amp;IF(AND(G28&gt;0,J28=0),"Укажите сумму оплаты. ","")&amp;IF(AND(AND(G28=0,J28=0),OR($C28&lt;&gt;0,$D28&lt;&gt;0,$F28&lt;&gt;0,$G28&lt;&gt;0,$J28&gt;0))," Укажите сумму операции и сумму оплаты. ","")&amp;IF(AND(H28&gt;0,OR(C28=$Q$18,C28=$Q$19,C28=$Q$20,C28=$Q$21)),"Оплата возможна только наличными. ","")&amp;IF(AND(J28&lt;G28,OR(C28=$Q$16,C28=$Q$17,C28=$Q$18,C28=$Q$19,C28=$Q$20,C28=$Q$21)),"Возможна только полная оплата. ","")&amp;IF(AND(C28=$Q$20,G28&gt;(Старт!$G$19+$M$10)),"Указанная сумма превышает размер ЗП. ","")&amp;IF(J28&gt;G28,"Сумма оплаты превышает сумму операции. ","")&amp;IF(M28&lt;0,"Отрицательный остаток в кассе. ",""))</f>
        <v/>
      </c>
      <c r="O28" s="11">
        <f t="shared" si="0"/>
        <v>0</v>
      </c>
      <c r="P28" s="11">
        <f t="shared" si="5"/>
        <v>0</v>
      </c>
    </row>
    <row r="29" spans="1:17" ht="30" customHeight="1">
      <c r="A29" s="46">
        <f t="shared" si="6"/>
        <v>13</v>
      </c>
      <c r="B29" s="26"/>
      <c r="C29" s="6"/>
      <c r="D29" s="7"/>
      <c r="E29" s="24" t="str">
        <f t="shared" si="1"/>
        <v/>
      </c>
      <c r="F29" s="8"/>
      <c r="G29" s="9"/>
      <c r="H29" s="9"/>
      <c r="I29" s="9"/>
      <c r="J29" s="21">
        <f t="shared" si="2"/>
        <v>0</v>
      </c>
      <c r="K29" s="21">
        <f t="shared" si="3"/>
        <v>0</v>
      </c>
      <c r="L29" s="21">
        <f>IF(AND(C29=$Q$15,D29=$B$9),G29*Старт!$S$2/100,IF(AND(C29=$Q$15,D29=$B$10),G29*Старт!$S$3/100,IF(AND(C29=$Q$15,D29=$B$11),G29*Старт!$S$4/100,0)))-IF(AND(C29=$Q$17,D29=$B$9),G29*Старт!$S$2/100,IF(AND(C29=$Q$17,D29=$B$10),G29*Старт!$S$3/100,IF(AND(C29=$Q$17,D29=$B$11),G29*Старт!$S$4/100,0)))</f>
        <v>0</v>
      </c>
      <c r="M29" s="22">
        <f t="shared" si="4"/>
        <v>0</v>
      </c>
      <c r="N29" s="23" t="str">
        <f>IF(AND(OR($B29&lt;&gt;0,$C29&lt;&gt;0,$D29&lt;&gt;0,$F29&lt;&gt;0,$G29&lt;&gt;0,$J29&gt;0),OR($N$9=$Q$6,$N$9="")),"День не объявлен рабочим",IF(AND(B29=0,OR($C29&lt;&gt;0,$D29&lt;&gt;0,$F29&lt;&gt;0,$G29&lt;&gt;0,$J29&gt;0))," &lt; 2 &gt; ","")&amp;IF(AND(G29+J29&gt;0,C29="")," &lt; 3 &gt; ","")&amp;(IF(AND(D29=0,OR(C29=$Q$15,C29=$Q$16,C29=$Q$17))," &lt; 4 &gt; ",""))&amp;(IF(AND(F29=0,OR(C29=$Q$16,C29=$Q$17))," &lt; 5 &gt; ",""))&amp;IF(AND(G29=0,J29&gt;0)," &lt; 6 &gt; ","")&amp;IF(AND(G29&gt;0,J29=0),"Укажите сумму оплаты. ","")&amp;IF(AND(AND(G29=0,J29=0),OR($C29&lt;&gt;0,$D29&lt;&gt;0,$F29&lt;&gt;0,$G29&lt;&gt;0,$J29&gt;0))," Укажите сумму операции и сумму оплаты. ","")&amp;IF(AND(H29&gt;0,OR(C29=$Q$18,C29=$Q$19,C29=$Q$20,C29=$Q$21)),"Оплата возможна только наличными. ","")&amp;IF(AND(J29&lt;G29,OR(C29=$Q$16,C29=$Q$17,C29=$Q$18,C29=$Q$19,C29=$Q$20,C29=$Q$21)),"Возможна только полная оплата. ","")&amp;IF(AND(C29=$Q$20,G29&gt;(Старт!$G$19+$M$10)),"Указанная сумма превышает размер ЗП. ","")&amp;IF(J29&gt;G29,"Сумма оплаты превышает сумму операции. ","")&amp;IF(M29&lt;0,"Отрицательный остаток в кассе. ",""))</f>
        <v/>
      </c>
      <c r="O29" s="11">
        <f t="shared" si="0"/>
        <v>0</v>
      </c>
      <c r="P29" s="11">
        <f t="shared" si="5"/>
        <v>0</v>
      </c>
    </row>
    <row r="30" spans="1:17" ht="30" customHeight="1">
      <c r="A30" s="46">
        <f t="shared" si="6"/>
        <v>14</v>
      </c>
      <c r="B30" s="26"/>
      <c r="C30" s="6"/>
      <c r="D30" s="7"/>
      <c r="E30" s="24" t="str">
        <f t="shared" si="1"/>
        <v/>
      </c>
      <c r="F30" s="8"/>
      <c r="G30" s="9"/>
      <c r="H30" s="9"/>
      <c r="I30" s="9"/>
      <c r="J30" s="21">
        <f t="shared" si="2"/>
        <v>0</v>
      </c>
      <c r="K30" s="21">
        <f t="shared" si="3"/>
        <v>0</v>
      </c>
      <c r="L30" s="21">
        <f>IF(AND(C30=$Q$15,D30=$B$9),G30*Старт!$S$2/100,IF(AND(C30=$Q$15,D30=$B$10),G30*Старт!$S$3/100,IF(AND(C30=$Q$15,D30=$B$11),G30*Старт!$S$4/100,0)))-IF(AND(C30=$Q$17,D30=$B$9),G30*Старт!$S$2/100,IF(AND(C30=$Q$17,D30=$B$10),G30*Старт!$S$3/100,IF(AND(C30=$Q$17,D30=$B$11),G30*Старт!$S$4/100,0)))</f>
        <v>0</v>
      </c>
      <c r="M30" s="22">
        <f t="shared" si="4"/>
        <v>0</v>
      </c>
      <c r="N30" s="23" t="str">
        <f>IF(AND(OR($B30&lt;&gt;0,$C30&lt;&gt;0,$D30&lt;&gt;0,$F30&lt;&gt;0,$G30&lt;&gt;0,$J30&gt;0),OR($N$9=$Q$6,$N$9="")),"День не объявлен рабочим",IF(AND(B30=0,OR($C30&lt;&gt;0,$D30&lt;&gt;0,$F30&lt;&gt;0,$G30&lt;&gt;0,$J30&gt;0))," &lt; 2 &gt; ","")&amp;IF(AND(G30+J30&gt;0,C30="")," &lt; 3 &gt; ","")&amp;(IF(AND(D30=0,OR(C30=$Q$15,C30=$Q$16,C30=$Q$17))," &lt; 4 &gt; ",""))&amp;(IF(AND(F30=0,OR(C30=$Q$16,C30=$Q$17))," &lt; 5 &gt; ",""))&amp;IF(AND(G30=0,J30&gt;0)," &lt; 6 &gt; ","")&amp;IF(AND(G30&gt;0,J30=0),"Укажите сумму оплаты. ","")&amp;IF(AND(AND(G30=0,J30=0),OR($C30&lt;&gt;0,$D30&lt;&gt;0,$F30&lt;&gt;0,$G30&lt;&gt;0,$J30&gt;0))," Укажите сумму операции и сумму оплаты. ","")&amp;IF(AND(H30&gt;0,OR(C30=$Q$18,C30=$Q$19,C30=$Q$20,C30=$Q$21)),"Оплата возможна только наличными. ","")&amp;IF(AND(J30&lt;G30,OR(C30=$Q$16,C30=$Q$17,C30=$Q$18,C30=$Q$19,C30=$Q$20,C30=$Q$21)),"Возможна только полная оплата. ","")&amp;IF(AND(C30=$Q$20,G30&gt;(Старт!$G$19+$M$10)),"Указанная сумма превышает размер ЗП. ","")&amp;IF(J30&gt;G30,"Сумма оплаты превышает сумму операции. ","")&amp;IF(M30&lt;0,"Отрицательный остаток в кассе. ",""))</f>
        <v/>
      </c>
      <c r="O30" s="11">
        <f t="shared" si="0"/>
        <v>0</v>
      </c>
      <c r="P30" s="11">
        <f t="shared" si="5"/>
        <v>0</v>
      </c>
    </row>
    <row r="31" spans="1:17" ht="30" customHeight="1">
      <c r="A31" s="46">
        <f t="shared" si="6"/>
        <v>15</v>
      </c>
      <c r="B31" s="26"/>
      <c r="C31" s="6"/>
      <c r="D31" s="7"/>
      <c r="E31" s="24" t="str">
        <f t="shared" si="1"/>
        <v/>
      </c>
      <c r="F31" s="8"/>
      <c r="G31" s="9"/>
      <c r="H31" s="9"/>
      <c r="I31" s="9"/>
      <c r="J31" s="21">
        <f t="shared" si="2"/>
        <v>0</v>
      </c>
      <c r="K31" s="21">
        <f t="shared" si="3"/>
        <v>0</v>
      </c>
      <c r="L31" s="21">
        <f>IF(AND(C31=$Q$15,D31=$B$9),G31*Старт!$S$2/100,IF(AND(C31=$Q$15,D31=$B$10),G31*Старт!$S$3/100,IF(AND(C31=$Q$15,D31=$B$11),G31*Старт!$S$4/100,0)))-IF(AND(C31=$Q$17,D31=$B$9),G31*Старт!$S$2/100,IF(AND(C31=$Q$17,D31=$B$10),G31*Старт!$S$3/100,IF(AND(C31=$Q$17,D31=$B$11),G31*Старт!$S$4/100,0)))</f>
        <v>0</v>
      </c>
      <c r="M31" s="22">
        <f t="shared" si="4"/>
        <v>0</v>
      </c>
      <c r="N31" s="23" t="str">
        <f>IF(AND(OR($B31&lt;&gt;0,$C31&lt;&gt;0,$D31&lt;&gt;0,$F31&lt;&gt;0,$G31&lt;&gt;0,$J31&gt;0),OR($N$9=$Q$6,$N$9="")),"День не объявлен рабочим",IF(AND(B31=0,OR($C31&lt;&gt;0,$D31&lt;&gt;0,$F31&lt;&gt;0,$G31&lt;&gt;0,$J31&gt;0))," &lt; 2 &gt; ","")&amp;IF(AND(G31+J31&gt;0,C31="")," &lt; 3 &gt; ","")&amp;(IF(AND(D31=0,OR(C31=$Q$15,C31=$Q$16,C31=$Q$17))," &lt; 4 &gt; ",""))&amp;(IF(AND(F31=0,OR(C31=$Q$16,C31=$Q$17))," &lt; 5 &gt; ",""))&amp;IF(AND(G31=0,J31&gt;0)," &lt; 6 &gt; ","")&amp;IF(AND(G31&gt;0,J31=0),"Укажите сумму оплаты. ","")&amp;IF(AND(AND(G31=0,J31=0),OR($C31&lt;&gt;0,$D31&lt;&gt;0,$F31&lt;&gt;0,$G31&lt;&gt;0,$J31&gt;0))," Укажите сумму операции и сумму оплаты. ","")&amp;IF(AND(H31&gt;0,OR(C31=$Q$18,C31=$Q$19,C31=$Q$20,C31=$Q$21)),"Оплата возможна только наличными. ","")&amp;IF(AND(J31&lt;G31,OR(C31=$Q$16,C31=$Q$17,C31=$Q$18,C31=$Q$19,C31=$Q$20,C31=$Q$21)),"Возможна только полная оплата. ","")&amp;IF(AND(C31=$Q$20,G31&gt;(Старт!$G$19+$M$10)),"Указанная сумма превышает размер ЗП. ","")&amp;IF(J31&gt;G31,"Сумма оплаты превышает сумму операции. ","")&amp;IF(M31&lt;0,"Отрицательный остаток в кассе. ",""))</f>
        <v/>
      </c>
      <c r="O31" s="11">
        <f t="shared" si="0"/>
        <v>0</v>
      </c>
      <c r="P31" s="11">
        <f t="shared" si="5"/>
        <v>0</v>
      </c>
    </row>
    <row r="32" spans="1:17" ht="30" customHeight="1">
      <c r="A32" s="46">
        <f t="shared" si="6"/>
        <v>16</v>
      </c>
      <c r="B32" s="26"/>
      <c r="C32" s="6"/>
      <c r="D32" s="7"/>
      <c r="E32" s="24" t="str">
        <f t="shared" si="1"/>
        <v/>
      </c>
      <c r="F32" s="8"/>
      <c r="G32" s="9"/>
      <c r="H32" s="9"/>
      <c r="I32" s="9"/>
      <c r="J32" s="21">
        <f t="shared" si="2"/>
        <v>0</v>
      </c>
      <c r="K32" s="21">
        <f t="shared" si="3"/>
        <v>0</v>
      </c>
      <c r="L32" s="21">
        <f>IF(AND(C32=$Q$15,D32=$B$9),G32*Старт!$S$2/100,IF(AND(C32=$Q$15,D32=$B$10),G32*Старт!$S$3/100,IF(AND(C32=$Q$15,D32=$B$11),G32*Старт!$S$4/100,0)))-IF(AND(C32=$Q$17,D32=$B$9),G32*Старт!$S$2/100,IF(AND(C32=$Q$17,D32=$B$10),G32*Старт!$S$3/100,IF(AND(C32=$Q$17,D32=$B$11),G32*Старт!$S$4/100,0)))</f>
        <v>0</v>
      </c>
      <c r="M32" s="22">
        <f t="shared" si="4"/>
        <v>0</v>
      </c>
      <c r="N32" s="23" t="str">
        <f>IF(AND(OR($B32&lt;&gt;0,$C32&lt;&gt;0,$D32&lt;&gt;0,$F32&lt;&gt;0,$G32&lt;&gt;0,$J32&gt;0),OR($N$9=$Q$6,$N$9="")),"День не объявлен рабочим",IF(AND(B32=0,OR($C32&lt;&gt;0,$D32&lt;&gt;0,$F32&lt;&gt;0,$G32&lt;&gt;0,$J32&gt;0))," &lt; 2 &gt; ","")&amp;IF(AND(G32+J32&gt;0,C32="")," &lt; 3 &gt; ","")&amp;(IF(AND(D32=0,OR(C32=$Q$15,C32=$Q$16,C32=$Q$17))," &lt; 4 &gt; ",""))&amp;(IF(AND(F32=0,OR(C32=$Q$16,C32=$Q$17))," &lt; 5 &gt; ",""))&amp;IF(AND(G32=0,J32&gt;0)," &lt; 6 &gt; ","")&amp;IF(AND(G32&gt;0,J32=0),"Укажите сумму оплаты. ","")&amp;IF(AND(AND(G32=0,J32=0),OR($C32&lt;&gt;0,$D32&lt;&gt;0,$F32&lt;&gt;0,$G32&lt;&gt;0,$J32&gt;0))," Укажите сумму операции и сумму оплаты. ","")&amp;IF(AND(H32&gt;0,OR(C32=$Q$18,C32=$Q$19,C32=$Q$20,C32=$Q$21)),"Оплата возможна только наличными. ","")&amp;IF(AND(J32&lt;G32,OR(C32=$Q$16,C32=$Q$17,C32=$Q$18,C32=$Q$19,C32=$Q$20,C32=$Q$21)),"Возможна только полная оплата. ","")&amp;IF(AND(C32=$Q$20,G32&gt;(Старт!$G$19+$M$10)),"Указанная сумма превышает размер ЗП. ","")&amp;IF(J32&gt;G32,"Сумма оплаты превышает сумму операции. ","")&amp;IF(M32&lt;0,"Отрицательный остаток в кассе. ",""))</f>
        <v/>
      </c>
      <c r="O32" s="11">
        <f t="shared" si="0"/>
        <v>0</v>
      </c>
      <c r="P32" s="11">
        <f t="shared" si="5"/>
        <v>0</v>
      </c>
    </row>
    <row r="33" spans="1:16" ht="30" customHeight="1">
      <c r="A33" s="46">
        <f t="shared" si="6"/>
        <v>17</v>
      </c>
      <c r="B33" s="26"/>
      <c r="C33" s="6"/>
      <c r="D33" s="7"/>
      <c r="E33" s="24" t="str">
        <f t="shared" si="1"/>
        <v/>
      </c>
      <c r="F33" s="8"/>
      <c r="G33" s="9"/>
      <c r="H33" s="9"/>
      <c r="I33" s="9"/>
      <c r="J33" s="21">
        <f t="shared" si="2"/>
        <v>0</v>
      </c>
      <c r="K33" s="21">
        <f t="shared" si="3"/>
        <v>0</v>
      </c>
      <c r="L33" s="21">
        <f>IF(AND(C33=$Q$15,D33=$B$9),G33*Старт!$S$2/100,IF(AND(C33=$Q$15,D33=$B$10),G33*Старт!$S$3/100,IF(AND(C33=$Q$15,D33=$B$11),G33*Старт!$S$4/100,0)))-IF(AND(C33=$Q$17,D33=$B$9),G33*Старт!$S$2/100,IF(AND(C33=$Q$17,D33=$B$10),G33*Старт!$S$3/100,IF(AND(C33=$Q$17,D33=$B$11),G33*Старт!$S$4/100,0)))</f>
        <v>0</v>
      </c>
      <c r="M33" s="22">
        <f t="shared" si="4"/>
        <v>0</v>
      </c>
      <c r="N33" s="23" t="str">
        <f>IF(AND(OR($B33&lt;&gt;0,$C33&lt;&gt;0,$D33&lt;&gt;0,$F33&lt;&gt;0,$G33&lt;&gt;0,$J33&gt;0),OR($N$9=$Q$6,$N$9="")),"День не объявлен рабочим",IF(AND(B33=0,OR($C33&lt;&gt;0,$D33&lt;&gt;0,$F33&lt;&gt;0,$G33&lt;&gt;0,$J33&gt;0))," &lt; 2 &gt; ","")&amp;IF(AND(G33+J33&gt;0,C33="")," &lt; 3 &gt; ","")&amp;(IF(AND(D33=0,OR(C33=$Q$15,C33=$Q$16,C33=$Q$17))," &lt; 4 &gt; ",""))&amp;(IF(AND(F33=0,OR(C33=$Q$16,C33=$Q$17))," &lt; 5 &gt; ",""))&amp;IF(AND(G33=0,J33&gt;0)," &lt; 6 &gt; ","")&amp;IF(AND(G33&gt;0,J33=0),"Укажите сумму оплаты. ","")&amp;IF(AND(AND(G33=0,J33=0),OR($C33&lt;&gt;0,$D33&lt;&gt;0,$F33&lt;&gt;0,$G33&lt;&gt;0,$J33&gt;0))," Укажите сумму операции и сумму оплаты. ","")&amp;IF(AND(H33&gt;0,OR(C33=$Q$18,C33=$Q$19,C33=$Q$20,C33=$Q$21)),"Оплата возможна только наличными. ","")&amp;IF(AND(J33&lt;G33,OR(C33=$Q$16,C33=$Q$17,C33=$Q$18,C33=$Q$19,C33=$Q$20,C33=$Q$21)),"Возможна только полная оплата. ","")&amp;IF(AND(C33=$Q$20,G33&gt;(Старт!$G$19+$M$10)),"Указанная сумма превышает размер ЗП. ","")&amp;IF(J33&gt;G33,"Сумма оплаты превышает сумму операции. ","")&amp;IF(M33&lt;0,"Отрицательный остаток в кассе. ",""))</f>
        <v/>
      </c>
      <c r="O33" s="11">
        <f t="shared" si="0"/>
        <v>0</v>
      </c>
      <c r="P33" s="11">
        <f t="shared" si="5"/>
        <v>0</v>
      </c>
    </row>
    <row r="34" spans="1:16" ht="30" customHeight="1">
      <c r="A34" s="46">
        <f t="shared" si="6"/>
        <v>18</v>
      </c>
      <c r="B34" s="26"/>
      <c r="C34" s="6"/>
      <c r="D34" s="7"/>
      <c r="E34" s="24" t="str">
        <f t="shared" si="1"/>
        <v/>
      </c>
      <c r="F34" s="8"/>
      <c r="G34" s="9"/>
      <c r="H34" s="9"/>
      <c r="I34" s="9"/>
      <c r="J34" s="21">
        <f t="shared" si="2"/>
        <v>0</v>
      </c>
      <c r="K34" s="21">
        <f t="shared" si="3"/>
        <v>0</v>
      </c>
      <c r="L34" s="21">
        <f>IF(AND(C34=$Q$15,D34=$B$9),G34*Старт!$S$2/100,IF(AND(C34=$Q$15,D34=$B$10),G34*Старт!$S$3/100,IF(AND(C34=$Q$15,D34=$B$11),G34*Старт!$S$4/100,0)))-IF(AND(C34=$Q$17,D34=$B$9),G34*Старт!$S$2/100,IF(AND(C34=$Q$17,D34=$B$10),G34*Старт!$S$3/100,IF(AND(C34=$Q$17,D34=$B$11),G34*Старт!$S$4/100,0)))</f>
        <v>0</v>
      </c>
      <c r="M34" s="22">
        <f t="shared" si="4"/>
        <v>0</v>
      </c>
      <c r="N34" s="23" t="str">
        <f>IF(AND(OR($B34&lt;&gt;0,$C34&lt;&gt;0,$D34&lt;&gt;0,$F34&lt;&gt;0,$G34&lt;&gt;0,$J34&gt;0),OR($N$9=$Q$6,$N$9="")),"День не объявлен рабочим",IF(AND(B34=0,OR($C34&lt;&gt;0,$D34&lt;&gt;0,$F34&lt;&gt;0,$G34&lt;&gt;0,$J34&gt;0))," &lt; 2 &gt; ","")&amp;IF(AND(G34+J34&gt;0,C34="")," &lt; 3 &gt; ","")&amp;(IF(AND(D34=0,OR(C34=$Q$15,C34=$Q$16,C34=$Q$17))," &lt; 4 &gt; ",""))&amp;(IF(AND(F34=0,OR(C34=$Q$16,C34=$Q$17))," &lt; 5 &gt; ",""))&amp;IF(AND(G34=0,J34&gt;0)," &lt; 6 &gt; ","")&amp;IF(AND(G34&gt;0,J34=0),"Укажите сумму оплаты. ","")&amp;IF(AND(AND(G34=0,J34=0),OR($C34&lt;&gt;0,$D34&lt;&gt;0,$F34&lt;&gt;0,$G34&lt;&gt;0,$J34&gt;0))," Укажите сумму операции и сумму оплаты. ","")&amp;IF(AND(H34&gt;0,OR(C34=$Q$18,C34=$Q$19,C34=$Q$20,C34=$Q$21)),"Оплата возможна только наличными. ","")&amp;IF(AND(J34&lt;G34,OR(C34=$Q$16,C34=$Q$17,C34=$Q$18,C34=$Q$19,C34=$Q$20,C34=$Q$21)),"Возможна только полная оплата. ","")&amp;IF(AND(C34=$Q$20,G34&gt;(Старт!$G$19+$M$10)),"Указанная сумма превышает размер ЗП. ","")&amp;IF(J34&gt;G34,"Сумма оплаты превышает сумму операции. ","")&amp;IF(M34&lt;0,"Отрицательный остаток в кассе. ",""))</f>
        <v/>
      </c>
      <c r="O34" s="11">
        <f t="shared" si="0"/>
        <v>0</v>
      </c>
      <c r="P34" s="11">
        <f t="shared" si="5"/>
        <v>0</v>
      </c>
    </row>
    <row r="35" spans="1:16" ht="30" customHeight="1">
      <c r="A35" s="46">
        <f t="shared" si="6"/>
        <v>19</v>
      </c>
      <c r="B35" s="26"/>
      <c r="C35" s="6"/>
      <c r="D35" s="7"/>
      <c r="E35" s="24" t="str">
        <f t="shared" si="1"/>
        <v/>
      </c>
      <c r="F35" s="8"/>
      <c r="G35" s="9"/>
      <c r="H35" s="9"/>
      <c r="I35" s="9"/>
      <c r="J35" s="21">
        <f t="shared" si="2"/>
        <v>0</v>
      </c>
      <c r="K35" s="21">
        <f t="shared" si="3"/>
        <v>0</v>
      </c>
      <c r="L35" s="21">
        <f>IF(AND(C35=$Q$15,D35=$B$9),G35*Старт!$S$2/100,IF(AND(C35=$Q$15,D35=$B$10),G35*Старт!$S$3/100,IF(AND(C35=$Q$15,D35=$B$11),G35*Старт!$S$4/100,0)))-IF(AND(C35=$Q$17,D35=$B$9),G35*Старт!$S$2/100,IF(AND(C35=$Q$17,D35=$B$10),G35*Старт!$S$3/100,IF(AND(C35=$Q$17,D35=$B$11),G35*Старт!$S$4/100,0)))</f>
        <v>0</v>
      </c>
      <c r="M35" s="22">
        <f t="shared" si="4"/>
        <v>0</v>
      </c>
      <c r="N35" s="23" t="str">
        <f>IF(AND(OR($B35&lt;&gt;0,$C35&lt;&gt;0,$D35&lt;&gt;0,$F35&lt;&gt;0,$G35&lt;&gt;0,$J35&gt;0),OR($N$9=$Q$6,$N$9="")),"День не объявлен рабочим",IF(AND(B35=0,OR($C35&lt;&gt;0,$D35&lt;&gt;0,$F35&lt;&gt;0,$G35&lt;&gt;0,$J35&gt;0))," &lt; 2 &gt; ","")&amp;IF(AND(G35+J35&gt;0,C35="")," &lt; 3 &gt; ","")&amp;(IF(AND(D35=0,OR(C35=$Q$15,C35=$Q$16,C35=$Q$17))," &lt; 4 &gt; ",""))&amp;(IF(AND(F35=0,OR(C35=$Q$16,C35=$Q$17))," &lt; 5 &gt; ",""))&amp;IF(AND(G35=0,J35&gt;0)," &lt; 6 &gt; ","")&amp;IF(AND(G35&gt;0,J35=0),"Укажите сумму оплаты. ","")&amp;IF(AND(AND(G35=0,J35=0),OR($C35&lt;&gt;0,$D35&lt;&gt;0,$F35&lt;&gt;0,$G35&lt;&gt;0,$J35&gt;0))," Укажите сумму операции и сумму оплаты. ","")&amp;IF(AND(H35&gt;0,OR(C35=$Q$18,C35=$Q$19,C35=$Q$20,C35=$Q$21)),"Оплата возможна только наличными. ","")&amp;IF(AND(J35&lt;G35,OR(C35=$Q$16,C35=$Q$17,C35=$Q$18,C35=$Q$19,C35=$Q$20,C35=$Q$21)),"Возможна только полная оплата. ","")&amp;IF(AND(C35=$Q$20,G35&gt;(Старт!$G$19+$M$10)),"Указанная сумма превышает размер ЗП. ","")&amp;IF(J35&gt;G35,"Сумма оплаты превышает сумму операции. ","")&amp;IF(M35&lt;0,"Отрицательный остаток в кассе. ",""))</f>
        <v/>
      </c>
      <c r="O35" s="11">
        <f t="shared" si="0"/>
        <v>0</v>
      </c>
      <c r="P35" s="11">
        <f t="shared" si="5"/>
        <v>0</v>
      </c>
    </row>
    <row r="36" spans="1:16" ht="30" customHeight="1">
      <c r="A36" s="46">
        <f t="shared" si="6"/>
        <v>20</v>
      </c>
      <c r="B36" s="26"/>
      <c r="C36" s="6"/>
      <c r="D36" s="7"/>
      <c r="E36" s="24" t="str">
        <f t="shared" si="1"/>
        <v/>
      </c>
      <c r="F36" s="8"/>
      <c r="G36" s="9"/>
      <c r="H36" s="9"/>
      <c r="I36" s="9"/>
      <c r="J36" s="21">
        <f t="shared" si="2"/>
        <v>0</v>
      </c>
      <c r="K36" s="21">
        <f t="shared" si="3"/>
        <v>0</v>
      </c>
      <c r="L36" s="21">
        <f>IF(AND(C36=$Q$15,D36=$B$9),G36*Старт!$S$2/100,IF(AND(C36=$Q$15,D36=$B$10),G36*Старт!$S$3/100,IF(AND(C36=$Q$15,D36=$B$11),G36*Старт!$S$4/100,0)))-IF(AND(C36=$Q$17,D36=$B$9),G36*Старт!$S$2/100,IF(AND(C36=$Q$17,D36=$B$10),G36*Старт!$S$3/100,IF(AND(C36=$Q$17,D36=$B$11),G36*Старт!$S$4/100,0)))</f>
        <v>0</v>
      </c>
      <c r="M36" s="22">
        <f t="shared" si="4"/>
        <v>0</v>
      </c>
      <c r="N36" s="23" t="str">
        <f>IF(AND(OR($B36&lt;&gt;0,$C36&lt;&gt;0,$D36&lt;&gt;0,$F36&lt;&gt;0,$G36&lt;&gt;0,$J36&gt;0),OR($N$9=$Q$6,$N$9="")),"День не объявлен рабочим",IF(AND(B36=0,OR($C36&lt;&gt;0,$D36&lt;&gt;0,$F36&lt;&gt;0,$G36&lt;&gt;0,$J36&gt;0))," &lt; 2 &gt; ","")&amp;IF(AND(G36+J36&gt;0,C36="")," &lt; 3 &gt; ","")&amp;(IF(AND(D36=0,OR(C36=$Q$15,C36=$Q$16,C36=$Q$17))," &lt; 4 &gt; ",""))&amp;(IF(AND(F36=0,OR(C36=$Q$16,C36=$Q$17))," &lt; 5 &gt; ",""))&amp;IF(AND(G36=0,J36&gt;0)," &lt; 6 &gt; ","")&amp;IF(AND(G36&gt;0,J36=0),"Укажите сумму оплаты. ","")&amp;IF(AND(AND(G36=0,J36=0),OR($C36&lt;&gt;0,$D36&lt;&gt;0,$F36&lt;&gt;0,$G36&lt;&gt;0,$J36&gt;0))," Укажите сумму операции и сумму оплаты. ","")&amp;IF(AND(H36&gt;0,OR(C36=$Q$18,C36=$Q$19,C36=$Q$20,C36=$Q$21)),"Оплата возможна только наличными. ","")&amp;IF(AND(J36&lt;G36,OR(C36=$Q$16,C36=$Q$17,C36=$Q$18,C36=$Q$19,C36=$Q$20,C36=$Q$21)),"Возможна только полная оплата. ","")&amp;IF(AND(C36=$Q$20,G36&gt;(Старт!$G$19+$M$10)),"Указанная сумма превышает размер ЗП. ","")&amp;IF(J36&gt;G36,"Сумма оплаты превышает сумму операции. ","")&amp;IF(M36&lt;0,"Отрицательный остаток в кассе. ",""))</f>
        <v/>
      </c>
      <c r="O36" s="11">
        <f t="shared" si="0"/>
        <v>0</v>
      </c>
      <c r="P36" s="11">
        <f t="shared" si="5"/>
        <v>0</v>
      </c>
    </row>
    <row r="37" spans="1:16" ht="30" customHeight="1">
      <c r="A37" s="46">
        <f t="shared" si="6"/>
        <v>21</v>
      </c>
      <c r="B37" s="26"/>
      <c r="C37" s="6"/>
      <c r="D37" s="7"/>
      <c r="E37" s="24" t="str">
        <f t="shared" si="1"/>
        <v/>
      </c>
      <c r="F37" s="8"/>
      <c r="G37" s="9"/>
      <c r="H37" s="9"/>
      <c r="I37" s="9"/>
      <c r="J37" s="21">
        <f t="shared" si="2"/>
        <v>0</v>
      </c>
      <c r="K37" s="21">
        <f t="shared" si="3"/>
        <v>0</v>
      </c>
      <c r="L37" s="21">
        <f>IF(AND(C37=$Q$15,D37=$B$9),G37*Старт!$S$2/100,IF(AND(C37=$Q$15,D37=$B$10),G37*Старт!$S$3/100,IF(AND(C37=$Q$15,D37=$B$11),G37*Старт!$S$4/100,0)))-IF(AND(C37=$Q$17,D37=$B$9),G37*Старт!$S$2/100,IF(AND(C37=$Q$17,D37=$B$10),G37*Старт!$S$3/100,IF(AND(C37=$Q$17,D37=$B$11),G37*Старт!$S$4/100,0)))</f>
        <v>0</v>
      </c>
      <c r="M37" s="22">
        <f t="shared" si="4"/>
        <v>0</v>
      </c>
      <c r="N37" s="23" t="str">
        <f>IF(AND(OR($B37&lt;&gt;0,$C37&lt;&gt;0,$D37&lt;&gt;0,$F37&lt;&gt;0,$G37&lt;&gt;0,$J37&gt;0),OR($N$9=$Q$6,$N$9="")),"День не объявлен рабочим",IF(AND(B37=0,OR($C37&lt;&gt;0,$D37&lt;&gt;0,$F37&lt;&gt;0,$G37&lt;&gt;0,$J37&gt;0))," &lt; 2 &gt; ","")&amp;IF(AND(G37+J37&gt;0,C37="")," &lt; 3 &gt; ","")&amp;(IF(AND(D37=0,OR(C37=$Q$15,C37=$Q$16,C37=$Q$17))," &lt; 4 &gt; ",""))&amp;(IF(AND(F37=0,OR(C37=$Q$16,C37=$Q$17))," &lt; 5 &gt; ",""))&amp;IF(AND(G37=0,J37&gt;0)," &lt; 6 &gt; ","")&amp;IF(AND(G37&gt;0,J37=0),"Укажите сумму оплаты. ","")&amp;IF(AND(AND(G37=0,J37=0),OR($C37&lt;&gt;0,$D37&lt;&gt;0,$F37&lt;&gt;0,$G37&lt;&gt;0,$J37&gt;0))," Укажите сумму операции и сумму оплаты. ","")&amp;IF(AND(H37&gt;0,OR(C37=$Q$18,C37=$Q$19,C37=$Q$20,C37=$Q$21)),"Оплата возможна только наличными. ","")&amp;IF(AND(J37&lt;G37,OR(C37=$Q$16,C37=$Q$17,C37=$Q$18,C37=$Q$19,C37=$Q$20,C37=$Q$21)),"Возможна только полная оплата. ","")&amp;IF(AND(C37=$Q$20,G37&gt;(Старт!$G$19+$M$10)),"Указанная сумма превышает размер ЗП. ","")&amp;IF(J37&gt;G37,"Сумма оплаты превышает сумму операции. ","")&amp;IF(M37&lt;0,"Отрицательный остаток в кассе. ",""))</f>
        <v/>
      </c>
      <c r="O37" s="11">
        <f t="shared" si="0"/>
        <v>0</v>
      </c>
      <c r="P37" s="11">
        <f t="shared" si="5"/>
        <v>0</v>
      </c>
    </row>
    <row r="38" spans="1:16" ht="30" customHeight="1">
      <c r="A38" s="46">
        <f t="shared" si="6"/>
        <v>22</v>
      </c>
      <c r="B38" s="26"/>
      <c r="C38" s="6"/>
      <c r="D38" s="7"/>
      <c r="E38" s="24" t="str">
        <f t="shared" si="1"/>
        <v/>
      </c>
      <c r="F38" s="8"/>
      <c r="G38" s="9"/>
      <c r="H38" s="9"/>
      <c r="I38" s="9"/>
      <c r="J38" s="21">
        <f t="shared" si="2"/>
        <v>0</v>
      </c>
      <c r="K38" s="21">
        <f t="shared" si="3"/>
        <v>0</v>
      </c>
      <c r="L38" s="21">
        <f>IF(AND(C38=$Q$15,D38=$B$9),G38*Старт!$S$2/100,IF(AND(C38=$Q$15,D38=$B$10),G38*Старт!$S$3/100,IF(AND(C38=$Q$15,D38=$B$11),G38*Старт!$S$4/100,0)))-IF(AND(C38=$Q$17,D38=$B$9),G38*Старт!$S$2/100,IF(AND(C38=$Q$17,D38=$B$10),G38*Старт!$S$3/100,IF(AND(C38=$Q$17,D38=$B$11),G38*Старт!$S$4/100,0)))</f>
        <v>0</v>
      </c>
      <c r="M38" s="22">
        <f t="shared" si="4"/>
        <v>0</v>
      </c>
      <c r="N38" s="23" t="str">
        <f>IF(AND(OR($B38&lt;&gt;0,$C38&lt;&gt;0,$D38&lt;&gt;0,$F38&lt;&gt;0,$G38&lt;&gt;0,$J38&gt;0),OR($N$9=$Q$6,$N$9="")),"День не объявлен рабочим",IF(AND(B38=0,OR($C38&lt;&gt;0,$D38&lt;&gt;0,$F38&lt;&gt;0,$G38&lt;&gt;0,$J38&gt;0))," &lt; 2 &gt; ","")&amp;IF(AND(G38+J38&gt;0,C38="")," &lt; 3 &gt; ","")&amp;(IF(AND(D38=0,OR(C38=$Q$15,C38=$Q$16,C38=$Q$17))," &lt; 4 &gt; ",""))&amp;(IF(AND(F38=0,OR(C38=$Q$16,C38=$Q$17))," &lt; 5 &gt; ",""))&amp;IF(AND(G38=0,J38&gt;0)," &lt; 6 &gt; ","")&amp;IF(AND(G38&gt;0,J38=0),"Укажите сумму оплаты. ","")&amp;IF(AND(AND(G38=0,J38=0),OR($C38&lt;&gt;0,$D38&lt;&gt;0,$F38&lt;&gt;0,$G38&lt;&gt;0,$J38&gt;0))," Укажите сумму операции и сумму оплаты. ","")&amp;IF(AND(H38&gt;0,OR(C38=$Q$18,C38=$Q$19,C38=$Q$20,C38=$Q$21)),"Оплата возможна только наличными. ","")&amp;IF(AND(J38&lt;G38,OR(C38=$Q$16,C38=$Q$17,C38=$Q$18,C38=$Q$19,C38=$Q$20,C38=$Q$21)),"Возможна только полная оплата. ","")&amp;IF(AND(C38=$Q$20,G38&gt;(Старт!$G$19+$M$10)),"Указанная сумма превышает размер ЗП. ","")&amp;IF(J38&gt;G38,"Сумма оплаты превышает сумму операции. ","")&amp;IF(M38&lt;0,"Отрицательный остаток в кассе. ",""))</f>
        <v/>
      </c>
      <c r="O38" s="11">
        <f t="shared" si="0"/>
        <v>0</v>
      </c>
      <c r="P38" s="11">
        <f t="shared" si="5"/>
        <v>0</v>
      </c>
    </row>
    <row r="39" spans="1:16" ht="30" customHeight="1">
      <c r="A39" s="46">
        <f t="shared" si="6"/>
        <v>23</v>
      </c>
      <c r="B39" s="26"/>
      <c r="C39" s="6"/>
      <c r="D39" s="7"/>
      <c r="E39" s="24" t="str">
        <f t="shared" si="1"/>
        <v/>
      </c>
      <c r="F39" s="8"/>
      <c r="G39" s="9"/>
      <c r="H39" s="9"/>
      <c r="I39" s="9"/>
      <c r="J39" s="21">
        <f t="shared" si="2"/>
        <v>0</v>
      </c>
      <c r="K39" s="21">
        <f t="shared" si="3"/>
        <v>0</v>
      </c>
      <c r="L39" s="21">
        <f>IF(AND(C39=$Q$15,D39=$B$9),G39*Старт!$S$2/100,IF(AND(C39=$Q$15,D39=$B$10),G39*Старт!$S$3/100,IF(AND(C39=$Q$15,D39=$B$11),G39*Старт!$S$4/100,0)))-IF(AND(C39=$Q$17,D39=$B$9),G39*Старт!$S$2/100,IF(AND(C39=$Q$17,D39=$B$10),G39*Старт!$S$3/100,IF(AND(C39=$Q$17,D39=$B$11),G39*Старт!$S$4/100,0)))</f>
        <v>0</v>
      </c>
      <c r="M39" s="22">
        <f t="shared" si="4"/>
        <v>0</v>
      </c>
      <c r="N39" s="23" t="str">
        <f>IF(AND(OR($B39&lt;&gt;0,$C39&lt;&gt;0,$D39&lt;&gt;0,$F39&lt;&gt;0,$G39&lt;&gt;0,$J39&gt;0),OR($N$9=$Q$6,$N$9="")),"День не объявлен рабочим",IF(AND(B39=0,OR($C39&lt;&gt;0,$D39&lt;&gt;0,$F39&lt;&gt;0,$G39&lt;&gt;0,$J39&gt;0))," &lt; 2 &gt; ","")&amp;IF(AND(G39+J39&gt;0,C39="")," &lt; 3 &gt; ","")&amp;(IF(AND(D39=0,OR(C39=$Q$15,C39=$Q$16,C39=$Q$17))," &lt; 4 &gt; ",""))&amp;(IF(AND(F39=0,OR(C39=$Q$16,C39=$Q$17))," &lt; 5 &gt; ",""))&amp;IF(AND(G39=0,J39&gt;0)," &lt; 6 &gt; ","")&amp;IF(AND(G39&gt;0,J39=0),"Укажите сумму оплаты. ","")&amp;IF(AND(AND(G39=0,J39=0),OR($C39&lt;&gt;0,$D39&lt;&gt;0,$F39&lt;&gt;0,$G39&lt;&gt;0,$J39&gt;0))," Укажите сумму операции и сумму оплаты. ","")&amp;IF(AND(H39&gt;0,OR(C39=$Q$18,C39=$Q$19,C39=$Q$20,C39=$Q$21)),"Оплата возможна только наличными. ","")&amp;IF(AND(J39&lt;G39,OR(C39=$Q$16,C39=$Q$17,C39=$Q$18,C39=$Q$19,C39=$Q$20,C39=$Q$21)),"Возможна только полная оплата. ","")&amp;IF(AND(C39=$Q$20,G39&gt;(Старт!$G$19+$M$10)),"Указанная сумма превышает размер ЗП. ","")&amp;IF(J39&gt;G39,"Сумма оплаты превышает сумму операции. ","")&amp;IF(M39&lt;0,"Отрицательный остаток в кассе. ",""))</f>
        <v/>
      </c>
      <c r="O39" s="11">
        <f t="shared" si="0"/>
        <v>0</v>
      </c>
      <c r="P39" s="11">
        <f t="shared" si="5"/>
        <v>0</v>
      </c>
    </row>
    <row r="40" spans="1:16" ht="30" customHeight="1">
      <c r="A40" s="46">
        <f t="shared" si="6"/>
        <v>24</v>
      </c>
      <c r="B40" s="26"/>
      <c r="C40" s="6"/>
      <c r="D40" s="7"/>
      <c r="E40" s="24" t="str">
        <f t="shared" si="1"/>
        <v/>
      </c>
      <c r="F40" s="8"/>
      <c r="G40" s="9"/>
      <c r="H40" s="9"/>
      <c r="I40" s="9"/>
      <c r="J40" s="21">
        <f t="shared" si="2"/>
        <v>0</v>
      </c>
      <c r="K40" s="21">
        <f t="shared" si="3"/>
        <v>0</v>
      </c>
      <c r="L40" s="21">
        <f>IF(AND(C40=$Q$15,D40=$B$9),G40*Старт!$S$2/100,IF(AND(C40=$Q$15,D40=$B$10),G40*Старт!$S$3/100,IF(AND(C40=$Q$15,D40=$B$11),G40*Старт!$S$4/100,0)))-IF(AND(C40=$Q$17,D40=$B$9),G40*Старт!$S$2/100,IF(AND(C40=$Q$17,D40=$B$10),G40*Старт!$S$3/100,IF(AND(C40=$Q$17,D40=$B$11),G40*Старт!$S$4/100,0)))</f>
        <v>0</v>
      </c>
      <c r="M40" s="22">
        <f t="shared" si="4"/>
        <v>0</v>
      </c>
      <c r="N40" s="23" t="str">
        <f>IF(AND(OR($B40&lt;&gt;0,$C40&lt;&gt;0,$D40&lt;&gt;0,$F40&lt;&gt;0,$G40&lt;&gt;0,$J40&gt;0),OR($N$9=$Q$6,$N$9="")),"День не объявлен рабочим",IF(AND(B40=0,OR($C40&lt;&gt;0,$D40&lt;&gt;0,$F40&lt;&gt;0,$G40&lt;&gt;0,$J40&gt;0))," &lt; 2 &gt; ","")&amp;IF(AND(G40+J40&gt;0,C40="")," &lt; 3 &gt; ","")&amp;(IF(AND(D40=0,OR(C40=$Q$15,C40=$Q$16,C40=$Q$17))," &lt; 4 &gt; ",""))&amp;(IF(AND(F40=0,OR(C40=$Q$16,C40=$Q$17))," &lt; 5 &gt; ",""))&amp;IF(AND(G40=0,J40&gt;0)," &lt; 6 &gt; ","")&amp;IF(AND(G40&gt;0,J40=0),"Укажите сумму оплаты. ","")&amp;IF(AND(AND(G40=0,J40=0),OR($C40&lt;&gt;0,$D40&lt;&gt;0,$F40&lt;&gt;0,$G40&lt;&gt;0,$J40&gt;0))," Укажите сумму операции и сумму оплаты. ","")&amp;IF(AND(H40&gt;0,OR(C40=$Q$18,C40=$Q$19,C40=$Q$20,C40=$Q$21)),"Оплата возможна только наличными. ","")&amp;IF(AND(J40&lt;G40,OR(C40=$Q$16,C40=$Q$17,C40=$Q$18,C40=$Q$19,C40=$Q$20,C40=$Q$21)),"Возможна только полная оплата. ","")&amp;IF(AND(C40=$Q$20,G40&gt;(Старт!$G$19+$M$10)),"Указанная сумма превышает размер ЗП. ","")&amp;IF(J40&gt;G40,"Сумма оплаты превышает сумму операции. ","")&amp;IF(M40&lt;0,"Отрицательный остаток в кассе. ",""))</f>
        <v/>
      </c>
      <c r="O40" s="11">
        <f t="shared" si="0"/>
        <v>0</v>
      </c>
      <c r="P40" s="11">
        <f t="shared" si="5"/>
        <v>0</v>
      </c>
    </row>
    <row r="41" spans="1:16" ht="30" customHeight="1">
      <c r="A41" s="46">
        <f t="shared" si="6"/>
        <v>25</v>
      </c>
      <c r="B41" s="26"/>
      <c r="C41" s="6"/>
      <c r="D41" s="7"/>
      <c r="E41" s="24" t="str">
        <f t="shared" si="1"/>
        <v/>
      </c>
      <c r="F41" s="8"/>
      <c r="G41" s="9"/>
      <c r="H41" s="9"/>
      <c r="I41" s="9"/>
      <c r="J41" s="21">
        <f t="shared" si="2"/>
        <v>0</v>
      </c>
      <c r="K41" s="21">
        <f t="shared" si="3"/>
        <v>0</v>
      </c>
      <c r="L41" s="21">
        <f>IF(AND(C41=$Q$15,D41=$B$9),G41*Старт!$S$2/100,IF(AND(C41=$Q$15,D41=$B$10),G41*Старт!$S$3/100,IF(AND(C41=$Q$15,D41=$B$11),G41*Старт!$S$4/100,0)))-IF(AND(C41=$Q$17,D41=$B$9),G41*Старт!$S$2/100,IF(AND(C41=$Q$17,D41=$B$10),G41*Старт!$S$3/100,IF(AND(C41=$Q$17,D41=$B$11),G41*Старт!$S$4/100,0)))</f>
        <v>0</v>
      </c>
      <c r="M41" s="22">
        <f t="shared" si="4"/>
        <v>0</v>
      </c>
      <c r="N41" s="23" t="str">
        <f>IF(AND(OR($B41&lt;&gt;0,$C41&lt;&gt;0,$D41&lt;&gt;0,$F41&lt;&gt;0,$G41&lt;&gt;0,$J41&gt;0),OR($N$9=$Q$6,$N$9="")),"День не объявлен рабочим",IF(AND(B41=0,OR($C41&lt;&gt;0,$D41&lt;&gt;0,$F41&lt;&gt;0,$G41&lt;&gt;0,$J41&gt;0))," &lt; 2 &gt; ","")&amp;IF(AND(G41+J41&gt;0,C41="")," &lt; 3 &gt; ","")&amp;(IF(AND(D41=0,OR(C41=$Q$15,C41=$Q$16,C41=$Q$17))," &lt; 4 &gt; ",""))&amp;(IF(AND(F41=0,OR(C41=$Q$16,C41=$Q$17))," &lt; 5 &gt; ",""))&amp;IF(AND(G41=0,J41&gt;0)," &lt; 6 &gt; ","")&amp;IF(AND(G41&gt;0,J41=0),"Укажите сумму оплаты. ","")&amp;IF(AND(AND(G41=0,J41=0),OR($C41&lt;&gt;0,$D41&lt;&gt;0,$F41&lt;&gt;0,$G41&lt;&gt;0,$J41&gt;0))," Укажите сумму операции и сумму оплаты. ","")&amp;IF(AND(H41&gt;0,OR(C41=$Q$18,C41=$Q$19,C41=$Q$20,C41=$Q$21)),"Оплата возможна только наличными. ","")&amp;IF(AND(J41&lt;G41,OR(C41=$Q$16,C41=$Q$17,C41=$Q$18,C41=$Q$19,C41=$Q$20,C41=$Q$21)),"Возможна только полная оплата. ","")&amp;IF(AND(C41=$Q$20,G41&gt;(Старт!$G$19+$M$10)),"Указанная сумма превышает размер ЗП. ","")&amp;IF(J41&gt;G41,"Сумма оплаты превышает сумму операции. ","")&amp;IF(M41&lt;0,"Отрицательный остаток в кассе. ",""))</f>
        <v/>
      </c>
      <c r="O41" s="11">
        <f t="shared" si="0"/>
        <v>0</v>
      </c>
      <c r="P41" s="11">
        <f t="shared" si="5"/>
        <v>0</v>
      </c>
    </row>
    <row r="42" spans="1:16" ht="30" customHeight="1">
      <c r="A42" s="46">
        <f t="shared" si="6"/>
        <v>26</v>
      </c>
      <c r="B42" s="26"/>
      <c r="C42" s="6"/>
      <c r="D42" s="7"/>
      <c r="E42" s="24" t="str">
        <f t="shared" si="1"/>
        <v/>
      </c>
      <c r="F42" s="8"/>
      <c r="G42" s="9"/>
      <c r="H42" s="9"/>
      <c r="I42" s="9"/>
      <c r="J42" s="21">
        <f t="shared" si="2"/>
        <v>0</v>
      </c>
      <c r="K42" s="21">
        <f t="shared" si="3"/>
        <v>0</v>
      </c>
      <c r="L42" s="21">
        <f>IF(AND(C42=$Q$15,D42=$B$9),G42*Старт!$S$2/100,IF(AND(C42=$Q$15,D42=$B$10),G42*Старт!$S$3/100,IF(AND(C42=$Q$15,D42=$B$11),G42*Старт!$S$4/100,0)))-IF(AND(C42=$Q$17,D42=$B$9),G42*Старт!$S$2/100,IF(AND(C42=$Q$17,D42=$B$10),G42*Старт!$S$3/100,IF(AND(C42=$Q$17,D42=$B$11),G42*Старт!$S$4/100,0)))</f>
        <v>0</v>
      </c>
      <c r="M42" s="22">
        <f t="shared" si="4"/>
        <v>0</v>
      </c>
      <c r="N42" s="23" t="str">
        <f>IF(AND(OR($B42&lt;&gt;0,$C42&lt;&gt;0,$D42&lt;&gt;0,$F42&lt;&gt;0,$G42&lt;&gt;0,$J42&gt;0),OR($N$9=$Q$6,$N$9="")),"День не объявлен рабочим",IF(AND(B42=0,OR($C42&lt;&gt;0,$D42&lt;&gt;0,$F42&lt;&gt;0,$G42&lt;&gt;0,$J42&gt;0))," &lt; 2 &gt; ","")&amp;IF(AND(G42+J42&gt;0,C42="")," &lt; 3 &gt; ","")&amp;(IF(AND(D42=0,OR(C42=$Q$15,C42=$Q$16,C42=$Q$17))," &lt; 4 &gt; ",""))&amp;(IF(AND(F42=0,OR(C42=$Q$16,C42=$Q$17))," &lt; 5 &gt; ",""))&amp;IF(AND(G42=0,J42&gt;0)," &lt; 6 &gt; ","")&amp;IF(AND(G42&gt;0,J42=0),"Укажите сумму оплаты. ","")&amp;IF(AND(AND(G42=0,J42=0),OR($C42&lt;&gt;0,$D42&lt;&gt;0,$F42&lt;&gt;0,$G42&lt;&gt;0,$J42&gt;0))," Укажите сумму операции и сумму оплаты. ","")&amp;IF(AND(H42&gt;0,OR(C42=$Q$18,C42=$Q$19,C42=$Q$20,C42=$Q$21)),"Оплата возможна только наличными. ","")&amp;IF(AND(J42&lt;G42,OR(C42=$Q$16,C42=$Q$17,C42=$Q$18,C42=$Q$19,C42=$Q$20,C42=$Q$21)),"Возможна только полная оплата. ","")&amp;IF(AND(C42=$Q$20,G42&gt;(Старт!$G$19+$M$10)),"Указанная сумма превышает размер ЗП. ","")&amp;IF(J42&gt;G42,"Сумма оплаты превышает сумму операции. ","")&amp;IF(M42&lt;0,"Отрицательный остаток в кассе. ",""))</f>
        <v/>
      </c>
      <c r="O42" s="11">
        <f t="shared" si="0"/>
        <v>0</v>
      </c>
      <c r="P42" s="11">
        <f t="shared" si="5"/>
        <v>0</v>
      </c>
    </row>
    <row r="43" spans="1:16" ht="30" customHeight="1">
      <c r="A43" s="46">
        <f t="shared" si="6"/>
        <v>27</v>
      </c>
      <c r="B43" s="26"/>
      <c r="C43" s="6"/>
      <c r="D43" s="7"/>
      <c r="E43" s="24" t="str">
        <f t="shared" si="1"/>
        <v/>
      </c>
      <c r="F43" s="8"/>
      <c r="G43" s="9"/>
      <c r="H43" s="9"/>
      <c r="I43" s="9"/>
      <c r="J43" s="21">
        <f t="shared" si="2"/>
        <v>0</v>
      </c>
      <c r="K43" s="21">
        <f t="shared" si="3"/>
        <v>0</v>
      </c>
      <c r="L43" s="21">
        <f>IF(AND(C43=$Q$15,D43=$B$9),G43*Старт!$S$2/100,IF(AND(C43=$Q$15,D43=$B$10),G43*Старт!$S$3/100,IF(AND(C43=$Q$15,D43=$B$11),G43*Старт!$S$4/100,0)))-IF(AND(C43=$Q$17,D43=$B$9),G43*Старт!$S$2/100,IF(AND(C43=$Q$17,D43=$B$10),G43*Старт!$S$3/100,IF(AND(C43=$Q$17,D43=$B$11),G43*Старт!$S$4/100,0)))</f>
        <v>0</v>
      </c>
      <c r="M43" s="22">
        <f t="shared" si="4"/>
        <v>0</v>
      </c>
      <c r="N43" s="23" t="str">
        <f>IF(AND(OR($B43&lt;&gt;0,$C43&lt;&gt;0,$D43&lt;&gt;0,$F43&lt;&gt;0,$G43&lt;&gt;0,$J43&gt;0),OR($N$9=$Q$6,$N$9="")),"День не объявлен рабочим",IF(AND(B43=0,OR($C43&lt;&gt;0,$D43&lt;&gt;0,$F43&lt;&gt;0,$G43&lt;&gt;0,$J43&gt;0))," &lt; 2 &gt; ","")&amp;IF(AND(G43+J43&gt;0,C43="")," &lt; 3 &gt; ","")&amp;(IF(AND(D43=0,OR(C43=$Q$15,C43=$Q$16,C43=$Q$17))," &lt; 4 &gt; ",""))&amp;(IF(AND(F43=0,OR(C43=$Q$16,C43=$Q$17))," &lt; 5 &gt; ",""))&amp;IF(AND(G43=0,J43&gt;0)," &lt; 6 &gt; ","")&amp;IF(AND(G43&gt;0,J43=0),"Укажите сумму оплаты. ","")&amp;IF(AND(AND(G43=0,J43=0),OR($C43&lt;&gt;0,$D43&lt;&gt;0,$F43&lt;&gt;0,$G43&lt;&gt;0,$J43&gt;0))," Укажите сумму операции и сумму оплаты. ","")&amp;IF(AND(H43&gt;0,OR(C43=$Q$18,C43=$Q$19,C43=$Q$20,C43=$Q$21)),"Оплата возможна только наличными. ","")&amp;IF(AND(J43&lt;G43,OR(C43=$Q$16,C43=$Q$17,C43=$Q$18,C43=$Q$19,C43=$Q$20,C43=$Q$21)),"Возможна только полная оплата. ","")&amp;IF(AND(C43=$Q$20,G43&gt;(Старт!$G$19+$M$10)),"Указанная сумма превышает размер ЗП. ","")&amp;IF(J43&gt;G43,"Сумма оплаты превышает сумму операции. ","")&amp;IF(M43&lt;0,"Отрицательный остаток в кассе. ",""))</f>
        <v/>
      </c>
      <c r="O43" s="11">
        <f t="shared" si="0"/>
        <v>0</v>
      </c>
      <c r="P43" s="11">
        <f t="shared" si="5"/>
        <v>0</v>
      </c>
    </row>
    <row r="44" spans="1:16" ht="30" customHeight="1">
      <c r="A44" s="46">
        <f t="shared" si="6"/>
        <v>28</v>
      </c>
      <c r="B44" s="26"/>
      <c r="C44" s="6"/>
      <c r="D44" s="7"/>
      <c r="E44" s="24" t="str">
        <f t="shared" si="1"/>
        <v/>
      </c>
      <c r="F44" s="8"/>
      <c r="G44" s="9"/>
      <c r="H44" s="9"/>
      <c r="I44" s="9"/>
      <c r="J44" s="21">
        <f t="shared" si="2"/>
        <v>0</v>
      </c>
      <c r="K44" s="21">
        <f t="shared" si="3"/>
        <v>0</v>
      </c>
      <c r="L44" s="21">
        <f>IF(AND(C44=$Q$15,D44=$B$9),G44*Старт!$S$2/100,IF(AND(C44=$Q$15,D44=$B$10),G44*Старт!$S$3/100,IF(AND(C44=$Q$15,D44=$B$11),G44*Старт!$S$4/100,0)))-IF(AND(C44=$Q$17,D44=$B$9),G44*Старт!$S$2/100,IF(AND(C44=$Q$17,D44=$B$10),G44*Старт!$S$3/100,IF(AND(C44=$Q$17,D44=$B$11),G44*Старт!$S$4/100,0)))</f>
        <v>0</v>
      </c>
      <c r="M44" s="22">
        <f t="shared" si="4"/>
        <v>0</v>
      </c>
      <c r="N44" s="23" t="str">
        <f>IF(AND(OR($B44&lt;&gt;0,$C44&lt;&gt;0,$D44&lt;&gt;0,$F44&lt;&gt;0,$G44&lt;&gt;0,$J44&gt;0),OR($N$9=$Q$6,$N$9="")),"День не объявлен рабочим",IF(AND(B44=0,OR($C44&lt;&gt;0,$D44&lt;&gt;0,$F44&lt;&gt;0,$G44&lt;&gt;0,$J44&gt;0))," &lt; 2 &gt; ","")&amp;IF(AND(G44+J44&gt;0,C44="")," &lt; 3 &gt; ","")&amp;(IF(AND(D44=0,OR(C44=$Q$15,C44=$Q$16,C44=$Q$17))," &lt; 4 &gt; ",""))&amp;(IF(AND(F44=0,OR(C44=$Q$16,C44=$Q$17))," &lt; 5 &gt; ",""))&amp;IF(AND(G44=0,J44&gt;0)," &lt; 6 &gt; ","")&amp;IF(AND(G44&gt;0,J44=0),"Укажите сумму оплаты. ","")&amp;IF(AND(AND(G44=0,J44=0),OR($C44&lt;&gt;0,$D44&lt;&gt;0,$F44&lt;&gt;0,$G44&lt;&gt;0,$J44&gt;0))," Укажите сумму операции и сумму оплаты. ","")&amp;IF(AND(H44&gt;0,OR(C44=$Q$18,C44=$Q$19,C44=$Q$20,C44=$Q$21)),"Оплата возможна только наличными. ","")&amp;IF(AND(J44&lt;G44,OR(C44=$Q$16,C44=$Q$17,C44=$Q$18,C44=$Q$19,C44=$Q$20,C44=$Q$21)),"Возможна только полная оплата. ","")&amp;IF(AND(C44=$Q$20,G44&gt;(Старт!$G$19+$M$10)),"Указанная сумма превышает размер ЗП. ","")&amp;IF(J44&gt;G44,"Сумма оплаты превышает сумму операции. ","")&amp;IF(M44&lt;0,"Отрицательный остаток в кассе. ",""))</f>
        <v/>
      </c>
      <c r="O44" s="11">
        <f t="shared" si="0"/>
        <v>0</v>
      </c>
      <c r="P44" s="11">
        <f t="shared" si="5"/>
        <v>0</v>
      </c>
    </row>
    <row r="45" spans="1:16" ht="30" customHeight="1">
      <c r="A45" s="46">
        <f t="shared" si="6"/>
        <v>29</v>
      </c>
      <c r="B45" s="26"/>
      <c r="C45" s="6"/>
      <c r="D45" s="7"/>
      <c r="E45" s="24" t="str">
        <f t="shared" si="1"/>
        <v/>
      </c>
      <c r="F45" s="8"/>
      <c r="G45" s="9"/>
      <c r="H45" s="9"/>
      <c r="I45" s="9"/>
      <c r="J45" s="21">
        <f t="shared" si="2"/>
        <v>0</v>
      </c>
      <c r="K45" s="21">
        <f t="shared" si="3"/>
        <v>0</v>
      </c>
      <c r="L45" s="21">
        <f>IF(AND(C45=$Q$15,D45=$B$9),G45*Старт!$S$2/100,IF(AND(C45=$Q$15,D45=$B$10),G45*Старт!$S$3/100,IF(AND(C45=$Q$15,D45=$B$11),G45*Старт!$S$4/100,0)))-IF(AND(C45=$Q$17,D45=$B$9),G45*Старт!$S$2/100,IF(AND(C45=$Q$17,D45=$B$10),G45*Старт!$S$3/100,IF(AND(C45=$Q$17,D45=$B$11),G45*Старт!$S$4/100,0)))</f>
        <v>0</v>
      </c>
      <c r="M45" s="22">
        <f t="shared" si="4"/>
        <v>0</v>
      </c>
      <c r="N45" s="23" t="str">
        <f>IF(AND(OR($B45&lt;&gt;0,$C45&lt;&gt;0,$D45&lt;&gt;0,$F45&lt;&gt;0,$G45&lt;&gt;0,$J45&gt;0),OR($N$9=$Q$6,$N$9="")),"День не объявлен рабочим",IF(AND(B45=0,OR($C45&lt;&gt;0,$D45&lt;&gt;0,$F45&lt;&gt;0,$G45&lt;&gt;0,$J45&gt;0))," &lt; 2 &gt; ","")&amp;IF(AND(G45+J45&gt;0,C45="")," &lt; 3 &gt; ","")&amp;(IF(AND(D45=0,OR(C45=$Q$15,C45=$Q$16,C45=$Q$17))," &lt; 4 &gt; ",""))&amp;(IF(AND(F45=0,OR(C45=$Q$16,C45=$Q$17))," &lt; 5 &gt; ",""))&amp;IF(AND(G45=0,J45&gt;0)," &lt; 6 &gt; ","")&amp;IF(AND(G45&gt;0,J45=0),"Укажите сумму оплаты. ","")&amp;IF(AND(AND(G45=0,J45=0),OR($C45&lt;&gt;0,$D45&lt;&gt;0,$F45&lt;&gt;0,$G45&lt;&gt;0,$J45&gt;0))," Укажите сумму операции и сумму оплаты. ","")&amp;IF(AND(H45&gt;0,OR(C45=$Q$18,C45=$Q$19,C45=$Q$20,C45=$Q$21)),"Оплата возможна только наличными. ","")&amp;IF(AND(J45&lt;G45,OR(C45=$Q$16,C45=$Q$17,C45=$Q$18,C45=$Q$19,C45=$Q$20,C45=$Q$21)),"Возможна только полная оплата. ","")&amp;IF(AND(C45=$Q$20,G45&gt;(Старт!$G$19+$M$10)),"Указанная сумма превышает размер ЗП. ","")&amp;IF(J45&gt;G45,"Сумма оплаты превышает сумму операции. ","")&amp;IF(M45&lt;0,"Отрицательный остаток в кассе. ",""))</f>
        <v/>
      </c>
      <c r="O45" s="11">
        <f t="shared" si="0"/>
        <v>0</v>
      </c>
      <c r="P45" s="11">
        <f t="shared" si="5"/>
        <v>0</v>
      </c>
    </row>
    <row r="46" spans="1:16" ht="30" customHeight="1">
      <c r="A46" s="46">
        <f t="shared" si="6"/>
        <v>30</v>
      </c>
      <c r="B46" s="26"/>
      <c r="C46" s="6"/>
      <c r="D46" s="7"/>
      <c r="E46" s="24" t="str">
        <f t="shared" si="1"/>
        <v/>
      </c>
      <c r="F46" s="8"/>
      <c r="G46" s="9"/>
      <c r="H46" s="9"/>
      <c r="I46" s="9"/>
      <c r="J46" s="21">
        <f t="shared" si="2"/>
        <v>0</v>
      </c>
      <c r="K46" s="21">
        <f t="shared" si="3"/>
        <v>0</v>
      </c>
      <c r="L46" s="21">
        <f>IF(AND(C46=$Q$15,D46=$B$9),G46*Старт!$S$2/100,IF(AND(C46=$Q$15,D46=$B$10),G46*Старт!$S$3/100,IF(AND(C46=$Q$15,D46=$B$11),G46*Старт!$S$4/100,0)))-IF(AND(C46=$Q$17,D46=$B$9),G46*Старт!$S$2/100,IF(AND(C46=$Q$17,D46=$B$10),G46*Старт!$S$3/100,IF(AND(C46=$Q$17,D46=$B$11),G46*Старт!$S$4/100,0)))</f>
        <v>0</v>
      </c>
      <c r="M46" s="22">
        <f t="shared" si="4"/>
        <v>0</v>
      </c>
      <c r="N46" s="23" t="str">
        <f>IF(AND(OR($B46&lt;&gt;0,$C46&lt;&gt;0,$D46&lt;&gt;0,$F46&lt;&gt;0,$G46&lt;&gt;0,$J46&gt;0),OR($N$9=$Q$6,$N$9="")),"День не объявлен рабочим",IF(AND(B46=0,OR($C46&lt;&gt;0,$D46&lt;&gt;0,$F46&lt;&gt;0,$G46&lt;&gt;0,$J46&gt;0))," &lt; 2 &gt; ","")&amp;IF(AND(G46+J46&gt;0,C46="")," &lt; 3 &gt; ","")&amp;(IF(AND(D46=0,OR(C46=$Q$15,C46=$Q$16,C46=$Q$17))," &lt; 4 &gt; ",""))&amp;(IF(AND(F46=0,OR(C46=$Q$16,C46=$Q$17))," &lt; 5 &gt; ",""))&amp;IF(AND(G46=0,J46&gt;0)," &lt; 6 &gt; ","")&amp;IF(AND(G46&gt;0,J46=0),"Укажите сумму оплаты. ","")&amp;IF(AND(AND(G46=0,J46=0),OR($C46&lt;&gt;0,$D46&lt;&gt;0,$F46&lt;&gt;0,$G46&lt;&gt;0,$J46&gt;0))," Укажите сумму операции и сумму оплаты. ","")&amp;IF(AND(H46&gt;0,OR(C46=$Q$18,C46=$Q$19,C46=$Q$20,C46=$Q$21)),"Оплата возможна только наличными. ","")&amp;IF(AND(J46&lt;G46,OR(C46=$Q$16,C46=$Q$17,C46=$Q$18,C46=$Q$19,C46=$Q$20,C46=$Q$21)),"Возможна только полная оплата. ","")&amp;IF(AND(C46=$Q$20,G46&gt;(Старт!$G$19+$M$10)),"Указанная сумма превышает размер ЗП. ","")&amp;IF(J46&gt;G46,"Сумма оплаты превышает сумму операции. ","")&amp;IF(M46&lt;0,"Отрицательный остаток в кассе. ",""))</f>
        <v/>
      </c>
      <c r="O46" s="11">
        <f t="shared" si="0"/>
        <v>0</v>
      </c>
      <c r="P46" s="11">
        <f t="shared" si="5"/>
        <v>0</v>
      </c>
    </row>
    <row r="47" spans="1:16" ht="30" customHeight="1">
      <c r="A47" s="46">
        <f t="shared" si="6"/>
        <v>31</v>
      </c>
      <c r="B47" s="26"/>
      <c r="C47" s="6"/>
      <c r="D47" s="7"/>
      <c r="E47" s="24" t="str">
        <f t="shared" si="1"/>
        <v/>
      </c>
      <c r="F47" s="8"/>
      <c r="G47" s="9"/>
      <c r="H47" s="9"/>
      <c r="I47" s="9"/>
      <c r="J47" s="21">
        <f t="shared" si="2"/>
        <v>0</v>
      </c>
      <c r="K47" s="21">
        <f t="shared" si="3"/>
        <v>0</v>
      </c>
      <c r="L47" s="21">
        <f>IF(AND(C47=$Q$15,D47=$B$9),G47*Старт!$S$2/100,IF(AND(C47=$Q$15,D47=$B$10),G47*Старт!$S$3/100,IF(AND(C47=$Q$15,D47=$B$11),G47*Старт!$S$4/100,0)))-IF(AND(C47=$Q$17,D47=$B$9),G47*Старт!$S$2/100,IF(AND(C47=$Q$17,D47=$B$10),G47*Старт!$S$3/100,IF(AND(C47=$Q$17,D47=$B$11),G47*Старт!$S$4/100,0)))</f>
        <v>0</v>
      </c>
      <c r="M47" s="22">
        <f t="shared" si="4"/>
        <v>0</v>
      </c>
      <c r="N47" s="23" t="str">
        <f>IF(AND(OR($B47&lt;&gt;0,$C47&lt;&gt;0,$D47&lt;&gt;0,$F47&lt;&gt;0,$G47&lt;&gt;0,$J47&gt;0),OR($N$9=$Q$6,$N$9="")),"День не объявлен рабочим",IF(AND(B47=0,OR($C47&lt;&gt;0,$D47&lt;&gt;0,$F47&lt;&gt;0,$G47&lt;&gt;0,$J47&gt;0))," &lt; 2 &gt; ","")&amp;IF(AND(G47+J47&gt;0,C47="")," &lt; 3 &gt; ","")&amp;(IF(AND(D47=0,OR(C47=$Q$15,C47=$Q$16,C47=$Q$17))," &lt; 4 &gt; ",""))&amp;(IF(AND(F47=0,OR(C47=$Q$16,C47=$Q$17))," &lt; 5 &gt; ",""))&amp;IF(AND(G47=0,J47&gt;0)," &lt; 6 &gt; ","")&amp;IF(AND(G47&gt;0,J47=0),"Укажите сумму оплаты. ","")&amp;IF(AND(AND(G47=0,J47=0),OR($C47&lt;&gt;0,$D47&lt;&gt;0,$F47&lt;&gt;0,$G47&lt;&gt;0,$J47&gt;0))," Укажите сумму операции и сумму оплаты. ","")&amp;IF(AND(H47&gt;0,OR(C47=$Q$18,C47=$Q$19,C47=$Q$20,C47=$Q$21)),"Оплата возможна только наличными. ","")&amp;IF(AND(J47&lt;G47,OR(C47=$Q$16,C47=$Q$17,C47=$Q$18,C47=$Q$19,C47=$Q$20,C47=$Q$21)),"Возможна только полная оплата. ","")&amp;IF(AND(C47=$Q$20,G47&gt;(Старт!$G$19+$M$10)),"Указанная сумма превышает размер ЗП. ","")&amp;IF(J47&gt;G47,"Сумма оплаты превышает сумму операции. ","")&amp;IF(M47&lt;0,"Отрицательный остаток в кассе. ",""))</f>
        <v/>
      </c>
      <c r="O47" s="11">
        <f t="shared" si="0"/>
        <v>0</v>
      </c>
      <c r="P47" s="11">
        <f t="shared" si="5"/>
        <v>0</v>
      </c>
    </row>
    <row r="48" spans="1:16" ht="30" customHeight="1">
      <c r="A48" s="46">
        <f t="shared" si="6"/>
        <v>32</v>
      </c>
      <c r="B48" s="26"/>
      <c r="C48" s="6"/>
      <c r="D48" s="7"/>
      <c r="E48" s="24" t="str">
        <f t="shared" si="1"/>
        <v/>
      </c>
      <c r="F48" s="8"/>
      <c r="G48" s="9"/>
      <c r="H48" s="9"/>
      <c r="I48" s="9"/>
      <c r="J48" s="21">
        <f t="shared" si="2"/>
        <v>0</v>
      </c>
      <c r="K48" s="21">
        <f t="shared" si="3"/>
        <v>0</v>
      </c>
      <c r="L48" s="21">
        <f>IF(AND(C48=$Q$15,D48=$B$9),G48*Старт!$S$2/100,IF(AND(C48=$Q$15,D48=$B$10),G48*Старт!$S$3/100,IF(AND(C48=$Q$15,D48=$B$11),G48*Старт!$S$4/100,0)))-IF(AND(C48=$Q$17,D48=$B$9),G48*Старт!$S$2/100,IF(AND(C48=$Q$17,D48=$B$10),G48*Старт!$S$3/100,IF(AND(C48=$Q$17,D48=$B$11),G48*Старт!$S$4/100,0)))</f>
        <v>0</v>
      </c>
      <c r="M48" s="22">
        <f t="shared" si="4"/>
        <v>0</v>
      </c>
      <c r="N48" s="23" t="str">
        <f>IF(AND(OR($B48&lt;&gt;0,$C48&lt;&gt;0,$D48&lt;&gt;0,$F48&lt;&gt;0,$G48&lt;&gt;0,$J48&gt;0),OR($N$9=$Q$6,$N$9="")),"День не объявлен рабочим",IF(AND(B48=0,OR($C48&lt;&gt;0,$D48&lt;&gt;0,$F48&lt;&gt;0,$G48&lt;&gt;0,$J48&gt;0))," &lt; 2 &gt; ","")&amp;IF(AND(G48+J48&gt;0,C48="")," &lt; 3 &gt; ","")&amp;(IF(AND(D48=0,OR(C48=$Q$15,C48=$Q$16,C48=$Q$17))," &lt; 4 &gt; ",""))&amp;(IF(AND(F48=0,OR(C48=$Q$16,C48=$Q$17))," &lt; 5 &gt; ",""))&amp;IF(AND(G48=0,J48&gt;0)," &lt; 6 &gt; ","")&amp;IF(AND(G48&gt;0,J48=0),"Укажите сумму оплаты. ","")&amp;IF(AND(AND(G48=0,J48=0),OR($C48&lt;&gt;0,$D48&lt;&gt;0,$F48&lt;&gt;0,$G48&lt;&gt;0,$J48&gt;0))," Укажите сумму операции и сумму оплаты. ","")&amp;IF(AND(H48&gt;0,OR(C48=$Q$18,C48=$Q$19,C48=$Q$20,C48=$Q$21)),"Оплата возможна только наличными. ","")&amp;IF(AND(J48&lt;G48,OR(C48=$Q$16,C48=$Q$17,C48=$Q$18,C48=$Q$19,C48=$Q$20,C48=$Q$21)),"Возможна только полная оплата. ","")&amp;IF(AND(C48=$Q$20,G48&gt;(Старт!$G$19+$M$10)),"Указанная сумма превышает размер ЗП. ","")&amp;IF(J48&gt;G48,"Сумма оплаты превышает сумму операции. ","")&amp;IF(M48&lt;0,"Отрицательный остаток в кассе. ",""))</f>
        <v/>
      </c>
      <c r="O48" s="11">
        <f t="shared" si="0"/>
        <v>0</v>
      </c>
      <c r="P48" s="11">
        <f t="shared" si="5"/>
        <v>0</v>
      </c>
    </row>
    <row r="49" spans="1:16" ht="30" customHeight="1">
      <c r="A49" s="46">
        <f t="shared" si="6"/>
        <v>33</v>
      </c>
      <c r="B49" s="26"/>
      <c r="C49" s="6"/>
      <c r="D49" s="7"/>
      <c r="E49" s="24" t="str">
        <f t="shared" si="1"/>
        <v/>
      </c>
      <c r="F49" s="8"/>
      <c r="G49" s="9"/>
      <c r="H49" s="9"/>
      <c r="I49" s="9"/>
      <c r="J49" s="21">
        <f t="shared" si="2"/>
        <v>0</v>
      </c>
      <c r="K49" s="21">
        <f t="shared" si="3"/>
        <v>0</v>
      </c>
      <c r="L49" s="21">
        <f>IF(AND(C49=$Q$15,D49=$B$9),G49*Старт!$S$2/100,IF(AND(C49=$Q$15,D49=$B$10),G49*Старт!$S$3/100,IF(AND(C49=$Q$15,D49=$B$11),G49*Старт!$S$4/100,0)))-IF(AND(C49=$Q$17,D49=$B$9),G49*Старт!$S$2/100,IF(AND(C49=$Q$17,D49=$B$10),G49*Старт!$S$3/100,IF(AND(C49=$Q$17,D49=$B$11),G49*Старт!$S$4/100,0)))</f>
        <v>0</v>
      </c>
      <c r="M49" s="22">
        <f t="shared" si="4"/>
        <v>0</v>
      </c>
      <c r="N49" s="23" t="str">
        <f>IF(AND(OR($B49&lt;&gt;0,$C49&lt;&gt;0,$D49&lt;&gt;0,$F49&lt;&gt;0,$G49&lt;&gt;0,$J49&gt;0),OR($N$9=$Q$6,$N$9="")),"День не объявлен рабочим",IF(AND(B49=0,OR($C49&lt;&gt;0,$D49&lt;&gt;0,$F49&lt;&gt;0,$G49&lt;&gt;0,$J49&gt;0))," &lt; 2 &gt; ","")&amp;IF(AND(G49+J49&gt;0,C49="")," &lt; 3 &gt; ","")&amp;(IF(AND(D49=0,OR(C49=$Q$15,C49=$Q$16,C49=$Q$17))," &lt; 4 &gt; ",""))&amp;(IF(AND(F49=0,OR(C49=$Q$16,C49=$Q$17))," &lt; 5 &gt; ",""))&amp;IF(AND(G49=0,J49&gt;0)," &lt; 6 &gt; ","")&amp;IF(AND(G49&gt;0,J49=0),"Укажите сумму оплаты. ","")&amp;IF(AND(AND(G49=0,J49=0),OR($C49&lt;&gt;0,$D49&lt;&gt;0,$F49&lt;&gt;0,$G49&lt;&gt;0,$J49&gt;0))," Укажите сумму операции и сумму оплаты. ","")&amp;IF(AND(H49&gt;0,OR(C49=$Q$18,C49=$Q$19,C49=$Q$20,C49=$Q$21)),"Оплата возможна только наличными. ","")&amp;IF(AND(J49&lt;G49,OR(C49=$Q$16,C49=$Q$17,C49=$Q$18,C49=$Q$19,C49=$Q$20,C49=$Q$21)),"Возможна только полная оплата. ","")&amp;IF(AND(C49=$Q$20,G49&gt;(Старт!$G$19+$M$10)),"Указанная сумма превышает размер ЗП. ","")&amp;IF(J49&gt;G49,"Сумма оплаты превышает сумму операции. ","")&amp;IF(M49&lt;0,"Отрицательный остаток в кассе. ",""))</f>
        <v/>
      </c>
      <c r="O49" s="11">
        <f t="shared" si="0"/>
        <v>0</v>
      </c>
      <c r="P49" s="11">
        <f t="shared" si="5"/>
        <v>0</v>
      </c>
    </row>
    <row r="50" spans="1:16" ht="30" customHeight="1">
      <c r="A50" s="46">
        <f t="shared" si="6"/>
        <v>34</v>
      </c>
      <c r="B50" s="26"/>
      <c r="C50" s="6"/>
      <c r="D50" s="7"/>
      <c r="E50" s="24" t="str">
        <f t="shared" si="1"/>
        <v/>
      </c>
      <c r="F50" s="8"/>
      <c r="G50" s="9"/>
      <c r="H50" s="9"/>
      <c r="I50" s="9"/>
      <c r="J50" s="21">
        <f t="shared" si="2"/>
        <v>0</v>
      </c>
      <c r="K50" s="21">
        <f t="shared" si="3"/>
        <v>0</v>
      </c>
      <c r="L50" s="21">
        <f>IF(AND(C50=$Q$15,D50=$B$9),G50*Старт!$S$2/100,IF(AND(C50=$Q$15,D50=$B$10),G50*Старт!$S$3/100,IF(AND(C50=$Q$15,D50=$B$11),G50*Старт!$S$4/100,0)))-IF(AND(C50=$Q$17,D50=$B$9),G50*Старт!$S$2/100,IF(AND(C50=$Q$17,D50=$B$10),G50*Старт!$S$3/100,IF(AND(C50=$Q$17,D50=$B$11),G50*Старт!$S$4/100,0)))</f>
        <v>0</v>
      </c>
      <c r="M50" s="22">
        <f t="shared" si="4"/>
        <v>0</v>
      </c>
      <c r="N50" s="23" t="str">
        <f>IF(AND(OR($B50&lt;&gt;0,$C50&lt;&gt;0,$D50&lt;&gt;0,$F50&lt;&gt;0,$G50&lt;&gt;0,$J50&gt;0),OR($N$9=$Q$6,$N$9="")),"День не объявлен рабочим",IF(AND(B50=0,OR($C50&lt;&gt;0,$D50&lt;&gt;0,$F50&lt;&gt;0,$G50&lt;&gt;0,$J50&gt;0))," &lt; 2 &gt; ","")&amp;IF(AND(G50+J50&gt;0,C50="")," &lt; 3 &gt; ","")&amp;(IF(AND(D50=0,OR(C50=$Q$15,C50=$Q$16,C50=$Q$17))," &lt; 4 &gt; ",""))&amp;(IF(AND(F50=0,OR(C50=$Q$16,C50=$Q$17))," &lt; 5 &gt; ",""))&amp;IF(AND(G50=0,J50&gt;0)," &lt; 6 &gt; ","")&amp;IF(AND(G50&gt;0,J50=0),"Укажите сумму оплаты. ","")&amp;IF(AND(AND(G50=0,J50=0),OR($C50&lt;&gt;0,$D50&lt;&gt;0,$F50&lt;&gt;0,$G50&lt;&gt;0,$J50&gt;0))," Укажите сумму операции и сумму оплаты. ","")&amp;IF(AND(H50&gt;0,OR(C50=$Q$18,C50=$Q$19,C50=$Q$20,C50=$Q$21)),"Оплата возможна только наличными. ","")&amp;IF(AND(J50&lt;G50,OR(C50=$Q$16,C50=$Q$17,C50=$Q$18,C50=$Q$19,C50=$Q$20,C50=$Q$21)),"Возможна только полная оплата. ","")&amp;IF(AND(C50=$Q$20,G50&gt;(Старт!$G$19+$M$10)),"Указанная сумма превышает размер ЗП. ","")&amp;IF(J50&gt;G50,"Сумма оплаты превышает сумму операции. ","")&amp;IF(M50&lt;0,"Отрицательный остаток в кассе. ",""))</f>
        <v/>
      </c>
      <c r="O50" s="11">
        <f t="shared" si="0"/>
        <v>0</v>
      </c>
      <c r="P50" s="11">
        <f t="shared" si="5"/>
        <v>0</v>
      </c>
    </row>
    <row r="51" spans="1:16" ht="30" customHeight="1">
      <c r="A51" s="46">
        <f t="shared" si="6"/>
        <v>35</v>
      </c>
      <c r="B51" s="26"/>
      <c r="C51" s="6"/>
      <c r="D51" s="7"/>
      <c r="E51" s="24" t="str">
        <f t="shared" si="1"/>
        <v/>
      </c>
      <c r="F51" s="8"/>
      <c r="G51" s="9"/>
      <c r="H51" s="9"/>
      <c r="I51" s="9"/>
      <c r="J51" s="21">
        <f t="shared" si="2"/>
        <v>0</v>
      </c>
      <c r="K51" s="21">
        <f t="shared" si="3"/>
        <v>0</v>
      </c>
      <c r="L51" s="21">
        <f>IF(AND(C51=$Q$15,D51=$B$9),G51*Старт!$S$2/100,IF(AND(C51=$Q$15,D51=$B$10),G51*Старт!$S$3/100,IF(AND(C51=$Q$15,D51=$B$11),G51*Старт!$S$4/100,0)))-IF(AND(C51=$Q$17,D51=$B$9),G51*Старт!$S$2/100,IF(AND(C51=$Q$17,D51=$B$10),G51*Старт!$S$3/100,IF(AND(C51=$Q$17,D51=$B$11),G51*Старт!$S$4/100,0)))</f>
        <v>0</v>
      </c>
      <c r="M51" s="22">
        <f t="shared" si="4"/>
        <v>0</v>
      </c>
      <c r="N51" s="23" t="str">
        <f>IF(AND(OR($B51&lt;&gt;0,$C51&lt;&gt;0,$D51&lt;&gt;0,$F51&lt;&gt;0,$G51&lt;&gt;0,$J51&gt;0),OR($N$9=$Q$6,$N$9="")),"День не объявлен рабочим",IF(AND(B51=0,OR($C51&lt;&gt;0,$D51&lt;&gt;0,$F51&lt;&gt;0,$G51&lt;&gt;0,$J51&gt;0))," &lt; 2 &gt; ","")&amp;IF(AND(G51+J51&gt;0,C51="")," &lt; 3 &gt; ","")&amp;(IF(AND(D51=0,OR(C51=$Q$15,C51=$Q$16,C51=$Q$17))," &lt; 4 &gt; ",""))&amp;(IF(AND(F51=0,OR(C51=$Q$16,C51=$Q$17))," &lt; 5 &gt; ",""))&amp;IF(AND(G51=0,J51&gt;0)," &lt; 6 &gt; ","")&amp;IF(AND(G51&gt;0,J51=0),"Укажите сумму оплаты. ","")&amp;IF(AND(AND(G51=0,J51=0),OR($C51&lt;&gt;0,$D51&lt;&gt;0,$F51&lt;&gt;0,$G51&lt;&gt;0,$J51&gt;0))," Укажите сумму операции и сумму оплаты. ","")&amp;IF(AND(H51&gt;0,OR(C51=$Q$18,C51=$Q$19,C51=$Q$20,C51=$Q$21)),"Оплата возможна только наличными. ","")&amp;IF(AND(J51&lt;G51,OR(C51=$Q$16,C51=$Q$17,C51=$Q$18,C51=$Q$19,C51=$Q$20,C51=$Q$21)),"Возможна только полная оплата. ","")&amp;IF(AND(C51=$Q$20,G51&gt;(Старт!$G$19+$M$10)),"Указанная сумма превышает размер ЗП. ","")&amp;IF(J51&gt;G51,"Сумма оплаты превышает сумму операции. ","")&amp;IF(M51&lt;0,"Отрицательный остаток в кассе. ",""))</f>
        <v/>
      </c>
      <c r="O51" s="11">
        <f t="shared" si="0"/>
        <v>0</v>
      </c>
      <c r="P51" s="11">
        <f t="shared" si="5"/>
        <v>0</v>
      </c>
    </row>
    <row r="52" spans="1:16" ht="30" customHeight="1">
      <c r="A52" s="46">
        <f t="shared" si="6"/>
        <v>36</v>
      </c>
      <c r="B52" s="26"/>
      <c r="C52" s="6"/>
      <c r="D52" s="7"/>
      <c r="E52" s="24" t="str">
        <f t="shared" si="1"/>
        <v/>
      </c>
      <c r="F52" s="8"/>
      <c r="G52" s="9"/>
      <c r="H52" s="9"/>
      <c r="I52" s="9"/>
      <c r="J52" s="21">
        <f t="shared" si="2"/>
        <v>0</v>
      </c>
      <c r="K52" s="21">
        <f t="shared" si="3"/>
        <v>0</v>
      </c>
      <c r="L52" s="21">
        <f>IF(AND(C52=$Q$15,D52=$B$9),G52*Старт!$S$2/100,IF(AND(C52=$Q$15,D52=$B$10),G52*Старт!$S$3/100,IF(AND(C52=$Q$15,D52=$B$11),G52*Старт!$S$4/100,0)))-IF(AND(C52=$Q$17,D52=$B$9),G52*Старт!$S$2/100,IF(AND(C52=$Q$17,D52=$B$10),G52*Старт!$S$3/100,IF(AND(C52=$Q$17,D52=$B$11),G52*Старт!$S$4/100,0)))</f>
        <v>0</v>
      </c>
      <c r="M52" s="22">
        <f t="shared" si="4"/>
        <v>0</v>
      </c>
      <c r="N52" s="23" t="str">
        <f>IF(AND(OR($B52&lt;&gt;0,$C52&lt;&gt;0,$D52&lt;&gt;0,$F52&lt;&gt;0,$G52&lt;&gt;0,$J52&gt;0),OR($N$9=$Q$6,$N$9="")),"День не объявлен рабочим",IF(AND(B52=0,OR($C52&lt;&gt;0,$D52&lt;&gt;0,$F52&lt;&gt;0,$G52&lt;&gt;0,$J52&gt;0))," &lt; 2 &gt; ","")&amp;IF(AND(G52+J52&gt;0,C52="")," &lt; 3 &gt; ","")&amp;(IF(AND(D52=0,OR(C52=$Q$15,C52=$Q$16,C52=$Q$17))," &lt; 4 &gt; ",""))&amp;(IF(AND(F52=0,OR(C52=$Q$16,C52=$Q$17))," &lt; 5 &gt; ",""))&amp;IF(AND(G52=0,J52&gt;0)," &lt; 6 &gt; ","")&amp;IF(AND(G52&gt;0,J52=0),"Укажите сумму оплаты. ","")&amp;IF(AND(AND(G52=0,J52=0),OR($C52&lt;&gt;0,$D52&lt;&gt;0,$F52&lt;&gt;0,$G52&lt;&gt;0,$J52&gt;0))," Укажите сумму операции и сумму оплаты. ","")&amp;IF(AND(H52&gt;0,OR(C52=$Q$18,C52=$Q$19,C52=$Q$20,C52=$Q$21)),"Оплата возможна только наличными. ","")&amp;IF(AND(J52&lt;G52,OR(C52=$Q$16,C52=$Q$17,C52=$Q$18,C52=$Q$19,C52=$Q$20,C52=$Q$21)),"Возможна только полная оплата. ","")&amp;IF(AND(C52=$Q$20,G52&gt;(Старт!$G$19+$M$10)),"Указанная сумма превышает размер ЗП. ","")&amp;IF(J52&gt;G52,"Сумма оплаты превышает сумму операции. ","")&amp;IF(M52&lt;0,"Отрицательный остаток в кассе. ",""))</f>
        <v/>
      </c>
      <c r="O52" s="11">
        <f t="shared" si="0"/>
        <v>0</v>
      </c>
      <c r="P52" s="11">
        <f t="shared" si="5"/>
        <v>0</v>
      </c>
    </row>
    <row r="53" spans="1:16" ht="30" customHeight="1">
      <c r="A53" s="46">
        <f t="shared" si="6"/>
        <v>37</v>
      </c>
      <c r="B53" s="26"/>
      <c r="C53" s="6"/>
      <c r="D53" s="7"/>
      <c r="E53" s="24" t="str">
        <f t="shared" si="1"/>
        <v/>
      </c>
      <c r="F53" s="8"/>
      <c r="G53" s="9"/>
      <c r="H53" s="9"/>
      <c r="I53" s="9"/>
      <c r="J53" s="21">
        <f t="shared" si="2"/>
        <v>0</v>
      </c>
      <c r="K53" s="21">
        <f t="shared" si="3"/>
        <v>0</v>
      </c>
      <c r="L53" s="21">
        <f>IF(AND(C53=$Q$15,D53=$B$9),G53*Старт!$S$2/100,IF(AND(C53=$Q$15,D53=$B$10),G53*Старт!$S$3/100,IF(AND(C53=$Q$15,D53=$B$11),G53*Старт!$S$4/100,0)))-IF(AND(C53=$Q$17,D53=$B$9),G53*Старт!$S$2/100,IF(AND(C53=$Q$17,D53=$B$10),G53*Старт!$S$3/100,IF(AND(C53=$Q$17,D53=$B$11),G53*Старт!$S$4/100,0)))</f>
        <v>0</v>
      </c>
      <c r="M53" s="22">
        <f t="shared" si="4"/>
        <v>0</v>
      </c>
      <c r="N53" s="23" t="str">
        <f>IF(AND(OR($B53&lt;&gt;0,$C53&lt;&gt;0,$D53&lt;&gt;0,$F53&lt;&gt;0,$G53&lt;&gt;0,$J53&gt;0),OR($N$9=$Q$6,$N$9="")),"День не объявлен рабочим",IF(AND(B53=0,OR($C53&lt;&gt;0,$D53&lt;&gt;0,$F53&lt;&gt;0,$G53&lt;&gt;0,$J53&gt;0))," &lt; 2 &gt; ","")&amp;IF(AND(G53+J53&gt;0,C53="")," &lt; 3 &gt; ","")&amp;(IF(AND(D53=0,OR(C53=$Q$15,C53=$Q$16,C53=$Q$17))," &lt; 4 &gt; ",""))&amp;(IF(AND(F53=0,OR(C53=$Q$16,C53=$Q$17))," &lt; 5 &gt; ",""))&amp;IF(AND(G53=0,J53&gt;0)," &lt; 6 &gt; ","")&amp;IF(AND(G53&gt;0,J53=0),"Укажите сумму оплаты. ","")&amp;IF(AND(AND(G53=0,J53=0),OR($C53&lt;&gt;0,$D53&lt;&gt;0,$F53&lt;&gt;0,$G53&lt;&gt;0,$J53&gt;0))," Укажите сумму операции и сумму оплаты. ","")&amp;IF(AND(H53&gt;0,OR(C53=$Q$18,C53=$Q$19,C53=$Q$20,C53=$Q$21)),"Оплата возможна только наличными. ","")&amp;IF(AND(J53&lt;G53,OR(C53=$Q$16,C53=$Q$17,C53=$Q$18,C53=$Q$19,C53=$Q$20,C53=$Q$21)),"Возможна только полная оплата. ","")&amp;IF(AND(C53=$Q$20,G53&gt;(Старт!$G$19+$M$10)),"Указанная сумма превышает размер ЗП. ","")&amp;IF(J53&gt;G53,"Сумма оплаты превышает сумму операции. ","")&amp;IF(M53&lt;0,"Отрицательный остаток в кассе. ",""))</f>
        <v/>
      </c>
      <c r="O53" s="11">
        <f t="shared" si="0"/>
        <v>0</v>
      </c>
      <c r="P53" s="11">
        <f t="shared" si="5"/>
        <v>0</v>
      </c>
    </row>
    <row r="54" spans="1:16" ht="30" customHeight="1">
      <c r="A54" s="46">
        <f t="shared" si="6"/>
        <v>38</v>
      </c>
      <c r="B54" s="26"/>
      <c r="C54" s="6"/>
      <c r="D54" s="7"/>
      <c r="E54" s="24" t="str">
        <f t="shared" si="1"/>
        <v/>
      </c>
      <c r="F54" s="8"/>
      <c r="G54" s="9"/>
      <c r="H54" s="9"/>
      <c r="I54" s="9"/>
      <c r="J54" s="21">
        <f t="shared" si="2"/>
        <v>0</v>
      </c>
      <c r="K54" s="21">
        <f t="shared" si="3"/>
        <v>0</v>
      </c>
      <c r="L54" s="21">
        <f>IF(AND(C54=$Q$15,D54=$B$9),G54*Старт!$S$2/100,IF(AND(C54=$Q$15,D54=$B$10),G54*Старт!$S$3/100,IF(AND(C54=$Q$15,D54=$B$11),G54*Старт!$S$4/100,0)))-IF(AND(C54=$Q$17,D54=$B$9),G54*Старт!$S$2/100,IF(AND(C54=$Q$17,D54=$B$10),G54*Старт!$S$3/100,IF(AND(C54=$Q$17,D54=$B$11),G54*Старт!$S$4/100,0)))</f>
        <v>0</v>
      </c>
      <c r="M54" s="22">
        <f t="shared" si="4"/>
        <v>0</v>
      </c>
      <c r="N54" s="23" t="str">
        <f>IF(AND(OR($B54&lt;&gt;0,$C54&lt;&gt;0,$D54&lt;&gt;0,$F54&lt;&gt;0,$G54&lt;&gt;0,$J54&gt;0),OR($N$9=$Q$6,$N$9="")),"День не объявлен рабочим",IF(AND(B54=0,OR($C54&lt;&gt;0,$D54&lt;&gt;0,$F54&lt;&gt;0,$G54&lt;&gt;0,$J54&gt;0))," &lt; 2 &gt; ","")&amp;IF(AND(G54+J54&gt;0,C54="")," &lt; 3 &gt; ","")&amp;(IF(AND(D54=0,OR(C54=$Q$15,C54=$Q$16,C54=$Q$17))," &lt; 4 &gt; ",""))&amp;(IF(AND(F54=0,OR(C54=$Q$16,C54=$Q$17))," &lt; 5 &gt; ",""))&amp;IF(AND(G54=0,J54&gt;0)," &lt; 6 &gt; ","")&amp;IF(AND(G54&gt;0,J54=0),"Укажите сумму оплаты. ","")&amp;IF(AND(AND(G54=0,J54=0),OR($C54&lt;&gt;0,$D54&lt;&gt;0,$F54&lt;&gt;0,$G54&lt;&gt;0,$J54&gt;0))," Укажите сумму операции и сумму оплаты. ","")&amp;IF(AND(H54&gt;0,OR(C54=$Q$18,C54=$Q$19,C54=$Q$20,C54=$Q$21)),"Оплата возможна только наличными. ","")&amp;IF(AND(J54&lt;G54,OR(C54=$Q$16,C54=$Q$17,C54=$Q$18,C54=$Q$19,C54=$Q$20,C54=$Q$21)),"Возможна только полная оплата. ","")&amp;IF(AND(C54=$Q$20,G54&gt;(Старт!$G$19+$M$10)),"Указанная сумма превышает размер ЗП. ","")&amp;IF(J54&gt;G54,"Сумма оплаты превышает сумму операции. ","")&amp;IF(M54&lt;0,"Отрицательный остаток в кассе. ",""))</f>
        <v/>
      </c>
      <c r="O54" s="11">
        <f t="shared" si="0"/>
        <v>0</v>
      </c>
      <c r="P54" s="11">
        <f t="shared" si="5"/>
        <v>0</v>
      </c>
    </row>
    <row r="55" spans="1:16" ht="30" customHeight="1">
      <c r="A55" s="46">
        <f t="shared" si="6"/>
        <v>39</v>
      </c>
      <c r="B55" s="26"/>
      <c r="C55" s="6"/>
      <c r="D55" s="7"/>
      <c r="E55" s="24" t="str">
        <f t="shared" si="1"/>
        <v/>
      </c>
      <c r="F55" s="8"/>
      <c r="G55" s="9"/>
      <c r="H55" s="9"/>
      <c r="I55" s="9"/>
      <c r="J55" s="21">
        <f t="shared" si="2"/>
        <v>0</v>
      </c>
      <c r="K55" s="21">
        <f t="shared" si="3"/>
        <v>0</v>
      </c>
      <c r="L55" s="21">
        <f>IF(AND(C55=$Q$15,D55=$B$9),G55*Старт!$S$2/100,IF(AND(C55=$Q$15,D55=$B$10),G55*Старт!$S$3/100,IF(AND(C55=$Q$15,D55=$B$11),G55*Старт!$S$4/100,0)))-IF(AND(C55=$Q$17,D55=$B$9),G55*Старт!$S$2/100,IF(AND(C55=$Q$17,D55=$B$10),G55*Старт!$S$3/100,IF(AND(C55=$Q$17,D55=$B$11),G55*Старт!$S$4/100,0)))</f>
        <v>0</v>
      </c>
      <c r="M55" s="22">
        <f t="shared" si="4"/>
        <v>0</v>
      </c>
      <c r="N55" s="23" t="str">
        <f>IF(AND(OR($B55&lt;&gt;0,$C55&lt;&gt;0,$D55&lt;&gt;0,$F55&lt;&gt;0,$G55&lt;&gt;0,$J55&gt;0),OR($N$9=$Q$6,$N$9="")),"День не объявлен рабочим",IF(AND(B55=0,OR($C55&lt;&gt;0,$D55&lt;&gt;0,$F55&lt;&gt;0,$G55&lt;&gt;0,$J55&gt;0))," &lt; 2 &gt; ","")&amp;IF(AND(G55+J55&gt;0,C55="")," &lt; 3 &gt; ","")&amp;(IF(AND(D55=0,OR(C55=$Q$15,C55=$Q$16,C55=$Q$17))," &lt; 4 &gt; ",""))&amp;(IF(AND(F55=0,OR(C55=$Q$16,C55=$Q$17))," &lt; 5 &gt; ",""))&amp;IF(AND(G55=0,J55&gt;0)," &lt; 6 &gt; ","")&amp;IF(AND(G55&gt;0,J55=0),"Укажите сумму оплаты. ","")&amp;IF(AND(AND(G55=0,J55=0),OR($C55&lt;&gt;0,$D55&lt;&gt;0,$F55&lt;&gt;0,$G55&lt;&gt;0,$J55&gt;0))," Укажите сумму операции и сумму оплаты. ","")&amp;IF(AND(H55&gt;0,OR(C55=$Q$18,C55=$Q$19,C55=$Q$20,C55=$Q$21)),"Оплата возможна только наличными. ","")&amp;IF(AND(J55&lt;G55,OR(C55=$Q$16,C55=$Q$17,C55=$Q$18,C55=$Q$19,C55=$Q$20,C55=$Q$21)),"Возможна только полная оплата. ","")&amp;IF(AND(C55=$Q$20,G55&gt;(Старт!$G$19+$M$10)),"Указанная сумма превышает размер ЗП. ","")&amp;IF(J55&gt;G55,"Сумма оплаты превышает сумму операции. ","")&amp;IF(M55&lt;0,"Отрицательный остаток в кассе. ",""))</f>
        <v/>
      </c>
      <c r="O55" s="11">
        <f t="shared" si="0"/>
        <v>0</v>
      </c>
      <c r="P55" s="11">
        <f t="shared" si="5"/>
        <v>0</v>
      </c>
    </row>
    <row r="56" spans="1:16" ht="30" customHeight="1">
      <c r="A56" s="46">
        <f t="shared" si="6"/>
        <v>40</v>
      </c>
      <c r="B56" s="26"/>
      <c r="C56" s="6"/>
      <c r="D56" s="7"/>
      <c r="E56" s="24" t="str">
        <f t="shared" si="1"/>
        <v/>
      </c>
      <c r="F56" s="8"/>
      <c r="G56" s="9"/>
      <c r="H56" s="9"/>
      <c r="I56" s="9"/>
      <c r="J56" s="21">
        <f t="shared" si="2"/>
        <v>0</v>
      </c>
      <c r="K56" s="21">
        <f t="shared" si="3"/>
        <v>0</v>
      </c>
      <c r="L56" s="21">
        <f>IF(AND(C56=$Q$15,D56=$B$9),G56*Старт!$S$2/100,IF(AND(C56=$Q$15,D56=$B$10),G56*Старт!$S$3/100,IF(AND(C56=$Q$15,D56=$B$11),G56*Старт!$S$4/100,0)))-IF(AND(C56=$Q$17,D56=$B$9),G56*Старт!$S$2/100,IF(AND(C56=$Q$17,D56=$B$10),G56*Старт!$S$3/100,IF(AND(C56=$Q$17,D56=$B$11),G56*Старт!$S$4/100,0)))</f>
        <v>0</v>
      </c>
      <c r="M56" s="22">
        <f t="shared" si="4"/>
        <v>0</v>
      </c>
      <c r="N56" s="23" t="str">
        <f>IF(AND(OR($B56&lt;&gt;0,$C56&lt;&gt;0,$D56&lt;&gt;0,$F56&lt;&gt;0,$G56&lt;&gt;0,$J56&gt;0),OR($N$9=$Q$6,$N$9="")),"День не объявлен рабочим",IF(AND(B56=0,OR($C56&lt;&gt;0,$D56&lt;&gt;0,$F56&lt;&gt;0,$G56&lt;&gt;0,$J56&gt;0))," &lt; 2 &gt; ","")&amp;IF(AND(G56+J56&gt;0,C56="")," &lt; 3 &gt; ","")&amp;(IF(AND(D56=0,OR(C56=$Q$15,C56=$Q$16,C56=$Q$17))," &lt; 4 &gt; ",""))&amp;(IF(AND(F56=0,OR(C56=$Q$16,C56=$Q$17))," &lt; 5 &gt; ",""))&amp;IF(AND(G56=0,J56&gt;0)," &lt; 6 &gt; ","")&amp;IF(AND(G56&gt;0,J56=0),"Укажите сумму оплаты. ","")&amp;IF(AND(AND(G56=0,J56=0),OR($C56&lt;&gt;0,$D56&lt;&gt;0,$F56&lt;&gt;0,$G56&lt;&gt;0,$J56&gt;0))," Укажите сумму операции и сумму оплаты. ","")&amp;IF(AND(H56&gt;0,OR(C56=$Q$18,C56=$Q$19,C56=$Q$20,C56=$Q$21)),"Оплата возможна только наличными. ","")&amp;IF(AND(J56&lt;G56,OR(C56=$Q$16,C56=$Q$17,C56=$Q$18,C56=$Q$19,C56=$Q$20,C56=$Q$21)),"Возможна только полная оплата. ","")&amp;IF(AND(C56=$Q$20,G56&gt;(Старт!$G$19+$M$10)),"Указанная сумма превышает размер ЗП. ","")&amp;IF(J56&gt;G56,"Сумма оплаты превышает сумму операции. ","")&amp;IF(M56&lt;0,"Отрицательный остаток в кассе. ",""))</f>
        <v/>
      </c>
      <c r="O56" s="11">
        <f t="shared" si="0"/>
        <v>0</v>
      </c>
      <c r="P56" s="11">
        <f t="shared" si="5"/>
        <v>0</v>
      </c>
    </row>
    <row r="57" spans="1:16" ht="30" customHeight="1">
      <c r="A57" s="46">
        <f t="shared" si="6"/>
        <v>41</v>
      </c>
      <c r="B57" s="26"/>
      <c r="C57" s="6"/>
      <c r="D57" s="7"/>
      <c r="E57" s="24" t="str">
        <f t="shared" si="1"/>
        <v/>
      </c>
      <c r="F57" s="8"/>
      <c r="G57" s="9"/>
      <c r="H57" s="9"/>
      <c r="I57" s="9"/>
      <c r="J57" s="21">
        <f t="shared" si="2"/>
        <v>0</v>
      </c>
      <c r="K57" s="21">
        <f t="shared" si="3"/>
        <v>0</v>
      </c>
      <c r="L57" s="21">
        <f>IF(AND(C57=$Q$15,D57=$B$9),G57*Старт!$S$2/100,IF(AND(C57=$Q$15,D57=$B$10),G57*Старт!$S$3/100,IF(AND(C57=$Q$15,D57=$B$11),G57*Старт!$S$4/100,0)))-IF(AND(C57=$Q$17,D57=$B$9),G57*Старт!$S$2/100,IF(AND(C57=$Q$17,D57=$B$10),G57*Старт!$S$3/100,IF(AND(C57=$Q$17,D57=$B$11),G57*Старт!$S$4/100,0)))</f>
        <v>0</v>
      </c>
      <c r="M57" s="22">
        <f t="shared" si="4"/>
        <v>0</v>
      </c>
      <c r="N57" s="23" t="str">
        <f>IF(AND(OR($B57&lt;&gt;0,$C57&lt;&gt;0,$D57&lt;&gt;0,$F57&lt;&gt;0,$G57&lt;&gt;0,$J57&gt;0),OR($N$9=$Q$6,$N$9="")),"День не объявлен рабочим",IF(AND(B57=0,OR($C57&lt;&gt;0,$D57&lt;&gt;0,$F57&lt;&gt;0,$G57&lt;&gt;0,$J57&gt;0))," &lt; 2 &gt; ","")&amp;IF(AND(G57+J57&gt;0,C57="")," &lt; 3 &gt; ","")&amp;(IF(AND(D57=0,OR(C57=$Q$15,C57=$Q$16,C57=$Q$17))," &lt; 4 &gt; ",""))&amp;(IF(AND(F57=0,OR(C57=$Q$16,C57=$Q$17))," &lt; 5 &gt; ",""))&amp;IF(AND(G57=0,J57&gt;0)," &lt; 6 &gt; ","")&amp;IF(AND(G57&gt;0,J57=0),"Укажите сумму оплаты. ","")&amp;IF(AND(AND(G57=0,J57=0),OR($C57&lt;&gt;0,$D57&lt;&gt;0,$F57&lt;&gt;0,$G57&lt;&gt;0,$J57&gt;0))," Укажите сумму операции и сумму оплаты. ","")&amp;IF(AND(H57&gt;0,OR(C57=$Q$18,C57=$Q$19,C57=$Q$20,C57=$Q$21)),"Оплата возможна только наличными. ","")&amp;IF(AND(J57&lt;G57,OR(C57=$Q$16,C57=$Q$17,C57=$Q$18,C57=$Q$19,C57=$Q$20,C57=$Q$21)),"Возможна только полная оплата. ","")&amp;IF(AND(C57=$Q$20,G57&gt;(Старт!$G$19+$M$10)),"Указанная сумма превышает размер ЗП. ","")&amp;IF(J57&gt;G57,"Сумма оплаты превышает сумму операции. ","")&amp;IF(M57&lt;0,"Отрицательный остаток в кассе. ",""))</f>
        <v/>
      </c>
      <c r="O57" s="11">
        <f t="shared" si="0"/>
        <v>0</v>
      </c>
      <c r="P57" s="11">
        <f t="shared" si="5"/>
        <v>0</v>
      </c>
    </row>
    <row r="58" spans="1:16" ht="30" customHeight="1">
      <c r="A58" s="46">
        <f t="shared" si="6"/>
        <v>42</v>
      </c>
      <c r="B58" s="26"/>
      <c r="C58" s="6"/>
      <c r="D58" s="7"/>
      <c r="E58" s="24" t="str">
        <f t="shared" si="1"/>
        <v/>
      </c>
      <c r="F58" s="8"/>
      <c r="G58" s="9"/>
      <c r="H58" s="9"/>
      <c r="I58" s="9"/>
      <c r="J58" s="21">
        <f t="shared" si="2"/>
        <v>0</v>
      </c>
      <c r="K58" s="21">
        <f t="shared" si="3"/>
        <v>0</v>
      </c>
      <c r="L58" s="21">
        <f>IF(AND(C58=$Q$15,D58=$B$9),G58*Старт!$S$2/100,IF(AND(C58=$Q$15,D58=$B$10),G58*Старт!$S$3/100,IF(AND(C58=$Q$15,D58=$B$11),G58*Старт!$S$4/100,0)))-IF(AND(C58=$Q$17,D58=$B$9),G58*Старт!$S$2/100,IF(AND(C58=$Q$17,D58=$B$10),G58*Старт!$S$3/100,IF(AND(C58=$Q$17,D58=$B$11),G58*Старт!$S$4/100,0)))</f>
        <v>0</v>
      </c>
      <c r="M58" s="22">
        <f t="shared" si="4"/>
        <v>0</v>
      </c>
      <c r="N58" s="23" t="str">
        <f>IF(AND(OR($B58&lt;&gt;0,$C58&lt;&gt;0,$D58&lt;&gt;0,$F58&lt;&gt;0,$G58&lt;&gt;0,$J58&gt;0),OR($N$9=$Q$6,$N$9="")),"День не объявлен рабочим",IF(AND(B58=0,OR($C58&lt;&gt;0,$D58&lt;&gt;0,$F58&lt;&gt;0,$G58&lt;&gt;0,$J58&gt;0))," &lt; 2 &gt; ","")&amp;IF(AND(G58+J58&gt;0,C58="")," &lt; 3 &gt; ","")&amp;(IF(AND(D58=0,OR(C58=$Q$15,C58=$Q$16,C58=$Q$17))," &lt; 4 &gt; ",""))&amp;(IF(AND(F58=0,OR(C58=$Q$16,C58=$Q$17))," &lt; 5 &gt; ",""))&amp;IF(AND(G58=0,J58&gt;0)," &lt; 6 &gt; ","")&amp;IF(AND(G58&gt;0,J58=0),"Укажите сумму оплаты. ","")&amp;IF(AND(AND(G58=0,J58=0),OR($C58&lt;&gt;0,$D58&lt;&gt;0,$F58&lt;&gt;0,$G58&lt;&gt;0,$J58&gt;0))," Укажите сумму операции и сумму оплаты. ","")&amp;IF(AND(H58&gt;0,OR(C58=$Q$18,C58=$Q$19,C58=$Q$20,C58=$Q$21)),"Оплата возможна только наличными. ","")&amp;IF(AND(J58&lt;G58,OR(C58=$Q$16,C58=$Q$17,C58=$Q$18,C58=$Q$19,C58=$Q$20,C58=$Q$21)),"Возможна только полная оплата. ","")&amp;IF(AND(C58=$Q$20,G58&gt;(Старт!$G$19+$M$10)),"Указанная сумма превышает размер ЗП. ","")&amp;IF(J58&gt;G58,"Сумма оплаты превышает сумму операции. ","")&amp;IF(M58&lt;0,"Отрицательный остаток в кассе. ",""))</f>
        <v/>
      </c>
      <c r="O58" s="11">
        <f t="shared" si="0"/>
        <v>0</v>
      </c>
      <c r="P58" s="11">
        <f t="shared" si="5"/>
        <v>0</v>
      </c>
    </row>
    <row r="59" spans="1:16" ht="30" customHeight="1">
      <c r="A59" s="46">
        <f t="shared" si="6"/>
        <v>43</v>
      </c>
      <c r="B59" s="26"/>
      <c r="C59" s="6"/>
      <c r="D59" s="7"/>
      <c r="E59" s="24" t="str">
        <f t="shared" si="1"/>
        <v/>
      </c>
      <c r="F59" s="8"/>
      <c r="G59" s="9"/>
      <c r="H59" s="9"/>
      <c r="I59" s="9"/>
      <c r="J59" s="21">
        <f t="shared" si="2"/>
        <v>0</v>
      </c>
      <c r="K59" s="21">
        <f t="shared" si="3"/>
        <v>0</v>
      </c>
      <c r="L59" s="21">
        <f>IF(AND(C59=$Q$15,D59=$B$9),G59*Старт!$S$2/100,IF(AND(C59=$Q$15,D59=$B$10),G59*Старт!$S$3/100,IF(AND(C59=$Q$15,D59=$B$11),G59*Старт!$S$4/100,0)))-IF(AND(C59=$Q$17,D59=$B$9),G59*Старт!$S$2/100,IF(AND(C59=$Q$17,D59=$B$10),G59*Старт!$S$3/100,IF(AND(C59=$Q$17,D59=$B$11),G59*Старт!$S$4/100,0)))</f>
        <v>0</v>
      </c>
      <c r="M59" s="22">
        <f t="shared" si="4"/>
        <v>0</v>
      </c>
      <c r="N59" s="23" t="str">
        <f>IF(AND(OR($B59&lt;&gt;0,$C59&lt;&gt;0,$D59&lt;&gt;0,$F59&lt;&gt;0,$G59&lt;&gt;0,$J59&gt;0),OR($N$9=$Q$6,$N$9="")),"День не объявлен рабочим",IF(AND(B59=0,OR($C59&lt;&gt;0,$D59&lt;&gt;0,$F59&lt;&gt;0,$G59&lt;&gt;0,$J59&gt;0))," &lt; 2 &gt; ","")&amp;IF(AND(G59+J59&gt;0,C59="")," &lt; 3 &gt; ","")&amp;(IF(AND(D59=0,OR(C59=$Q$15,C59=$Q$16,C59=$Q$17))," &lt; 4 &gt; ",""))&amp;(IF(AND(F59=0,OR(C59=$Q$16,C59=$Q$17))," &lt; 5 &gt; ",""))&amp;IF(AND(G59=0,J59&gt;0)," &lt; 6 &gt; ","")&amp;IF(AND(G59&gt;0,J59=0),"Укажите сумму оплаты. ","")&amp;IF(AND(AND(G59=0,J59=0),OR($C59&lt;&gt;0,$D59&lt;&gt;0,$F59&lt;&gt;0,$G59&lt;&gt;0,$J59&gt;0))," Укажите сумму операции и сумму оплаты. ","")&amp;IF(AND(H59&gt;0,OR(C59=$Q$18,C59=$Q$19,C59=$Q$20,C59=$Q$21)),"Оплата возможна только наличными. ","")&amp;IF(AND(J59&lt;G59,OR(C59=$Q$16,C59=$Q$17,C59=$Q$18,C59=$Q$19,C59=$Q$20,C59=$Q$21)),"Возможна только полная оплата. ","")&amp;IF(AND(C59=$Q$20,G59&gt;(Старт!$G$19+$M$10)),"Указанная сумма превышает размер ЗП. ","")&amp;IF(J59&gt;G59,"Сумма оплаты превышает сумму операции. ","")&amp;IF(M59&lt;0,"Отрицательный остаток в кассе. ",""))</f>
        <v/>
      </c>
      <c r="O59" s="11">
        <f t="shared" si="0"/>
        <v>0</v>
      </c>
      <c r="P59" s="11">
        <f t="shared" si="5"/>
        <v>0</v>
      </c>
    </row>
    <row r="60" spans="1:16" ht="30" customHeight="1">
      <c r="A60" s="46">
        <f t="shared" si="6"/>
        <v>44</v>
      </c>
      <c r="B60" s="26"/>
      <c r="C60" s="6"/>
      <c r="D60" s="7"/>
      <c r="E60" s="24" t="str">
        <f t="shared" si="1"/>
        <v/>
      </c>
      <c r="F60" s="8"/>
      <c r="G60" s="9"/>
      <c r="H60" s="9"/>
      <c r="I60" s="9"/>
      <c r="J60" s="21">
        <f t="shared" si="2"/>
        <v>0</v>
      </c>
      <c r="K60" s="21">
        <f t="shared" si="3"/>
        <v>0</v>
      </c>
      <c r="L60" s="21">
        <f>IF(AND(C60=$Q$15,D60=$B$9),G60*Старт!$S$2/100,IF(AND(C60=$Q$15,D60=$B$10),G60*Старт!$S$3/100,IF(AND(C60=$Q$15,D60=$B$11),G60*Старт!$S$4/100,0)))-IF(AND(C60=$Q$17,D60=$B$9),G60*Старт!$S$2/100,IF(AND(C60=$Q$17,D60=$B$10),G60*Старт!$S$3/100,IF(AND(C60=$Q$17,D60=$B$11),G60*Старт!$S$4/100,0)))</f>
        <v>0</v>
      </c>
      <c r="M60" s="22">
        <f t="shared" si="4"/>
        <v>0</v>
      </c>
      <c r="N60" s="23" t="str">
        <f>IF(AND(OR($B60&lt;&gt;0,$C60&lt;&gt;0,$D60&lt;&gt;0,$F60&lt;&gt;0,$G60&lt;&gt;0,$J60&gt;0),OR($N$9=$Q$6,$N$9="")),"День не объявлен рабочим",IF(AND(B60=0,OR($C60&lt;&gt;0,$D60&lt;&gt;0,$F60&lt;&gt;0,$G60&lt;&gt;0,$J60&gt;0))," &lt; 2 &gt; ","")&amp;IF(AND(G60+J60&gt;0,C60="")," &lt; 3 &gt; ","")&amp;(IF(AND(D60=0,OR(C60=$Q$15,C60=$Q$16,C60=$Q$17))," &lt; 4 &gt; ",""))&amp;(IF(AND(F60=0,OR(C60=$Q$16,C60=$Q$17))," &lt; 5 &gt; ",""))&amp;IF(AND(G60=0,J60&gt;0)," &lt; 6 &gt; ","")&amp;IF(AND(G60&gt;0,J60=0),"Укажите сумму оплаты. ","")&amp;IF(AND(AND(G60=0,J60=0),OR($C60&lt;&gt;0,$D60&lt;&gt;0,$F60&lt;&gt;0,$G60&lt;&gt;0,$J60&gt;0))," Укажите сумму операции и сумму оплаты. ","")&amp;IF(AND(H60&gt;0,OR(C60=$Q$18,C60=$Q$19,C60=$Q$20,C60=$Q$21)),"Оплата возможна только наличными. ","")&amp;IF(AND(J60&lt;G60,OR(C60=$Q$16,C60=$Q$17,C60=$Q$18,C60=$Q$19,C60=$Q$20,C60=$Q$21)),"Возможна только полная оплата. ","")&amp;IF(AND(C60=$Q$20,G60&gt;(Старт!$G$19+$M$10)),"Указанная сумма превышает размер ЗП. ","")&amp;IF(J60&gt;G60,"Сумма оплаты превышает сумму операции. ","")&amp;IF(M60&lt;0,"Отрицательный остаток в кассе. ",""))</f>
        <v/>
      </c>
      <c r="O60" s="11">
        <f t="shared" si="0"/>
        <v>0</v>
      </c>
      <c r="P60" s="11">
        <f t="shared" si="5"/>
        <v>0</v>
      </c>
    </row>
    <row r="61" spans="1:16" ht="30" customHeight="1">
      <c r="A61" s="46">
        <f t="shared" si="6"/>
        <v>45</v>
      </c>
      <c r="B61" s="26"/>
      <c r="C61" s="6"/>
      <c r="D61" s="7"/>
      <c r="E61" s="24" t="str">
        <f t="shared" si="1"/>
        <v/>
      </c>
      <c r="F61" s="8"/>
      <c r="G61" s="9"/>
      <c r="H61" s="9"/>
      <c r="I61" s="9"/>
      <c r="J61" s="21">
        <f t="shared" si="2"/>
        <v>0</v>
      </c>
      <c r="K61" s="21">
        <f t="shared" si="3"/>
        <v>0</v>
      </c>
      <c r="L61" s="21">
        <f>IF(AND(C61=$Q$15,D61=$B$9),G61*Старт!$S$2/100,IF(AND(C61=$Q$15,D61=$B$10),G61*Старт!$S$3/100,IF(AND(C61=$Q$15,D61=$B$11),G61*Старт!$S$4/100,0)))-IF(AND(C61=$Q$17,D61=$B$9),G61*Старт!$S$2/100,IF(AND(C61=$Q$17,D61=$B$10),G61*Старт!$S$3/100,IF(AND(C61=$Q$17,D61=$B$11),G61*Старт!$S$4/100,0)))</f>
        <v>0</v>
      </c>
      <c r="M61" s="22">
        <f t="shared" si="4"/>
        <v>0</v>
      </c>
      <c r="N61" s="23" t="str">
        <f>IF(AND(OR($B61&lt;&gt;0,$C61&lt;&gt;0,$D61&lt;&gt;0,$F61&lt;&gt;0,$G61&lt;&gt;0,$J61&gt;0),OR($N$9=$Q$6,$N$9="")),"День не объявлен рабочим",IF(AND(B61=0,OR($C61&lt;&gt;0,$D61&lt;&gt;0,$F61&lt;&gt;0,$G61&lt;&gt;0,$J61&gt;0))," &lt; 2 &gt; ","")&amp;IF(AND(G61+J61&gt;0,C61="")," &lt; 3 &gt; ","")&amp;(IF(AND(D61=0,OR(C61=$Q$15,C61=$Q$16,C61=$Q$17))," &lt; 4 &gt; ",""))&amp;(IF(AND(F61=0,OR(C61=$Q$16,C61=$Q$17))," &lt; 5 &gt; ",""))&amp;IF(AND(G61=0,J61&gt;0)," &lt; 6 &gt; ","")&amp;IF(AND(G61&gt;0,J61=0),"Укажите сумму оплаты. ","")&amp;IF(AND(AND(G61=0,J61=0),OR($C61&lt;&gt;0,$D61&lt;&gt;0,$F61&lt;&gt;0,$G61&lt;&gt;0,$J61&gt;0))," Укажите сумму операции и сумму оплаты. ","")&amp;IF(AND(H61&gt;0,OR(C61=$Q$18,C61=$Q$19,C61=$Q$20,C61=$Q$21)),"Оплата возможна только наличными. ","")&amp;IF(AND(J61&lt;G61,OR(C61=$Q$16,C61=$Q$17,C61=$Q$18,C61=$Q$19,C61=$Q$20,C61=$Q$21)),"Возможна только полная оплата. ","")&amp;IF(AND(C61=$Q$20,G61&gt;(Старт!$G$19+$M$10)),"Указанная сумма превышает размер ЗП. ","")&amp;IF(J61&gt;G61,"Сумма оплаты превышает сумму операции. ","")&amp;IF(M61&lt;0,"Отрицательный остаток в кассе. ",""))</f>
        <v/>
      </c>
      <c r="O61" s="11">
        <f t="shared" si="0"/>
        <v>0</v>
      </c>
      <c r="P61" s="11">
        <f t="shared" si="5"/>
        <v>0</v>
      </c>
    </row>
    <row r="62" spans="1:16" ht="30" customHeight="1">
      <c r="A62" s="46">
        <f t="shared" si="6"/>
        <v>46</v>
      </c>
      <c r="B62" s="26"/>
      <c r="C62" s="6"/>
      <c r="D62" s="7"/>
      <c r="E62" s="24" t="str">
        <f t="shared" si="1"/>
        <v/>
      </c>
      <c r="F62" s="8"/>
      <c r="G62" s="9"/>
      <c r="H62" s="9"/>
      <c r="I62" s="9"/>
      <c r="J62" s="21">
        <f t="shared" si="2"/>
        <v>0</v>
      </c>
      <c r="K62" s="21">
        <f t="shared" si="3"/>
        <v>0</v>
      </c>
      <c r="L62" s="21">
        <f>IF(AND(C62=$Q$15,D62=$B$9),G62*Старт!$S$2/100,IF(AND(C62=$Q$15,D62=$B$10),G62*Старт!$S$3/100,IF(AND(C62=$Q$15,D62=$B$11),G62*Старт!$S$4/100,0)))-IF(AND(C62=$Q$17,D62=$B$9),G62*Старт!$S$2/100,IF(AND(C62=$Q$17,D62=$B$10),G62*Старт!$S$3/100,IF(AND(C62=$Q$17,D62=$B$11),G62*Старт!$S$4/100,0)))</f>
        <v>0</v>
      </c>
      <c r="M62" s="22">
        <f t="shared" si="4"/>
        <v>0</v>
      </c>
      <c r="N62" s="23" t="str">
        <f>IF(AND(OR($B62&lt;&gt;0,$C62&lt;&gt;0,$D62&lt;&gt;0,$F62&lt;&gt;0,$G62&lt;&gt;0,$J62&gt;0),OR($N$9=$Q$6,$N$9="")),"День не объявлен рабочим",IF(AND(B62=0,OR($C62&lt;&gt;0,$D62&lt;&gt;0,$F62&lt;&gt;0,$G62&lt;&gt;0,$J62&gt;0))," &lt; 2 &gt; ","")&amp;IF(AND(G62+J62&gt;0,C62="")," &lt; 3 &gt; ","")&amp;(IF(AND(D62=0,OR(C62=$Q$15,C62=$Q$16,C62=$Q$17))," &lt; 4 &gt; ",""))&amp;(IF(AND(F62=0,OR(C62=$Q$16,C62=$Q$17))," &lt; 5 &gt; ",""))&amp;IF(AND(G62=0,J62&gt;0)," &lt; 6 &gt; ","")&amp;IF(AND(G62&gt;0,J62=0),"Укажите сумму оплаты. ","")&amp;IF(AND(AND(G62=0,J62=0),OR($C62&lt;&gt;0,$D62&lt;&gt;0,$F62&lt;&gt;0,$G62&lt;&gt;0,$J62&gt;0))," Укажите сумму операции и сумму оплаты. ","")&amp;IF(AND(H62&gt;0,OR(C62=$Q$18,C62=$Q$19,C62=$Q$20,C62=$Q$21)),"Оплата возможна только наличными. ","")&amp;IF(AND(J62&lt;G62,OR(C62=$Q$16,C62=$Q$17,C62=$Q$18,C62=$Q$19,C62=$Q$20,C62=$Q$21)),"Возможна только полная оплата. ","")&amp;IF(AND(C62=$Q$20,G62&gt;(Старт!$G$19+$M$10)),"Указанная сумма превышает размер ЗП. ","")&amp;IF(J62&gt;G62,"Сумма оплаты превышает сумму операции. ","")&amp;IF(M62&lt;0,"Отрицательный остаток в кассе. ",""))</f>
        <v/>
      </c>
      <c r="O62" s="11">
        <f t="shared" si="0"/>
        <v>0</v>
      </c>
      <c r="P62" s="11">
        <f t="shared" si="5"/>
        <v>0</v>
      </c>
    </row>
    <row r="63" spans="1:16" ht="30" customHeight="1">
      <c r="A63" s="46">
        <f t="shared" si="6"/>
        <v>47</v>
      </c>
      <c r="B63" s="26"/>
      <c r="C63" s="6"/>
      <c r="D63" s="7"/>
      <c r="E63" s="24" t="str">
        <f t="shared" si="1"/>
        <v/>
      </c>
      <c r="F63" s="8"/>
      <c r="G63" s="9"/>
      <c r="H63" s="9"/>
      <c r="I63" s="9"/>
      <c r="J63" s="21">
        <f t="shared" si="2"/>
        <v>0</v>
      </c>
      <c r="K63" s="21">
        <f t="shared" si="3"/>
        <v>0</v>
      </c>
      <c r="L63" s="21">
        <f>IF(AND(C63=$Q$15,D63=$B$9),G63*Старт!$S$2/100,IF(AND(C63=$Q$15,D63=$B$10),G63*Старт!$S$3/100,IF(AND(C63=$Q$15,D63=$B$11),G63*Старт!$S$4/100,0)))-IF(AND(C63=$Q$17,D63=$B$9),G63*Старт!$S$2/100,IF(AND(C63=$Q$17,D63=$B$10),G63*Старт!$S$3/100,IF(AND(C63=$Q$17,D63=$B$11),G63*Старт!$S$4/100,0)))</f>
        <v>0</v>
      </c>
      <c r="M63" s="22">
        <f t="shared" si="4"/>
        <v>0</v>
      </c>
      <c r="N63" s="23" t="str">
        <f>IF(AND(OR($B63&lt;&gt;0,$C63&lt;&gt;0,$D63&lt;&gt;0,$F63&lt;&gt;0,$G63&lt;&gt;0,$J63&gt;0),OR($N$9=$Q$6,$N$9="")),"День не объявлен рабочим",IF(AND(B63=0,OR($C63&lt;&gt;0,$D63&lt;&gt;0,$F63&lt;&gt;0,$G63&lt;&gt;0,$J63&gt;0))," &lt; 2 &gt; ","")&amp;IF(AND(G63+J63&gt;0,C63="")," &lt; 3 &gt; ","")&amp;(IF(AND(D63=0,OR(C63=$Q$15,C63=$Q$16,C63=$Q$17))," &lt; 4 &gt; ",""))&amp;(IF(AND(F63=0,OR(C63=$Q$16,C63=$Q$17))," &lt; 5 &gt; ",""))&amp;IF(AND(G63=0,J63&gt;0)," &lt; 6 &gt; ","")&amp;IF(AND(G63&gt;0,J63=0),"Укажите сумму оплаты. ","")&amp;IF(AND(AND(G63=0,J63=0),OR($C63&lt;&gt;0,$D63&lt;&gt;0,$F63&lt;&gt;0,$G63&lt;&gt;0,$J63&gt;0))," Укажите сумму операции и сумму оплаты. ","")&amp;IF(AND(H63&gt;0,OR(C63=$Q$18,C63=$Q$19,C63=$Q$20,C63=$Q$21)),"Оплата возможна только наличными. ","")&amp;IF(AND(J63&lt;G63,OR(C63=$Q$16,C63=$Q$17,C63=$Q$18,C63=$Q$19,C63=$Q$20,C63=$Q$21)),"Возможна только полная оплата. ","")&amp;IF(AND(C63=$Q$20,G63&gt;(Старт!$G$19+$M$10)),"Указанная сумма превышает размер ЗП. ","")&amp;IF(J63&gt;G63,"Сумма оплаты превышает сумму операции. ","")&amp;IF(M63&lt;0,"Отрицательный остаток в кассе. ",""))</f>
        <v/>
      </c>
      <c r="O63" s="11">
        <f t="shared" si="0"/>
        <v>0</v>
      </c>
      <c r="P63" s="11">
        <f t="shared" si="5"/>
        <v>0</v>
      </c>
    </row>
    <row r="64" spans="1:16" ht="30" customHeight="1">
      <c r="A64" s="46">
        <f t="shared" si="6"/>
        <v>48</v>
      </c>
      <c r="B64" s="26"/>
      <c r="C64" s="6"/>
      <c r="D64" s="7"/>
      <c r="E64" s="24" t="str">
        <f t="shared" si="1"/>
        <v/>
      </c>
      <c r="F64" s="8"/>
      <c r="G64" s="9"/>
      <c r="H64" s="9"/>
      <c r="I64" s="9"/>
      <c r="J64" s="21">
        <f t="shared" si="2"/>
        <v>0</v>
      </c>
      <c r="K64" s="21">
        <f t="shared" si="3"/>
        <v>0</v>
      </c>
      <c r="L64" s="21">
        <f>IF(AND(C64=$Q$15,D64=$B$9),G64*Старт!$S$2/100,IF(AND(C64=$Q$15,D64=$B$10),G64*Старт!$S$3/100,IF(AND(C64=$Q$15,D64=$B$11),G64*Старт!$S$4/100,0)))-IF(AND(C64=$Q$17,D64=$B$9),G64*Старт!$S$2/100,IF(AND(C64=$Q$17,D64=$B$10),G64*Старт!$S$3/100,IF(AND(C64=$Q$17,D64=$B$11),G64*Старт!$S$4/100,0)))</f>
        <v>0</v>
      </c>
      <c r="M64" s="22">
        <f t="shared" si="4"/>
        <v>0</v>
      </c>
      <c r="N64" s="23" t="str">
        <f>IF(AND(OR($B64&lt;&gt;0,$C64&lt;&gt;0,$D64&lt;&gt;0,$F64&lt;&gt;0,$G64&lt;&gt;0,$J64&gt;0),OR($N$9=$Q$6,$N$9="")),"День не объявлен рабочим",IF(AND(B64=0,OR($C64&lt;&gt;0,$D64&lt;&gt;0,$F64&lt;&gt;0,$G64&lt;&gt;0,$J64&gt;0))," &lt; 2 &gt; ","")&amp;IF(AND(G64+J64&gt;0,C64="")," &lt; 3 &gt; ","")&amp;(IF(AND(D64=0,OR(C64=$Q$15,C64=$Q$16,C64=$Q$17))," &lt; 4 &gt; ",""))&amp;(IF(AND(F64=0,OR(C64=$Q$16,C64=$Q$17))," &lt; 5 &gt; ",""))&amp;IF(AND(G64=0,J64&gt;0)," &lt; 6 &gt; ","")&amp;IF(AND(G64&gt;0,J64=0),"Укажите сумму оплаты. ","")&amp;IF(AND(AND(G64=0,J64=0),OR($C64&lt;&gt;0,$D64&lt;&gt;0,$F64&lt;&gt;0,$G64&lt;&gt;0,$J64&gt;0))," Укажите сумму операции и сумму оплаты. ","")&amp;IF(AND(H64&gt;0,OR(C64=$Q$18,C64=$Q$19,C64=$Q$20,C64=$Q$21)),"Оплата возможна только наличными. ","")&amp;IF(AND(J64&lt;G64,OR(C64=$Q$16,C64=$Q$17,C64=$Q$18,C64=$Q$19,C64=$Q$20,C64=$Q$21)),"Возможна только полная оплата. ","")&amp;IF(AND(C64=$Q$20,G64&gt;(Старт!$G$19+$M$10)),"Указанная сумма превышает размер ЗП. ","")&amp;IF(J64&gt;G64,"Сумма оплаты превышает сумму операции. ","")&amp;IF(M64&lt;0,"Отрицательный остаток в кассе. ",""))</f>
        <v/>
      </c>
      <c r="O64" s="11">
        <f t="shared" si="0"/>
        <v>0</v>
      </c>
      <c r="P64" s="11">
        <f t="shared" si="5"/>
        <v>0</v>
      </c>
    </row>
    <row r="65" spans="1:16" ht="30" customHeight="1">
      <c r="A65" s="46">
        <f t="shared" si="6"/>
        <v>49</v>
      </c>
      <c r="B65" s="26"/>
      <c r="C65" s="6"/>
      <c r="D65" s="7"/>
      <c r="E65" s="24" t="str">
        <f t="shared" si="1"/>
        <v/>
      </c>
      <c r="F65" s="8"/>
      <c r="G65" s="9"/>
      <c r="H65" s="9"/>
      <c r="I65" s="9"/>
      <c r="J65" s="21">
        <f t="shared" si="2"/>
        <v>0</v>
      </c>
      <c r="K65" s="21">
        <f t="shared" si="3"/>
        <v>0</v>
      </c>
      <c r="L65" s="21">
        <f>IF(AND(C65=$Q$15,D65=$B$9),G65*Старт!$S$2/100,IF(AND(C65=$Q$15,D65=$B$10),G65*Старт!$S$3/100,IF(AND(C65=$Q$15,D65=$B$11),G65*Старт!$S$4/100,0)))-IF(AND(C65=$Q$17,D65=$B$9),G65*Старт!$S$2/100,IF(AND(C65=$Q$17,D65=$B$10),G65*Старт!$S$3/100,IF(AND(C65=$Q$17,D65=$B$11),G65*Старт!$S$4/100,0)))</f>
        <v>0</v>
      </c>
      <c r="M65" s="22">
        <f t="shared" si="4"/>
        <v>0</v>
      </c>
      <c r="N65" s="23" t="str">
        <f>IF(AND(OR($B65&lt;&gt;0,$C65&lt;&gt;0,$D65&lt;&gt;0,$F65&lt;&gt;0,$G65&lt;&gt;0,$J65&gt;0),OR($N$9=$Q$6,$N$9="")),"День не объявлен рабочим",IF(AND(B65=0,OR($C65&lt;&gt;0,$D65&lt;&gt;0,$F65&lt;&gt;0,$G65&lt;&gt;0,$J65&gt;0))," &lt; 2 &gt; ","")&amp;IF(AND(G65+J65&gt;0,C65="")," &lt; 3 &gt; ","")&amp;(IF(AND(D65=0,OR(C65=$Q$15,C65=$Q$16,C65=$Q$17))," &lt; 4 &gt; ",""))&amp;(IF(AND(F65=0,OR(C65=$Q$16,C65=$Q$17))," &lt; 5 &gt; ",""))&amp;IF(AND(G65=0,J65&gt;0)," &lt; 6 &gt; ","")&amp;IF(AND(G65&gt;0,J65=0),"Укажите сумму оплаты. ","")&amp;IF(AND(AND(G65=0,J65=0),OR($C65&lt;&gt;0,$D65&lt;&gt;0,$F65&lt;&gt;0,$G65&lt;&gt;0,$J65&gt;0))," Укажите сумму операции и сумму оплаты. ","")&amp;IF(AND(H65&gt;0,OR(C65=$Q$18,C65=$Q$19,C65=$Q$20,C65=$Q$21)),"Оплата возможна только наличными. ","")&amp;IF(AND(J65&lt;G65,OR(C65=$Q$16,C65=$Q$17,C65=$Q$18,C65=$Q$19,C65=$Q$20,C65=$Q$21)),"Возможна только полная оплата. ","")&amp;IF(AND(C65=$Q$20,G65&gt;(Старт!$G$19+$M$10)),"Указанная сумма превышает размер ЗП. ","")&amp;IF(J65&gt;G65,"Сумма оплаты превышает сумму операции. ","")&amp;IF(M65&lt;0,"Отрицательный остаток в кассе. ",""))</f>
        <v/>
      </c>
      <c r="O65" s="11">
        <f t="shared" si="0"/>
        <v>0</v>
      </c>
      <c r="P65" s="11">
        <f t="shared" si="5"/>
        <v>0</v>
      </c>
    </row>
    <row r="66" spans="1:16" ht="30" customHeight="1">
      <c r="A66" s="46">
        <f t="shared" si="6"/>
        <v>50</v>
      </c>
      <c r="B66" s="26"/>
      <c r="C66" s="6"/>
      <c r="D66" s="7"/>
      <c r="E66" s="24" t="str">
        <f t="shared" si="1"/>
        <v/>
      </c>
      <c r="F66" s="8"/>
      <c r="G66" s="9"/>
      <c r="H66" s="9"/>
      <c r="I66" s="9"/>
      <c r="J66" s="21">
        <f t="shared" si="2"/>
        <v>0</v>
      </c>
      <c r="K66" s="21">
        <f t="shared" si="3"/>
        <v>0</v>
      </c>
      <c r="L66" s="21">
        <f>IF(AND(C66=$Q$15,D66=$B$9),G66*Старт!$S$2/100,IF(AND(C66=$Q$15,D66=$B$10),G66*Старт!$S$3/100,IF(AND(C66=$Q$15,D66=$B$11),G66*Старт!$S$4/100,0)))-IF(AND(C66=$Q$17,D66=$B$9),G66*Старт!$S$2/100,IF(AND(C66=$Q$17,D66=$B$10),G66*Старт!$S$3/100,IF(AND(C66=$Q$17,D66=$B$11),G66*Старт!$S$4/100,0)))</f>
        <v>0</v>
      </c>
      <c r="M66" s="22">
        <f t="shared" si="4"/>
        <v>0</v>
      </c>
      <c r="N66" s="23" t="str">
        <f>IF(AND(OR($B66&lt;&gt;0,$C66&lt;&gt;0,$D66&lt;&gt;0,$F66&lt;&gt;0,$G66&lt;&gt;0,$J66&gt;0),OR($N$9=$Q$6,$N$9="")),"День не объявлен рабочим",IF(AND(B66=0,OR($C66&lt;&gt;0,$D66&lt;&gt;0,$F66&lt;&gt;0,$G66&lt;&gt;0,$J66&gt;0))," &lt; 2 &gt; ","")&amp;IF(AND(G66+J66&gt;0,C66="")," &lt; 3 &gt; ","")&amp;(IF(AND(D66=0,OR(C66=$Q$15,C66=$Q$16,C66=$Q$17))," &lt; 4 &gt; ",""))&amp;(IF(AND(F66=0,OR(C66=$Q$16,C66=$Q$17))," &lt; 5 &gt; ",""))&amp;IF(AND(G66=0,J66&gt;0)," &lt; 6 &gt; ","")&amp;IF(AND(G66&gt;0,J66=0),"Укажите сумму оплаты. ","")&amp;IF(AND(AND(G66=0,J66=0),OR($C66&lt;&gt;0,$D66&lt;&gt;0,$F66&lt;&gt;0,$G66&lt;&gt;0,$J66&gt;0))," Укажите сумму операции и сумму оплаты. ","")&amp;IF(AND(H66&gt;0,OR(C66=$Q$18,C66=$Q$19,C66=$Q$20,C66=$Q$21)),"Оплата возможна только наличными. ","")&amp;IF(AND(J66&lt;G66,OR(C66=$Q$16,C66=$Q$17,C66=$Q$18,C66=$Q$19,C66=$Q$20,C66=$Q$21)),"Возможна только полная оплата. ","")&amp;IF(AND(C66=$Q$20,G66&gt;(Старт!$G$19+$M$10)),"Указанная сумма превышает размер ЗП. ","")&amp;IF(J66&gt;G66,"Сумма оплаты превышает сумму операции. ","")&amp;IF(M66&lt;0,"Отрицательный остаток в кассе. ",""))</f>
        <v/>
      </c>
      <c r="O66" s="11">
        <f t="shared" si="0"/>
        <v>0</v>
      </c>
      <c r="P66" s="11">
        <f t="shared" si="5"/>
        <v>0</v>
      </c>
    </row>
    <row r="67" spans="1:16" ht="30" customHeight="1">
      <c r="A67" s="46">
        <f t="shared" si="6"/>
        <v>51</v>
      </c>
      <c r="B67" s="26"/>
      <c r="C67" s="6"/>
      <c r="D67" s="7"/>
      <c r="E67" s="24" t="str">
        <f t="shared" si="1"/>
        <v/>
      </c>
      <c r="F67" s="8"/>
      <c r="G67" s="9"/>
      <c r="H67" s="9"/>
      <c r="I67" s="9"/>
      <c r="J67" s="21">
        <f t="shared" si="2"/>
        <v>0</v>
      </c>
      <c r="K67" s="21">
        <f t="shared" si="3"/>
        <v>0</v>
      </c>
      <c r="L67" s="21">
        <f>IF(AND(C67=$Q$15,D67=$B$9),G67*Старт!$S$2/100,IF(AND(C67=$Q$15,D67=$B$10),G67*Старт!$S$3/100,IF(AND(C67=$Q$15,D67=$B$11),G67*Старт!$S$4/100,0)))-IF(AND(C67=$Q$17,D67=$B$9),G67*Старт!$S$2/100,IF(AND(C67=$Q$17,D67=$B$10),G67*Старт!$S$3/100,IF(AND(C67=$Q$17,D67=$B$11),G67*Старт!$S$4/100,0)))</f>
        <v>0</v>
      </c>
      <c r="M67" s="22">
        <f t="shared" si="4"/>
        <v>0</v>
      </c>
      <c r="N67" s="23" t="str">
        <f>IF(AND(OR($B67&lt;&gt;0,$C67&lt;&gt;0,$D67&lt;&gt;0,$F67&lt;&gt;0,$G67&lt;&gt;0,$J67&gt;0),OR($N$9=$Q$6,$N$9="")),"День не объявлен рабочим",IF(AND(B67=0,OR($C67&lt;&gt;0,$D67&lt;&gt;0,$F67&lt;&gt;0,$G67&lt;&gt;0,$J67&gt;0))," &lt; 2 &gt; ","")&amp;IF(AND(G67+J67&gt;0,C67="")," &lt; 3 &gt; ","")&amp;(IF(AND(D67=0,OR(C67=$Q$15,C67=$Q$16,C67=$Q$17))," &lt; 4 &gt; ",""))&amp;(IF(AND(F67=0,OR(C67=$Q$16,C67=$Q$17))," &lt; 5 &gt; ",""))&amp;IF(AND(G67=0,J67&gt;0)," &lt; 6 &gt; ","")&amp;IF(AND(G67&gt;0,J67=0),"Укажите сумму оплаты. ","")&amp;IF(AND(AND(G67=0,J67=0),OR($C67&lt;&gt;0,$D67&lt;&gt;0,$F67&lt;&gt;0,$G67&lt;&gt;0,$J67&gt;0))," Укажите сумму операции и сумму оплаты. ","")&amp;IF(AND(H67&gt;0,OR(C67=$Q$18,C67=$Q$19,C67=$Q$20,C67=$Q$21)),"Оплата возможна только наличными. ","")&amp;IF(AND(J67&lt;G67,OR(C67=$Q$16,C67=$Q$17,C67=$Q$18,C67=$Q$19,C67=$Q$20,C67=$Q$21)),"Возможна только полная оплата. ","")&amp;IF(AND(C67=$Q$20,G67&gt;(Старт!$G$19+$M$10)),"Указанная сумма превышает размер ЗП. ","")&amp;IF(J67&gt;G67,"Сумма оплаты превышает сумму операции. ","")&amp;IF(M67&lt;0,"Отрицательный остаток в кассе. ",""))</f>
        <v/>
      </c>
      <c r="O67" s="11">
        <f t="shared" si="0"/>
        <v>0</v>
      </c>
      <c r="P67" s="11">
        <f t="shared" si="5"/>
        <v>0</v>
      </c>
    </row>
    <row r="68" spans="1:16" ht="30" customHeight="1">
      <c r="A68" s="46">
        <f t="shared" si="6"/>
        <v>52</v>
      </c>
      <c r="B68" s="26"/>
      <c r="C68" s="6"/>
      <c r="D68" s="7"/>
      <c r="E68" s="24" t="str">
        <f t="shared" si="1"/>
        <v/>
      </c>
      <c r="F68" s="8"/>
      <c r="G68" s="9"/>
      <c r="H68" s="9"/>
      <c r="I68" s="9"/>
      <c r="J68" s="21">
        <f t="shared" si="2"/>
        <v>0</v>
      </c>
      <c r="K68" s="21">
        <f t="shared" si="3"/>
        <v>0</v>
      </c>
      <c r="L68" s="21">
        <f>IF(AND(C68=$Q$15,D68=$B$9),G68*Старт!$S$2/100,IF(AND(C68=$Q$15,D68=$B$10),G68*Старт!$S$3/100,IF(AND(C68=$Q$15,D68=$B$11),G68*Старт!$S$4/100,0)))-IF(AND(C68=$Q$17,D68=$B$9),G68*Старт!$S$2/100,IF(AND(C68=$Q$17,D68=$B$10),G68*Старт!$S$3/100,IF(AND(C68=$Q$17,D68=$B$11),G68*Старт!$S$4/100,0)))</f>
        <v>0</v>
      </c>
      <c r="M68" s="22">
        <f t="shared" si="4"/>
        <v>0</v>
      </c>
      <c r="N68" s="23" t="str">
        <f>IF(AND(OR($B68&lt;&gt;0,$C68&lt;&gt;0,$D68&lt;&gt;0,$F68&lt;&gt;0,$G68&lt;&gt;0,$J68&gt;0),OR($N$9=$Q$6,$N$9="")),"День не объявлен рабочим",IF(AND(B68=0,OR($C68&lt;&gt;0,$D68&lt;&gt;0,$F68&lt;&gt;0,$G68&lt;&gt;0,$J68&gt;0))," &lt; 2 &gt; ","")&amp;IF(AND(G68+J68&gt;0,C68="")," &lt; 3 &gt; ","")&amp;(IF(AND(D68=0,OR(C68=$Q$15,C68=$Q$16,C68=$Q$17))," &lt; 4 &gt; ",""))&amp;(IF(AND(F68=0,OR(C68=$Q$16,C68=$Q$17))," &lt; 5 &gt; ",""))&amp;IF(AND(G68=0,J68&gt;0)," &lt; 6 &gt; ","")&amp;IF(AND(G68&gt;0,J68=0),"Укажите сумму оплаты. ","")&amp;IF(AND(AND(G68=0,J68=0),OR($C68&lt;&gt;0,$D68&lt;&gt;0,$F68&lt;&gt;0,$G68&lt;&gt;0,$J68&gt;0))," Укажите сумму операции и сумму оплаты. ","")&amp;IF(AND(H68&gt;0,OR(C68=$Q$18,C68=$Q$19,C68=$Q$20,C68=$Q$21)),"Оплата возможна только наличными. ","")&amp;IF(AND(J68&lt;G68,OR(C68=$Q$16,C68=$Q$17,C68=$Q$18,C68=$Q$19,C68=$Q$20,C68=$Q$21)),"Возможна только полная оплата. ","")&amp;IF(AND(C68=$Q$20,G68&gt;(Старт!$G$19+$M$10)),"Указанная сумма превышает размер ЗП. ","")&amp;IF(J68&gt;G68,"Сумма оплаты превышает сумму операции. ","")&amp;IF(M68&lt;0,"Отрицательный остаток в кассе. ",""))</f>
        <v/>
      </c>
      <c r="O68" s="11">
        <f t="shared" si="0"/>
        <v>0</v>
      </c>
      <c r="P68" s="11">
        <f t="shared" si="5"/>
        <v>0</v>
      </c>
    </row>
    <row r="69" spans="1:16" ht="30" customHeight="1">
      <c r="A69" s="46">
        <f t="shared" si="6"/>
        <v>53</v>
      </c>
      <c r="B69" s="26"/>
      <c r="C69" s="6"/>
      <c r="D69" s="7"/>
      <c r="E69" s="24" t="str">
        <f t="shared" si="1"/>
        <v/>
      </c>
      <c r="F69" s="8"/>
      <c r="G69" s="9"/>
      <c r="H69" s="9"/>
      <c r="I69" s="9"/>
      <c r="J69" s="21">
        <f t="shared" si="2"/>
        <v>0</v>
      </c>
      <c r="K69" s="21">
        <f t="shared" si="3"/>
        <v>0</v>
      </c>
      <c r="L69" s="21">
        <f>IF(AND(C69=$Q$15,D69=$B$9),G69*Старт!$S$2/100,IF(AND(C69=$Q$15,D69=$B$10),G69*Старт!$S$3/100,IF(AND(C69=$Q$15,D69=$B$11),G69*Старт!$S$4/100,0)))-IF(AND(C69=$Q$17,D69=$B$9),G69*Старт!$S$2/100,IF(AND(C69=$Q$17,D69=$B$10),G69*Старт!$S$3/100,IF(AND(C69=$Q$17,D69=$B$11),G69*Старт!$S$4/100,0)))</f>
        <v>0</v>
      </c>
      <c r="M69" s="22">
        <f t="shared" si="4"/>
        <v>0</v>
      </c>
      <c r="N69" s="23" t="str">
        <f>IF(AND(OR($B69&lt;&gt;0,$C69&lt;&gt;0,$D69&lt;&gt;0,$F69&lt;&gt;0,$G69&lt;&gt;0,$J69&gt;0),OR($N$9=$Q$6,$N$9="")),"День не объявлен рабочим",IF(AND(B69=0,OR($C69&lt;&gt;0,$D69&lt;&gt;0,$F69&lt;&gt;0,$G69&lt;&gt;0,$J69&gt;0))," &lt; 2 &gt; ","")&amp;IF(AND(G69+J69&gt;0,C69="")," &lt; 3 &gt; ","")&amp;(IF(AND(D69=0,OR(C69=$Q$15,C69=$Q$16,C69=$Q$17))," &lt; 4 &gt; ",""))&amp;(IF(AND(F69=0,OR(C69=$Q$16,C69=$Q$17))," &lt; 5 &gt; ",""))&amp;IF(AND(G69=0,J69&gt;0)," &lt; 6 &gt; ","")&amp;IF(AND(G69&gt;0,J69=0),"Укажите сумму оплаты. ","")&amp;IF(AND(AND(G69=0,J69=0),OR($C69&lt;&gt;0,$D69&lt;&gt;0,$F69&lt;&gt;0,$G69&lt;&gt;0,$J69&gt;0))," Укажите сумму операции и сумму оплаты. ","")&amp;IF(AND(H69&gt;0,OR(C69=$Q$18,C69=$Q$19,C69=$Q$20,C69=$Q$21)),"Оплата возможна только наличными. ","")&amp;IF(AND(J69&lt;G69,OR(C69=$Q$16,C69=$Q$17,C69=$Q$18,C69=$Q$19,C69=$Q$20,C69=$Q$21)),"Возможна только полная оплата. ","")&amp;IF(AND(C69=$Q$20,G69&gt;(Старт!$G$19+$M$10)),"Указанная сумма превышает размер ЗП. ","")&amp;IF(J69&gt;G69,"Сумма оплаты превышает сумму операции. ","")&amp;IF(M69&lt;0,"Отрицательный остаток в кассе. ",""))</f>
        <v/>
      </c>
      <c r="O69" s="11">
        <f t="shared" si="0"/>
        <v>0</v>
      </c>
      <c r="P69" s="11">
        <f t="shared" si="5"/>
        <v>0</v>
      </c>
    </row>
    <row r="70" spans="1:16" ht="30" customHeight="1">
      <c r="A70" s="46">
        <f t="shared" si="6"/>
        <v>54</v>
      </c>
      <c r="B70" s="26"/>
      <c r="C70" s="6"/>
      <c r="D70" s="7"/>
      <c r="E70" s="24" t="str">
        <f t="shared" si="1"/>
        <v/>
      </c>
      <c r="F70" s="8"/>
      <c r="G70" s="9"/>
      <c r="H70" s="9"/>
      <c r="I70" s="9"/>
      <c r="J70" s="21">
        <f t="shared" si="2"/>
        <v>0</v>
      </c>
      <c r="K70" s="21">
        <f t="shared" si="3"/>
        <v>0</v>
      </c>
      <c r="L70" s="21">
        <f>IF(AND(C70=$Q$15,D70=$B$9),G70*Старт!$S$2/100,IF(AND(C70=$Q$15,D70=$B$10),G70*Старт!$S$3/100,IF(AND(C70=$Q$15,D70=$B$11),G70*Старт!$S$4/100,0)))-IF(AND(C70=$Q$17,D70=$B$9),G70*Старт!$S$2/100,IF(AND(C70=$Q$17,D70=$B$10),G70*Старт!$S$3/100,IF(AND(C70=$Q$17,D70=$B$11),G70*Старт!$S$4/100,0)))</f>
        <v>0</v>
      </c>
      <c r="M70" s="22">
        <f t="shared" si="4"/>
        <v>0</v>
      </c>
      <c r="N70" s="23" t="str">
        <f>IF(AND(OR($B70&lt;&gt;0,$C70&lt;&gt;0,$D70&lt;&gt;0,$F70&lt;&gt;0,$G70&lt;&gt;0,$J70&gt;0),OR($N$9=$Q$6,$N$9="")),"День не объявлен рабочим",IF(AND(B70=0,OR($C70&lt;&gt;0,$D70&lt;&gt;0,$F70&lt;&gt;0,$G70&lt;&gt;0,$J70&gt;0))," &lt; 2 &gt; ","")&amp;IF(AND(G70+J70&gt;0,C70="")," &lt; 3 &gt; ","")&amp;(IF(AND(D70=0,OR(C70=$Q$15,C70=$Q$16,C70=$Q$17))," &lt; 4 &gt; ",""))&amp;(IF(AND(F70=0,OR(C70=$Q$16,C70=$Q$17))," &lt; 5 &gt; ",""))&amp;IF(AND(G70=0,J70&gt;0)," &lt; 6 &gt; ","")&amp;IF(AND(G70&gt;0,J70=0),"Укажите сумму оплаты. ","")&amp;IF(AND(AND(G70=0,J70=0),OR($C70&lt;&gt;0,$D70&lt;&gt;0,$F70&lt;&gt;0,$G70&lt;&gt;0,$J70&gt;0))," Укажите сумму операции и сумму оплаты. ","")&amp;IF(AND(H70&gt;0,OR(C70=$Q$18,C70=$Q$19,C70=$Q$20,C70=$Q$21)),"Оплата возможна только наличными. ","")&amp;IF(AND(J70&lt;G70,OR(C70=$Q$16,C70=$Q$17,C70=$Q$18,C70=$Q$19,C70=$Q$20,C70=$Q$21)),"Возможна только полная оплата. ","")&amp;IF(AND(C70=$Q$20,G70&gt;(Старт!$G$19+$M$10)),"Указанная сумма превышает размер ЗП. ","")&amp;IF(J70&gt;G70,"Сумма оплаты превышает сумму операции. ","")&amp;IF(M70&lt;0,"Отрицательный остаток в кассе. ",""))</f>
        <v/>
      </c>
      <c r="O70" s="11">
        <f t="shared" si="0"/>
        <v>0</v>
      </c>
      <c r="P70" s="11">
        <f t="shared" si="5"/>
        <v>0</v>
      </c>
    </row>
    <row r="71" spans="1:16" ht="30" customHeight="1">
      <c r="A71" s="46">
        <f t="shared" si="6"/>
        <v>55</v>
      </c>
      <c r="B71" s="26"/>
      <c r="C71" s="6"/>
      <c r="D71" s="7"/>
      <c r="E71" s="24" t="str">
        <f t="shared" si="1"/>
        <v/>
      </c>
      <c r="F71" s="8"/>
      <c r="G71" s="9"/>
      <c r="H71" s="9"/>
      <c r="I71" s="9"/>
      <c r="J71" s="21">
        <f t="shared" si="2"/>
        <v>0</v>
      </c>
      <c r="K71" s="21">
        <f t="shared" si="3"/>
        <v>0</v>
      </c>
      <c r="L71" s="21">
        <f>IF(AND(C71=$Q$15,D71=$B$9),G71*Старт!$S$2/100,IF(AND(C71=$Q$15,D71=$B$10),G71*Старт!$S$3/100,IF(AND(C71=$Q$15,D71=$B$11),G71*Старт!$S$4/100,0)))-IF(AND(C71=$Q$17,D71=$B$9),G71*Старт!$S$2/100,IF(AND(C71=$Q$17,D71=$B$10),G71*Старт!$S$3/100,IF(AND(C71=$Q$17,D71=$B$11),G71*Старт!$S$4/100,0)))</f>
        <v>0</v>
      </c>
      <c r="M71" s="22">
        <f t="shared" si="4"/>
        <v>0</v>
      </c>
      <c r="N71" s="23" t="str">
        <f>IF(AND(OR($B71&lt;&gt;0,$C71&lt;&gt;0,$D71&lt;&gt;0,$F71&lt;&gt;0,$G71&lt;&gt;0,$J71&gt;0),OR($N$9=$Q$6,$N$9="")),"День не объявлен рабочим",IF(AND(B71=0,OR($C71&lt;&gt;0,$D71&lt;&gt;0,$F71&lt;&gt;0,$G71&lt;&gt;0,$J71&gt;0))," &lt; 2 &gt; ","")&amp;IF(AND(G71+J71&gt;0,C71="")," &lt; 3 &gt; ","")&amp;(IF(AND(D71=0,OR(C71=$Q$15,C71=$Q$16,C71=$Q$17))," &lt; 4 &gt; ",""))&amp;(IF(AND(F71=0,OR(C71=$Q$16,C71=$Q$17))," &lt; 5 &gt; ",""))&amp;IF(AND(G71=0,J71&gt;0)," &lt; 6 &gt; ","")&amp;IF(AND(G71&gt;0,J71=0),"Укажите сумму оплаты. ","")&amp;IF(AND(AND(G71=0,J71=0),OR($C71&lt;&gt;0,$D71&lt;&gt;0,$F71&lt;&gt;0,$G71&lt;&gt;0,$J71&gt;0))," Укажите сумму операции и сумму оплаты. ","")&amp;IF(AND(H71&gt;0,OR(C71=$Q$18,C71=$Q$19,C71=$Q$20,C71=$Q$21)),"Оплата возможна только наличными. ","")&amp;IF(AND(J71&lt;G71,OR(C71=$Q$16,C71=$Q$17,C71=$Q$18,C71=$Q$19,C71=$Q$20,C71=$Q$21)),"Возможна только полная оплата. ","")&amp;IF(AND(C71=$Q$20,G71&gt;(Старт!$G$19+$M$10)),"Указанная сумма превышает размер ЗП. ","")&amp;IF(J71&gt;G71,"Сумма оплаты превышает сумму операции. ","")&amp;IF(M71&lt;0,"Отрицательный остаток в кассе. ",""))</f>
        <v/>
      </c>
      <c r="O71" s="11">
        <f t="shared" si="0"/>
        <v>0</v>
      </c>
      <c r="P71" s="11">
        <f t="shared" si="5"/>
        <v>0</v>
      </c>
    </row>
    <row r="72" spans="1:16" ht="30" customHeight="1">
      <c r="A72" s="46">
        <f t="shared" si="6"/>
        <v>56</v>
      </c>
      <c r="B72" s="26"/>
      <c r="C72" s="6"/>
      <c r="D72" s="7"/>
      <c r="E72" s="24" t="str">
        <f t="shared" si="1"/>
        <v/>
      </c>
      <c r="F72" s="8"/>
      <c r="G72" s="9"/>
      <c r="H72" s="9"/>
      <c r="I72" s="9"/>
      <c r="J72" s="21">
        <f t="shared" si="2"/>
        <v>0</v>
      </c>
      <c r="K72" s="21">
        <f t="shared" si="3"/>
        <v>0</v>
      </c>
      <c r="L72" s="21">
        <f>IF(AND(C72=$Q$15,D72=$B$9),G72*Старт!$S$2/100,IF(AND(C72=$Q$15,D72=$B$10),G72*Старт!$S$3/100,IF(AND(C72=$Q$15,D72=$B$11),G72*Старт!$S$4/100,0)))-IF(AND(C72=$Q$17,D72=$B$9),G72*Старт!$S$2/100,IF(AND(C72=$Q$17,D72=$B$10),G72*Старт!$S$3/100,IF(AND(C72=$Q$17,D72=$B$11),G72*Старт!$S$4/100,0)))</f>
        <v>0</v>
      </c>
      <c r="M72" s="22">
        <f t="shared" si="4"/>
        <v>0</v>
      </c>
      <c r="N72" s="23" t="str">
        <f>IF(AND(OR($B72&lt;&gt;0,$C72&lt;&gt;0,$D72&lt;&gt;0,$F72&lt;&gt;0,$G72&lt;&gt;0,$J72&gt;0),OR($N$9=$Q$6,$N$9="")),"День не объявлен рабочим",IF(AND(B72=0,OR($C72&lt;&gt;0,$D72&lt;&gt;0,$F72&lt;&gt;0,$G72&lt;&gt;0,$J72&gt;0))," &lt; 2 &gt; ","")&amp;IF(AND(G72+J72&gt;0,C72="")," &lt; 3 &gt; ","")&amp;(IF(AND(D72=0,OR(C72=$Q$15,C72=$Q$16,C72=$Q$17))," &lt; 4 &gt; ",""))&amp;(IF(AND(F72=0,OR(C72=$Q$16,C72=$Q$17))," &lt; 5 &gt; ",""))&amp;IF(AND(G72=0,J72&gt;0)," &lt; 6 &gt; ","")&amp;IF(AND(G72&gt;0,J72=0),"Укажите сумму оплаты. ","")&amp;IF(AND(AND(G72=0,J72=0),OR($C72&lt;&gt;0,$D72&lt;&gt;0,$F72&lt;&gt;0,$G72&lt;&gt;0,$J72&gt;0))," Укажите сумму операции и сумму оплаты. ","")&amp;IF(AND(H72&gt;0,OR(C72=$Q$18,C72=$Q$19,C72=$Q$20,C72=$Q$21)),"Оплата возможна только наличными. ","")&amp;IF(AND(J72&lt;G72,OR(C72=$Q$16,C72=$Q$17,C72=$Q$18,C72=$Q$19,C72=$Q$20,C72=$Q$21)),"Возможна только полная оплата. ","")&amp;IF(AND(C72=$Q$20,G72&gt;(Старт!$G$19+$M$10)),"Указанная сумма превышает размер ЗП. ","")&amp;IF(J72&gt;G72,"Сумма оплаты превышает сумму операции. ","")&amp;IF(M72&lt;0,"Отрицательный остаток в кассе. ",""))</f>
        <v/>
      </c>
      <c r="O72" s="11">
        <f t="shared" si="0"/>
        <v>0</v>
      </c>
      <c r="P72" s="11">
        <f t="shared" si="5"/>
        <v>0</v>
      </c>
    </row>
    <row r="73" spans="1:16" ht="30" customHeight="1">
      <c r="A73" s="46">
        <f t="shared" si="6"/>
        <v>57</v>
      </c>
      <c r="B73" s="26"/>
      <c r="C73" s="6"/>
      <c r="D73" s="7"/>
      <c r="E73" s="24" t="str">
        <f t="shared" si="1"/>
        <v/>
      </c>
      <c r="F73" s="8"/>
      <c r="G73" s="9"/>
      <c r="H73" s="9"/>
      <c r="I73" s="9"/>
      <c r="J73" s="21">
        <f t="shared" si="2"/>
        <v>0</v>
      </c>
      <c r="K73" s="21">
        <f t="shared" si="3"/>
        <v>0</v>
      </c>
      <c r="L73" s="21">
        <f>IF(AND(C73=$Q$15,D73=$B$9),G73*Старт!$S$2/100,IF(AND(C73=$Q$15,D73=$B$10),G73*Старт!$S$3/100,IF(AND(C73=$Q$15,D73=$B$11),G73*Старт!$S$4/100,0)))-IF(AND(C73=$Q$17,D73=$B$9),G73*Старт!$S$2/100,IF(AND(C73=$Q$17,D73=$B$10),G73*Старт!$S$3/100,IF(AND(C73=$Q$17,D73=$B$11),G73*Старт!$S$4/100,0)))</f>
        <v>0</v>
      </c>
      <c r="M73" s="22">
        <f t="shared" si="4"/>
        <v>0</v>
      </c>
      <c r="N73" s="23" t="str">
        <f>IF(AND(OR($B73&lt;&gt;0,$C73&lt;&gt;0,$D73&lt;&gt;0,$F73&lt;&gt;0,$G73&lt;&gt;0,$J73&gt;0),OR($N$9=$Q$6,$N$9="")),"День не объявлен рабочим",IF(AND(B73=0,OR($C73&lt;&gt;0,$D73&lt;&gt;0,$F73&lt;&gt;0,$G73&lt;&gt;0,$J73&gt;0))," &lt; 2 &gt; ","")&amp;IF(AND(G73+J73&gt;0,C73="")," &lt; 3 &gt; ","")&amp;(IF(AND(D73=0,OR(C73=$Q$15,C73=$Q$16,C73=$Q$17))," &lt; 4 &gt; ",""))&amp;(IF(AND(F73=0,OR(C73=$Q$16,C73=$Q$17))," &lt; 5 &gt; ",""))&amp;IF(AND(G73=0,J73&gt;0)," &lt; 6 &gt; ","")&amp;IF(AND(G73&gt;0,J73=0),"Укажите сумму оплаты. ","")&amp;IF(AND(AND(G73=0,J73=0),OR($C73&lt;&gt;0,$D73&lt;&gt;0,$F73&lt;&gt;0,$G73&lt;&gt;0,$J73&gt;0))," Укажите сумму операции и сумму оплаты. ","")&amp;IF(AND(H73&gt;0,OR(C73=$Q$18,C73=$Q$19,C73=$Q$20,C73=$Q$21)),"Оплата возможна только наличными. ","")&amp;IF(AND(J73&lt;G73,OR(C73=$Q$16,C73=$Q$17,C73=$Q$18,C73=$Q$19,C73=$Q$20,C73=$Q$21)),"Возможна только полная оплата. ","")&amp;IF(AND(C73=$Q$20,G73&gt;(Старт!$G$19+$M$10)),"Указанная сумма превышает размер ЗП. ","")&amp;IF(J73&gt;G73,"Сумма оплаты превышает сумму операции. ","")&amp;IF(M73&lt;0,"Отрицательный остаток в кассе. ",""))</f>
        <v/>
      </c>
      <c r="O73" s="11">
        <f t="shared" si="0"/>
        <v>0</v>
      </c>
      <c r="P73" s="11">
        <f t="shared" si="5"/>
        <v>0</v>
      </c>
    </row>
    <row r="74" spans="1:16" ht="30" customHeight="1">
      <c r="A74" s="46">
        <f t="shared" si="6"/>
        <v>58</v>
      </c>
      <c r="B74" s="26"/>
      <c r="C74" s="6"/>
      <c r="D74" s="7"/>
      <c r="E74" s="24" t="str">
        <f t="shared" si="1"/>
        <v/>
      </c>
      <c r="F74" s="8"/>
      <c r="G74" s="9"/>
      <c r="H74" s="9"/>
      <c r="I74" s="9"/>
      <c r="J74" s="21">
        <f t="shared" si="2"/>
        <v>0</v>
      </c>
      <c r="K74" s="21">
        <f t="shared" si="3"/>
        <v>0</v>
      </c>
      <c r="L74" s="21">
        <f>IF(AND(C74=$Q$15,D74=$B$9),G74*Старт!$S$2/100,IF(AND(C74=$Q$15,D74=$B$10),G74*Старт!$S$3/100,IF(AND(C74=$Q$15,D74=$B$11),G74*Старт!$S$4/100,0)))-IF(AND(C74=$Q$17,D74=$B$9),G74*Старт!$S$2/100,IF(AND(C74=$Q$17,D74=$B$10),G74*Старт!$S$3/100,IF(AND(C74=$Q$17,D74=$B$11),G74*Старт!$S$4/100,0)))</f>
        <v>0</v>
      </c>
      <c r="M74" s="22">
        <f t="shared" si="4"/>
        <v>0</v>
      </c>
      <c r="N74" s="23" t="str">
        <f>IF(AND(OR($B74&lt;&gt;0,$C74&lt;&gt;0,$D74&lt;&gt;0,$F74&lt;&gt;0,$G74&lt;&gt;0,$J74&gt;0),OR($N$9=$Q$6,$N$9="")),"День не объявлен рабочим",IF(AND(B74=0,OR($C74&lt;&gt;0,$D74&lt;&gt;0,$F74&lt;&gt;0,$G74&lt;&gt;0,$J74&gt;0))," &lt; 2 &gt; ","")&amp;IF(AND(G74+J74&gt;0,C74="")," &lt; 3 &gt; ","")&amp;(IF(AND(D74=0,OR(C74=$Q$15,C74=$Q$16,C74=$Q$17))," &lt; 4 &gt; ",""))&amp;(IF(AND(F74=0,OR(C74=$Q$16,C74=$Q$17))," &lt; 5 &gt; ",""))&amp;IF(AND(G74=0,J74&gt;0)," &lt; 6 &gt; ","")&amp;IF(AND(G74&gt;0,J74=0),"Укажите сумму оплаты. ","")&amp;IF(AND(AND(G74=0,J74=0),OR($C74&lt;&gt;0,$D74&lt;&gt;0,$F74&lt;&gt;0,$G74&lt;&gt;0,$J74&gt;0))," Укажите сумму операции и сумму оплаты. ","")&amp;IF(AND(H74&gt;0,OR(C74=$Q$18,C74=$Q$19,C74=$Q$20,C74=$Q$21)),"Оплата возможна только наличными. ","")&amp;IF(AND(J74&lt;G74,OR(C74=$Q$16,C74=$Q$17,C74=$Q$18,C74=$Q$19,C74=$Q$20,C74=$Q$21)),"Возможна только полная оплата. ","")&amp;IF(AND(C74=$Q$20,G74&gt;(Старт!$G$19+$M$10)),"Указанная сумма превышает размер ЗП. ","")&amp;IF(J74&gt;G74,"Сумма оплаты превышает сумму операции. ","")&amp;IF(M74&lt;0,"Отрицательный остаток в кассе. ",""))</f>
        <v/>
      </c>
      <c r="O74" s="11">
        <f t="shared" si="0"/>
        <v>0</v>
      </c>
      <c r="P74" s="11">
        <f t="shared" si="5"/>
        <v>0</v>
      </c>
    </row>
    <row r="75" spans="1:16" ht="30" customHeight="1">
      <c r="A75" s="46">
        <f t="shared" si="6"/>
        <v>59</v>
      </c>
      <c r="B75" s="26"/>
      <c r="C75" s="6"/>
      <c r="D75" s="7"/>
      <c r="E75" s="24" t="str">
        <f t="shared" si="1"/>
        <v/>
      </c>
      <c r="F75" s="8"/>
      <c r="G75" s="9"/>
      <c r="H75" s="9"/>
      <c r="I75" s="9"/>
      <c r="J75" s="21">
        <f t="shared" si="2"/>
        <v>0</v>
      </c>
      <c r="K75" s="21">
        <f t="shared" si="3"/>
        <v>0</v>
      </c>
      <c r="L75" s="21">
        <f>IF(AND(C75=$Q$15,D75=$B$9),G75*Старт!$S$2/100,IF(AND(C75=$Q$15,D75=$B$10),G75*Старт!$S$3/100,IF(AND(C75=$Q$15,D75=$B$11),G75*Старт!$S$4/100,0)))-IF(AND(C75=$Q$17,D75=$B$9),G75*Старт!$S$2/100,IF(AND(C75=$Q$17,D75=$B$10),G75*Старт!$S$3/100,IF(AND(C75=$Q$17,D75=$B$11),G75*Старт!$S$4/100,0)))</f>
        <v>0</v>
      </c>
      <c r="M75" s="22">
        <f t="shared" si="4"/>
        <v>0</v>
      </c>
      <c r="N75" s="23" t="str">
        <f>IF(AND(OR($B75&lt;&gt;0,$C75&lt;&gt;0,$D75&lt;&gt;0,$F75&lt;&gt;0,$G75&lt;&gt;0,$J75&gt;0),OR($N$9=$Q$6,$N$9="")),"День не объявлен рабочим",IF(AND(B75=0,OR($C75&lt;&gt;0,$D75&lt;&gt;0,$F75&lt;&gt;0,$G75&lt;&gt;0,$J75&gt;0))," &lt; 2 &gt; ","")&amp;IF(AND(G75+J75&gt;0,C75="")," &lt; 3 &gt; ","")&amp;(IF(AND(D75=0,OR(C75=$Q$15,C75=$Q$16,C75=$Q$17))," &lt; 4 &gt; ",""))&amp;(IF(AND(F75=0,OR(C75=$Q$16,C75=$Q$17))," &lt; 5 &gt; ",""))&amp;IF(AND(G75=0,J75&gt;0)," &lt; 6 &gt; ","")&amp;IF(AND(G75&gt;0,J75=0),"Укажите сумму оплаты. ","")&amp;IF(AND(AND(G75=0,J75=0),OR($C75&lt;&gt;0,$D75&lt;&gt;0,$F75&lt;&gt;0,$G75&lt;&gt;0,$J75&gt;0))," Укажите сумму операции и сумму оплаты. ","")&amp;IF(AND(H75&gt;0,OR(C75=$Q$18,C75=$Q$19,C75=$Q$20,C75=$Q$21)),"Оплата возможна только наличными. ","")&amp;IF(AND(J75&lt;G75,OR(C75=$Q$16,C75=$Q$17,C75=$Q$18,C75=$Q$19,C75=$Q$20,C75=$Q$21)),"Возможна только полная оплата. ","")&amp;IF(AND(C75=$Q$20,G75&gt;(Старт!$G$19+$M$10)),"Указанная сумма превышает размер ЗП. ","")&amp;IF(J75&gt;G75,"Сумма оплаты превышает сумму операции. ","")&amp;IF(M75&lt;0,"Отрицательный остаток в кассе. ",""))</f>
        <v/>
      </c>
      <c r="O75" s="11">
        <f t="shared" si="0"/>
        <v>0</v>
      </c>
      <c r="P75" s="11">
        <f t="shared" si="5"/>
        <v>0</v>
      </c>
    </row>
    <row r="76" spans="1:16" ht="30" customHeight="1">
      <c r="A76" s="46">
        <f t="shared" si="6"/>
        <v>60</v>
      </c>
      <c r="B76" s="26"/>
      <c r="C76" s="6"/>
      <c r="D76" s="7"/>
      <c r="E76" s="24" t="str">
        <f t="shared" si="1"/>
        <v/>
      </c>
      <c r="F76" s="8"/>
      <c r="G76" s="9"/>
      <c r="H76" s="9"/>
      <c r="I76" s="9"/>
      <c r="J76" s="21">
        <f t="shared" si="2"/>
        <v>0</v>
      </c>
      <c r="K76" s="21">
        <f t="shared" si="3"/>
        <v>0</v>
      </c>
      <c r="L76" s="21">
        <f>IF(AND(C76=$Q$15,D76=$B$9),G76*Старт!$S$2/100,IF(AND(C76=$Q$15,D76=$B$10),G76*Старт!$S$3/100,IF(AND(C76=$Q$15,D76=$B$11),G76*Старт!$S$4/100,0)))-IF(AND(C76=$Q$17,D76=$B$9),G76*Старт!$S$2/100,IF(AND(C76=$Q$17,D76=$B$10),G76*Старт!$S$3/100,IF(AND(C76=$Q$17,D76=$B$11),G76*Старт!$S$4/100,0)))</f>
        <v>0</v>
      </c>
      <c r="M76" s="22">
        <f t="shared" si="4"/>
        <v>0</v>
      </c>
      <c r="N76" s="23" t="str">
        <f>IF(AND(OR($B76&lt;&gt;0,$C76&lt;&gt;0,$D76&lt;&gt;0,$F76&lt;&gt;0,$G76&lt;&gt;0,$J76&gt;0),OR($N$9=$Q$6,$N$9="")),"День не объявлен рабочим",IF(AND(B76=0,OR($C76&lt;&gt;0,$D76&lt;&gt;0,$F76&lt;&gt;0,$G76&lt;&gt;0,$J76&gt;0))," &lt; 2 &gt; ","")&amp;IF(AND(G76+J76&gt;0,C76="")," &lt; 3 &gt; ","")&amp;(IF(AND(D76=0,OR(C76=$Q$15,C76=$Q$16,C76=$Q$17))," &lt; 4 &gt; ",""))&amp;(IF(AND(F76=0,OR(C76=$Q$16,C76=$Q$17))," &lt; 5 &gt; ",""))&amp;IF(AND(G76=0,J76&gt;0)," &lt; 6 &gt; ","")&amp;IF(AND(G76&gt;0,J76=0),"Укажите сумму оплаты. ","")&amp;IF(AND(AND(G76=0,J76=0),OR($C76&lt;&gt;0,$D76&lt;&gt;0,$F76&lt;&gt;0,$G76&lt;&gt;0,$J76&gt;0))," Укажите сумму операции и сумму оплаты. ","")&amp;IF(AND(H76&gt;0,OR(C76=$Q$18,C76=$Q$19,C76=$Q$20,C76=$Q$21)),"Оплата возможна только наличными. ","")&amp;IF(AND(J76&lt;G76,OR(C76=$Q$16,C76=$Q$17,C76=$Q$18,C76=$Q$19,C76=$Q$20,C76=$Q$21)),"Возможна только полная оплата. ","")&amp;IF(AND(C76=$Q$20,G76&gt;(Старт!$G$19+$M$10)),"Указанная сумма превышает размер ЗП. ","")&amp;IF(J76&gt;G76,"Сумма оплаты превышает сумму операции. ","")&amp;IF(M76&lt;0,"Отрицательный остаток в кассе. ",""))</f>
        <v/>
      </c>
      <c r="O76" s="11">
        <f t="shared" si="0"/>
        <v>0</v>
      </c>
      <c r="P76" s="11">
        <f t="shared" si="5"/>
        <v>0</v>
      </c>
    </row>
    <row r="77" spans="1:16" ht="30" customHeight="1">
      <c r="A77" s="46">
        <f t="shared" si="6"/>
        <v>61</v>
      </c>
      <c r="B77" s="26"/>
      <c r="C77" s="6"/>
      <c r="D77" s="7"/>
      <c r="E77" s="24" t="str">
        <f t="shared" si="1"/>
        <v/>
      </c>
      <c r="F77" s="8"/>
      <c r="G77" s="9"/>
      <c r="H77" s="9"/>
      <c r="I77" s="9"/>
      <c r="J77" s="21">
        <f t="shared" si="2"/>
        <v>0</v>
      </c>
      <c r="K77" s="21">
        <f t="shared" si="3"/>
        <v>0</v>
      </c>
      <c r="L77" s="21">
        <f>IF(AND(C77=$Q$15,D77=$B$9),G77*Старт!$S$2/100,IF(AND(C77=$Q$15,D77=$B$10),G77*Старт!$S$3/100,IF(AND(C77=$Q$15,D77=$B$11),G77*Старт!$S$4/100,0)))-IF(AND(C77=$Q$17,D77=$B$9),G77*Старт!$S$2/100,IF(AND(C77=$Q$17,D77=$B$10),G77*Старт!$S$3/100,IF(AND(C77=$Q$17,D77=$B$11),G77*Старт!$S$4/100,0)))</f>
        <v>0</v>
      </c>
      <c r="M77" s="22">
        <f t="shared" si="4"/>
        <v>0</v>
      </c>
      <c r="N77" s="23" t="str">
        <f>IF(AND(OR($B77&lt;&gt;0,$C77&lt;&gt;0,$D77&lt;&gt;0,$F77&lt;&gt;0,$G77&lt;&gt;0,$J77&gt;0),OR($N$9=$Q$6,$N$9="")),"День не объявлен рабочим",IF(AND(B77=0,OR($C77&lt;&gt;0,$D77&lt;&gt;0,$F77&lt;&gt;0,$G77&lt;&gt;0,$J77&gt;0))," &lt; 2 &gt; ","")&amp;IF(AND(G77+J77&gt;0,C77="")," &lt; 3 &gt; ","")&amp;(IF(AND(D77=0,OR(C77=$Q$15,C77=$Q$16,C77=$Q$17))," &lt; 4 &gt; ",""))&amp;(IF(AND(F77=0,OR(C77=$Q$16,C77=$Q$17))," &lt; 5 &gt; ",""))&amp;IF(AND(G77=0,J77&gt;0)," &lt; 6 &gt; ","")&amp;IF(AND(G77&gt;0,J77=0),"Укажите сумму оплаты. ","")&amp;IF(AND(AND(G77=0,J77=0),OR($C77&lt;&gt;0,$D77&lt;&gt;0,$F77&lt;&gt;0,$G77&lt;&gt;0,$J77&gt;0))," Укажите сумму операции и сумму оплаты. ","")&amp;IF(AND(H77&gt;0,OR(C77=$Q$18,C77=$Q$19,C77=$Q$20,C77=$Q$21)),"Оплата возможна только наличными. ","")&amp;IF(AND(J77&lt;G77,OR(C77=$Q$16,C77=$Q$17,C77=$Q$18,C77=$Q$19,C77=$Q$20,C77=$Q$21)),"Возможна только полная оплата. ","")&amp;IF(AND(C77=$Q$20,G77&gt;(Старт!$G$19+$M$10)),"Указанная сумма превышает размер ЗП. ","")&amp;IF(J77&gt;G77,"Сумма оплаты превышает сумму операции. ","")&amp;IF(M77&lt;0,"Отрицательный остаток в кассе. ",""))</f>
        <v/>
      </c>
      <c r="O77" s="11">
        <f t="shared" si="0"/>
        <v>0</v>
      </c>
      <c r="P77" s="11">
        <f t="shared" si="5"/>
        <v>0</v>
      </c>
    </row>
    <row r="78" spans="1:16" ht="30" customHeight="1">
      <c r="A78" s="46">
        <f t="shared" si="6"/>
        <v>62</v>
      </c>
      <c r="B78" s="26"/>
      <c r="C78" s="6"/>
      <c r="D78" s="7"/>
      <c r="E78" s="24" t="str">
        <f t="shared" si="1"/>
        <v/>
      </c>
      <c r="F78" s="8"/>
      <c r="G78" s="9"/>
      <c r="H78" s="9"/>
      <c r="I78" s="9"/>
      <c r="J78" s="21">
        <f t="shared" si="2"/>
        <v>0</v>
      </c>
      <c r="K78" s="21">
        <f t="shared" si="3"/>
        <v>0</v>
      </c>
      <c r="L78" s="21">
        <f>IF(AND(C78=$Q$15,D78=$B$9),G78*Старт!$S$2/100,IF(AND(C78=$Q$15,D78=$B$10),G78*Старт!$S$3/100,IF(AND(C78=$Q$15,D78=$B$11),G78*Старт!$S$4/100,0)))-IF(AND(C78=$Q$17,D78=$B$9),G78*Старт!$S$2/100,IF(AND(C78=$Q$17,D78=$B$10),G78*Старт!$S$3/100,IF(AND(C78=$Q$17,D78=$B$11),G78*Старт!$S$4/100,0)))</f>
        <v>0</v>
      </c>
      <c r="M78" s="22">
        <f t="shared" si="4"/>
        <v>0</v>
      </c>
      <c r="N78" s="23" t="str">
        <f>IF(AND(OR($B78&lt;&gt;0,$C78&lt;&gt;0,$D78&lt;&gt;0,$F78&lt;&gt;0,$G78&lt;&gt;0,$J78&gt;0),OR($N$9=$Q$6,$N$9="")),"День не объявлен рабочим",IF(AND(B78=0,OR($C78&lt;&gt;0,$D78&lt;&gt;0,$F78&lt;&gt;0,$G78&lt;&gt;0,$J78&gt;0))," &lt; 2 &gt; ","")&amp;IF(AND(G78+J78&gt;0,C78="")," &lt; 3 &gt; ","")&amp;(IF(AND(D78=0,OR(C78=$Q$15,C78=$Q$16,C78=$Q$17))," &lt; 4 &gt; ",""))&amp;(IF(AND(F78=0,OR(C78=$Q$16,C78=$Q$17))," &lt; 5 &gt; ",""))&amp;IF(AND(G78=0,J78&gt;0)," &lt; 6 &gt; ","")&amp;IF(AND(G78&gt;0,J78=0),"Укажите сумму оплаты. ","")&amp;IF(AND(AND(G78=0,J78=0),OR($C78&lt;&gt;0,$D78&lt;&gt;0,$F78&lt;&gt;0,$G78&lt;&gt;0,$J78&gt;0))," Укажите сумму операции и сумму оплаты. ","")&amp;IF(AND(H78&gt;0,OR(C78=$Q$18,C78=$Q$19,C78=$Q$20,C78=$Q$21)),"Оплата возможна только наличными. ","")&amp;IF(AND(J78&lt;G78,OR(C78=$Q$16,C78=$Q$17,C78=$Q$18,C78=$Q$19,C78=$Q$20,C78=$Q$21)),"Возможна только полная оплата. ","")&amp;IF(AND(C78=$Q$20,G78&gt;(Старт!$G$19+$M$10)),"Указанная сумма превышает размер ЗП. ","")&amp;IF(J78&gt;G78,"Сумма оплаты превышает сумму операции. ","")&amp;IF(M78&lt;0,"Отрицательный остаток в кассе. ",""))</f>
        <v/>
      </c>
      <c r="O78" s="11">
        <f t="shared" si="0"/>
        <v>0</v>
      </c>
      <c r="P78" s="11">
        <f t="shared" si="5"/>
        <v>0</v>
      </c>
    </row>
    <row r="79" spans="1:16" ht="30" customHeight="1">
      <c r="A79" s="46">
        <f t="shared" si="6"/>
        <v>63</v>
      </c>
      <c r="B79" s="26"/>
      <c r="C79" s="6"/>
      <c r="D79" s="7"/>
      <c r="E79" s="24" t="str">
        <f t="shared" si="1"/>
        <v/>
      </c>
      <c r="F79" s="8"/>
      <c r="G79" s="9"/>
      <c r="H79" s="9"/>
      <c r="I79" s="9"/>
      <c r="J79" s="21">
        <f t="shared" si="2"/>
        <v>0</v>
      </c>
      <c r="K79" s="21">
        <f t="shared" si="3"/>
        <v>0</v>
      </c>
      <c r="L79" s="21">
        <f>IF(AND(C79=$Q$15,D79=$B$9),G79*Старт!$S$2/100,IF(AND(C79=$Q$15,D79=$B$10),G79*Старт!$S$3/100,IF(AND(C79=$Q$15,D79=$B$11),G79*Старт!$S$4/100,0)))-IF(AND(C79=$Q$17,D79=$B$9),G79*Старт!$S$2/100,IF(AND(C79=$Q$17,D79=$B$10),G79*Старт!$S$3/100,IF(AND(C79=$Q$17,D79=$B$11),G79*Старт!$S$4/100,0)))</f>
        <v>0</v>
      </c>
      <c r="M79" s="22">
        <f t="shared" si="4"/>
        <v>0</v>
      </c>
      <c r="N79" s="23" t="str">
        <f>IF(AND(OR($B79&lt;&gt;0,$C79&lt;&gt;0,$D79&lt;&gt;0,$F79&lt;&gt;0,$G79&lt;&gt;0,$J79&gt;0),OR($N$9=$Q$6,$N$9="")),"День не объявлен рабочим",IF(AND(B79=0,OR($C79&lt;&gt;0,$D79&lt;&gt;0,$F79&lt;&gt;0,$G79&lt;&gt;0,$J79&gt;0))," &lt; 2 &gt; ","")&amp;IF(AND(G79+J79&gt;0,C79="")," &lt; 3 &gt; ","")&amp;(IF(AND(D79=0,OR(C79=$Q$15,C79=$Q$16,C79=$Q$17))," &lt; 4 &gt; ",""))&amp;(IF(AND(F79=0,OR(C79=$Q$16,C79=$Q$17))," &lt; 5 &gt; ",""))&amp;IF(AND(G79=0,J79&gt;0)," &lt; 6 &gt; ","")&amp;IF(AND(G79&gt;0,J79=0),"Укажите сумму оплаты. ","")&amp;IF(AND(AND(G79=0,J79=0),OR($C79&lt;&gt;0,$D79&lt;&gt;0,$F79&lt;&gt;0,$G79&lt;&gt;0,$J79&gt;0))," Укажите сумму операции и сумму оплаты. ","")&amp;IF(AND(H79&gt;0,OR(C79=$Q$18,C79=$Q$19,C79=$Q$20,C79=$Q$21)),"Оплата возможна только наличными. ","")&amp;IF(AND(J79&lt;G79,OR(C79=$Q$16,C79=$Q$17,C79=$Q$18,C79=$Q$19,C79=$Q$20,C79=$Q$21)),"Возможна только полная оплата. ","")&amp;IF(AND(C79=$Q$20,G79&gt;(Старт!$G$19+$M$10)),"Указанная сумма превышает размер ЗП. ","")&amp;IF(J79&gt;G79,"Сумма оплаты превышает сумму операции. ","")&amp;IF(M79&lt;0,"Отрицательный остаток в кассе. ",""))</f>
        <v/>
      </c>
      <c r="O79" s="11">
        <f t="shared" si="0"/>
        <v>0</v>
      </c>
      <c r="P79" s="11">
        <f t="shared" si="5"/>
        <v>0</v>
      </c>
    </row>
    <row r="80" spans="1:16" ht="30" customHeight="1">
      <c r="A80" s="46">
        <f t="shared" si="6"/>
        <v>64</v>
      </c>
      <c r="B80" s="26"/>
      <c r="C80" s="6"/>
      <c r="D80" s="7"/>
      <c r="E80" s="24" t="str">
        <f t="shared" si="1"/>
        <v/>
      </c>
      <c r="F80" s="8"/>
      <c r="G80" s="9"/>
      <c r="H80" s="9"/>
      <c r="I80" s="9"/>
      <c r="J80" s="21">
        <f t="shared" si="2"/>
        <v>0</v>
      </c>
      <c r="K80" s="21">
        <f t="shared" si="3"/>
        <v>0</v>
      </c>
      <c r="L80" s="21">
        <f>IF(AND(C80=$Q$15,D80=$B$9),G80*Старт!$S$2/100,IF(AND(C80=$Q$15,D80=$B$10),G80*Старт!$S$3/100,IF(AND(C80=$Q$15,D80=$B$11),G80*Старт!$S$4/100,0)))-IF(AND(C80=$Q$17,D80=$B$9),G80*Старт!$S$2/100,IF(AND(C80=$Q$17,D80=$B$10),G80*Старт!$S$3/100,IF(AND(C80=$Q$17,D80=$B$11),G80*Старт!$S$4/100,0)))</f>
        <v>0</v>
      </c>
      <c r="M80" s="22">
        <f t="shared" si="4"/>
        <v>0</v>
      </c>
      <c r="N80" s="23" t="str">
        <f>IF(AND(OR($B80&lt;&gt;0,$C80&lt;&gt;0,$D80&lt;&gt;0,$F80&lt;&gt;0,$G80&lt;&gt;0,$J80&gt;0),OR($N$9=$Q$6,$N$9="")),"День не объявлен рабочим",IF(AND(B80=0,OR($C80&lt;&gt;0,$D80&lt;&gt;0,$F80&lt;&gt;0,$G80&lt;&gt;0,$J80&gt;0))," &lt; 2 &gt; ","")&amp;IF(AND(G80+J80&gt;0,C80="")," &lt; 3 &gt; ","")&amp;(IF(AND(D80=0,OR(C80=$Q$15,C80=$Q$16,C80=$Q$17))," &lt; 4 &gt; ",""))&amp;(IF(AND(F80=0,OR(C80=$Q$16,C80=$Q$17))," &lt; 5 &gt; ",""))&amp;IF(AND(G80=0,J80&gt;0)," &lt; 6 &gt; ","")&amp;IF(AND(G80&gt;0,J80=0),"Укажите сумму оплаты. ","")&amp;IF(AND(AND(G80=0,J80=0),OR($C80&lt;&gt;0,$D80&lt;&gt;0,$F80&lt;&gt;0,$G80&lt;&gt;0,$J80&gt;0))," Укажите сумму операции и сумму оплаты. ","")&amp;IF(AND(H80&gt;0,OR(C80=$Q$18,C80=$Q$19,C80=$Q$20,C80=$Q$21)),"Оплата возможна только наличными. ","")&amp;IF(AND(J80&lt;G80,OR(C80=$Q$16,C80=$Q$17,C80=$Q$18,C80=$Q$19,C80=$Q$20,C80=$Q$21)),"Возможна только полная оплата. ","")&amp;IF(AND(C80=$Q$20,G80&gt;(Старт!$G$19+$M$10)),"Указанная сумма превышает размер ЗП. ","")&amp;IF(J80&gt;G80,"Сумма оплаты превышает сумму операции. ","")&amp;IF(M80&lt;0,"Отрицательный остаток в кассе. ",""))</f>
        <v/>
      </c>
      <c r="O80" s="11">
        <f t="shared" si="0"/>
        <v>0</v>
      </c>
      <c r="P80" s="11">
        <f t="shared" si="5"/>
        <v>0</v>
      </c>
    </row>
    <row r="81" spans="1:16" ht="30" customHeight="1">
      <c r="A81" s="46">
        <f t="shared" si="6"/>
        <v>65</v>
      </c>
      <c r="B81" s="26"/>
      <c r="C81" s="6"/>
      <c r="D81" s="7"/>
      <c r="E81" s="24" t="str">
        <f t="shared" si="1"/>
        <v/>
      </c>
      <c r="F81" s="8"/>
      <c r="G81" s="9"/>
      <c r="H81" s="9"/>
      <c r="I81" s="9"/>
      <c r="J81" s="21">
        <f t="shared" si="2"/>
        <v>0</v>
      </c>
      <c r="K81" s="21">
        <f t="shared" si="3"/>
        <v>0</v>
      </c>
      <c r="L81" s="21">
        <f>IF(AND(C81=$Q$15,D81=$B$9),G81*Старт!$S$2/100,IF(AND(C81=$Q$15,D81=$B$10),G81*Старт!$S$3/100,IF(AND(C81=$Q$15,D81=$B$11),G81*Старт!$S$4/100,0)))-IF(AND(C81=$Q$17,D81=$B$9),G81*Старт!$S$2/100,IF(AND(C81=$Q$17,D81=$B$10),G81*Старт!$S$3/100,IF(AND(C81=$Q$17,D81=$B$11),G81*Старт!$S$4/100,0)))</f>
        <v>0</v>
      </c>
      <c r="M81" s="22">
        <f t="shared" si="4"/>
        <v>0</v>
      </c>
      <c r="N81" s="23" t="str">
        <f>IF(AND(OR($B81&lt;&gt;0,$C81&lt;&gt;0,$D81&lt;&gt;0,$F81&lt;&gt;0,$G81&lt;&gt;0,$J81&gt;0),OR($N$9=$Q$6,$N$9="")),"День не объявлен рабочим",IF(AND(B81=0,OR($C81&lt;&gt;0,$D81&lt;&gt;0,$F81&lt;&gt;0,$G81&lt;&gt;0,$J81&gt;0))," &lt; 2 &gt; ","")&amp;IF(AND(G81+J81&gt;0,C81="")," &lt; 3 &gt; ","")&amp;(IF(AND(D81=0,OR(C81=$Q$15,C81=$Q$16,C81=$Q$17))," &lt; 4 &gt; ",""))&amp;(IF(AND(F81=0,OR(C81=$Q$16,C81=$Q$17))," &lt; 5 &gt; ",""))&amp;IF(AND(G81=0,J81&gt;0)," &lt; 6 &gt; ","")&amp;IF(AND(G81&gt;0,J81=0),"Укажите сумму оплаты. ","")&amp;IF(AND(AND(G81=0,J81=0),OR($C81&lt;&gt;0,$D81&lt;&gt;0,$F81&lt;&gt;0,$G81&lt;&gt;0,$J81&gt;0))," Укажите сумму операции и сумму оплаты. ","")&amp;IF(AND(H81&gt;0,OR(C81=$Q$18,C81=$Q$19,C81=$Q$20,C81=$Q$21)),"Оплата возможна только наличными. ","")&amp;IF(AND(J81&lt;G81,OR(C81=$Q$16,C81=$Q$17,C81=$Q$18,C81=$Q$19,C81=$Q$20,C81=$Q$21)),"Возможна только полная оплата. ","")&amp;IF(AND(C81=$Q$20,G81&gt;(Старт!$G$19+$M$10)),"Указанная сумма превышает размер ЗП. ","")&amp;IF(J81&gt;G81,"Сумма оплаты превышает сумму операции. ","")&amp;IF(M81&lt;0,"Отрицательный остаток в кассе. ",""))</f>
        <v/>
      </c>
      <c r="O81" s="11">
        <f t="shared" ref="O81:O116" si="7">IF(N81="",0,1)</f>
        <v>0</v>
      </c>
      <c r="P81" s="11">
        <f t="shared" si="5"/>
        <v>0</v>
      </c>
    </row>
    <row r="82" spans="1:16" ht="30" customHeight="1">
      <c r="A82" s="46">
        <f t="shared" si="6"/>
        <v>66</v>
      </c>
      <c r="B82" s="26"/>
      <c r="C82" s="6"/>
      <c r="D82" s="7"/>
      <c r="E82" s="24" t="str">
        <f t="shared" ref="E82:E116" si="8">C82&amp;D82</f>
        <v/>
      </c>
      <c r="F82" s="8"/>
      <c r="G82" s="9"/>
      <c r="H82" s="9"/>
      <c r="I82" s="9"/>
      <c r="J82" s="21">
        <f t="shared" ref="J82:J116" si="9">H82+I82</f>
        <v>0</v>
      </c>
      <c r="K82" s="21">
        <f t="shared" ref="K82:K116" si="10">IF(C82=Q80,G82-J82,0)</f>
        <v>0</v>
      </c>
      <c r="L82" s="21">
        <f>IF(AND(C82=$Q$15,D82=$B$9),G82*Старт!$S$2/100,IF(AND(C82=$Q$15,D82=$B$10),G82*Старт!$S$3/100,IF(AND(C82=$Q$15,D82=$B$11),G82*Старт!$S$4/100,0)))-IF(AND(C82=$Q$17,D82=$B$9),G82*Старт!$S$2/100,IF(AND(C82=$Q$17,D82=$B$10),G82*Старт!$S$3/100,IF(AND(C82=$Q$17,D82=$B$11),G82*Старт!$S$4/100,0)))</f>
        <v>0</v>
      </c>
      <c r="M82" s="22">
        <f t="shared" ref="M82:M116" si="11">IF(G82="",0,IF(OR(C82=$Q$15,C82=$Q$16,C82=$Q$19),M81+I82,IF(OR(C82=$Q$17,C82=$Q$18,C82=$Q$20,C82=$Q$21),M81-I82,"")))</f>
        <v>0</v>
      </c>
      <c r="N82" s="23" t="str">
        <f>IF(AND(OR($B82&lt;&gt;0,$C82&lt;&gt;0,$D82&lt;&gt;0,$F82&lt;&gt;0,$G82&lt;&gt;0,$J82&gt;0),OR($N$9=$Q$6,$N$9="")),"День не объявлен рабочим",IF(AND(B82=0,OR($C82&lt;&gt;0,$D82&lt;&gt;0,$F82&lt;&gt;0,$G82&lt;&gt;0,$J82&gt;0))," &lt; 2 &gt; ","")&amp;IF(AND(G82+J82&gt;0,C82="")," &lt; 3 &gt; ","")&amp;(IF(AND(D82=0,OR(C82=$Q$15,C82=$Q$16,C82=$Q$17))," &lt; 4 &gt; ",""))&amp;(IF(AND(F82=0,OR(C82=$Q$16,C82=$Q$17))," &lt; 5 &gt; ",""))&amp;IF(AND(G82=0,J82&gt;0)," &lt; 6 &gt; ","")&amp;IF(AND(G82&gt;0,J82=0),"Укажите сумму оплаты. ","")&amp;IF(AND(AND(G82=0,J82=0),OR($C82&lt;&gt;0,$D82&lt;&gt;0,$F82&lt;&gt;0,$G82&lt;&gt;0,$J82&gt;0))," Укажите сумму операции и сумму оплаты. ","")&amp;IF(AND(H82&gt;0,OR(C82=$Q$18,C82=$Q$19,C82=$Q$20,C82=$Q$21)),"Оплата возможна только наличными. ","")&amp;IF(AND(J82&lt;G82,OR(C82=$Q$16,C82=$Q$17,C82=$Q$18,C82=$Q$19,C82=$Q$20,C82=$Q$21)),"Возможна только полная оплата. ","")&amp;IF(AND(C82=$Q$20,G82&gt;(Старт!$G$19+$M$10)),"Указанная сумма превышает размер ЗП. ","")&amp;IF(J82&gt;G82,"Сумма оплаты превышает сумму операции. ","")&amp;IF(M82&lt;0,"Отрицательный остаток в кассе. ",""))</f>
        <v/>
      </c>
      <c r="O82" s="11">
        <f t="shared" si="7"/>
        <v>0</v>
      </c>
      <c r="P82" s="11">
        <f t="shared" ref="P82:P116" si="12">IF(C82=$Q$20,1,0)</f>
        <v>0</v>
      </c>
    </row>
    <row r="83" spans="1:16" ht="30" customHeight="1">
      <c r="A83" s="46">
        <f t="shared" ref="A83:A116" si="13">A82+1</f>
        <v>67</v>
      </c>
      <c r="B83" s="26"/>
      <c r="C83" s="6"/>
      <c r="D83" s="7"/>
      <c r="E83" s="24" t="str">
        <f t="shared" si="8"/>
        <v/>
      </c>
      <c r="F83" s="8"/>
      <c r="G83" s="9"/>
      <c r="H83" s="9"/>
      <c r="I83" s="9"/>
      <c r="J83" s="21">
        <f t="shared" si="9"/>
        <v>0</v>
      </c>
      <c r="K83" s="21">
        <f t="shared" si="10"/>
        <v>0</v>
      </c>
      <c r="L83" s="21">
        <f>IF(AND(C83=$Q$15,D83=$B$9),G83*Старт!$S$2/100,IF(AND(C83=$Q$15,D83=$B$10),G83*Старт!$S$3/100,IF(AND(C83=$Q$15,D83=$B$11),G83*Старт!$S$4/100,0)))-IF(AND(C83=$Q$17,D83=$B$9),G83*Старт!$S$2/100,IF(AND(C83=$Q$17,D83=$B$10),G83*Старт!$S$3/100,IF(AND(C83=$Q$17,D83=$B$11),G83*Старт!$S$4/100,0)))</f>
        <v>0</v>
      </c>
      <c r="M83" s="22">
        <f t="shared" si="11"/>
        <v>0</v>
      </c>
      <c r="N83" s="23" t="str">
        <f>IF(AND(OR($B83&lt;&gt;0,$C83&lt;&gt;0,$D83&lt;&gt;0,$F83&lt;&gt;0,$G83&lt;&gt;0,$J83&gt;0),OR($N$9=$Q$6,$N$9="")),"День не объявлен рабочим",IF(AND(B83=0,OR($C83&lt;&gt;0,$D83&lt;&gt;0,$F83&lt;&gt;0,$G83&lt;&gt;0,$J83&gt;0))," &lt; 2 &gt; ","")&amp;IF(AND(G83+J83&gt;0,C83="")," &lt; 3 &gt; ","")&amp;(IF(AND(D83=0,OR(C83=$Q$15,C83=$Q$16,C83=$Q$17))," &lt; 4 &gt; ",""))&amp;(IF(AND(F83=0,OR(C83=$Q$16,C83=$Q$17))," &lt; 5 &gt; ",""))&amp;IF(AND(G83=0,J83&gt;0)," &lt; 6 &gt; ","")&amp;IF(AND(G83&gt;0,J83=0),"Укажите сумму оплаты. ","")&amp;IF(AND(AND(G83=0,J83=0),OR($C83&lt;&gt;0,$D83&lt;&gt;0,$F83&lt;&gt;0,$G83&lt;&gt;0,$J83&gt;0))," Укажите сумму операции и сумму оплаты. ","")&amp;IF(AND(H83&gt;0,OR(C83=$Q$18,C83=$Q$19,C83=$Q$20,C83=$Q$21)),"Оплата возможна только наличными. ","")&amp;IF(AND(J83&lt;G83,OR(C83=$Q$16,C83=$Q$17,C83=$Q$18,C83=$Q$19,C83=$Q$20,C83=$Q$21)),"Возможна только полная оплата. ","")&amp;IF(AND(C83=$Q$20,G83&gt;(Старт!$G$19+$M$10)),"Указанная сумма превышает размер ЗП. ","")&amp;IF(J83&gt;G83,"Сумма оплаты превышает сумму операции. ","")&amp;IF(M83&lt;0,"Отрицательный остаток в кассе. ",""))</f>
        <v/>
      </c>
      <c r="O83" s="11">
        <f t="shared" si="7"/>
        <v>0</v>
      </c>
      <c r="P83" s="11">
        <f t="shared" si="12"/>
        <v>0</v>
      </c>
    </row>
    <row r="84" spans="1:16" ht="30" customHeight="1">
      <c r="A84" s="46">
        <f t="shared" si="13"/>
        <v>68</v>
      </c>
      <c r="B84" s="26"/>
      <c r="C84" s="6"/>
      <c r="D84" s="7"/>
      <c r="E84" s="24" t="str">
        <f t="shared" si="8"/>
        <v/>
      </c>
      <c r="F84" s="8"/>
      <c r="G84" s="9"/>
      <c r="H84" s="9"/>
      <c r="I84" s="9"/>
      <c r="J84" s="21">
        <f t="shared" si="9"/>
        <v>0</v>
      </c>
      <c r="K84" s="21">
        <f t="shared" si="10"/>
        <v>0</v>
      </c>
      <c r="L84" s="21">
        <f>IF(AND(C84=$Q$15,D84=$B$9),G84*Старт!$S$2/100,IF(AND(C84=$Q$15,D84=$B$10),G84*Старт!$S$3/100,IF(AND(C84=$Q$15,D84=$B$11),G84*Старт!$S$4/100,0)))-IF(AND(C84=$Q$17,D84=$B$9),G84*Старт!$S$2/100,IF(AND(C84=$Q$17,D84=$B$10),G84*Старт!$S$3/100,IF(AND(C84=$Q$17,D84=$B$11),G84*Старт!$S$4/100,0)))</f>
        <v>0</v>
      </c>
      <c r="M84" s="22">
        <f t="shared" si="11"/>
        <v>0</v>
      </c>
      <c r="N84" s="23" t="str">
        <f>IF(AND(OR($B84&lt;&gt;0,$C84&lt;&gt;0,$D84&lt;&gt;0,$F84&lt;&gt;0,$G84&lt;&gt;0,$J84&gt;0),OR($N$9=$Q$6,$N$9="")),"День не объявлен рабочим",IF(AND(B84=0,OR($C84&lt;&gt;0,$D84&lt;&gt;0,$F84&lt;&gt;0,$G84&lt;&gt;0,$J84&gt;0))," &lt; 2 &gt; ","")&amp;IF(AND(G84+J84&gt;0,C84="")," &lt; 3 &gt; ","")&amp;(IF(AND(D84=0,OR(C84=$Q$15,C84=$Q$16,C84=$Q$17))," &lt; 4 &gt; ",""))&amp;(IF(AND(F84=0,OR(C84=$Q$16,C84=$Q$17))," &lt; 5 &gt; ",""))&amp;IF(AND(G84=0,J84&gt;0)," &lt; 6 &gt; ","")&amp;IF(AND(G84&gt;0,J84=0),"Укажите сумму оплаты. ","")&amp;IF(AND(AND(G84=0,J84=0),OR($C84&lt;&gt;0,$D84&lt;&gt;0,$F84&lt;&gt;0,$G84&lt;&gt;0,$J84&gt;0))," Укажите сумму операции и сумму оплаты. ","")&amp;IF(AND(H84&gt;0,OR(C84=$Q$18,C84=$Q$19,C84=$Q$20,C84=$Q$21)),"Оплата возможна только наличными. ","")&amp;IF(AND(J84&lt;G84,OR(C84=$Q$16,C84=$Q$17,C84=$Q$18,C84=$Q$19,C84=$Q$20,C84=$Q$21)),"Возможна только полная оплата. ","")&amp;IF(AND(C84=$Q$20,G84&gt;(Старт!$G$19+$M$10)),"Указанная сумма превышает размер ЗП. ","")&amp;IF(J84&gt;G84,"Сумма оплаты превышает сумму операции. ","")&amp;IF(M84&lt;0,"Отрицательный остаток в кассе. ",""))</f>
        <v/>
      </c>
      <c r="O84" s="11">
        <f t="shared" si="7"/>
        <v>0</v>
      </c>
      <c r="P84" s="11">
        <f t="shared" si="12"/>
        <v>0</v>
      </c>
    </row>
    <row r="85" spans="1:16" ht="30" customHeight="1">
      <c r="A85" s="46">
        <f t="shared" si="13"/>
        <v>69</v>
      </c>
      <c r="B85" s="26"/>
      <c r="C85" s="6"/>
      <c r="D85" s="7"/>
      <c r="E85" s="24" t="str">
        <f t="shared" si="8"/>
        <v/>
      </c>
      <c r="F85" s="8"/>
      <c r="G85" s="9"/>
      <c r="H85" s="9"/>
      <c r="I85" s="9"/>
      <c r="J85" s="21">
        <f t="shared" si="9"/>
        <v>0</v>
      </c>
      <c r="K85" s="21">
        <f t="shared" si="10"/>
        <v>0</v>
      </c>
      <c r="L85" s="21">
        <f>IF(AND(C85=$Q$15,D85=$B$9),G85*Старт!$S$2/100,IF(AND(C85=$Q$15,D85=$B$10),G85*Старт!$S$3/100,IF(AND(C85=$Q$15,D85=$B$11),G85*Старт!$S$4/100,0)))-IF(AND(C85=$Q$17,D85=$B$9),G85*Старт!$S$2/100,IF(AND(C85=$Q$17,D85=$B$10),G85*Старт!$S$3/100,IF(AND(C85=$Q$17,D85=$B$11),G85*Старт!$S$4/100,0)))</f>
        <v>0</v>
      </c>
      <c r="M85" s="22">
        <f t="shared" si="11"/>
        <v>0</v>
      </c>
      <c r="N85" s="23" t="str">
        <f>IF(AND(OR($B85&lt;&gt;0,$C85&lt;&gt;0,$D85&lt;&gt;0,$F85&lt;&gt;0,$G85&lt;&gt;0,$J85&gt;0),OR($N$9=$Q$6,$N$9="")),"День не объявлен рабочим",IF(AND(B85=0,OR($C85&lt;&gt;0,$D85&lt;&gt;0,$F85&lt;&gt;0,$G85&lt;&gt;0,$J85&gt;0))," &lt; 2 &gt; ","")&amp;IF(AND(G85+J85&gt;0,C85="")," &lt; 3 &gt; ","")&amp;(IF(AND(D85=0,OR(C85=$Q$15,C85=$Q$16,C85=$Q$17))," &lt; 4 &gt; ",""))&amp;(IF(AND(F85=0,OR(C85=$Q$16,C85=$Q$17))," &lt; 5 &gt; ",""))&amp;IF(AND(G85=0,J85&gt;0)," &lt; 6 &gt; ","")&amp;IF(AND(G85&gt;0,J85=0),"Укажите сумму оплаты. ","")&amp;IF(AND(AND(G85=0,J85=0),OR($C85&lt;&gt;0,$D85&lt;&gt;0,$F85&lt;&gt;0,$G85&lt;&gt;0,$J85&gt;0))," Укажите сумму операции и сумму оплаты. ","")&amp;IF(AND(H85&gt;0,OR(C85=$Q$18,C85=$Q$19,C85=$Q$20,C85=$Q$21)),"Оплата возможна только наличными. ","")&amp;IF(AND(J85&lt;G85,OR(C85=$Q$16,C85=$Q$17,C85=$Q$18,C85=$Q$19,C85=$Q$20,C85=$Q$21)),"Возможна только полная оплата. ","")&amp;IF(AND(C85=$Q$20,G85&gt;(Старт!$G$19+$M$10)),"Указанная сумма превышает размер ЗП. ","")&amp;IF(J85&gt;G85,"Сумма оплаты превышает сумму операции. ","")&amp;IF(M85&lt;0,"Отрицательный остаток в кассе. ",""))</f>
        <v/>
      </c>
      <c r="O85" s="11">
        <f t="shared" si="7"/>
        <v>0</v>
      </c>
      <c r="P85" s="11">
        <f t="shared" si="12"/>
        <v>0</v>
      </c>
    </row>
    <row r="86" spans="1:16" ht="30" customHeight="1">
      <c r="A86" s="46">
        <f t="shared" si="13"/>
        <v>70</v>
      </c>
      <c r="B86" s="26"/>
      <c r="C86" s="6"/>
      <c r="D86" s="7"/>
      <c r="E86" s="24" t="str">
        <f t="shared" si="8"/>
        <v/>
      </c>
      <c r="F86" s="8"/>
      <c r="G86" s="9"/>
      <c r="H86" s="9"/>
      <c r="I86" s="9"/>
      <c r="J86" s="21">
        <f t="shared" si="9"/>
        <v>0</v>
      </c>
      <c r="K86" s="21">
        <f t="shared" si="10"/>
        <v>0</v>
      </c>
      <c r="L86" s="21">
        <f>IF(AND(C86=$Q$15,D86=$B$9),G86*Старт!$S$2/100,IF(AND(C86=$Q$15,D86=$B$10),G86*Старт!$S$3/100,IF(AND(C86=$Q$15,D86=$B$11),G86*Старт!$S$4/100,0)))-IF(AND(C86=$Q$17,D86=$B$9),G86*Старт!$S$2/100,IF(AND(C86=$Q$17,D86=$B$10),G86*Старт!$S$3/100,IF(AND(C86=$Q$17,D86=$B$11),G86*Старт!$S$4/100,0)))</f>
        <v>0</v>
      </c>
      <c r="M86" s="22">
        <f t="shared" si="11"/>
        <v>0</v>
      </c>
      <c r="N86" s="23" t="str">
        <f>IF(AND(OR($B86&lt;&gt;0,$C86&lt;&gt;0,$D86&lt;&gt;0,$F86&lt;&gt;0,$G86&lt;&gt;0,$J86&gt;0),OR($N$9=$Q$6,$N$9="")),"День не объявлен рабочим",IF(AND(B86=0,OR($C86&lt;&gt;0,$D86&lt;&gt;0,$F86&lt;&gt;0,$G86&lt;&gt;0,$J86&gt;0))," &lt; 2 &gt; ","")&amp;IF(AND(G86+J86&gt;0,C86="")," &lt; 3 &gt; ","")&amp;(IF(AND(D86=0,OR(C86=$Q$15,C86=$Q$16,C86=$Q$17))," &lt; 4 &gt; ",""))&amp;(IF(AND(F86=0,OR(C86=$Q$16,C86=$Q$17))," &lt; 5 &gt; ",""))&amp;IF(AND(G86=0,J86&gt;0)," &lt; 6 &gt; ","")&amp;IF(AND(G86&gt;0,J86=0),"Укажите сумму оплаты. ","")&amp;IF(AND(AND(G86=0,J86=0),OR($C86&lt;&gt;0,$D86&lt;&gt;0,$F86&lt;&gt;0,$G86&lt;&gt;0,$J86&gt;0))," Укажите сумму операции и сумму оплаты. ","")&amp;IF(AND(H86&gt;0,OR(C86=$Q$18,C86=$Q$19,C86=$Q$20,C86=$Q$21)),"Оплата возможна только наличными. ","")&amp;IF(AND(J86&lt;G86,OR(C86=$Q$16,C86=$Q$17,C86=$Q$18,C86=$Q$19,C86=$Q$20,C86=$Q$21)),"Возможна только полная оплата. ","")&amp;IF(AND(C86=$Q$20,G86&gt;(Старт!$G$19+$M$10)),"Указанная сумма превышает размер ЗП. ","")&amp;IF(J86&gt;G86,"Сумма оплаты превышает сумму операции. ","")&amp;IF(M86&lt;0,"Отрицательный остаток в кассе. ",""))</f>
        <v/>
      </c>
      <c r="O86" s="11">
        <f t="shared" si="7"/>
        <v>0</v>
      </c>
      <c r="P86" s="11">
        <f t="shared" si="12"/>
        <v>0</v>
      </c>
    </row>
    <row r="87" spans="1:16" ht="30" customHeight="1">
      <c r="A87" s="46">
        <f t="shared" si="13"/>
        <v>71</v>
      </c>
      <c r="B87" s="26"/>
      <c r="C87" s="6"/>
      <c r="D87" s="7"/>
      <c r="E87" s="24" t="str">
        <f t="shared" si="8"/>
        <v/>
      </c>
      <c r="F87" s="8"/>
      <c r="G87" s="9"/>
      <c r="H87" s="9"/>
      <c r="I87" s="9"/>
      <c r="J87" s="21">
        <f t="shared" si="9"/>
        <v>0</v>
      </c>
      <c r="K87" s="21">
        <f t="shared" si="10"/>
        <v>0</v>
      </c>
      <c r="L87" s="21">
        <f>IF(AND(C87=$Q$15,D87=$B$9),G87*Старт!$S$2/100,IF(AND(C87=$Q$15,D87=$B$10),G87*Старт!$S$3/100,IF(AND(C87=$Q$15,D87=$B$11),G87*Старт!$S$4/100,0)))-IF(AND(C87=$Q$17,D87=$B$9),G87*Старт!$S$2/100,IF(AND(C87=$Q$17,D87=$B$10),G87*Старт!$S$3/100,IF(AND(C87=$Q$17,D87=$B$11),G87*Старт!$S$4/100,0)))</f>
        <v>0</v>
      </c>
      <c r="M87" s="22">
        <f t="shared" si="11"/>
        <v>0</v>
      </c>
      <c r="N87" s="23" t="str">
        <f>IF(AND(OR($B87&lt;&gt;0,$C87&lt;&gt;0,$D87&lt;&gt;0,$F87&lt;&gt;0,$G87&lt;&gt;0,$J87&gt;0),OR($N$9=$Q$6,$N$9="")),"День не объявлен рабочим",IF(AND(B87=0,OR($C87&lt;&gt;0,$D87&lt;&gt;0,$F87&lt;&gt;0,$G87&lt;&gt;0,$J87&gt;0))," &lt; 2 &gt; ","")&amp;IF(AND(G87+J87&gt;0,C87="")," &lt; 3 &gt; ","")&amp;(IF(AND(D87=0,OR(C87=$Q$15,C87=$Q$16,C87=$Q$17))," &lt; 4 &gt; ",""))&amp;(IF(AND(F87=0,OR(C87=$Q$16,C87=$Q$17))," &lt; 5 &gt; ",""))&amp;IF(AND(G87=0,J87&gt;0)," &lt; 6 &gt; ","")&amp;IF(AND(G87&gt;0,J87=0),"Укажите сумму оплаты. ","")&amp;IF(AND(AND(G87=0,J87=0),OR($C87&lt;&gt;0,$D87&lt;&gt;0,$F87&lt;&gt;0,$G87&lt;&gt;0,$J87&gt;0))," Укажите сумму операции и сумму оплаты. ","")&amp;IF(AND(H87&gt;0,OR(C87=$Q$18,C87=$Q$19,C87=$Q$20,C87=$Q$21)),"Оплата возможна только наличными. ","")&amp;IF(AND(J87&lt;G87,OR(C87=$Q$16,C87=$Q$17,C87=$Q$18,C87=$Q$19,C87=$Q$20,C87=$Q$21)),"Возможна только полная оплата. ","")&amp;IF(AND(C87=$Q$20,G87&gt;(Старт!$G$19+$M$10)),"Указанная сумма превышает размер ЗП. ","")&amp;IF(J87&gt;G87,"Сумма оплаты превышает сумму операции. ","")&amp;IF(M87&lt;0,"Отрицательный остаток в кассе. ",""))</f>
        <v/>
      </c>
      <c r="O87" s="11">
        <f t="shared" si="7"/>
        <v>0</v>
      </c>
      <c r="P87" s="11">
        <f t="shared" si="12"/>
        <v>0</v>
      </c>
    </row>
    <row r="88" spans="1:16" ht="30" customHeight="1">
      <c r="A88" s="46">
        <f t="shared" si="13"/>
        <v>72</v>
      </c>
      <c r="B88" s="26"/>
      <c r="C88" s="6"/>
      <c r="D88" s="7"/>
      <c r="E88" s="24" t="str">
        <f t="shared" si="8"/>
        <v/>
      </c>
      <c r="F88" s="8"/>
      <c r="G88" s="9"/>
      <c r="H88" s="9"/>
      <c r="I88" s="9"/>
      <c r="J88" s="21">
        <f t="shared" si="9"/>
        <v>0</v>
      </c>
      <c r="K88" s="21">
        <f t="shared" si="10"/>
        <v>0</v>
      </c>
      <c r="L88" s="21">
        <f>IF(AND(C88=$Q$15,D88=$B$9),G88*Старт!$S$2/100,IF(AND(C88=$Q$15,D88=$B$10),G88*Старт!$S$3/100,IF(AND(C88=$Q$15,D88=$B$11),G88*Старт!$S$4/100,0)))-IF(AND(C88=$Q$17,D88=$B$9),G88*Старт!$S$2/100,IF(AND(C88=$Q$17,D88=$B$10),G88*Старт!$S$3/100,IF(AND(C88=$Q$17,D88=$B$11),G88*Старт!$S$4/100,0)))</f>
        <v>0</v>
      </c>
      <c r="M88" s="22">
        <f t="shared" si="11"/>
        <v>0</v>
      </c>
      <c r="N88" s="23" t="str">
        <f>IF(AND(OR($B88&lt;&gt;0,$C88&lt;&gt;0,$D88&lt;&gt;0,$F88&lt;&gt;0,$G88&lt;&gt;0,$J88&gt;0),OR($N$9=$Q$6,$N$9="")),"День не объявлен рабочим",IF(AND(B88=0,OR($C88&lt;&gt;0,$D88&lt;&gt;0,$F88&lt;&gt;0,$G88&lt;&gt;0,$J88&gt;0))," &lt; 2 &gt; ","")&amp;IF(AND(G88+J88&gt;0,C88="")," &lt; 3 &gt; ","")&amp;(IF(AND(D88=0,OR(C88=$Q$15,C88=$Q$16,C88=$Q$17))," &lt; 4 &gt; ",""))&amp;(IF(AND(F88=0,OR(C88=$Q$16,C88=$Q$17))," &lt; 5 &gt; ",""))&amp;IF(AND(G88=0,J88&gt;0)," &lt; 6 &gt; ","")&amp;IF(AND(G88&gt;0,J88=0),"Укажите сумму оплаты. ","")&amp;IF(AND(AND(G88=0,J88=0),OR($C88&lt;&gt;0,$D88&lt;&gt;0,$F88&lt;&gt;0,$G88&lt;&gt;0,$J88&gt;0))," Укажите сумму операции и сумму оплаты. ","")&amp;IF(AND(H88&gt;0,OR(C88=$Q$18,C88=$Q$19,C88=$Q$20,C88=$Q$21)),"Оплата возможна только наличными. ","")&amp;IF(AND(J88&lt;G88,OR(C88=$Q$16,C88=$Q$17,C88=$Q$18,C88=$Q$19,C88=$Q$20,C88=$Q$21)),"Возможна только полная оплата. ","")&amp;IF(AND(C88=$Q$20,G88&gt;(Старт!$G$19+$M$10)),"Указанная сумма превышает размер ЗП. ","")&amp;IF(J88&gt;G88,"Сумма оплаты превышает сумму операции. ","")&amp;IF(M88&lt;0,"Отрицательный остаток в кассе. ",""))</f>
        <v/>
      </c>
      <c r="O88" s="11">
        <f t="shared" si="7"/>
        <v>0</v>
      </c>
      <c r="P88" s="11">
        <f t="shared" si="12"/>
        <v>0</v>
      </c>
    </row>
    <row r="89" spans="1:16" ht="30" customHeight="1">
      <c r="A89" s="46">
        <f t="shared" si="13"/>
        <v>73</v>
      </c>
      <c r="B89" s="26"/>
      <c r="C89" s="6"/>
      <c r="D89" s="7"/>
      <c r="E89" s="24" t="str">
        <f t="shared" si="8"/>
        <v/>
      </c>
      <c r="F89" s="8"/>
      <c r="G89" s="9"/>
      <c r="H89" s="9"/>
      <c r="I89" s="9"/>
      <c r="J89" s="21">
        <f t="shared" si="9"/>
        <v>0</v>
      </c>
      <c r="K89" s="21">
        <f t="shared" si="10"/>
        <v>0</v>
      </c>
      <c r="L89" s="21">
        <f>IF(AND(C89=$Q$15,D89=$B$9),G89*Старт!$S$2/100,IF(AND(C89=$Q$15,D89=$B$10),G89*Старт!$S$3/100,IF(AND(C89=$Q$15,D89=$B$11),G89*Старт!$S$4/100,0)))-IF(AND(C89=$Q$17,D89=$B$9),G89*Старт!$S$2/100,IF(AND(C89=$Q$17,D89=$B$10),G89*Старт!$S$3/100,IF(AND(C89=$Q$17,D89=$B$11),G89*Старт!$S$4/100,0)))</f>
        <v>0</v>
      </c>
      <c r="M89" s="22">
        <f t="shared" si="11"/>
        <v>0</v>
      </c>
      <c r="N89" s="23" t="str">
        <f>IF(AND(OR($B89&lt;&gt;0,$C89&lt;&gt;0,$D89&lt;&gt;0,$F89&lt;&gt;0,$G89&lt;&gt;0,$J89&gt;0),OR($N$9=$Q$6,$N$9="")),"День не объявлен рабочим",IF(AND(B89=0,OR($C89&lt;&gt;0,$D89&lt;&gt;0,$F89&lt;&gt;0,$G89&lt;&gt;0,$J89&gt;0))," &lt; 2 &gt; ","")&amp;IF(AND(G89+J89&gt;0,C89="")," &lt; 3 &gt; ","")&amp;(IF(AND(D89=0,OR(C89=$Q$15,C89=$Q$16,C89=$Q$17))," &lt; 4 &gt; ",""))&amp;(IF(AND(F89=0,OR(C89=$Q$16,C89=$Q$17))," &lt; 5 &gt; ",""))&amp;IF(AND(G89=0,J89&gt;0)," &lt; 6 &gt; ","")&amp;IF(AND(G89&gt;0,J89=0),"Укажите сумму оплаты. ","")&amp;IF(AND(AND(G89=0,J89=0),OR($C89&lt;&gt;0,$D89&lt;&gt;0,$F89&lt;&gt;0,$G89&lt;&gt;0,$J89&gt;0))," Укажите сумму операции и сумму оплаты. ","")&amp;IF(AND(H89&gt;0,OR(C89=$Q$18,C89=$Q$19,C89=$Q$20,C89=$Q$21)),"Оплата возможна только наличными. ","")&amp;IF(AND(J89&lt;G89,OR(C89=$Q$16,C89=$Q$17,C89=$Q$18,C89=$Q$19,C89=$Q$20,C89=$Q$21)),"Возможна только полная оплата. ","")&amp;IF(AND(C89=$Q$20,G89&gt;(Старт!$G$19+$M$10)),"Указанная сумма превышает размер ЗП. ","")&amp;IF(J89&gt;G89,"Сумма оплаты превышает сумму операции. ","")&amp;IF(M89&lt;0,"Отрицательный остаток в кассе. ",""))</f>
        <v/>
      </c>
      <c r="O89" s="11">
        <f t="shared" si="7"/>
        <v>0</v>
      </c>
      <c r="P89" s="11">
        <f t="shared" si="12"/>
        <v>0</v>
      </c>
    </row>
    <row r="90" spans="1:16" ht="30" customHeight="1">
      <c r="A90" s="46">
        <f t="shared" si="13"/>
        <v>74</v>
      </c>
      <c r="B90" s="26"/>
      <c r="C90" s="6"/>
      <c r="D90" s="7"/>
      <c r="E90" s="24" t="str">
        <f t="shared" si="8"/>
        <v/>
      </c>
      <c r="F90" s="8"/>
      <c r="G90" s="9"/>
      <c r="H90" s="9"/>
      <c r="I90" s="9"/>
      <c r="J90" s="21">
        <f t="shared" si="9"/>
        <v>0</v>
      </c>
      <c r="K90" s="21">
        <f t="shared" si="10"/>
        <v>0</v>
      </c>
      <c r="L90" s="21">
        <f>IF(AND(C90=$Q$15,D90=$B$9),G90*Старт!$S$2/100,IF(AND(C90=$Q$15,D90=$B$10),G90*Старт!$S$3/100,IF(AND(C90=$Q$15,D90=$B$11),G90*Старт!$S$4/100,0)))-IF(AND(C90=$Q$17,D90=$B$9),G90*Старт!$S$2/100,IF(AND(C90=$Q$17,D90=$B$10),G90*Старт!$S$3/100,IF(AND(C90=$Q$17,D90=$B$11),G90*Старт!$S$4/100,0)))</f>
        <v>0</v>
      </c>
      <c r="M90" s="22">
        <f t="shared" si="11"/>
        <v>0</v>
      </c>
      <c r="N90" s="23" t="str">
        <f>IF(AND(OR($B90&lt;&gt;0,$C90&lt;&gt;0,$D90&lt;&gt;0,$F90&lt;&gt;0,$G90&lt;&gt;0,$J90&gt;0),OR($N$9=$Q$6,$N$9="")),"День не объявлен рабочим",IF(AND(B90=0,OR($C90&lt;&gt;0,$D90&lt;&gt;0,$F90&lt;&gt;0,$G90&lt;&gt;0,$J90&gt;0))," &lt; 2 &gt; ","")&amp;IF(AND(G90+J90&gt;0,C90="")," &lt; 3 &gt; ","")&amp;(IF(AND(D90=0,OR(C90=$Q$15,C90=$Q$16,C90=$Q$17))," &lt; 4 &gt; ",""))&amp;(IF(AND(F90=0,OR(C90=$Q$16,C90=$Q$17))," &lt; 5 &gt; ",""))&amp;IF(AND(G90=0,J90&gt;0)," &lt; 6 &gt; ","")&amp;IF(AND(G90&gt;0,J90=0),"Укажите сумму оплаты. ","")&amp;IF(AND(AND(G90=0,J90=0),OR($C90&lt;&gt;0,$D90&lt;&gt;0,$F90&lt;&gt;0,$G90&lt;&gt;0,$J90&gt;0))," Укажите сумму операции и сумму оплаты. ","")&amp;IF(AND(H90&gt;0,OR(C90=$Q$18,C90=$Q$19,C90=$Q$20,C90=$Q$21)),"Оплата возможна только наличными. ","")&amp;IF(AND(J90&lt;G90,OR(C90=$Q$16,C90=$Q$17,C90=$Q$18,C90=$Q$19,C90=$Q$20,C90=$Q$21)),"Возможна только полная оплата. ","")&amp;IF(AND(C90=$Q$20,G90&gt;(Старт!$G$19+$M$10)),"Указанная сумма превышает размер ЗП. ","")&amp;IF(J90&gt;G90,"Сумма оплаты превышает сумму операции. ","")&amp;IF(M90&lt;0,"Отрицательный остаток в кассе. ",""))</f>
        <v/>
      </c>
      <c r="O90" s="11">
        <f t="shared" si="7"/>
        <v>0</v>
      </c>
      <c r="P90" s="11">
        <f t="shared" si="12"/>
        <v>0</v>
      </c>
    </row>
    <row r="91" spans="1:16" ht="30" customHeight="1">
      <c r="A91" s="46">
        <f t="shared" si="13"/>
        <v>75</v>
      </c>
      <c r="B91" s="26"/>
      <c r="C91" s="6"/>
      <c r="D91" s="7"/>
      <c r="E91" s="24" t="str">
        <f t="shared" si="8"/>
        <v/>
      </c>
      <c r="F91" s="8"/>
      <c r="G91" s="9"/>
      <c r="H91" s="9"/>
      <c r="I91" s="9"/>
      <c r="J91" s="21">
        <f t="shared" si="9"/>
        <v>0</v>
      </c>
      <c r="K91" s="21">
        <f t="shared" si="10"/>
        <v>0</v>
      </c>
      <c r="L91" s="21">
        <f>IF(AND(C91=$Q$15,D91=$B$9),G91*Старт!$S$2/100,IF(AND(C91=$Q$15,D91=$B$10),G91*Старт!$S$3/100,IF(AND(C91=$Q$15,D91=$B$11),G91*Старт!$S$4/100,0)))-IF(AND(C91=$Q$17,D91=$B$9),G91*Старт!$S$2/100,IF(AND(C91=$Q$17,D91=$B$10),G91*Старт!$S$3/100,IF(AND(C91=$Q$17,D91=$B$11),G91*Старт!$S$4/100,0)))</f>
        <v>0</v>
      </c>
      <c r="M91" s="22">
        <f t="shared" si="11"/>
        <v>0</v>
      </c>
      <c r="N91" s="23" t="str">
        <f>IF(AND(OR($B91&lt;&gt;0,$C91&lt;&gt;0,$D91&lt;&gt;0,$F91&lt;&gt;0,$G91&lt;&gt;0,$J91&gt;0),OR($N$9=$Q$6,$N$9="")),"День не объявлен рабочим",IF(AND(B91=0,OR($C91&lt;&gt;0,$D91&lt;&gt;0,$F91&lt;&gt;0,$G91&lt;&gt;0,$J91&gt;0))," &lt; 2 &gt; ","")&amp;IF(AND(G91+J91&gt;0,C91="")," &lt; 3 &gt; ","")&amp;(IF(AND(D91=0,OR(C91=$Q$15,C91=$Q$16,C91=$Q$17))," &lt; 4 &gt; ",""))&amp;(IF(AND(F91=0,OR(C91=$Q$16,C91=$Q$17))," &lt; 5 &gt; ",""))&amp;IF(AND(G91=0,J91&gt;0)," &lt; 6 &gt; ","")&amp;IF(AND(G91&gt;0,J91=0),"Укажите сумму оплаты. ","")&amp;IF(AND(AND(G91=0,J91=0),OR($C91&lt;&gt;0,$D91&lt;&gt;0,$F91&lt;&gt;0,$G91&lt;&gt;0,$J91&gt;0))," Укажите сумму операции и сумму оплаты. ","")&amp;IF(AND(H91&gt;0,OR(C91=$Q$18,C91=$Q$19,C91=$Q$20,C91=$Q$21)),"Оплата возможна только наличными. ","")&amp;IF(AND(J91&lt;G91,OR(C91=$Q$16,C91=$Q$17,C91=$Q$18,C91=$Q$19,C91=$Q$20,C91=$Q$21)),"Возможна только полная оплата. ","")&amp;IF(AND(C91=$Q$20,G91&gt;(Старт!$G$19+$M$10)),"Указанная сумма превышает размер ЗП. ","")&amp;IF(J91&gt;G91,"Сумма оплаты превышает сумму операции. ","")&amp;IF(M91&lt;0,"Отрицательный остаток в кассе. ",""))</f>
        <v/>
      </c>
      <c r="O91" s="11">
        <f t="shared" si="7"/>
        <v>0</v>
      </c>
      <c r="P91" s="11">
        <f t="shared" si="12"/>
        <v>0</v>
      </c>
    </row>
    <row r="92" spans="1:16" ht="30" customHeight="1">
      <c r="A92" s="46">
        <f t="shared" si="13"/>
        <v>76</v>
      </c>
      <c r="B92" s="26"/>
      <c r="C92" s="6"/>
      <c r="D92" s="7"/>
      <c r="E92" s="24" t="str">
        <f t="shared" si="8"/>
        <v/>
      </c>
      <c r="F92" s="8"/>
      <c r="G92" s="9"/>
      <c r="H92" s="9"/>
      <c r="I92" s="9"/>
      <c r="J92" s="21">
        <f t="shared" si="9"/>
        <v>0</v>
      </c>
      <c r="K92" s="21">
        <f t="shared" si="10"/>
        <v>0</v>
      </c>
      <c r="L92" s="21">
        <f>IF(AND(C92=$Q$15,D92=$B$9),G92*Старт!$S$2/100,IF(AND(C92=$Q$15,D92=$B$10),G92*Старт!$S$3/100,IF(AND(C92=$Q$15,D92=$B$11),G92*Старт!$S$4/100,0)))-IF(AND(C92=$Q$17,D92=$B$9),G92*Старт!$S$2/100,IF(AND(C92=$Q$17,D92=$B$10),G92*Старт!$S$3/100,IF(AND(C92=$Q$17,D92=$B$11),G92*Старт!$S$4/100,0)))</f>
        <v>0</v>
      </c>
      <c r="M92" s="22">
        <f t="shared" si="11"/>
        <v>0</v>
      </c>
      <c r="N92" s="23" t="str">
        <f>IF(AND(OR($B92&lt;&gt;0,$C92&lt;&gt;0,$D92&lt;&gt;0,$F92&lt;&gt;0,$G92&lt;&gt;0,$J92&gt;0),OR($N$9=$Q$6,$N$9="")),"День не объявлен рабочим",IF(AND(B92=0,OR($C92&lt;&gt;0,$D92&lt;&gt;0,$F92&lt;&gt;0,$G92&lt;&gt;0,$J92&gt;0))," &lt; 2 &gt; ","")&amp;IF(AND(G92+J92&gt;0,C92="")," &lt; 3 &gt; ","")&amp;(IF(AND(D92=0,OR(C92=$Q$15,C92=$Q$16,C92=$Q$17))," &lt; 4 &gt; ",""))&amp;(IF(AND(F92=0,OR(C92=$Q$16,C92=$Q$17))," &lt; 5 &gt; ",""))&amp;IF(AND(G92=0,J92&gt;0)," &lt; 6 &gt; ","")&amp;IF(AND(G92&gt;0,J92=0),"Укажите сумму оплаты. ","")&amp;IF(AND(AND(G92=0,J92=0),OR($C92&lt;&gt;0,$D92&lt;&gt;0,$F92&lt;&gt;0,$G92&lt;&gt;0,$J92&gt;0))," Укажите сумму операции и сумму оплаты. ","")&amp;IF(AND(H92&gt;0,OR(C92=$Q$18,C92=$Q$19,C92=$Q$20,C92=$Q$21)),"Оплата возможна только наличными. ","")&amp;IF(AND(J92&lt;G92,OR(C92=$Q$16,C92=$Q$17,C92=$Q$18,C92=$Q$19,C92=$Q$20,C92=$Q$21)),"Возможна только полная оплата. ","")&amp;IF(AND(C92=$Q$20,G92&gt;(Старт!$G$19+$M$10)),"Указанная сумма превышает размер ЗП. ","")&amp;IF(J92&gt;G92,"Сумма оплаты превышает сумму операции. ","")&amp;IF(M92&lt;0,"Отрицательный остаток в кассе. ",""))</f>
        <v/>
      </c>
      <c r="O92" s="11">
        <f t="shared" si="7"/>
        <v>0</v>
      </c>
      <c r="P92" s="11">
        <f t="shared" si="12"/>
        <v>0</v>
      </c>
    </row>
    <row r="93" spans="1:16" ht="30" customHeight="1">
      <c r="A93" s="46">
        <f t="shared" si="13"/>
        <v>77</v>
      </c>
      <c r="B93" s="26"/>
      <c r="C93" s="6"/>
      <c r="D93" s="7"/>
      <c r="E93" s="24" t="str">
        <f t="shared" si="8"/>
        <v/>
      </c>
      <c r="F93" s="8"/>
      <c r="G93" s="9"/>
      <c r="H93" s="9"/>
      <c r="I93" s="9"/>
      <c r="J93" s="21">
        <f t="shared" si="9"/>
        <v>0</v>
      </c>
      <c r="K93" s="21">
        <f t="shared" si="10"/>
        <v>0</v>
      </c>
      <c r="L93" s="21">
        <f>IF(AND(C93=$Q$15,D93=$B$9),G93*Старт!$S$2/100,IF(AND(C93=$Q$15,D93=$B$10),G93*Старт!$S$3/100,IF(AND(C93=$Q$15,D93=$B$11),G93*Старт!$S$4/100,0)))-IF(AND(C93=$Q$17,D93=$B$9),G93*Старт!$S$2/100,IF(AND(C93=$Q$17,D93=$B$10),G93*Старт!$S$3/100,IF(AND(C93=$Q$17,D93=$B$11),G93*Старт!$S$4/100,0)))</f>
        <v>0</v>
      </c>
      <c r="M93" s="22">
        <f t="shared" si="11"/>
        <v>0</v>
      </c>
      <c r="N93" s="23" t="str">
        <f>IF(AND(OR($B93&lt;&gt;0,$C93&lt;&gt;0,$D93&lt;&gt;0,$F93&lt;&gt;0,$G93&lt;&gt;0,$J93&gt;0),OR($N$9=$Q$6,$N$9="")),"День не объявлен рабочим",IF(AND(B93=0,OR($C93&lt;&gt;0,$D93&lt;&gt;0,$F93&lt;&gt;0,$G93&lt;&gt;0,$J93&gt;0))," &lt; 2 &gt; ","")&amp;IF(AND(G93+J93&gt;0,C93="")," &lt; 3 &gt; ","")&amp;(IF(AND(D93=0,OR(C93=$Q$15,C93=$Q$16,C93=$Q$17))," &lt; 4 &gt; ",""))&amp;(IF(AND(F93=0,OR(C93=$Q$16,C93=$Q$17))," &lt; 5 &gt; ",""))&amp;IF(AND(G93=0,J93&gt;0)," &lt; 6 &gt; ","")&amp;IF(AND(G93&gt;0,J93=0),"Укажите сумму оплаты. ","")&amp;IF(AND(AND(G93=0,J93=0),OR($C93&lt;&gt;0,$D93&lt;&gt;0,$F93&lt;&gt;0,$G93&lt;&gt;0,$J93&gt;0))," Укажите сумму операции и сумму оплаты. ","")&amp;IF(AND(H93&gt;0,OR(C93=$Q$18,C93=$Q$19,C93=$Q$20,C93=$Q$21)),"Оплата возможна только наличными. ","")&amp;IF(AND(J93&lt;G93,OR(C93=$Q$16,C93=$Q$17,C93=$Q$18,C93=$Q$19,C93=$Q$20,C93=$Q$21)),"Возможна только полная оплата. ","")&amp;IF(AND(C93=$Q$20,G93&gt;(Старт!$G$19+$M$10)),"Указанная сумма превышает размер ЗП. ","")&amp;IF(J93&gt;G93,"Сумма оплаты превышает сумму операции. ","")&amp;IF(M93&lt;0,"Отрицательный остаток в кассе. ",""))</f>
        <v/>
      </c>
      <c r="O93" s="11">
        <f t="shared" si="7"/>
        <v>0</v>
      </c>
      <c r="P93" s="11">
        <f t="shared" si="12"/>
        <v>0</v>
      </c>
    </row>
    <row r="94" spans="1:16" ht="30" customHeight="1">
      <c r="A94" s="46">
        <f t="shared" si="13"/>
        <v>78</v>
      </c>
      <c r="B94" s="26"/>
      <c r="C94" s="6"/>
      <c r="D94" s="7"/>
      <c r="E94" s="24" t="str">
        <f t="shared" si="8"/>
        <v/>
      </c>
      <c r="F94" s="8"/>
      <c r="G94" s="9"/>
      <c r="H94" s="9"/>
      <c r="I94" s="9"/>
      <c r="J94" s="21">
        <f t="shared" si="9"/>
        <v>0</v>
      </c>
      <c r="K94" s="21">
        <f t="shared" si="10"/>
        <v>0</v>
      </c>
      <c r="L94" s="21">
        <f>IF(AND(C94=$Q$15,D94=$B$9),G94*Старт!$S$2/100,IF(AND(C94=$Q$15,D94=$B$10),G94*Старт!$S$3/100,IF(AND(C94=$Q$15,D94=$B$11),G94*Старт!$S$4/100,0)))-IF(AND(C94=$Q$17,D94=$B$9),G94*Старт!$S$2/100,IF(AND(C94=$Q$17,D94=$B$10),G94*Старт!$S$3/100,IF(AND(C94=$Q$17,D94=$B$11),G94*Старт!$S$4/100,0)))</f>
        <v>0</v>
      </c>
      <c r="M94" s="22">
        <f t="shared" si="11"/>
        <v>0</v>
      </c>
      <c r="N94" s="23" t="str">
        <f>IF(AND(OR($B94&lt;&gt;0,$C94&lt;&gt;0,$D94&lt;&gt;0,$F94&lt;&gt;0,$G94&lt;&gt;0,$J94&gt;0),OR($N$9=$Q$6,$N$9="")),"День не объявлен рабочим",IF(AND(B94=0,OR($C94&lt;&gt;0,$D94&lt;&gt;0,$F94&lt;&gt;0,$G94&lt;&gt;0,$J94&gt;0))," &lt; 2 &gt; ","")&amp;IF(AND(G94+J94&gt;0,C94="")," &lt; 3 &gt; ","")&amp;(IF(AND(D94=0,OR(C94=$Q$15,C94=$Q$16,C94=$Q$17))," &lt; 4 &gt; ",""))&amp;(IF(AND(F94=0,OR(C94=$Q$16,C94=$Q$17))," &lt; 5 &gt; ",""))&amp;IF(AND(G94=0,J94&gt;0)," &lt; 6 &gt; ","")&amp;IF(AND(G94&gt;0,J94=0),"Укажите сумму оплаты. ","")&amp;IF(AND(AND(G94=0,J94=0),OR($C94&lt;&gt;0,$D94&lt;&gt;0,$F94&lt;&gt;0,$G94&lt;&gt;0,$J94&gt;0))," Укажите сумму операции и сумму оплаты. ","")&amp;IF(AND(H94&gt;0,OR(C94=$Q$18,C94=$Q$19,C94=$Q$20,C94=$Q$21)),"Оплата возможна только наличными. ","")&amp;IF(AND(J94&lt;G94,OR(C94=$Q$16,C94=$Q$17,C94=$Q$18,C94=$Q$19,C94=$Q$20,C94=$Q$21)),"Возможна только полная оплата. ","")&amp;IF(AND(C94=$Q$20,G94&gt;(Старт!$G$19+$M$10)),"Указанная сумма превышает размер ЗП. ","")&amp;IF(J94&gt;G94,"Сумма оплаты превышает сумму операции. ","")&amp;IF(M94&lt;0,"Отрицательный остаток в кассе. ",""))</f>
        <v/>
      </c>
      <c r="O94" s="11">
        <f t="shared" si="7"/>
        <v>0</v>
      </c>
      <c r="P94" s="11">
        <f t="shared" si="12"/>
        <v>0</v>
      </c>
    </row>
    <row r="95" spans="1:16" ht="30" customHeight="1">
      <c r="A95" s="46">
        <f t="shared" si="13"/>
        <v>79</v>
      </c>
      <c r="B95" s="26"/>
      <c r="C95" s="6"/>
      <c r="D95" s="7"/>
      <c r="E95" s="24" t="str">
        <f t="shared" si="8"/>
        <v/>
      </c>
      <c r="F95" s="8"/>
      <c r="G95" s="9"/>
      <c r="H95" s="9"/>
      <c r="I95" s="9"/>
      <c r="J95" s="21">
        <f t="shared" si="9"/>
        <v>0</v>
      </c>
      <c r="K95" s="21">
        <f t="shared" si="10"/>
        <v>0</v>
      </c>
      <c r="L95" s="21">
        <f>IF(AND(C95=$Q$15,D95=$B$9),G95*Старт!$S$2/100,IF(AND(C95=$Q$15,D95=$B$10),G95*Старт!$S$3/100,IF(AND(C95=$Q$15,D95=$B$11),G95*Старт!$S$4/100,0)))-IF(AND(C95=$Q$17,D95=$B$9),G95*Старт!$S$2/100,IF(AND(C95=$Q$17,D95=$B$10),G95*Старт!$S$3/100,IF(AND(C95=$Q$17,D95=$B$11),G95*Старт!$S$4/100,0)))</f>
        <v>0</v>
      </c>
      <c r="M95" s="22">
        <f t="shared" si="11"/>
        <v>0</v>
      </c>
      <c r="N95" s="23" t="str">
        <f>IF(AND(OR($B95&lt;&gt;0,$C95&lt;&gt;0,$D95&lt;&gt;0,$F95&lt;&gt;0,$G95&lt;&gt;0,$J95&gt;0),OR($N$9=$Q$6,$N$9="")),"День не объявлен рабочим",IF(AND(B95=0,OR($C95&lt;&gt;0,$D95&lt;&gt;0,$F95&lt;&gt;0,$G95&lt;&gt;0,$J95&gt;0))," &lt; 2 &gt; ","")&amp;IF(AND(G95+J95&gt;0,C95="")," &lt; 3 &gt; ","")&amp;(IF(AND(D95=0,OR(C95=$Q$15,C95=$Q$16,C95=$Q$17))," &lt; 4 &gt; ",""))&amp;(IF(AND(F95=0,OR(C95=$Q$16,C95=$Q$17))," &lt; 5 &gt; ",""))&amp;IF(AND(G95=0,J95&gt;0)," &lt; 6 &gt; ","")&amp;IF(AND(G95&gt;0,J95=0),"Укажите сумму оплаты. ","")&amp;IF(AND(AND(G95=0,J95=0),OR($C95&lt;&gt;0,$D95&lt;&gt;0,$F95&lt;&gt;0,$G95&lt;&gt;0,$J95&gt;0))," Укажите сумму операции и сумму оплаты. ","")&amp;IF(AND(H95&gt;0,OR(C95=$Q$18,C95=$Q$19,C95=$Q$20,C95=$Q$21)),"Оплата возможна только наличными. ","")&amp;IF(AND(J95&lt;G95,OR(C95=$Q$16,C95=$Q$17,C95=$Q$18,C95=$Q$19,C95=$Q$20,C95=$Q$21)),"Возможна только полная оплата. ","")&amp;IF(AND(C95=$Q$20,G95&gt;(Старт!$G$19+$M$10)),"Указанная сумма превышает размер ЗП. ","")&amp;IF(J95&gt;G95,"Сумма оплаты превышает сумму операции. ","")&amp;IF(M95&lt;0,"Отрицательный остаток в кассе. ",""))</f>
        <v/>
      </c>
      <c r="O95" s="11">
        <f t="shared" si="7"/>
        <v>0</v>
      </c>
      <c r="P95" s="11">
        <f t="shared" si="12"/>
        <v>0</v>
      </c>
    </row>
    <row r="96" spans="1:16" ht="30" customHeight="1">
      <c r="A96" s="46">
        <f t="shared" si="13"/>
        <v>80</v>
      </c>
      <c r="B96" s="26"/>
      <c r="C96" s="6"/>
      <c r="D96" s="7"/>
      <c r="E96" s="24" t="str">
        <f t="shared" si="8"/>
        <v/>
      </c>
      <c r="F96" s="8"/>
      <c r="G96" s="9"/>
      <c r="H96" s="9"/>
      <c r="I96" s="9"/>
      <c r="J96" s="21">
        <f t="shared" si="9"/>
        <v>0</v>
      </c>
      <c r="K96" s="21">
        <f t="shared" si="10"/>
        <v>0</v>
      </c>
      <c r="L96" s="21">
        <f>IF(AND(C96=$Q$15,D96=$B$9),G96*Старт!$S$2/100,IF(AND(C96=$Q$15,D96=$B$10),G96*Старт!$S$3/100,IF(AND(C96=$Q$15,D96=$B$11),G96*Старт!$S$4/100,0)))-IF(AND(C96=$Q$17,D96=$B$9),G96*Старт!$S$2/100,IF(AND(C96=$Q$17,D96=$B$10),G96*Старт!$S$3/100,IF(AND(C96=$Q$17,D96=$B$11),G96*Старт!$S$4/100,0)))</f>
        <v>0</v>
      </c>
      <c r="M96" s="22">
        <f t="shared" si="11"/>
        <v>0</v>
      </c>
      <c r="N96" s="23" t="str">
        <f>IF(AND(OR($B96&lt;&gt;0,$C96&lt;&gt;0,$D96&lt;&gt;0,$F96&lt;&gt;0,$G96&lt;&gt;0,$J96&gt;0),OR($N$9=$Q$6,$N$9="")),"День не объявлен рабочим",IF(AND(B96=0,OR($C96&lt;&gt;0,$D96&lt;&gt;0,$F96&lt;&gt;0,$G96&lt;&gt;0,$J96&gt;0))," &lt; 2 &gt; ","")&amp;IF(AND(G96+J96&gt;0,C96="")," &lt; 3 &gt; ","")&amp;(IF(AND(D96=0,OR(C96=$Q$15,C96=$Q$16,C96=$Q$17))," &lt; 4 &gt; ",""))&amp;(IF(AND(F96=0,OR(C96=$Q$16,C96=$Q$17))," &lt; 5 &gt; ",""))&amp;IF(AND(G96=0,J96&gt;0)," &lt; 6 &gt; ","")&amp;IF(AND(G96&gt;0,J96=0),"Укажите сумму оплаты. ","")&amp;IF(AND(AND(G96=0,J96=0),OR($C96&lt;&gt;0,$D96&lt;&gt;0,$F96&lt;&gt;0,$G96&lt;&gt;0,$J96&gt;0))," Укажите сумму операции и сумму оплаты. ","")&amp;IF(AND(H96&gt;0,OR(C96=$Q$18,C96=$Q$19,C96=$Q$20,C96=$Q$21)),"Оплата возможна только наличными. ","")&amp;IF(AND(J96&lt;G96,OR(C96=$Q$16,C96=$Q$17,C96=$Q$18,C96=$Q$19,C96=$Q$20,C96=$Q$21)),"Возможна только полная оплата. ","")&amp;IF(AND(C96=$Q$20,G96&gt;(Старт!$G$19+$M$10)),"Указанная сумма превышает размер ЗП. ","")&amp;IF(J96&gt;G96,"Сумма оплаты превышает сумму операции. ","")&amp;IF(M96&lt;0,"Отрицательный остаток в кассе. ",""))</f>
        <v/>
      </c>
      <c r="O96" s="11">
        <f t="shared" si="7"/>
        <v>0</v>
      </c>
      <c r="P96" s="11">
        <f t="shared" si="12"/>
        <v>0</v>
      </c>
    </row>
    <row r="97" spans="1:16" ht="30" customHeight="1">
      <c r="A97" s="46">
        <f t="shared" si="13"/>
        <v>81</v>
      </c>
      <c r="B97" s="26"/>
      <c r="C97" s="6"/>
      <c r="D97" s="7"/>
      <c r="E97" s="24" t="str">
        <f t="shared" si="8"/>
        <v/>
      </c>
      <c r="F97" s="8"/>
      <c r="G97" s="9"/>
      <c r="H97" s="9"/>
      <c r="I97" s="9"/>
      <c r="J97" s="21">
        <f t="shared" si="9"/>
        <v>0</v>
      </c>
      <c r="K97" s="21">
        <f t="shared" si="10"/>
        <v>0</v>
      </c>
      <c r="L97" s="21">
        <f>IF(AND(C97=$Q$15,D97=$B$9),G97*Старт!$S$2/100,IF(AND(C97=$Q$15,D97=$B$10),G97*Старт!$S$3/100,IF(AND(C97=$Q$15,D97=$B$11),G97*Старт!$S$4/100,0)))-IF(AND(C97=$Q$17,D97=$B$9),G97*Старт!$S$2/100,IF(AND(C97=$Q$17,D97=$B$10),G97*Старт!$S$3/100,IF(AND(C97=$Q$17,D97=$B$11),G97*Старт!$S$4/100,0)))</f>
        <v>0</v>
      </c>
      <c r="M97" s="22">
        <f t="shared" si="11"/>
        <v>0</v>
      </c>
      <c r="N97" s="23" t="str">
        <f>IF(AND(OR($B97&lt;&gt;0,$C97&lt;&gt;0,$D97&lt;&gt;0,$F97&lt;&gt;0,$G97&lt;&gt;0,$J97&gt;0),OR($N$9=$Q$6,$N$9="")),"День не объявлен рабочим",IF(AND(B97=0,OR($C97&lt;&gt;0,$D97&lt;&gt;0,$F97&lt;&gt;0,$G97&lt;&gt;0,$J97&gt;0))," &lt; 2 &gt; ","")&amp;IF(AND(G97+J97&gt;0,C97="")," &lt; 3 &gt; ","")&amp;(IF(AND(D97=0,OR(C97=$Q$15,C97=$Q$16,C97=$Q$17))," &lt; 4 &gt; ",""))&amp;(IF(AND(F97=0,OR(C97=$Q$16,C97=$Q$17))," &lt; 5 &gt; ",""))&amp;IF(AND(G97=0,J97&gt;0)," &lt; 6 &gt; ","")&amp;IF(AND(G97&gt;0,J97=0),"Укажите сумму оплаты. ","")&amp;IF(AND(AND(G97=0,J97=0),OR($C97&lt;&gt;0,$D97&lt;&gt;0,$F97&lt;&gt;0,$G97&lt;&gt;0,$J97&gt;0))," Укажите сумму операции и сумму оплаты. ","")&amp;IF(AND(H97&gt;0,OR(C97=$Q$18,C97=$Q$19,C97=$Q$20,C97=$Q$21)),"Оплата возможна только наличными. ","")&amp;IF(AND(J97&lt;G97,OR(C97=$Q$16,C97=$Q$17,C97=$Q$18,C97=$Q$19,C97=$Q$20,C97=$Q$21)),"Возможна только полная оплата. ","")&amp;IF(AND(C97=$Q$20,G97&gt;(Старт!$G$19+$M$10)),"Указанная сумма превышает размер ЗП. ","")&amp;IF(J97&gt;G97,"Сумма оплаты превышает сумму операции. ","")&amp;IF(M97&lt;0,"Отрицательный остаток в кассе. ",""))</f>
        <v/>
      </c>
      <c r="O97" s="11">
        <f t="shared" si="7"/>
        <v>0</v>
      </c>
      <c r="P97" s="11">
        <f t="shared" si="12"/>
        <v>0</v>
      </c>
    </row>
    <row r="98" spans="1:16" ht="30" customHeight="1">
      <c r="A98" s="46">
        <f t="shared" si="13"/>
        <v>82</v>
      </c>
      <c r="B98" s="26"/>
      <c r="C98" s="6"/>
      <c r="D98" s="7"/>
      <c r="E98" s="24" t="str">
        <f t="shared" si="8"/>
        <v/>
      </c>
      <c r="F98" s="8"/>
      <c r="G98" s="9"/>
      <c r="H98" s="9"/>
      <c r="I98" s="9"/>
      <c r="J98" s="21">
        <f t="shared" si="9"/>
        <v>0</v>
      </c>
      <c r="K98" s="21">
        <f t="shared" si="10"/>
        <v>0</v>
      </c>
      <c r="L98" s="21">
        <f>IF(AND(C98=$Q$15,D98=$B$9),G98*Старт!$S$2/100,IF(AND(C98=$Q$15,D98=$B$10),G98*Старт!$S$3/100,IF(AND(C98=$Q$15,D98=$B$11),G98*Старт!$S$4/100,0)))-IF(AND(C98=$Q$17,D98=$B$9),G98*Старт!$S$2/100,IF(AND(C98=$Q$17,D98=$B$10),G98*Старт!$S$3/100,IF(AND(C98=$Q$17,D98=$B$11),G98*Старт!$S$4/100,0)))</f>
        <v>0</v>
      </c>
      <c r="M98" s="22">
        <f t="shared" si="11"/>
        <v>0</v>
      </c>
      <c r="N98" s="23" t="str">
        <f>IF(AND(OR($B98&lt;&gt;0,$C98&lt;&gt;0,$D98&lt;&gt;0,$F98&lt;&gt;0,$G98&lt;&gt;0,$J98&gt;0),OR($N$9=$Q$6,$N$9="")),"День не объявлен рабочим",IF(AND(B98=0,OR($C98&lt;&gt;0,$D98&lt;&gt;0,$F98&lt;&gt;0,$G98&lt;&gt;0,$J98&gt;0))," &lt; 2 &gt; ","")&amp;IF(AND(G98+J98&gt;0,C98="")," &lt; 3 &gt; ","")&amp;(IF(AND(D98=0,OR(C98=$Q$15,C98=$Q$16,C98=$Q$17))," &lt; 4 &gt; ",""))&amp;(IF(AND(F98=0,OR(C98=$Q$16,C98=$Q$17))," &lt; 5 &gt; ",""))&amp;IF(AND(G98=0,J98&gt;0)," &lt; 6 &gt; ","")&amp;IF(AND(G98&gt;0,J98=0),"Укажите сумму оплаты. ","")&amp;IF(AND(AND(G98=0,J98=0),OR($C98&lt;&gt;0,$D98&lt;&gt;0,$F98&lt;&gt;0,$G98&lt;&gt;0,$J98&gt;0))," Укажите сумму операции и сумму оплаты. ","")&amp;IF(AND(H98&gt;0,OR(C98=$Q$18,C98=$Q$19,C98=$Q$20,C98=$Q$21)),"Оплата возможна только наличными. ","")&amp;IF(AND(J98&lt;G98,OR(C98=$Q$16,C98=$Q$17,C98=$Q$18,C98=$Q$19,C98=$Q$20,C98=$Q$21)),"Возможна только полная оплата. ","")&amp;IF(AND(C98=$Q$20,G98&gt;(Старт!$G$19+$M$10)),"Указанная сумма превышает размер ЗП. ","")&amp;IF(J98&gt;G98,"Сумма оплаты превышает сумму операции. ","")&amp;IF(M98&lt;0,"Отрицательный остаток в кассе. ",""))</f>
        <v/>
      </c>
      <c r="O98" s="11">
        <f t="shared" si="7"/>
        <v>0</v>
      </c>
      <c r="P98" s="11">
        <f t="shared" si="12"/>
        <v>0</v>
      </c>
    </row>
    <row r="99" spans="1:16" ht="30" customHeight="1">
      <c r="A99" s="46">
        <f t="shared" si="13"/>
        <v>83</v>
      </c>
      <c r="B99" s="26"/>
      <c r="C99" s="6"/>
      <c r="D99" s="7"/>
      <c r="E99" s="24" t="str">
        <f t="shared" si="8"/>
        <v/>
      </c>
      <c r="F99" s="8"/>
      <c r="G99" s="9"/>
      <c r="H99" s="9"/>
      <c r="I99" s="9"/>
      <c r="J99" s="21">
        <f t="shared" si="9"/>
        <v>0</v>
      </c>
      <c r="K99" s="21">
        <f t="shared" si="10"/>
        <v>0</v>
      </c>
      <c r="L99" s="21">
        <f>IF(AND(C99=$Q$15,D99=$B$9),G99*Старт!$S$2/100,IF(AND(C99=$Q$15,D99=$B$10),G99*Старт!$S$3/100,IF(AND(C99=$Q$15,D99=$B$11),G99*Старт!$S$4/100,0)))-IF(AND(C99=$Q$17,D99=$B$9),G99*Старт!$S$2/100,IF(AND(C99=$Q$17,D99=$B$10),G99*Старт!$S$3/100,IF(AND(C99=$Q$17,D99=$B$11),G99*Старт!$S$4/100,0)))</f>
        <v>0</v>
      </c>
      <c r="M99" s="22">
        <f t="shared" si="11"/>
        <v>0</v>
      </c>
      <c r="N99" s="23" t="str">
        <f>IF(AND(OR($B99&lt;&gt;0,$C99&lt;&gt;0,$D99&lt;&gt;0,$F99&lt;&gt;0,$G99&lt;&gt;0,$J99&gt;0),OR($N$9=$Q$6,$N$9="")),"День не объявлен рабочим",IF(AND(B99=0,OR($C99&lt;&gt;0,$D99&lt;&gt;0,$F99&lt;&gt;0,$G99&lt;&gt;0,$J99&gt;0))," &lt; 2 &gt; ","")&amp;IF(AND(G99+J99&gt;0,C99="")," &lt; 3 &gt; ","")&amp;(IF(AND(D99=0,OR(C99=$Q$15,C99=$Q$16,C99=$Q$17))," &lt; 4 &gt; ",""))&amp;(IF(AND(F99=0,OR(C99=$Q$16,C99=$Q$17))," &lt; 5 &gt; ",""))&amp;IF(AND(G99=0,J99&gt;0)," &lt; 6 &gt; ","")&amp;IF(AND(G99&gt;0,J99=0),"Укажите сумму оплаты. ","")&amp;IF(AND(AND(G99=0,J99=0),OR($C99&lt;&gt;0,$D99&lt;&gt;0,$F99&lt;&gt;0,$G99&lt;&gt;0,$J99&gt;0))," Укажите сумму операции и сумму оплаты. ","")&amp;IF(AND(H99&gt;0,OR(C99=$Q$18,C99=$Q$19,C99=$Q$20,C99=$Q$21)),"Оплата возможна только наличными. ","")&amp;IF(AND(J99&lt;G99,OR(C99=$Q$16,C99=$Q$17,C99=$Q$18,C99=$Q$19,C99=$Q$20,C99=$Q$21)),"Возможна только полная оплата. ","")&amp;IF(AND(C99=$Q$20,G99&gt;(Старт!$G$19+$M$10)),"Указанная сумма превышает размер ЗП. ","")&amp;IF(J99&gt;G99,"Сумма оплаты превышает сумму операции. ","")&amp;IF(M99&lt;0,"Отрицательный остаток в кассе. ",""))</f>
        <v/>
      </c>
      <c r="O99" s="11">
        <f t="shared" si="7"/>
        <v>0</v>
      </c>
      <c r="P99" s="11">
        <f t="shared" si="12"/>
        <v>0</v>
      </c>
    </row>
    <row r="100" spans="1:16" ht="30" customHeight="1">
      <c r="A100" s="46">
        <f t="shared" si="13"/>
        <v>84</v>
      </c>
      <c r="B100" s="26"/>
      <c r="C100" s="6"/>
      <c r="D100" s="7"/>
      <c r="E100" s="24" t="str">
        <f t="shared" si="8"/>
        <v/>
      </c>
      <c r="F100" s="8"/>
      <c r="G100" s="9"/>
      <c r="H100" s="9"/>
      <c r="I100" s="9"/>
      <c r="J100" s="21">
        <f t="shared" si="9"/>
        <v>0</v>
      </c>
      <c r="K100" s="21">
        <f t="shared" si="10"/>
        <v>0</v>
      </c>
      <c r="L100" s="21">
        <f>IF(AND(C100=$Q$15,D100=$B$9),G100*Старт!$S$2/100,IF(AND(C100=$Q$15,D100=$B$10),G100*Старт!$S$3/100,IF(AND(C100=$Q$15,D100=$B$11),G100*Старт!$S$4/100,0)))-IF(AND(C100=$Q$17,D100=$B$9),G100*Старт!$S$2/100,IF(AND(C100=$Q$17,D100=$B$10),G100*Старт!$S$3/100,IF(AND(C100=$Q$17,D100=$B$11),G100*Старт!$S$4/100,0)))</f>
        <v>0</v>
      </c>
      <c r="M100" s="22">
        <f t="shared" si="11"/>
        <v>0</v>
      </c>
      <c r="N100" s="23" t="str">
        <f>IF(AND(OR($B100&lt;&gt;0,$C100&lt;&gt;0,$D100&lt;&gt;0,$F100&lt;&gt;0,$G100&lt;&gt;0,$J100&gt;0),OR($N$9=$Q$6,$N$9="")),"День не объявлен рабочим",IF(AND(B100=0,OR($C100&lt;&gt;0,$D100&lt;&gt;0,$F100&lt;&gt;0,$G100&lt;&gt;0,$J100&gt;0))," &lt; 2 &gt; ","")&amp;IF(AND(G100+J100&gt;0,C100="")," &lt; 3 &gt; ","")&amp;(IF(AND(D100=0,OR(C100=$Q$15,C100=$Q$16,C100=$Q$17))," &lt; 4 &gt; ",""))&amp;(IF(AND(F100=0,OR(C100=$Q$16,C100=$Q$17))," &lt; 5 &gt; ",""))&amp;IF(AND(G100=0,J100&gt;0)," &lt; 6 &gt; ","")&amp;IF(AND(G100&gt;0,J100=0),"Укажите сумму оплаты. ","")&amp;IF(AND(AND(G100=0,J100=0),OR($C100&lt;&gt;0,$D100&lt;&gt;0,$F100&lt;&gt;0,$G100&lt;&gt;0,$J100&gt;0))," Укажите сумму операции и сумму оплаты. ","")&amp;IF(AND(H100&gt;0,OR(C100=$Q$18,C100=$Q$19,C100=$Q$20,C100=$Q$21)),"Оплата возможна только наличными. ","")&amp;IF(AND(J100&lt;G100,OR(C100=$Q$16,C100=$Q$17,C100=$Q$18,C100=$Q$19,C100=$Q$20,C100=$Q$21)),"Возможна только полная оплата. ","")&amp;IF(AND(C100=$Q$20,G100&gt;(Старт!$G$19+$M$10)),"Указанная сумма превышает размер ЗП. ","")&amp;IF(J100&gt;G100,"Сумма оплаты превышает сумму операции. ","")&amp;IF(M100&lt;0,"Отрицательный остаток в кассе. ",""))</f>
        <v/>
      </c>
      <c r="O100" s="11">
        <f t="shared" si="7"/>
        <v>0</v>
      </c>
      <c r="P100" s="11">
        <f t="shared" si="12"/>
        <v>0</v>
      </c>
    </row>
    <row r="101" spans="1:16" ht="30" customHeight="1">
      <c r="A101" s="46">
        <f t="shared" si="13"/>
        <v>85</v>
      </c>
      <c r="B101" s="26"/>
      <c r="C101" s="6"/>
      <c r="D101" s="7"/>
      <c r="E101" s="24" t="str">
        <f t="shared" si="8"/>
        <v/>
      </c>
      <c r="F101" s="8"/>
      <c r="G101" s="9"/>
      <c r="H101" s="9"/>
      <c r="I101" s="9"/>
      <c r="J101" s="21">
        <f t="shared" si="9"/>
        <v>0</v>
      </c>
      <c r="K101" s="21">
        <f t="shared" si="10"/>
        <v>0</v>
      </c>
      <c r="L101" s="21">
        <f>IF(AND(C101=$Q$15,D101=$B$9),G101*Старт!$S$2/100,IF(AND(C101=$Q$15,D101=$B$10),G101*Старт!$S$3/100,IF(AND(C101=$Q$15,D101=$B$11),G101*Старт!$S$4/100,0)))-IF(AND(C101=$Q$17,D101=$B$9),G101*Старт!$S$2/100,IF(AND(C101=$Q$17,D101=$B$10),G101*Старт!$S$3/100,IF(AND(C101=$Q$17,D101=$B$11),G101*Старт!$S$4/100,0)))</f>
        <v>0</v>
      </c>
      <c r="M101" s="22">
        <f t="shared" si="11"/>
        <v>0</v>
      </c>
      <c r="N101" s="23" t="str">
        <f>IF(AND(OR($B101&lt;&gt;0,$C101&lt;&gt;0,$D101&lt;&gt;0,$F101&lt;&gt;0,$G101&lt;&gt;0,$J101&gt;0),OR($N$9=$Q$6,$N$9="")),"День не объявлен рабочим",IF(AND(B101=0,OR($C101&lt;&gt;0,$D101&lt;&gt;0,$F101&lt;&gt;0,$G101&lt;&gt;0,$J101&gt;0))," &lt; 2 &gt; ","")&amp;IF(AND(G101+J101&gt;0,C101="")," &lt; 3 &gt; ","")&amp;(IF(AND(D101=0,OR(C101=$Q$15,C101=$Q$16,C101=$Q$17))," &lt; 4 &gt; ",""))&amp;(IF(AND(F101=0,OR(C101=$Q$16,C101=$Q$17))," &lt; 5 &gt; ",""))&amp;IF(AND(G101=0,J101&gt;0)," &lt; 6 &gt; ","")&amp;IF(AND(G101&gt;0,J101=0),"Укажите сумму оплаты. ","")&amp;IF(AND(AND(G101=0,J101=0),OR($C101&lt;&gt;0,$D101&lt;&gt;0,$F101&lt;&gt;0,$G101&lt;&gt;0,$J101&gt;0))," Укажите сумму операции и сумму оплаты. ","")&amp;IF(AND(H101&gt;0,OR(C101=$Q$18,C101=$Q$19,C101=$Q$20,C101=$Q$21)),"Оплата возможна только наличными. ","")&amp;IF(AND(J101&lt;G101,OR(C101=$Q$16,C101=$Q$17,C101=$Q$18,C101=$Q$19,C101=$Q$20,C101=$Q$21)),"Возможна только полная оплата. ","")&amp;IF(AND(C101=$Q$20,G101&gt;(Старт!$G$19+$M$10)),"Указанная сумма превышает размер ЗП. ","")&amp;IF(J101&gt;G101,"Сумма оплаты превышает сумму операции. ","")&amp;IF(M101&lt;0,"Отрицательный остаток в кассе. ",""))</f>
        <v/>
      </c>
      <c r="O101" s="11">
        <f t="shared" si="7"/>
        <v>0</v>
      </c>
      <c r="P101" s="11">
        <f t="shared" si="12"/>
        <v>0</v>
      </c>
    </row>
    <row r="102" spans="1:16" ht="30" customHeight="1">
      <c r="A102" s="46">
        <f t="shared" si="13"/>
        <v>86</v>
      </c>
      <c r="B102" s="26"/>
      <c r="C102" s="6"/>
      <c r="D102" s="7"/>
      <c r="E102" s="24" t="str">
        <f t="shared" si="8"/>
        <v/>
      </c>
      <c r="F102" s="8"/>
      <c r="G102" s="9"/>
      <c r="H102" s="9"/>
      <c r="I102" s="9"/>
      <c r="J102" s="21">
        <f t="shared" si="9"/>
        <v>0</v>
      </c>
      <c r="K102" s="21">
        <f t="shared" si="10"/>
        <v>0</v>
      </c>
      <c r="L102" s="21">
        <f>IF(AND(C102=$Q$15,D102=$B$9),G102*Старт!$S$2/100,IF(AND(C102=$Q$15,D102=$B$10),G102*Старт!$S$3/100,IF(AND(C102=$Q$15,D102=$B$11),G102*Старт!$S$4/100,0)))-IF(AND(C102=$Q$17,D102=$B$9),G102*Старт!$S$2/100,IF(AND(C102=$Q$17,D102=$B$10),G102*Старт!$S$3/100,IF(AND(C102=$Q$17,D102=$B$11),G102*Старт!$S$4/100,0)))</f>
        <v>0</v>
      </c>
      <c r="M102" s="22">
        <f t="shared" si="11"/>
        <v>0</v>
      </c>
      <c r="N102" s="23" t="str">
        <f>IF(AND(OR($B102&lt;&gt;0,$C102&lt;&gt;0,$D102&lt;&gt;0,$F102&lt;&gt;0,$G102&lt;&gt;0,$J102&gt;0),OR($N$9=$Q$6,$N$9="")),"День не объявлен рабочим",IF(AND(B102=0,OR($C102&lt;&gt;0,$D102&lt;&gt;0,$F102&lt;&gt;0,$G102&lt;&gt;0,$J102&gt;0))," &lt; 2 &gt; ","")&amp;IF(AND(G102+J102&gt;0,C102="")," &lt; 3 &gt; ","")&amp;(IF(AND(D102=0,OR(C102=$Q$15,C102=$Q$16,C102=$Q$17))," &lt; 4 &gt; ",""))&amp;(IF(AND(F102=0,OR(C102=$Q$16,C102=$Q$17))," &lt; 5 &gt; ",""))&amp;IF(AND(G102=0,J102&gt;0)," &lt; 6 &gt; ","")&amp;IF(AND(G102&gt;0,J102=0),"Укажите сумму оплаты. ","")&amp;IF(AND(AND(G102=0,J102=0),OR($C102&lt;&gt;0,$D102&lt;&gt;0,$F102&lt;&gt;0,$G102&lt;&gt;0,$J102&gt;0))," Укажите сумму операции и сумму оплаты. ","")&amp;IF(AND(H102&gt;0,OR(C102=$Q$18,C102=$Q$19,C102=$Q$20,C102=$Q$21)),"Оплата возможна только наличными. ","")&amp;IF(AND(J102&lt;G102,OR(C102=$Q$16,C102=$Q$17,C102=$Q$18,C102=$Q$19,C102=$Q$20,C102=$Q$21)),"Возможна только полная оплата. ","")&amp;IF(AND(C102=$Q$20,G102&gt;(Старт!$G$19+$M$10)),"Указанная сумма превышает размер ЗП. ","")&amp;IF(J102&gt;G102,"Сумма оплаты превышает сумму операции. ","")&amp;IF(M102&lt;0,"Отрицательный остаток в кассе. ",""))</f>
        <v/>
      </c>
      <c r="O102" s="11">
        <f t="shared" si="7"/>
        <v>0</v>
      </c>
      <c r="P102" s="11">
        <f t="shared" si="12"/>
        <v>0</v>
      </c>
    </row>
    <row r="103" spans="1:16" ht="30" customHeight="1">
      <c r="A103" s="46">
        <f t="shared" si="13"/>
        <v>87</v>
      </c>
      <c r="B103" s="26"/>
      <c r="C103" s="6"/>
      <c r="D103" s="7"/>
      <c r="E103" s="24" t="str">
        <f t="shared" si="8"/>
        <v/>
      </c>
      <c r="F103" s="8"/>
      <c r="G103" s="9"/>
      <c r="H103" s="9"/>
      <c r="I103" s="9"/>
      <c r="J103" s="21">
        <f t="shared" si="9"/>
        <v>0</v>
      </c>
      <c r="K103" s="21">
        <f t="shared" si="10"/>
        <v>0</v>
      </c>
      <c r="L103" s="21">
        <f>IF(AND(C103=$Q$15,D103=$B$9),G103*Старт!$S$2/100,IF(AND(C103=$Q$15,D103=$B$10),G103*Старт!$S$3/100,IF(AND(C103=$Q$15,D103=$B$11),G103*Старт!$S$4/100,0)))-IF(AND(C103=$Q$17,D103=$B$9),G103*Старт!$S$2/100,IF(AND(C103=$Q$17,D103=$B$10),G103*Старт!$S$3/100,IF(AND(C103=$Q$17,D103=$B$11),G103*Старт!$S$4/100,0)))</f>
        <v>0</v>
      </c>
      <c r="M103" s="22">
        <f t="shared" si="11"/>
        <v>0</v>
      </c>
      <c r="N103" s="23" t="str">
        <f>IF(AND(OR($B103&lt;&gt;0,$C103&lt;&gt;0,$D103&lt;&gt;0,$F103&lt;&gt;0,$G103&lt;&gt;0,$J103&gt;0),OR($N$9=$Q$6,$N$9="")),"День не объявлен рабочим",IF(AND(B103=0,OR($C103&lt;&gt;0,$D103&lt;&gt;0,$F103&lt;&gt;0,$G103&lt;&gt;0,$J103&gt;0))," &lt; 2 &gt; ","")&amp;IF(AND(G103+J103&gt;0,C103="")," &lt; 3 &gt; ","")&amp;(IF(AND(D103=0,OR(C103=$Q$15,C103=$Q$16,C103=$Q$17))," &lt; 4 &gt; ",""))&amp;(IF(AND(F103=0,OR(C103=$Q$16,C103=$Q$17))," &lt; 5 &gt; ",""))&amp;IF(AND(G103=0,J103&gt;0)," &lt; 6 &gt; ","")&amp;IF(AND(G103&gt;0,J103=0),"Укажите сумму оплаты. ","")&amp;IF(AND(AND(G103=0,J103=0),OR($C103&lt;&gt;0,$D103&lt;&gt;0,$F103&lt;&gt;0,$G103&lt;&gt;0,$J103&gt;0))," Укажите сумму операции и сумму оплаты. ","")&amp;IF(AND(H103&gt;0,OR(C103=$Q$18,C103=$Q$19,C103=$Q$20,C103=$Q$21)),"Оплата возможна только наличными. ","")&amp;IF(AND(J103&lt;G103,OR(C103=$Q$16,C103=$Q$17,C103=$Q$18,C103=$Q$19,C103=$Q$20,C103=$Q$21)),"Возможна только полная оплата. ","")&amp;IF(AND(C103=$Q$20,G103&gt;(Старт!$G$19+$M$10)),"Указанная сумма превышает размер ЗП. ","")&amp;IF(J103&gt;G103,"Сумма оплаты превышает сумму операции. ","")&amp;IF(M103&lt;0,"Отрицательный остаток в кассе. ",""))</f>
        <v/>
      </c>
      <c r="O103" s="11">
        <f t="shared" si="7"/>
        <v>0</v>
      </c>
      <c r="P103" s="11">
        <f t="shared" si="12"/>
        <v>0</v>
      </c>
    </row>
    <row r="104" spans="1:16" ht="30" customHeight="1">
      <c r="A104" s="46">
        <f t="shared" si="13"/>
        <v>88</v>
      </c>
      <c r="B104" s="26"/>
      <c r="C104" s="6"/>
      <c r="D104" s="7"/>
      <c r="E104" s="24" t="str">
        <f t="shared" si="8"/>
        <v/>
      </c>
      <c r="F104" s="8"/>
      <c r="G104" s="9"/>
      <c r="H104" s="9"/>
      <c r="I104" s="9"/>
      <c r="J104" s="21">
        <f t="shared" si="9"/>
        <v>0</v>
      </c>
      <c r="K104" s="21">
        <f t="shared" si="10"/>
        <v>0</v>
      </c>
      <c r="L104" s="21">
        <f>IF(AND(C104=$Q$15,D104=$B$9),G104*Старт!$S$2/100,IF(AND(C104=$Q$15,D104=$B$10),G104*Старт!$S$3/100,IF(AND(C104=$Q$15,D104=$B$11),G104*Старт!$S$4/100,0)))-IF(AND(C104=$Q$17,D104=$B$9),G104*Старт!$S$2/100,IF(AND(C104=$Q$17,D104=$B$10),G104*Старт!$S$3/100,IF(AND(C104=$Q$17,D104=$B$11),G104*Старт!$S$4/100,0)))</f>
        <v>0</v>
      </c>
      <c r="M104" s="22">
        <f t="shared" si="11"/>
        <v>0</v>
      </c>
      <c r="N104" s="23" t="str">
        <f>IF(AND(OR($B104&lt;&gt;0,$C104&lt;&gt;0,$D104&lt;&gt;0,$F104&lt;&gt;0,$G104&lt;&gt;0,$J104&gt;0),OR($N$9=$Q$6,$N$9="")),"День не объявлен рабочим",IF(AND(B104=0,OR($C104&lt;&gt;0,$D104&lt;&gt;0,$F104&lt;&gt;0,$G104&lt;&gt;0,$J104&gt;0))," &lt; 2 &gt; ","")&amp;IF(AND(G104+J104&gt;0,C104="")," &lt; 3 &gt; ","")&amp;(IF(AND(D104=0,OR(C104=$Q$15,C104=$Q$16,C104=$Q$17))," &lt; 4 &gt; ",""))&amp;(IF(AND(F104=0,OR(C104=$Q$16,C104=$Q$17))," &lt; 5 &gt; ",""))&amp;IF(AND(G104=0,J104&gt;0)," &lt; 6 &gt; ","")&amp;IF(AND(G104&gt;0,J104=0),"Укажите сумму оплаты. ","")&amp;IF(AND(AND(G104=0,J104=0),OR($C104&lt;&gt;0,$D104&lt;&gt;0,$F104&lt;&gt;0,$G104&lt;&gt;0,$J104&gt;0))," Укажите сумму операции и сумму оплаты. ","")&amp;IF(AND(H104&gt;0,OR(C104=$Q$18,C104=$Q$19,C104=$Q$20,C104=$Q$21)),"Оплата возможна только наличными. ","")&amp;IF(AND(J104&lt;G104,OR(C104=$Q$16,C104=$Q$17,C104=$Q$18,C104=$Q$19,C104=$Q$20,C104=$Q$21)),"Возможна только полная оплата. ","")&amp;IF(AND(C104=$Q$20,G104&gt;(Старт!$G$19+$M$10)),"Указанная сумма превышает размер ЗП. ","")&amp;IF(J104&gt;G104,"Сумма оплаты превышает сумму операции. ","")&amp;IF(M104&lt;0,"Отрицательный остаток в кассе. ",""))</f>
        <v/>
      </c>
      <c r="O104" s="11">
        <f t="shared" si="7"/>
        <v>0</v>
      </c>
      <c r="P104" s="11">
        <f t="shared" si="12"/>
        <v>0</v>
      </c>
    </row>
    <row r="105" spans="1:16" ht="30" customHeight="1">
      <c r="A105" s="46">
        <f t="shared" si="13"/>
        <v>89</v>
      </c>
      <c r="B105" s="26"/>
      <c r="C105" s="6"/>
      <c r="D105" s="7"/>
      <c r="E105" s="24" t="str">
        <f t="shared" si="8"/>
        <v/>
      </c>
      <c r="F105" s="8"/>
      <c r="G105" s="9"/>
      <c r="H105" s="9"/>
      <c r="I105" s="9"/>
      <c r="J105" s="21">
        <f t="shared" si="9"/>
        <v>0</v>
      </c>
      <c r="K105" s="21">
        <f t="shared" si="10"/>
        <v>0</v>
      </c>
      <c r="L105" s="21">
        <f>IF(AND(C105=$Q$15,D105=$B$9),G105*Старт!$S$2/100,IF(AND(C105=$Q$15,D105=$B$10),G105*Старт!$S$3/100,IF(AND(C105=$Q$15,D105=$B$11),G105*Старт!$S$4/100,0)))-IF(AND(C105=$Q$17,D105=$B$9),G105*Старт!$S$2/100,IF(AND(C105=$Q$17,D105=$B$10),G105*Старт!$S$3/100,IF(AND(C105=$Q$17,D105=$B$11),G105*Старт!$S$4/100,0)))</f>
        <v>0</v>
      </c>
      <c r="M105" s="22">
        <f t="shared" si="11"/>
        <v>0</v>
      </c>
      <c r="N105" s="23" t="str">
        <f>IF(AND(OR($B105&lt;&gt;0,$C105&lt;&gt;0,$D105&lt;&gt;0,$F105&lt;&gt;0,$G105&lt;&gt;0,$J105&gt;0),OR($N$9=$Q$6,$N$9="")),"День не объявлен рабочим",IF(AND(B105=0,OR($C105&lt;&gt;0,$D105&lt;&gt;0,$F105&lt;&gt;0,$G105&lt;&gt;0,$J105&gt;0))," &lt; 2 &gt; ","")&amp;IF(AND(G105+J105&gt;0,C105="")," &lt; 3 &gt; ","")&amp;(IF(AND(D105=0,OR(C105=$Q$15,C105=$Q$16,C105=$Q$17))," &lt; 4 &gt; ",""))&amp;(IF(AND(F105=0,OR(C105=$Q$16,C105=$Q$17))," &lt; 5 &gt; ",""))&amp;IF(AND(G105=0,J105&gt;0)," &lt; 6 &gt; ","")&amp;IF(AND(G105&gt;0,J105=0),"Укажите сумму оплаты. ","")&amp;IF(AND(AND(G105=0,J105=0),OR($C105&lt;&gt;0,$D105&lt;&gt;0,$F105&lt;&gt;0,$G105&lt;&gt;0,$J105&gt;0))," Укажите сумму операции и сумму оплаты. ","")&amp;IF(AND(H105&gt;0,OR(C105=$Q$18,C105=$Q$19,C105=$Q$20,C105=$Q$21)),"Оплата возможна только наличными. ","")&amp;IF(AND(J105&lt;G105,OR(C105=$Q$16,C105=$Q$17,C105=$Q$18,C105=$Q$19,C105=$Q$20,C105=$Q$21)),"Возможна только полная оплата. ","")&amp;IF(AND(C105=$Q$20,G105&gt;(Старт!$G$19+$M$10)),"Указанная сумма превышает размер ЗП. ","")&amp;IF(J105&gt;G105,"Сумма оплаты превышает сумму операции. ","")&amp;IF(M105&lt;0,"Отрицательный остаток в кассе. ",""))</f>
        <v/>
      </c>
      <c r="O105" s="11">
        <f t="shared" si="7"/>
        <v>0</v>
      </c>
      <c r="P105" s="11">
        <f t="shared" si="12"/>
        <v>0</v>
      </c>
    </row>
    <row r="106" spans="1:16" ht="30" customHeight="1">
      <c r="A106" s="46">
        <f t="shared" si="13"/>
        <v>90</v>
      </c>
      <c r="B106" s="26"/>
      <c r="C106" s="6"/>
      <c r="D106" s="7"/>
      <c r="E106" s="24" t="str">
        <f t="shared" si="8"/>
        <v/>
      </c>
      <c r="F106" s="8"/>
      <c r="G106" s="9"/>
      <c r="H106" s="9"/>
      <c r="I106" s="9"/>
      <c r="J106" s="21">
        <f t="shared" si="9"/>
        <v>0</v>
      </c>
      <c r="K106" s="21">
        <f t="shared" si="10"/>
        <v>0</v>
      </c>
      <c r="L106" s="21">
        <f>IF(AND(C106=$Q$15,D106=$B$9),G106*Старт!$S$2/100,IF(AND(C106=$Q$15,D106=$B$10),G106*Старт!$S$3/100,IF(AND(C106=$Q$15,D106=$B$11),G106*Старт!$S$4/100,0)))-IF(AND(C106=$Q$17,D106=$B$9),G106*Старт!$S$2/100,IF(AND(C106=$Q$17,D106=$B$10),G106*Старт!$S$3/100,IF(AND(C106=$Q$17,D106=$B$11),G106*Старт!$S$4/100,0)))</f>
        <v>0</v>
      </c>
      <c r="M106" s="22">
        <f t="shared" si="11"/>
        <v>0</v>
      </c>
      <c r="N106" s="23" t="str">
        <f>IF(AND(OR($B106&lt;&gt;0,$C106&lt;&gt;0,$D106&lt;&gt;0,$F106&lt;&gt;0,$G106&lt;&gt;0,$J106&gt;0),OR($N$9=$Q$6,$N$9="")),"День не объявлен рабочим",IF(AND(B106=0,OR($C106&lt;&gt;0,$D106&lt;&gt;0,$F106&lt;&gt;0,$G106&lt;&gt;0,$J106&gt;0))," &lt; 2 &gt; ","")&amp;IF(AND(G106+J106&gt;0,C106="")," &lt; 3 &gt; ","")&amp;(IF(AND(D106=0,OR(C106=$Q$15,C106=$Q$16,C106=$Q$17))," &lt; 4 &gt; ",""))&amp;(IF(AND(F106=0,OR(C106=$Q$16,C106=$Q$17))," &lt; 5 &gt; ",""))&amp;IF(AND(G106=0,J106&gt;0)," &lt; 6 &gt; ","")&amp;IF(AND(G106&gt;0,J106=0),"Укажите сумму оплаты. ","")&amp;IF(AND(AND(G106=0,J106=0),OR($C106&lt;&gt;0,$D106&lt;&gt;0,$F106&lt;&gt;0,$G106&lt;&gt;0,$J106&gt;0))," Укажите сумму операции и сумму оплаты. ","")&amp;IF(AND(H106&gt;0,OR(C106=$Q$18,C106=$Q$19,C106=$Q$20,C106=$Q$21)),"Оплата возможна только наличными. ","")&amp;IF(AND(J106&lt;G106,OR(C106=$Q$16,C106=$Q$17,C106=$Q$18,C106=$Q$19,C106=$Q$20,C106=$Q$21)),"Возможна только полная оплата. ","")&amp;IF(AND(C106=$Q$20,G106&gt;(Старт!$G$19+$M$10)),"Указанная сумма превышает размер ЗП. ","")&amp;IF(J106&gt;G106,"Сумма оплаты превышает сумму операции. ","")&amp;IF(M106&lt;0,"Отрицательный остаток в кассе. ",""))</f>
        <v/>
      </c>
      <c r="O106" s="11">
        <f t="shared" si="7"/>
        <v>0</v>
      </c>
      <c r="P106" s="11">
        <f t="shared" si="12"/>
        <v>0</v>
      </c>
    </row>
    <row r="107" spans="1:16" ht="30" customHeight="1">
      <c r="A107" s="46">
        <f t="shared" si="13"/>
        <v>91</v>
      </c>
      <c r="B107" s="26"/>
      <c r="C107" s="6"/>
      <c r="D107" s="7"/>
      <c r="E107" s="24" t="str">
        <f t="shared" si="8"/>
        <v/>
      </c>
      <c r="F107" s="8"/>
      <c r="G107" s="9"/>
      <c r="H107" s="9"/>
      <c r="I107" s="9"/>
      <c r="J107" s="21">
        <f t="shared" si="9"/>
        <v>0</v>
      </c>
      <c r="K107" s="21">
        <f t="shared" si="10"/>
        <v>0</v>
      </c>
      <c r="L107" s="21">
        <f>IF(AND(C107=$Q$15,D107=$B$9),G107*Старт!$S$2/100,IF(AND(C107=$Q$15,D107=$B$10),G107*Старт!$S$3/100,IF(AND(C107=$Q$15,D107=$B$11),G107*Старт!$S$4/100,0)))-IF(AND(C107=$Q$17,D107=$B$9),G107*Старт!$S$2/100,IF(AND(C107=$Q$17,D107=$B$10),G107*Старт!$S$3/100,IF(AND(C107=$Q$17,D107=$B$11),G107*Старт!$S$4/100,0)))</f>
        <v>0</v>
      </c>
      <c r="M107" s="22">
        <f t="shared" si="11"/>
        <v>0</v>
      </c>
      <c r="N107" s="23" t="str">
        <f>IF(AND(OR($B107&lt;&gt;0,$C107&lt;&gt;0,$D107&lt;&gt;0,$F107&lt;&gt;0,$G107&lt;&gt;0,$J107&gt;0),OR($N$9=$Q$6,$N$9="")),"День не объявлен рабочим",IF(AND(B107=0,OR($C107&lt;&gt;0,$D107&lt;&gt;0,$F107&lt;&gt;0,$G107&lt;&gt;0,$J107&gt;0))," &lt; 2 &gt; ","")&amp;IF(AND(G107+J107&gt;0,C107="")," &lt; 3 &gt; ","")&amp;(IF(AND(D107=0,OR(C107=$Q$15,C107=$Q$16,C107=$Q$17))," &lt; 4 &gt; ",""))&amp;(IF(AND(F107=0,OR(C107=$Q$16,C107=$Q$17))," &lt; 5 &gt; ",""))&amp;IF(AND(G107=0,J107&gt;0)," &lt; 6 &gt; ","")&amp;IF(AND(G107&gt;0,J107=0),"Укажите сумму оплаты. ","")&amp;IF(AND(AND(G107=0,J107=0),OR($C107&lt;&gt;0,$D107&lt;&gt;0,$F107&lt;&gt;0,$G107&lt;&gt;0,$J107&gt;0))," Укажите сумму операции и сумму оплаты. ","")&amp;IF(AND(H107&gt;0,OR(C107=$Q$18,C107=$Q$19,C107=$Q$20,C107=$Q$21)),"Оплата возможна только наличными. ","")&amp;IF(AND(J107&lt;G107,OR(C107=$Q$16,C107=$Q$17,C107=$Q$18,C107=$Q$19,C107=$Q$20,C107=$Q$21)),"Возможна только полная оплата. ","")&amp;IF(AND(C107=$Q$20,G107&gt;(Старт!$G$19+$M$10)),"Указанная сумма превышает размер ЗП. ","")&amp;IF(J107&gt;G107,"Сумма оплаты превышает сумму операции. ","")&amp;IF(M107&lt;0,"Отрицательный остаток в кассе. ",""))</f>
        <v/>
      </c>
      <c r="O107" s="11">
        <f t="shared" si="7"/>
        <v>0</v>
      </c>
      <c r="P107" s="11">
        <f t="shared" si="12"/>
        <v>0</v>
      </c>
    </row>
    <row r="108" spans="1:16" ht="30" customHeight="1">
      <c r="A108" s="46">
        <f t="shared" si="13"/>
        <v>92</v>
      </c>
      <c r="B108" s="26"/>
      <c r="C108" s="6"/>
      <c r="D108" s="7"/>
      <c r="E108" s="24" t="str">
        <f t="shared" si="8"/>
        <v/>
      </c>
      <c r="F108" s="8"/>
      <c r="G108" s="9"/>
      <c r="H108" s="9"/>
      <c r="I108" s="9"/>
      <c r="J108" s="21">
        <f t="shared" si="9"/>
        <v>0</v>
      </c>
      <c r="K108" s="21">
        <f t="shared" si="10"/>
        <v>0</v>
      </c>
      <c r="L108" s="21">
        <f>IF(AND(C108=$Q$15,D108=$B$9),G108*Старт!$S$2/100,IF(AND(C108=$Q$15,D108=$B$10),G108*Старт!$S$3/100,IF(AND(C108=$Q$15,D108=$B$11),G108*Старт!$S$4/100,0)))-IF(AND(C108=$Q$17,D108=$B$9),G108*Старт!$S$2/100,IF(AND(C108=$Q$17,D108=$B$10),G108*Старт!$S$3/100,IF(AND(C108=$Q$17,D108=$B$11),G108*Старт!$S$4/100,0)))</f>
        <v>0</v>
      </c>
      <c r="M108" s="22">
        <f t="shared" si="11"/>
        <v>0</v>
      </c>
      <c r="N108" s="23" t="str">
        <f>IF(AND(OR($B108&lt;&gt;0,$C108&lt;&gt;0,$D108&lt;&gt;0,$F108&lt;&gt;0,$G108&lt;&gt;0,$J108&gt;0),OR($N$9=$Q$6,$N$9="")),"День не объявлен рабочим",IF(AND(B108=0,OR($C108&lt;&gt;0,$D108&lt;&gt;0,$F108&lt;&gt;0,$G108&lt;&gt;0,$J108&gt;0))," &lt; 2 &gt; ","")&amp;IF(AND(G108+J108&gt;0,C108="")," &lt; 3 &gt; ","")&amp;(IF(AND(D108=0,OR(C108=$Q$15,C108=$Q$16,C108=$Q$17))," &lt; 4 &gt; ",""))&amp;(IF(AND(F108=0,OR(C108=$Q$16,C108=$Q$17))," &lt; 5 &gt; ",""))&amp;IF(AND(G108=0,J108&gt;0)," &lt; 6 &gt; ","")&amp;IF(AND(G108&gt;0,J108=0),"Укажите сумму оплаты. ","")&amp;IF(AND(AND(G108=0,J108=0),OR($C108&lt;&gt;0,$D108&lt;&gt;0,$F108&lt;&gt;0,$G108&lt;&gt;0,$J108&gt;0))," Укажите сумму операции и сумму оплаты. ","")&amp;IF(AND(H108&gt;0,OR(C108=$Q$18,C108=$Q$19,C108=$Q$20,C108=$Q$21)),"Оплата возможна только наличными. ","")&amp;IF(AND(J108&lt;G108,OR(C108=$Q$16,C108=$Q$17,C108=$Q$18,C108=$Q$19,C108=$Q$20,C108=$Q$21)),"Возможна только полная оплата. ","")&amp;IF(AND(C108=$Q$20,G108&gt;(Старт!$G$19+$M$10)),"Указанная сумма превышает размер ЗП. ","")&amp;IF(J108&gt;G108,"Сумма оплаты превышает сумму операции. ","")&amp;IF(M108&lt;0,"Отрицательный остаток в кассе. ",""))</f>
        <v/>
      </c>
      <c r="O108" s="11">
        <f t="shared" si="7"/>
        <v>0</v>
      </c>
      <c r="P108" s="11">
        <f t="shared" si="12"/>
        <v>0</v>
      </c>
    </row>
    <row r="109" spans="1:16" ht="30" customHeight="1">
      <c r="A109" s="46">
        <f t="shared" si="13"/>
        <v>93</v>
      </c>
      <c r="B109" s="26"/>
      <c r="C109" s="6"/>
      <c r="D109" s="7"/>
      <c r="E109" s="24" t="str">
        <f t="shared" si="8"/>
        <v/>
      </c>
      <c r="F109" s="8"/>
      <c r="G109" s="9"/>
      <c r="H109" s="9"/>
      <c r="I109" s="9"/>
      <c r="J109" s="21">
        <f t="shared" si="9"/>
        <v>0</v>
      </c>
      <c r="K109" s="21">
        <f t="shared" si="10"/>
        <v>0</v>
      </c>
      <c r="L109" s="21">
        <f>IF(AND(C109=$Q$15,D109=$B$9),G109*Старт!$S$2/100,IF(AND(C109=$Q$15,D109=$B$10),G109*Старт!$S$3/100,IF(AND(C109=$Q$15,D109=$B$11),G109*Старт!$S$4/100,0)))-IF(AND(C109=$Q$17,D109=$B$9),G109*Старт!$S$2/100,IF(AND(C109=$Q$17,D109=$B$10),G109*Старт!$S$3/100,IF(AND(C109=$Q$17,D109=$B$11),G109*Старт!$S$4/100,0)))</f>
        <v>0</v>
      </c>
      <c r="M109" s="22">
        <f t="shared" si="11"/>
        <v>0</v>
      </c>
      <c r="N109" s="23" t="str">
        <f>IF(AND(OR($B109&lt;&gt;0,$C109&lt;&gt;0,$D109&lt;&gt;0,$F109&lt;&gt;0,$G109&lt;&gt;0,$J109&gt;0),OR($N$9=$Q$6,$N$9="")),"День не объявлен рабочим",IF(AND(B109=0,OR($C109&lt;&gt;0,$D109&lt;&gt;0,$F109&lt;&gt;0,$G109&lt;&gt;0,$J109&gt;0))," &lt; 2 &gt; ","")&amp;IF(AND(G109+J109&gt;0,C109="")," &lt; 3 &gt; ","")&amp;(IF(AND(D109=0,OR(C109=$Q$15,C109=$Q$16,C109=$Q$17))," &lt; 4 &gt; ",""))&amp;(IF(AND(F109=0,OR(C109=$Q$16,C109=$Q$17))," &lt; 5 &gt; ",""))&amp;IF(AND(G109=0,J109&gt;0)," &lt; 6 &gt; ","")&amp;IF(AND(G109&gt;0,J109=0),"Укажите сумму оплаты. ","")&amp;IF(AND(AND(G109=0,J109=0),OR($C109&lt;&gt;0,$D109&lt;&gt;0,$F109&lt;&gt;0,$G109&lt;&gt;0,$J109&gt;0))," Укажите сумму операции и сумму оплаты. ","")&amp;IF(AND(H109&gt;0,OR(C109=$Q$18,C109=$Q$19,C109=$Q$20,C109=$Q$21)),"Оплата возможна только наличными. ","")&amp;IF(AND(J109&lt;G109,OR(C109=$Q$16,C109=$Q$17,C109=$Q$18,C109=$Q$19,C109=$Q$20,C109=$Q$21)),"Возможна только полная оплата. ","")&amp;IF(AND(C109=$Q$20,G109&gt;(Старт!$G$19+$M$10)),"Указанная сумма превышает размер ЗП. ","")&amp;IF(J109&gt;G109,"Сумма оплаты превышает сумму операции. ","")&amp;IF(M109&lt;0,"Отрицательный остаток в кассе. ",""))</f>
        <v/>
      </c>
      <c r="O109" s="11">
        <f t="shared" si="7"/>
        <v>0</v>
      </c>
      <c r="P109" s="11">
        <f t="shared" si="12"/>
        <v>0</v>
      </c>
    </row>
    <row r="110" spans="1:16" ht="30" customHeight="1">
      <c r="A110" s="46">
        <f t="shared" si="13"/>
        <v>94</v>
      </c>
      <c r="B110" s="26"/>
      <c r="C110" s="6"/>
      <c r="D110" s="7"/>
      <c r="E110" s="24" t="str">
        <f t="shared" si="8"/>
        <v/>
      </c>
      <c r="F110" s="8"/>
      <c r="G110" s="9"/>
      <c r="H110" s="9"/>
      <c r="I110" s="9"/>
      <c r="J110" s="21">
        <f t="shared" si="9"/>
        <v>0</v>
      </c>
      <c r="K110" s="21">
        <f t="shared" si="10"/>
        <v>0</v>
      </c>
      <c r="L110" s="21">
        <f>IF(AND(C110=$Q$15,D110=$B$9),G110*Старт!$S$2/100,IF(AND(C110=$Q$15,D110=$B$10),G110*Старт!$S$3/100,IF(AND(C110=$Q$15,D110=$B$11),G110*Старт!$S$4/100,0)))-IF(AND(C110=$Q$17,D110=$B$9),G110*Старт!$S$2/100,IF(AND(C110=$Q$17,D110=$B$10),G110*Старт!$S$3/100,IF(AND(C110=$Q$17,D110=$B$11),G110*Старт!$S$4/100,0)))</f>
        <v>0</v>
      </c>
      <c r="M110" s="22">
        <f t="shared" si="11"/>
        <v>0</v>
      </c>
      <c r="N110" s="23" t="str">
        <f>IF(AND(OR($B110&lt;&gt;0,$C110&lt;&gt;0,$D110&lt;&gt;0,$F110&lt;&gt;0,$G110&lt;&gt;0,$J110&gt;0),OR($N$9=$Q$6,$N$9="")),"День не объявлен рабочим",IF(AND(B110=0,OR($C110&lt;&gt;0,$D110&lt;&gt;0,$F110&lt;&gt;0,$G110&lt;&gt;0,$J110&gt;0))," &lt; 2 &gt; ","")&amp;IF(AND(G110+J110&gt;0,C110="")," &lt; 3 &gt; ","")&amp;(IF(AND(D110=0,OR(C110=$Q$15,C110=$Q$16,C110=$Q$17))," &lt; 4 &gt; ",""))&amp;(IF(AND(F110=0,OR(C110=$Q$16,C110=$Q$17))," &lt; 5 &gt; ",""))&amp;IF(AND(G110=0,J110&gt;0)," &lt; 6 &gt; ","")&amp;IF(AND(G110&gt;0,J110=0),"Укажите сумму оплаты. ","")&amp;IF(AND(AND(G110=0,J110=0),OR($C110&lt;&gt;0,$D110&lt;&gt;0,$F110&lt;&gt;0,$G110&lt;&gt;0,$J110&gt;0))," Укажите сумму операции и сумму оплаты. ","")&amp;IF(AND(H110&gt;0,OR(C110=$Q$18,C110=$Q$19,C110=$Q$20,C110=$Q$21)),"Оплата возможна только наличными. ","")&amp;IF(AND(J110&lt;G110,OR(C110=$Q$16,C110=$Q$17,C110=$Q$18,C110=$Q$19,C110=$Q$20,C110=$Q$21)),"Возможна только полная оплата. ","")&amp;IF(AND(C110=$Q$20,G110&gt;(Старт!$G$19+$M$10)),"Указанная сумма превышает размер ЗП. ","")&amp;IF(J110&gt;G110,"Сумма оплаты превышает сумму операции. ","")&amp;IF(M110&lt;0,"Отрицательный остаток в кассе. ",""))</f>
        <v/>
      </c>
      <c r="O110" s="11">
        <f t="shared" si="7"/>
        <v>0</v>
      </c>
      <c r="P110" s="11">
        <f t="shared" si="12"/>
        <v>0</v>
      </c>
    </row>
    <row r="111" spans="1:16" ht="30" customHeight="1">
      <c r="A111" s="46">
        <f t="shared" si="13"/>
        <v>95</v>
      </c>
      <c r="B111" s="26"/>
      <c r="C111" s="6"/>
      <c r="D111" s="7"/>
      <c r="E111" s="24" t="str">
        <f t="shared" si="8"/>
        <v/>
      </c>
      <c r="F111" s="8"/>
      <c r="G111" s="9"/>
      <c r="H111" s="9"/>
      <c r="I111" s="9"/>
      <c r="J111" s="21">
        <f t="shared" si="9"/>
        <v>0</v>
      </c>
      <c r="K111" s="21">
        <f t="shared" si="10"/>
        <v>0</v>
      </c>
      <c r="L111" s="21">
        <f>IF(AND(C111=$Q$15,D111=$B$9),G111*Старт!$S$2/100,IF(AND(C111=$Q$15,D111=$B$10),G111*Старт!$S$3/100,IF(AND(C111=$Q$15,D111=$B$11),G111*Старт!$S$4/100,0)))-IF(AND(C111=$Q$17,D111=$B$9),G111*Старт!$S$2/100,IF(AND(C111=$Q$17,D111=$B$10),G111*Старт!$S$3/100,IF(AND(C111=$Q$17,D111=$B$11),G111*Старт!$S$4/100,0)))</f>
        <v>0</v>
      </c>
      <c r="M111" s="22">
        <f t="shared" si="11"/>
        <v>0</v>
      </c>
      <c r="N111" s="23" t="str">
        <f>IF(AND(OR($B111&lt;&gt;0,$C111&lt;&gt;0,$D111&lt;&gt;0,$F111&lt;&gt;0,$G111&lt;&gt;0,$J111&gt;0),OR($N$9=$Q$6,$N$9="")),"День не объявлен рабочим",IF(AND(B111=0,OR($C111&lt;&gt;0,$D111&lt;&gt;0,$F111&lt;&gt;0,$G111&lt;&gt;0,$J111&gt;0))," &lt; 2 &gt; ","")&amp;IF(AND(G111+J111&gt;0,C111="")," &lt; 3 &gt; ","")&amp;(IF(AND(D111=0,OR(C111=$Q$15,C111=$Q$16,C111=$Q$17))," &lt; 4 &gt; ",""))&amp;(IF(AND(F111=0,OR(C111=$Q$16,C111=$Q$17))," &lt; 5 &gt; ",""))&amp;IF(AND(G111=0,J111&gt;0)," &lt; 6 &gt; ","")&amp;IF(AND(G111&gt;0,J111=0),"Укажите сумму оплаты. ","")&amp;IF(AND(AND(G111=0,J111=0),OR($C111&lt;&gt;0,$D111&lt;&gt;0,$F111&lt;&gt;0,$G111&lt;&gt;0,$J111&gt;0))," Укажите сумму операции и сумму оплаты. ","")&amp;IF(AND(H111&gt;0,OR(C111=$Q$18,C111=$Q$19,C111=$Q$20,C111=$Q$21)),"Оплата возможна только наличными. ","")&amp;IF(AND(J111&lt;G111,OR(C111=$Q$16,C111=$Q$17,C111=$Q$18,C111=$Q$19,C111=$Q$20,C111=$Q$21)),"Возможна только полная оплата. ","")&amp;IF(AND(C111=$Q$20,G111&gt;(Старт!$G$19+$M$10)),"Указанная сумма превышает размер ЗП. ","")&amp;IF(J111&gt;G111,"Сумма оплаты превышает сумму операции. ","")&amp;IF(M111&lt;0,"Отрицательный остаток в кассе. ",""))</f>
        <v/>
      </c>
      <c r="O111" s="11">
        <f t="shared" si="7"/>
        <v>0</v>
      </c>
      <c r="P111" s="11">
        <f t="shared" si="12"/>
        <v>0</v>
      </c>
    </row>
    <row r="112" spans="1:16" ht="30" customHeight="1">
      <c r="A112" s="46">
        <f t="shared" si="13"/>
        <v>96</v>
      </c>
      <c r="B112" s="26"/>
      <c r="C112" s="6"/>
      <c r="D112" s="7"/>
      <c r="E112" s="24" t="str">
        <f t="shared" si="8"/>
        <v/>
      </c>
      <c r="F112" s="8"/>
      <c r="G112" s="9"/>
      <c r="H112" s="9"/>
      <c r="I112" s="9"/>
      <c r="J112" s="21">
        <f t="shared" si="9"/>
        <v>0</v>
      </c>
      <c r="K112" s="21">
        <f t="shared" si="10"/>
        <v>0</v>
      </c>
      <c r="L112" s="21">
        <f>IF(AND(C112=$Q$15,D112=$B$9),G112*Старт!$S$2/100,IF(AND(C112=$Q$15,D112=$B$10),G112*Старт!$S$3/100,IF(AND(C112=$Q$15,D112=$B$11),G112*Старт!$S$4/100,0)))-IF(AND(C112=$Q$17,D112=$B$9),G112*Старт!$S$2/100,IF(AND(C112=$Q$17,D112=$B$10),G112*Старт!$S$3/100,IF(AND(C112=$Q$17,D112=$B$11),G112*Старт!$S$4/100,0)))</f>
        <v>0</v>
      </c>
      <c r="M112" s="22">
        <f t="shared" si="11"/>
        <v>0</v>
      </c>
      <c r="N112" s="23" t="str">
        <f>IF(AND(OR($B112&lt;&gt;0,$C112&lt;&gt;0,$D112&lt;&gt;0,$F112&lt;&gt;0,$G112&lt;&gt;0,$J112&gt;0),OR($N$9=$Q$6,$N$9="")),"День не объявлен рабочим",IF(AND(B112=0,OR($C112&lt;&gt;0,$D112&lt;&gt;0,$F112&lt;&gt;0,$G112&lt;&gt;0,$J112&gt;0))," &lt; 2 &gt; ","")&amp;IF(AND(G112+J112&gt;0,C112="")," &lt; 3 &gt; ","")&amp;(IF(AND(D112=0,OR(C112=$Q$15,C112=$Q$16,C112=$Q$17))," &lt; 4 &gt; ",""))&amp;(IF(AND(F112=0,OR(C112=$Q$16,C112=$Q$17))," &lt; 5 &gt; ",""))&amp;IF(AND(G112=0,J112&gt;0)," &lt; 6 &gt; ","")&amp;IF(AND(G112&gt;0,J112=0),"Укажите сумму оплаты. ","")&amp;IF(AND(AND(G112=0,J112=0),OR($C112&lt;&gt;0,$D112&lt;&gt;0,$F112&lt;&gt;0,$G112&lt;&gt;0,$J112&gt;0))," Укажите сумму операции и сумму оплаты. ","")&amp;IF(AND(H112&gt;0,OR(C112=$Q$18,C112=$Q$19,C112=$Q$20,C112=$Q$21)),"Оплата возможна только наличными. ","")&amp;IF(AND(J112&lt;G112,OR(C112=$Q$16,C112=$Q$17,C112=$Q$18,C112=$Q$19,C112=$Q$20,C112=$Q$21)),"Возможна только полная оплата. ","")&amp;IF(AND(C112=$Q$20,G112&gt;(Старт!$G$19+$M$10)),"Указанная сумма превышает размер ЗП. ","")&amp;IF(J112&gt;G112,"Сумма оплаты превышает сумму операции. ","")&amp;IF(M112&lt;0,"Отрицательный остаток в кассе. ",""))</f>
        <v/>
      </c>
      <c r="O112" s="11">
        <f t="shared" si="7"/>
        <v>0</v>
      </c>
      <c r="P112" s="11">
        <f t="shared" si="12"/>
        <v>0</v>
      </c>
    </row>
    <row r="113" spans="1:16" ht="30" customHeight="1">
      <c r="A113" s="46">
        <f t="shared" si="13"/>
        <v>97</v>
      </c>
      <c r="B113" s="26"/>
      <c r="C113" s="6"/>
      <c r="D113" s="7"/>
      <c r="E113" s="24" t="str">
        <f t="shared" si="8"/>
        <v/>
      </c>
      <c r="F113" s="8"/>
      <c r="G113" s="9"/>
      <c r="H113" s="9"/>
      <c r="I113" s="9"/>
      <c r="J113" s="21">
        <f t="shared" si="9"/>
        <v>0</v>
      </c>
      <c r="K113" s="21">
        <f t="shared" si="10"/>
        <v>0</v>
      </c>
      <c r="L113" s="21">
        <f>IF(AND(C113=$Q$15,D113=$B$9),G113*Старт!$S$2/100,IF(AND(C113=$Q$15,D113=$B$10),G113*Старт!$S$3/100,IF(AND(C113=$Q$15,D113=$B$11),G113*Старт!$S$4/100,0)))-IF(AND(C113=$Q$17,D113=$B$9),G113*Старт!$S$2/100,IF(AND(C113=$Q$17,D113=$B$10),G113*Старт!$S$3/100,IF(AND(C113=$Q$17,D113=$B$11),G113*Старт!$S$4/100,0)))</f>
        <v>0</v>
      </c>
      <c r="M113" s="22">
        <f t="shared" si="11"/>
        <v>0</v>
      </c>
      <c r="N113" s="23" t="str">
        <f>IF(AND(OR($B113&lt;&gt;0,$C113&lt;&gt;0,$D113&lt;&gt;0,$F113&lt;&gt;0,$G113&lt;&gt;0,$J113&gt;0),OR($N$9=$Q$6,$N$9="")),"День не объявлен рабочим",IF(AND(B113=0,OR($C113&lt;&gt;0,$D113&lt;&gt;0,$F113&lt;&gt;0,$G113&lt;&gt;0,$J113&gt;0))," &lt; 2 &gt; ","")&amp;IF(AND(G113+J113&gt;0,C113="")," &lt; 3 &gt; ","")&amp;(IF(AND(D113=0,OR(C113=$Q$15,C113=$Q$16,C113=$Q$17))," &lt; 4 &gt; ",""))&amp;(IF(AND(F113=0,OR(C113=$Q$16,C113=$Q$17))," &lt; 5 &gt; ",""))&amp;IF(AND(G113=0,J113&gt;0)," &lt; 6 &gt; ","")&amp;IF(AND(G113&gt;0,J113=0),"Укажите сумму оплаты. ","")&amp;IF(AND(AND(G113=0,J113=0),OR($C113&lt;&gt;0,$D113&lt;&gt;0,$F113&lt;&gt;0,$G113&lt;&gt;0,$J113&gt;0))," Укажите сумму операции и сумму оплаты. ","")&amp;IF(AND(H113&gt;0,OR(C113=$Q$18,C113=$Q$19,C113=$Q$20,C113=$Q$21)),"Оплата возможна только наличными. ","")&amp;IF(AND(J113&lt;G113,OR(C113=$Q$16,C113=$Q$17,C113=$Q$18,C113=$Q$19,C113=$Q$20,C113=$Q$21)),"Возможна только полная оплата. ","")&amp;IF(AND(C113=$Q$20,G113&gt;(Старт!$G$19+$M$10)),"Указанная сумма превышает размер ЗП. ","")&amp;IF(J113&gt;G113,"Сумма оплаты превышает сумму операции. ","")&amp;IF(M113&lt;0,"Отрицательный остаток в кассе. ",""))</f>
        <v/>
      </c>
      <c r="O113" s="11">
        <f t="shared" si="7"/>
        <v>0</v>
      </c>
      <c r="P113" s="11">
        <f t="shared" si="12"/>
        <v>0</v>
      </c>
    </row>
    <row r="114" spans="1:16" ht="30" customHeight="1">
      <c r="A114" s="46">
        <f t="shared" si="13"/>
        <v>98</v>
      </c>
      <c r="B114" s="26"/>
      <c r="C114" s="6"/>
      <c r="D114" s="7"/>
      <c r="E114" s="24" t="str">
        <f t="shared" si="8"/>
        <v/>
      </c>
      <c r="F114" s="8"/>
      <c r="G114" s="9"/>
      <c r="H114" s="9"/>
      <c r="I114" s="9"/>
      <c r="J114" s="21">
        <f t="shared" si="9"/>
        <v>0</v>
      </c>
      <c r="K114" s="21">
        <f t="shared" si="10"/>
        <v>0</v>
      </c>
      <c r="L114" s="21">
        <f>IF(AND(C114=$Q$15,D114=$B$9),G114*Старт!$S$2/100,IF(AND(C114=$Q$15,D114=$B$10),G114*Старт!$S$3/100,IF(AND(C114=$Q$15,D114=$B$11),G114*Старт!$S$4/100,0)))-IF(AND(C114=$Q$17,D114=$B$9),G114*Старт!$S$2/100,IF(AND(C114=$Q$17,D114=$B$10),G114*Старт!$S$3/100,IF(AND(C114=$Q$17,D114=$B$11),G114*Старт!$S$4/100,0)))</f>
        <v>0</v>
      </c>
      <c r="M114" s="22">
        <f t="shared" si="11"/>
        <v>0</v>
      </c>
      <c r="N114" s="23" t="str">
        <f>IF(AND(OR($B114&lt;&gt;0,$C114&lt;&gt;0,$D114&lt;&gt;0,$F114&lt;&gt;0,$G114&lt;&gt;0,$J114&gt;0),OR($N$9=$Q$6,$N$9="")),"День не объявлен рабочим",IF(AND(B114=0,OR($C114&lt;&gt;0,$D114&lt;&gt;0,$F114&lt;&gt;0,$G114&lt;&gt;0,$J114&gt;0))," &lt; 2 &gt; ","")&amp;IF(AND(G114+J114&gt;0,C114="")," &lt; 3 &gt; ","")&amp;(IF(AND(D114=0,OR(C114=$Q$15,C114=$Q$16,C114=$Q$17))," &lt; 4 &gt; ",""))&amp;(IF(AND(F114=0,OR(C114=$Q$16,C114=$Q$17))," &lt; 5 &gt; ",""))&amp;IF(AND(G114=0,J114&gt;0)," &lt; 6 &gt; ","")&amp;IF(AND(G114&gt;0,J114=0),"Укажите сумму оплаты. ","")&amp;IF(AND(AND(G114=0,J114=0),OR($C114&lt;&gt;0,$D114&lt;&gt;0,$F114&lt;&gt;0,$G114&lt;&gt;0,$J114&gt;0))," Укажите сумму операции и сумму оплаты. ","")&amp;IF(AND(H114&gt;0,OR(C114=$Q$18,C114=$Q$19,C114=$Q$20,C114=$Q$21)),"Оплата возможна только наличными. ","")&amp;IF(AND(J114&lt;G114,OR(C114=$Q$16,C114=$Q$17,C114=$Q$18,C114=$Q$19,C114=$Q$20,C114=$Q$21)),"Возможна только полная оплата. ","")&amp;IF(AND(C114=$Q$20,G114&gt;(Старт!$G$19+$M$10)),"Указанная сумма превышает размер ЗП. ","")&amp;IF(J114&gt;G114,"Сумма оплаты превышает сумму операции. ","")&amp;IF(M114&lt;0,"Отрицательный остаток в кассе. ",""))</f>
        <v/>
      </c>
      <c r="O114" s="11">
        <f t="shared" si="7"/>
        <v>0</v>
      </c>
      <c r="P114" s="11">
        <f t="shared" si="12"/>
        <v>0</v>
      </c>
    </row>
    <row r="115" spans="1:16" ht="30" customHeight="1">
      <c r="A115" s="46">
        <f t="shared" si="13"/>
        <v>99</v>
      </c>
      <c r="B115" s="26"/>
      <c r="C115" s="6"/>
      <c r="D115" s="7"/>
      <c r="E115" s="24" t="str">
        <f t="shared" si="8"/>
        <v/>
      </c>
      <c r="F115" s="8"/>
      <c r="G115" s="9"/>
      <c r="H115" s="9"/>
      <c r="I115" s="9"/>
      <c r="J115" s="21">
        <f t="shared" si="9"/>
        <v>0</v>
      </c>
      <c r="K115" s="21">
        <f t="shared" si="10"/>
        <v>0</v>
      </c>
      <c r="L115" s="21">
        <f>IF(AND(C115=$Q$15,D115=$B$9),G115*Старт!$S$2/100,IF(AND(C115=$Q$15,D115=$B$10),G115*Старт!$S$3/100,IF(AND(C115=$Q$15,D115=$B$11),G115*Старт!$S$4/100,0)))-IF(AND(C115=$Q$17,D115=$B$9),G115*Старт!$S$2/100,IF(AND(C115=$Q$17,D115=$B$10),G115*Старт!$S$3/100,IF(AND(C115=$Q$17,D115=$B$11),G115*Старт!$S$4/100,0)))</f>
        <v>0</v>
      </c>
      <c r="M115" s="22">
        <f t="shared" si="11"/>
        <v>0</v>
      </c>
      <c r="N115" s="23" t="str">
        <f>IF(AND(OR($B115&lt;&gt;0,$C115&lt;&gt;0,$D115&lt;&gt;0,$F115&lt;&gt;0,$G115&lt;&gt;0,$J115&gt;0),OR($N$9=$Q$6,$N$9="")),"День не объявлен рабочим",IF(AND(B115=0,OR($C115&lt;&gt;0,$D115&lt;&gt;0,$F115&lt;&gt;0,$G115&lt;&gt;0,$J115&gt;0))," &lt; 2 &gt; ","")&amp;IF(AND(G115+J115&gt;0,C115="")," &lt; 3 &gt; ","")&amp;(IF(AND(D115=0,OR(C115=$Q$15,C115=$Q$16,C115=$Q$17))," &lt; 4 &gt; ",""))&amp;(IF(AND(F115=0,OR(C115=$Q$16,C115=$Q$17))," &lt; 5 &gt; ",""))&amp;IF(AND(G115=0,J115&gt;0)," &lt; 6 &gt; ","")&amp;IF(AND(G115&gt;0,J115=0),"Укажите сумму оплаты. ","")&amp;IF(AND(AND(G115=0,J115=0),OR($C115&lt;&gt;0,$D115&lt;&gt;0,$F115&lt;&gt;0,$G115&lt;&gt;0,$J115&gt;0))," Укажите сумму операции и сумму оплаты. ","")&amp;IF(AND(H115&gt;0,OR(C115=$Q$18,C115=$Q$19,C115=$Q$20,C115=$Q$21)),"Оплата возможна только наличными. ","")&amp;IF(AND(J115&lt;G115,OR(C115=$Q$16,C115=$Q$17,C115=$Q$18,C115=$Q$19,C115=$Q$20,C115=$Q$21)),"Возможна только полная оплата. ","")&amp;IF(AND(C115=$Q$20,G115&gt;(Старт!$G$19+$M$10)),"Указанная сумма превышает размер ЗП. ","")&amp;IF(J115&gt;G115,"Сумма оплаты превышает сумму операции. ","")&amp;IF(M115&lt;0,"Отрицательный остаток в кассе. ",""))</f>
        <v/>
      </c>
      <c r="O115" s="11">
        <f t="shared" si="7"/>
        <v>0</v>
      </c>
      <c r="P115" s="11">
        <f t="shared" si="12"/>
        <v>0</v>
      </c>
    </row>
    <row r="116" spans="1:16" ht="30" customHeight="1">
      <c r="A116" s="46">
        <f t="shared" si="13"/>
        <v>100</v>
      </c>
      <c r="B116" s="26"/>
      <c r="C116" s="6"/>
      <c r="D116" s="7"/>
      <c r="E116" s="24" t="str">
        <f t="shared" si="8"/>
        <v/>
      </c>
      <c r="F116" s="8"/>
      <c r="G116" s="9"/>
      <c r="H116" s="9"/>
      <c r="I116" s="9"/>
      <c r="J116" s="21">
        <f t="shared" si="9"/>
        <v>0</v>
      </c>
      <c r="K116" s="21">
        <f t="shared" si="10"/>
        <v>0</v>
      </c>
      <c r="L116" s="21">
        <f>IF(AND(C116=$Q$15,D116=$B$9),G116*Старт!$S$2/100,IF(AND(C116=$Q$15,D116=$B$10),G116*Старт!$S$3/100,IF(AND(C116=$Q$15,D116=$B$11),G116*Старт!$S$4/100,0)))-IF(AND(C116=$Q$17,D116=$B$9),G116*Старт!$S$2/100,IF(AND(C116=$Q$17,D116=$B$10),G116*Старт!$S$3/100,IF(AND(C116=$Q$17,D116=$B$11),G116*Старт!$S$4/100,0)))</f>
        <v>0</v>
      </c>
      <c r="M116" s="22">
        <f t="shared" si="11"/>
        <v>0</v>
      </c>
      <c r="N116" s="23" t="str">
        <f>IF(AND(OR($B116&lt;&gt;0,$C116&lt;&gt;0,$D116&lt;&gt;0,$F116&lt;&gt;0,$G116&lt;&gt;0,$J116&gt;0),OR($N$9=$Q$6,$N$9="")),"День не объявлен рабочим",IF(AND(B116=0,OR($C116&lt;&gt;0,$D116&lt;&gt;0,$F116&lt;&gt;0,$G116&lt;&gt;0,$J116&gt;0))," &lt; 2 &gt; ","")&amp;IF(AND(G116+J116&gt;0,C116="")," &lt; 3 &gt; ","")&amp;(IF(AND(D116=0,OR(C116=$Q$15,C116=$Q$16,C116=$Q$17))," &lt; 4 &gt; ",""))&amp;(IF(AND(F116=0,OR(C116=$Q$16,C116=$Q$17))," &lt; 5 &gt; ",""))&amp;IF(AND(G116=0,J116&gt;0)," &lt; 6 &gt; ","")&amp;IF(AND(G116&gt;0,J116=0),"Укажите сумму оплаты. ","")&amp;IF(AND(AND(G116=0,J116=0),OR($C116&lt;&gt;0,$D116&lt;&gt;0,$F116&lt;&gt;0,$G116&lt;&gt;0,$J116&gt;0))," Укажите сумму операции и сумму оплаты. ","")&amp;IF(AND(H116&gt;0,OR(C116=$Q$18,C116=$Q$19,C116=$Q$20,C116=$Q$21)),"Оплата возможна только наличными. ","")&amp;IF(AND(J116&lt;G116,OR(C116=$Q$16,C116=$Q$17,C116=$Q$18,C116=$Q$19,C116=$Q$20,C116=$Q$21)),"Возможна только полная оплата. ","")&amp;IF(AND(C116=$Q$20,G116&gt;(Старт!$G$19+$M$10)),"Указанная сумма превышает размер ЗП. ","")&amp;IF(J116&gt;G116,"Сумма оплаты превышает сумму операции. ","")&amp;IF(M116&lt;0,"Отрицательный остаток в кассе. ",""))</f>
        <v/>
      </c>
      <c r="O116" s="11">
        <f t="shared" si="7"/>
        <v>0</v>
      </c>
      <c r="P116" s="11">
        <f t="shared" si="12"/>
        <v>0</v>
      </c>
    </row>
  </sheetData>
  <sheetProtection autoFilter="0"/>
  <autoFilter ref="B16:M16"/>
  <mergeCells count="26">
    <mergeCell ref="N14:N15"/>
    <mergeCell ref="B1:C1"/>
    <mergeCell ref="B2:C2"/>
    <mergeCell ref="B3:C3"/>
    <mergeCell ref="A14:A15"/>
    <mergeCell ref="H9:I9"/>
    <mergeCell ref="H10:I10"/>
    <mergeCell ref="H11:I11"/>
    <mergeCell ref="H12:I12"/>
    <mergeCell ref="H14:J14"/>
    <mergeCell ref="F14:F15"/>
    <mergeCell ref="D14:D15"/>
    <mergeCell ref="D1:F1"/>
    <mergeCell ref="H1:J1"/>
    <mergeCell ref="L1:M1"/>
    <mergeCell ref="E14:E15"/>
    <mergeCell ref="H7:J7"/>
    <mergeCell ref="L7:M7"/>
    <mergeCell ref="B7:F7"/>
    <mergeCell ref="K14:K15"/>
    <mergeCell ref="G14:G15"/>
    <mergeCell ref="C14:C15"/>
    <mergeCell ref="B14:B15"/>
    <mergeCell ref="H8:I8"/>
    <mergeCell ref="M14:M15"/>
    <mergeCell ref="L14:L15"/>
  </mergeCells>
  <conditionalFormatting sqref="D17:D116">
    <cfRule type="expression" dxfId="10" priority="12">
      <formula>AND(ISNUMBER(SEARCH("&lt; 4 &gt;",N17)),OR($C$17="Продажа",$C$17="Оплата прошлой продажи",$C$17="Возврат"))</formula>
    </cfRule>
  </conditionalFormatting>
  <conditionalFormatting sqref="F17:F116">
    <cfRule type="expression" dxfId="9" priority="11">
      <formula>AND(ISNUMBER(SEARCH("&lt; 5 &gt;",N17)),OR($C$17=$Q$16,$C$17=$Q$17))</formula>
    </cfRule>
  </conditionalFormatting>
  <conditionalFormatting sqref="J17:J116">
    <cfRule type="expression" dxfId="8" priority="9">
      <formula>J17&gt;G17</formula>
    </cfRule>
  </conditionalFormatting>
  <conditionalFormatting sqref="C17:C116">
    <cfRule type="expression" dxfId="7" priority="8">
      <formula>AND($G17+$J17&gt;0,$C17=0)</formula>
    </cfRule>
  </conditionalFormatting>
  <conditionalFormatting sqref="H17:H116">
    <cfRule type="expression" dxfId="6" priority="7">
      <formula>AND(I17="",OR(C17=$Q$15,C17=$Q$16,C17=$Q$17),H17="")</formula>
    </cfRule>
  </conditionalFormatting>
  <conditionalFormatting sqref="I17:I116">
    <cfRule type="expression" dxfId="5" priority="6">
      <formula>OR(AND($G17&gt;0,$J17=0),AND(ISNUMBER(SEARCH("сумму оплаты",N17))))</formula>
    </cfRule>
  </conditionalFormatting>
  <conditionalFormatting sqref="M17:M116">
    <cfRule type="cellIs" dxfId="4" priority="5" operator="lessThan">
      <formula>0</formula>
    </cfRule>
  </conditionalFormatting>
  <conditionalFormatting sqref="C5">
    <cfRule type="expression" dxfId="3" priority="3">
      <formula>$O$15&gt;0</formula>
    </cfRule>
  </conditionalFormatting>
  <conditionalFormatting sqref="B17:B116">
    <cfRule type="expression" dxfId="2" priority="2">
      <formula>AND($B17=0,OR($C17&lt;&gt;0,$D17&lt;&gt;0,$F17&lt;&gt;0,$G17&lt;&gt;0,$J17&gt;0))</formula>
    </cfRule>
  </conditionalFormatting>
  <conditionalFormatting sqref="G17:G116">
    <cfRule type="expression" dxfId="1" priority="13">
      <formula>OR(AND($G17=0,$J17&gt;0),AND(ISNUMBER(SEARCH("&lt; 6 &gt;",N17))),AND(ISNUMBER(SEARCH("сумму операции",N17))))</formula>
    </cfRule>
  </conditionalFormatting>
  <conditionalFormatting sqref="N3">
    <cfRule type="expression" dxfId="0" priority="1">
      <formula>N3="Документ записан"</formula>
    </cfRule>
  </conditionalFormatting>
  <dataValidations count="6">
    <dataValidation type="list" allowBlank="1" showInputMessage="1" showErrorMessage="1" sqref="C17:C116">
      <formula1>$Q$15:$Q$21</formula1>
    </dataValidation>
    <dataValidation type="list" allowBlank="1" showInputMessage="1" showErrorMessage="1" sqref="D17:D116">
      <formula1>$B$9:$B$11</formula1>
    </dataValidation>
    <dataValidation type="decimal" operator="greaterThanOrEqual" allowBlank="1" showInputMessage="1" showErrorMessage="1" sqref="G17:H116">
      <formula1>0</formula1>
    </dataValidation>
    <dataValidation type="list" allowBlank="1" showInputMessage="1" showErrorMessage="1" sqref="N2">
      <formula1>$Q$2</formula1>
    </dataValidation>
    <dataValidation type="list" allowBlank="1" showInputMessage="1" showErrorMessage="1" sqref="N9">
      <formula1>$Q$5</formula1>
    </dataValidation>
    <dataValidation type="decimal" operator="greaterThan" allowBlank="1" showInputMessage="1" showErrorMessage="1" sqref="I17:I116">
      <formula1>0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Старт</vt:lpstr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wtolyan</dc:creator>
  <cp:lastModifiedBy>wtolyan</cp:lastModifiedBy>
  <dcterms:created xsi:type="dcterms:W3CDTF">2017-11-03T05:33:27Z</dcterms:created>
  <dcterms:modified xsi:type="dcterms:W3CDTF">2017-11-09T07:25:03Z</dcterms:modified>
</cp:coreProperties>
</file>