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GlybovSe\Downloads\"/>
    </mc:Choice>
  </mc:AlternateContent>
  <bookViews>
    <workbookView xWindow="0" yWindow="0" windowWidth="20490" windowHeight="7155" tabRatio="954" activeTab="5"/>
  </bookViews>
  <sheets>
    <sheet name="Rational Table" sheetId="3" r:id="rId1"/>
    <sheet name="List" sheetId="5" state="hidden" r:id="rId2"/>
    <sheet name="PDP Grid - Global" sheetId="9" r:id="rId3"/>
    <sheet name="PDP Grid - Employee" sheetId="1" r:id="rId4"/>
    <sheet name="PDP Grid - Leader" sheetId="10" r:id="rId5"/>
    <sheet name="PDP Grid - Senior Leader" sheetId="11" r:id="rId6"/>
  </sheets>
  <definedNames>
    <definedName name="_xlnm._FilterDatabase" localSheetId="0" hidden="1">'Rational Table'!$A$4:$U$4</definedName>
    <definedName name="Grid_Employee_Start">'PDP Grid - Employee'!$B$28</definedName>
    <definedName name="Grid_Employee_TooSoon">'PDP Grid - Employee'!$C$31</definedName>
    <definedName name="Grid_Global_Start" localSheetId="2">'PDP Grid - Global'!$B$28</definedName>
    <definedName name="Grid_Global_TooSoon" localSheetId="2">'PDP Grid - Global'!$C$31</definedName>
    <definedName name="Grid_Leader_Start">'PDP Grid - Leader'!$B$28</definedName>
    <definedName name="Grid_Leader_TooSoon">'PDP Grid - Leader'!$C$31</definedName>
    <definedName name="Grid_Senior_Start">'PDP Grid - Senior Leader'!$B$28</definedName>
    <definedName name="Grid_Senior_TooSoon">'PDP Grid - Senior Leader'!$C$31</definedName>
    <definedName name="List_Behaviour_Name">OFFSET(List!$A$1,1,0,COUNTA(List!$A:$A)-1,7)</definedName>
    <definedName name="List_Behaviour_Value">OFFSET(List!$I$1,1,0,COUNTA(List!$I:$I)-1,1)</definedName>
    <definedName name="List_Bonus_Range">OFFSET(List!$U$1,1,1,3,6)</definedName>
    <definedName name="List_PE_Form">OFFSET(List!$K$1,1,0,COUNTA(List!$K:$K)-1,1)</definedName>
    <definedName name="List_PE_Grid_00">OFFSET(List!$BD$1,0,0,COUNTA(List!$BD:$BD),2)</definedName>
    <definedName name="List_PE_Grid_11">OFFSET(List!$AC$1,0,0,COUNTA(List!$AC:$AC),2)</definedName>
    <definedName name="List_PE_Grid_12">OFFSET(List!$AF$1,0,0,COUNTA(List!$AF:$AF),2)</definedName>
    <definedName name="List_PE_Grid_13">OFFSET(List!$AI$1,0,0,COUNTA(List!$AI:$AI),2)</definedName>
    <definedName name="List_PE_Grid_21">OFFSET(List!$AL$1,0,0,COUNTA(List!$AL:$AL),2)</definedName>
    <definedName name="List_PE_Grid_22">OFFSET(List!$AO$1,0,0,COUNTA(List!$AO:$AO),2)</definedName>
    <definedName name="List_PE_Grid_23">OFFSET(List!$AR$1,0,0,COUNTA(List!$AR:$AR),2)</definedName>
    <definedName name="List_PE_Grid_31">OFFSET(List!$AU$1,0,0,COUNTA(List!$AU:$AU),2)</definedName>
    <definedName name="List_PE_Grid_32">OFFSET(List!$AX$1,0,0,COUNTA(List!$AX:$AX),2)</definedName>
    <definedName name="List_PE_Grid_33">OFFSET(List!$BA$1,0,0,COUNTA(List!$BA:$BA),2)</definedName>
    <definedName name="List_Position_Level">OFFSET(List!$A$1,1,0,COUNTA(List!$A:$A)-1,1)</definedName>
  </definedNames>
  <calcPr calcId="162913"/>
  <fileRecoveryPr repairLoad="1"/>
</workbook>
</file>

<file path=xl/calcChain.xml><?xml version="1.0" encoding="utf-8"?>
<calcChain xmlns="http://schemas.openxmlformats.org/spreadsheetml/2006/main">
  <c r="C26" i="11" l="1"/>
  <c r="BT4" i="5" l="1"/>
  <c r="BT3" i="5"/>
  <c r="BT2" i="5"/>
  <c r="BP4" i="5"/>
  <c r="BP3" i="5"/>
  <c r="BP2" i="5"/>
  <c r="BL4" i="5"/>
  <c r="BL3" i="5"/>
  <c r="BL2" i="5"/>
  <c r="BH2" i="5"/>
  <c r="BU4" i="5"/>
  <c r="BU3" i="5"/>
  <c r="BU2" i="5"/>
  <c r="BQ4" i="5"/>
  <c r="BQ3" i="5"/>
  <c r="BQ2" i="5"/>
  <c r="BM4" i="5"/>
  <c r="BM3" i="5"/>
  <c r="BM2" i="5"/>
  <c r="BI4" i="5"/>
  <c r="BI3" i="5"/>
  <c r="BI2" i="5"/>
  <c r="BH4" i="5"/>
  <c r="BH3" i="5"/>
  <c r="Q4" i="5" l="1"/>
  <c r="Q3" i="5"/>
  <c r="Q2" i="5"/>
  <c r="P4" i="5"/>
  <c r="P3" i="5"/>
  <c r="P2" i="5"/>
  <c r="O3" i="5"/>
  <c r="N14" i="11"/>
  <c r="M14" i="11"/>
  <c r="L14" i="11"/>
  <c r="N13" i="11"/>
  <c r="M13" i="11"/>
  <c r="L13" i="11"/>
  <c r="N12" i="11"/>
  <c r="M12" i="11"/>
  <c r="L12" i="11"/>
  <c r="N10" i="11"/>
  <c r="M10" i="11"/>
  <c r="L10" i="11"/>
  <c r="N9" i="11"/>
  <c r="M9" i="11"/>
  <c r="L9" i="11"/>
  <c r="N8" i="11"/>
  <c r="M8" i="11"/>
  <c r="L8" i="11"/>
  <c r="N6" i="11"/>
  <c r="M6" i="11"/>
  <c r="L6" i="11"/>
  <c r="N5" i="11"/>
  <c r="M5" i="11"/>
  <c r="L5" i="11"/>
  <c r="N4" i="11"/>
  <c r="M4" i="11"/>
  <c r="L4" i="11"/>
  <c r="N14" i="10"/>
  <c r="M14" i="10"/>
  <c r="L14" i="10"/>
  <c r="N13" i="10"/>
  <c r="M13" i="10"/>
  <c r="L13" i="10"/>
  <c r="N12" i="10"/>
  <c r="M12" i="10"/>
  <c r="L12" i="10"/>
  <c r="N10" i="10"/>
  <c r="M10" i="10"/>
  <c r="L10" i="10"/>
  <c r="N9" i="10"/>
  <c r="M9" i="10"/>
  <c r="L9" i="10"/>
  <c r="N8" i="10"/>
  <c r="M8" i="10"/>
  <c r="L8" i="10"/>
  <c r="N6" i="10"/>
  <c r="M6" i="10"/>
  <c r="L6" i="10"/>
  <c r="N5" i="10"/>
  <c r="M5" i="10"/>
  <c r="L5" i="10"/>
  <c r="N4" i="10"/>
  <c r="M4" i="10"/>
  <c r="L4" i="10"/>
  <c r="N14" i="1"/>
  <c r="N13" i="1"/>
  <c r="N12" i="1"/>
  <c r="N10" i="1"/>
  <c r="N9" i="1"/>
  <c r="N8" i="1"/>
  <c r="N6" i="1"/>
  <c r="N5" i="1"/>
  <c r="N4" i="1"/>
  <c r="M14" i="1"/>
  <c r="M13" i="1"/>
  <c r="M12" i="1"/>
  <c r="M10" i="1"/>
  <c r="M9" i="1"/>
  <c r="M8" i="1"/>
  <c r="M6" i="1"/>
  <c r="M5" i="1"/>
  <c r="M4" i="1"/>
  <c r="L14" i="1"/>
  <c r="L13" i="1"/>
  <c r="L12" i="1"/>
  <c r="L10" i="1"/>
  <c r="L9" i="1"/>
  <c r="L8" i="1"/>
  <c r="L6" i="1"/>
  <c r="L5" i="1"/>
  <c r="L4" i="1"/>
  <c r="L14" i="9" l="1"/>
  <c r="L10" i="9"/>
  <c r="L6" i="9"/>
  <c r="M14" i="9"/>
  <c r="M10" i="9"/>
  <c r="M6" i="9"/>
  <c r="N14" i="9"/>
  <c r="N10" i="9"/>
  <c r="L13" i="9"/>
  <c r="L9" i="9"/>
  <c r="L5" i="9"/>
  <c r="M13" i="9"/>
  <c r="M9" i="9"/>
  <c r="M5" i="9"/>
  <c r="N13" i="9"/>
  <c r="N9" i="9"/>
  <c r="N5" i="9"/>
  <c r="N6" i="9"/>
  <c r="N12" i="9"/>
  <c r="N8" i="9"/>
  <c r="M12" i="9"/>
  <c r="M8" i="9"/>
  <c r="L12" i="9"/>
  <c r="L8" i="9"/>
  <c r="L4" i="9"/>
  <c r="M4" i="9"/>
  <c r="N4" i="9"/>
  <c r="O4" i="5"/>
  <c r="O2" i="5"/>
  <c r="N4" i="5"/>
  <c r="N3" i="5"/>
  <c r="N2" i="5"/>
  <c r="E26" i="9" l="1"/>
  <c r="D26" i="9"/>
  <c r="C26" i="9"/>
  <c r="D23" i="9"/>
  <c r="C23" i="9"/>
  <c r="E20" i="9"/>
  <c r="D20" i="9"/>
  <c r="C32" i="9"/>
  <c r="E23" i="9"/>
  <c r="C20" i="9"/>
  <c r="E26" i="11"/>
  <c r="D26" i="11"/>
  <c r="E23" i="11"/>
  <c r="D23" i="11"/>
  <c r="C23" i="11"/>
  <c r="E20" i="11"/>
  <c r="D20" i="11"/>
  <c r="C20" i="11"/>
  <c r="C32" i="10"/>
  <c r="E26" i="10"/>
  <c r="D26" i="10"/>
  <c r="C26" i="10"/>
  <c r="E23" i="10"/>
  <c r="D23" i="10"/>
  <c r="C23" i="10"/>
  <c r="E20" i="10"/>
  <c r="D20" i="10"/>
  <c r="C20" i="10"/>
  <c r="E26" i="1"/>
  <c r="D26" i="1"/>
  <c r="E20" i="1"/>
  <c r="D20" i="1"/>
  <c r="C26" i="1"/>
  <c r="C23" i="1"/>
  <c r="C20" i="1"/>
  <c r="E23" i="1"/>
  <c r="D23" i="1"/>
  <c r="C32" i="1" l="1"/>
  <c r="T15" i="3" l="1"/>
  <c r="T14" i="3"/>
  <c r="T13" i="3"/>
  <c r="T12" i="3"/>
  <c r="T11" i="3"/>
  <c r="T10" i="3"/>
  <c r="T9" i="3"/>
  <c r="T8" i="3"/>
  <c r="T7" i="3"/>
  <c r="T6" i="3"/>
  <c r="S15" i="3"/>
  <c r="S14" i="3"/>
  <c r="S13" i="3"/>
  <c r="S12" i="3"/>
  <c r="S11" i="3"/>
  <c r="S10" i="3"/>
  <c r="S9" i="3"/>
  <c r="S8" i="3"/>
  <c r="S7" i="3"/>
  <c r="S6" i="3"/>
  <c r="R15" i="3"/>
  <c r="R14" i="3"/>
  <c r="R13" i="3"/>
  <c r="R12" i="3"/>
  <c r="R11" i="3"/>
  <c r="R10" i="3"/>
  <c r="R9" i="3"/>
  <c r="R8" i="3"/>
  <c r="R7" i="3"/>
  <c r="R6" i="3"/>
  <c r="Q15" i="3"/>
  <c r="Q14" i="3"/>
  <c r="Q13" i="3"/>
  <c r="Q12" i="3"/>
  <c r="Q11" i="3"/>
  <c r="Q10" i="3"/>
  <c r="Q9" i="3"/>
  <c r="Q8" i="3"/>
  <c r="Q7" i="3"/>
  <c r="Q6" i="3"/>
  <c r="P15" i="3"/>
  <c r="P14" i="3"/>
  <c r="P13" i="3"/>
  <c r="P12" i="3"/>
  <c r="P11" i="3"/>
  <c r="P10" i="3"/>
  <c r="P9" i="3"/>
  <c r="P8" i="3"/>
  <c r="P7" i="3"/>
  <c r="P6" i="3"/>
  <c r="P5" i="3"/>
  <c r="O15" i="3"/>
  <c r="O14" i="3"/>
  <c r="O13" i="3"/>
  <c r="O12" i="3"/>
  <c r="O11" i="3"/>
  <c r="O10" i="3"/>
  <c r="O9" i="3"/>
  <c r="O8" i="3"/>
  <c r="O7" i="3"/>
  <c r="O6" i="3"/>
  <c r="R5" i="3" l="1"/>
  <c r="T5" i="3" l="1"/>
  <c r="S5" i="3"/>
  <c r="Q5" i="3"/>
  <c r="O5" i="3"/>
</calcChain>
</file>

<file path=xl/sharedStrings.xml><?xml version="1.0" encoding="utf-8"?>
<sst xmlns="http://schemas.openxmlformats.org/spreadsheetml/2006/main" count="328" uniqueCount="160">
  <si>
    <t>Additional Comments</t>
  </si>
  <si>
    <t>Insight</t>
  </si>
  <si>
    <t>Energize &amp; Engage</t>
  </si>
  <si>
    <t>Enable results through others</t>
  </si>
  <si>
    <t>Coach &amp; Develop</t>
  </si>
  <si>
    <t>Influence with Integrity</t>
  </si>
  <si>
    <t>Courage</t>
  </si>
  <si>
    <t>Foster Competitive intensity</t>
  </si>
  <si>
    <t>Inspire the Organisation</t>
  </si>
  <si>
    <t>Does not meet standards</t>
  </si>
  <si>
    <t>Exceeds standards</t>
  </si>
  <si>
    <t>Meets standards</t>
  </si>
  <si>
    <t>Develop and execute strategy</t>
  </si>
  <si>
    <t>Develop Organisational Capability</t>
  </si>
  <si>
    <t>Create an inclusive Culture</t>
  </si>
  <si>
    <t>Embrace and Lead Change</t>
  </si>
  <si>
    <t>SENIOR LEADER</t>
  </si>
  <si>
    <t>LEADER</t>
  </si>
  <si>
    <t>EMPLOYEE</t>
  </si>
  <si>
    <t>Understand the Business Environnement</t>
  </si>
  <si>
    <t>Results Focus</t>
  </si>
  <si>
    <t>Practice What You Preach</t>
  </si>
  <si>
    <t>Know Yourself</t>
  </si>
  <si>
    <t>Proactive Collaboration</t>
  </si>
  <si>
    <t>Initiative</t>
  </si>
  <si>
    <t>First Name</t>
  </si>
  <si>
    <t>Position Level</t>
  </si>
  <si>
    <t>PE Form</t>
  </si>
  <si>
    <t>N/A</t>
  </si>
  <si>
    <t>Behaviour name</t>
  </si>
  <si>
    <t>Behaviour Value</t>
  </si>
  <si>
    <t>WHAT</t>
  </si>
  <si>
    <t>Overall Comments</t>
  </si>
  <si>
    <t>HOW</t>
  </si>
  <si>
    <t>Last Name</t>
  </si>
  <si>
    <t>Market / Department</t>
  </si>
  <si>
    <t>Org. Unit</t>
  </si>
  <si>
    <t>Line Manager</t>
  </si>
  <si>
    <t>Gender</t>
  </si>
  <si>
    <t>EMPLOYEE
PE Rating</t>
  </si>
  <si>
    <t>% Employee</t>
  </si>
  <si>
    <t>Distribution - Nestlé Guideline</t>
  </si>
  <si>
    <t>LEADER
PE Rating</t>
  </si>
  <si>
    <t>SENIOR LEADER
PE Rating</t>
  </si>
  <si>
    <t>% Leader</t>
  </si>
  <si>
    <t>% Senior Leader</t>
  </si>
  <si>
    <t>M</t>
  </si>
  <si>
    <t>Example: 2405673</t>
  </si>
  <si>
    <t>HR Manager</t>
  </si>
  <si>
    <t>BONUS RANGE</t>
  </si>
  <si>
    <t>HOW
1
Min</t>
  </si>
  <si>
    <t>HOW
1
Max</t>
  </si>
  <si>
    <t>HOW
2
Min</t>
  </si>
  <si>
    <t>HOW
2
Max</t>
  </si>
  <si>
    <t>HOW
3
Min</t>
  </si>
  <si>
    <t>HOW
3
Max</t>
  </si>
  <si>
    <t>WHAT
1</t>
  </si>
  <si>
    <t>WHAT
2</t>
  </si>
  <si>
    <t>WHAT
3</t>
  </si>
  <si>
    <t>Exceptional (3) / Improvement (1)</t>
  </si>
  <si>
    <t>Exceptional (3) / Successful (2)</t>
  </si>
  <si>
    <t>Exceptional (3) / Exceptional (3)</t>
  </si>
  <si>
    <t>Successful (2) / Improvement (1)</t>
  </si>
  <si>
    <t>Successful (2) / Successful (2)</t>
  </si>
  <si>
    <t>Successful (2) / Exceptional (3)</t>
  </si>
  <si>
    <t>Improvement (1) / Improvement (1)</t>
  </si>
  <si>
    <t>Improvement (1) / Successful (2)</t>
  </si>
  <si>
    <t>Improvement (1) / Exceptional (3)</t>
  </si>
  <si>
    <t>Exceptional (3)</t>
  </si>
  <si>
    <t>Successful (2)</t>
  </si>
  <si>
    <t>Improvement (1)</t>
  </si>
  <si>
    <t>PE Grid 1/1
Full Name</t>
  </si>
  <si>
    <t>PE Grid 1/1
Bonus</t>
  </si>
  <si>
    <t>PE Grid 1/2
Full Name</t>
  </si>
  <si>
    <t>PE Grid 1/2
Bonus</t>
  </si>
  <si>
    <t>PE Grid 1/3
Full Name</t>
  </si>
  <si>
    <t>PE Grid 1/3
Bonus</t>
  </si>
  <si>
    <t>PE Grid 2/1
Full Name</t>
  </si>
  <si>
    <t>PE Grid 2/1
Bonus</t>
  </si>
  <si>
    <t>PE Grid 2/2
Full Name</t>
  </si>
  <si>
    <t>PE Grid 2/2
Bonus</t>
  </si>
  <si>
    <t>PE Grid 2/3
Full Name</t>
  </si>
  <si>
    <t>PE Grid 2/3
Bonus</t>
  </si>
  <si>
    <t>PE Grid 3/1
Full Name</t>
  </si>
  <si>
    <t>PE Grid 3/1
Bonus</t>
  </si>
  <si>
    <t>PE Grid 3/2
Full Name</t>
  </si>
  <si>
    <t>PE Grid 3/2
Bonus</t>
  </si>
  <si>
    <t>PE Grid 3/3
Full Name</t>
  </si>
  <si>
    <t>PE Grid 3/3
Bonus</t>
  </si>
  <si>
    <t>PE Grid Too Soon
Full Name</t>
  </si>
  <si>
    <t>PE Grid Too Soon
Bonus</t>
  </si>
  <si>
    <t>Clément</t>
  </si>
  <si>
    <t>Maater</t>
  </si>
  <si>
    <t>HOW - PDP BEHAVIORS</t>
  </si>
  <si>
    <t>GLOBAL
PE Rating</t>
  </si>
  <si>
    <t>% Global</t>
  </si>
  <si>
    <t>GLOBAL</t>
  </si>
  <si>
    <r>
      <rPr>
        <b/>
        <sz val="10"/>
        <color theme="0"/>
        <rFont val="Arial"/>
        <family val="2"/>
      </rPr>
      <t>WHAT</t>
    </r>
    <r>
      <rPr>
        <b/>
        <sz val="9"/>
        <color theme="0"/>
        <rFont val="Arial"/>
        <family val="2"/>
      </rPr>
      <t xml:space="preserve">
Performance Goals, Other Achievements &amp; Contributions</t>
    </r>
  </si>
  <si>
    <r>
      <rPr>
        <b/>
        <sz val="10"/>
        <color theme="0"/>
        <rFont val="Arial"/>
        <family val="2"/>
      </rPr>
      <t>HOW</t>
    </r>
    <r>
      <rPr>
        <b/>
        <sz val="9"/>
        <color theme="0"/>
        <rFont val="Arial"/>
        <family val="2"/>
      </rPr>
      <t xml:space="preserve">
Based on Position Level, aligned with the Nestlé Leadership Framework</t>
    </r>
  </si>
  <si>
    <t>Male</t>
  </si>
  <si>
    <t>Female</t>
  </si>
  <si>
    <t>2/3 - 3/2 - 3/3</t>
  </si>
  <si>
    <t>2/2</t>
  </si>
  <si>
    <t>1/x - x/1</t>
  </si>
  <si>
    <t>Exceptional / Exceptional</t>
  </si>
  <si>
    <t>Exceptional / Improvement</t>
  </si>
  <si>
    <t>Improvement / Improvement</t>
  </si>
  <si>
    <t>Improvement / Exceptional</t>
  </si>
  <si>
    <t>Exceptional / Successful</t>
  </si>
  <si>
    <t>Successful / Improvement</t>
  </si>
  <si>
    <t>Successful / Successful</t>
  </si>
  <si>
    <t>Successful / Exceptional</t>
  </si>
  <si>
    <t>Improvement / Successful</t>
  </si>
  <si>
    <t>F</t>
  </si>
  <si>
    <t>AVERAGE INDIVIDUAL BONUS DISTRIBUTION</t>
  </si>
  <si>
    <t>Milene</t>
  </si>
  <si>
    <t>Rousseau</t>
  </si>
  <si>
    <t>Select position level</t>
  </si>
  <si>
    <t>Select rating</t>
  </si>
  <si>
    <t>Alexis</t>
  </si>
  <si>
    <t>Mars</t>
  </si>
  <si>
    <t>Marcel</t>
  </si>
  <si>
    <t>Haasis</t>
  </si>
  <si>
    <t>Alex</t>
  </si>
  <si>
    <t>Marso</t>
  </si>
  <si>
    <t>Mia</t>
  </si>
  <si>
    <t>Rousse</t>
  </si>
  <si>
    <t>Marcelle</t>
  </si>
  <si>
    <t>Haasisou</t>
  </si>
  <si>
    <t>Clémentine</t>
  </si>
  <si>
    <t>Meeter</t>
  </si>
  <si>
    <t>Pierre</t>
  </si>
  <si>
    <t>Fendi</t>
  </si>
  <si>
    <t>Tom</t>
  </si>
  <si>
    <t>Casa</t>
  </si>
  <si>
    <t>Christina</t>
  </si>
  <si>
    <t>Sauer</t>
  </si>
  <si>
    <t>NLF Position level</t>
  </si>
  <si>
    <t>Position title</t>
  </si>
  <si>
    <t>Employee Number</t>
  </si>
  <si>
    <t>Ind BONUS Contribution Factor</t>
  </si>
  <si>
    <t>MARS Alexis (0,0%)_x000D_
ROUSSEAU Milene (0,0%)</t>
  </si>
  <si>
    <t>HAASIS Marcel (120,0%)_x000D_
MAATER Clément (120,0%)</t>
  </si>
  <si>
    <t>ROUSSE Mia</t>
  </si>
  <si>
    <t>HAASISOU Marcelle</t>
  </si>
  <si>
    <t>MEETER Clémentine</t>
  </si>
  <si>
    <t>FENDI Pierre</t>
  </si>
  <si>
    <t>CASA Tom</t>
  </si>
  <si>
    <t>SAUER Christina</t>
  </si>
  <si>
    <t>MARSO Alex (105,0%)_x000D_
FENDI Pierre (90,0%)</t>
  </si>
  <si>
    <t>SAUER Christina (115,0%)_x000D_
MEETER Clémentine (110,0%)</t>
  </si>
  <si>
    <t>CASA Tom (80,0%)</t>
  </si>
  <si>
    <t>HAASISOU Marcelle (120,0%)_x000D_
ROUSSE Mia (115,0%)</t>
  </si>
  <si>
    <t>FENDI Pierre (90,0%)</t>
  </si>
  <si>
    <t>MARS Alexis</t>
  </si>
  <si>
    <t>ROUSSEAU Milene</t>
  </si>
  <si>
    <t>HAASIS Marcel</t>
  </si>
  <si>
    <t>MAATER Clément</t>
  </si>
  <si>
    <t>MARSO Alex</t>
  </si>
  <si>
    <t>MARSO Alex (105,0%)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</si>
</sst>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%;0.0%;&quot;&quot;"/>
  </numFmts>
  <fonts count="28" x14ac:knownFonts="1">
    <font>
      <sz val="10"/>
      <name val="Arial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6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ED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B9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indexed="64"/>
      </top>
      <bottom style="hair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/>
      <right/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indexed="8"/>
      </right>
      <top/>
      <bottom style="thin">
        <color theme="3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theme="3" tint="-0.499984740745262"/>
      </bottom>
      <diagonal/>
    </border>
    <border>
      <left style="thin">
        <color indexed="8"/>
      </left>
      <right/>
      <top/>
      <bottom style="thin">
        <color theme="3" tint="-0.499984740745262"/>
      </bottom>
      <diagonal/>
    </border>
    <border>
      <left/>
      <right style="thin">
        <color indexed="64"/>
      </right>
      <top/>
      <bottom/>
      <diagonal/>
    </border>
    <border>
      <left style="medium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9" fillId="3" borderId="0" applyNumberFormat="0" applyBorder="0" applyAlignment="0" applyProtection="0"/>
    <xf numFmtId="9" fontId="17" fillId="0" borderId="0" applyFont="0" applyFill="0" applyBorder="0" applyAlignment="0" applyProtection="0"/>
  </cellStyleXfs>
  <cellXfs count="138">
    <xf numFmtId="0" fontId="0" fillId="0" borderId="0" xfId="0"/>
    <xf numFmtId="0" fontId="10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0" fillId="0" borderId="0" xfId="0" applyProtection="1"/>
    <xf numFmtId="0" fontId="10" fillId="5" borderId="1" xfId="0" applyFont="1" applyFill="1" applyBorder="1" applyAlignment="1">
      <alignment vertical="center"/>
    </xf>
    <xf numFmtId="0" fontId="13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5" borderId="1" xfId="0" applyFont="1" applyFill="1" applyBorder="1" applyAlignment="1">
      <alignment horizontal="center" vertical="center"/>
    </xf>
    <xf numFmtId="0" fontId="0" fillId="0" borderId="6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14" fillId="6" borderId="6" xfId="0" applyFont="1" applyFill="1" applyBorder="1" applyAlignment="1" applyProtection="1">
      <alignment horizontal="left" vertical="center" wrapText="1"/>
    </xf>
    <xf numFmtId="0" fontId="14" fillId="6" borderId="7" xfId="0" applyFont="1" applyFill="1" applyBorder="1" applyAlignment="1" applyProtection="1">
      <alignment horizontal="left" vertical="center" wrapText="1"/>
    </xf>
    <xf numFmtId="0" fontId="15" fillId="6" borderId="7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6" fillId="7" borderId="0" xfId="0" applyFont="1" applyFill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9" fontId="12" fillId="5" borderId="1" xfId="0" applyNumberFormat="1" applyFont="1" applyFill="1" applyBorder="1" applyAlignment="1">
      <alignment horizontal="center" vertical="center"/>
    </xf>
    <xf numFmtId="0" fontId="0" fillId="2" borderId="0" xfId="0" applyFill="1" applyBorder="1" applyProtection="1"/>
    <xf numFmtId="0" fontId="5" fillId="9" borderId="0" xfId="0" applyFont="1" applyFill="1" applyBorder="1" applyProtection="1"/>
    <xf numFmtId="164" fontId="14" fillId="11" borderId="25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Protection="1"/>
    <xf numFmtId="0" fontId="15" fillId="12" borderId="6" xfId="0" applyFont="1" applyFill="1" applyBorder="1" applyAlignment="1" applyProtection="1">
      <alignment horizontal="left" vertical="center" wrapText="1"/>
    </xf>
    <xf numFmtId="164" fontId="14" fillId="11" borderId="24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Protection="1"/>
    <xf numFmtId="0" fontId="18" fillId="9" borderId="0" xfId="0" applyFont="1" applyFill="1" applyBorder="1" applyAlignment="1" applyProtection="1">
      <alignment horizontal="center" vertical="center"/>
    </xf>
    <xf numFmtId="0" fontId="4" fillId="8" borderId="36" xfId="0" applyFont="1" applyFill="1" applyBorder="1" applyAlignment="1" applyProtection="1">
      <alignment horizontal="left" vertical="top" wrapText="1"/>
      <protection locked="0"/>
    </xf>
    <xf numFmtId="0" fontId="18" fillId="9" borderId="31" xfId="0" applyFont="1" applyFill="1" applyBorder="1" applyAlignment="1" applyProtection="1">
      <alignment horizontal="center" vertical="center"/>
    </xf>
    <xf numFmtId="165" fontId="2" fillId="8" borderId="30" xfId="0" applyNumberFormat="1" applyFont="1" applyFill="1" applyBorder="1" applyAlignment="1" applyProtection="1">
      <alignment horizontal="center" vertical="top"/>
    </xf>
    <xf numFmtId="0" fontId="2" fillId="8" borderId="37" xfId="0" quotePrefix="1" applyNumberFormat="1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left" vertical="top"/>
      <protection locked="0"/>
    </xf>
    <xf numFmtId="165" fontId="2" fillId="8" borderId="0" xfId="0" applyNumberFormat="1" applyFont="1" applyFill="1" applyBorder="1" applyAlignment="1" applyProtection="1">
      <alignment horizontal="center" vertical="top"/>
    </xf>
    <xf numFmtId="0" fontId="2" fillId="8" borderId="37" xfId="0" quotePrefix="1" applyFont="1" applyFill="1" applyBorder="1" applyAlignment="1" applyProtection="1">
      <alignment horizontal="center"/>
    </xf>
    <xf numFmtId="0" fontId="4" fillId="8" borderId="30" xfId="0" applyFont="1" applyFill="1" applyBorder="1" applyAlignment="1" applyProtection="1">
      <alignment horizontal="left" vertical="top"/>
      <protection locked="0"/>
    </xf>
    <xf numFmtId="0" fontId="2" fillId="8" borderId="32" xfId="0" quotePrefix="1" applyFont="1" applyFill="1" applyBorder="1" applyAlignment="1" applyProtection="1">
      <alignment horizontal="center"/>
    </xf>
    <xf numFmtId="165" fontId="2" fillId="8" borderId="33" xfId="0" applyNumberFormat="1" applyFont="1" applyFill="1" applyBorder="1" applyAlignment="1" applyProtection="1">
      <alignment horizontal="center" vertical="top"/>
    </xf>
    <xf numFmtId="0" fontId="4" fillId="8" borderId="33" xfId="0" applyFont="1" applyFill="1" applyBorder="1" applyAlignment="1" applyProtection="1">
      <alignment horizontal="left" vertical="top"/>
      <protection locked="0"/>
    </xf>
    <xf numFmtId="0" fontId="4" fillId="8" borderId="30" xfId="0" applyFont="1" applyFill="1" applyBorder="1" applyAlignment="1" applyProtection="1">
      <alignment horizontal="left" vertical="top" wrapText="1"/>
      <protection locked="0"/>
    </xf>
    <xf numFmtId="0" fontId="2" fillId="8" borderId="37" xfId="0" quotePrefix="1" applyFont="1" applyFill="1" applyBorder="1" applyAlignment="1" applyProtection="1">
      <alignment horizontal="center" wrapText="1"/>
    </xf>
    <xf numFmtId="0" fontId="2" fillId="8" borderId="0" xfId="0" quotePrefix="1" applyFont="1" applyFill="1" applyBorder="1" applyAlignment="1" applyProtection="1">
      <alignment horizontal="center"/>
    </xf>
    <xf numFmtId="0" fontId="18" fillId="9" borderId="0" xfId="0" applyFont="1" applyFill="1" applyBorder="1" applyAlignment="1" applyProtection="1">
      <alignment horizontal="center" vertical="center" wrapText="1"/>
    </xf>
    <xf numFmtId="0" fontId="4" fillId="8" borderId="34" xfId="0" applyFont="1" applyFill="1" applyBorder="1" applyAlignment="1" applyProtection="1">
      <alignment horizontal="left" vertical="top"/>
      <protection locked="0"/>
    </xf>
    <xf numFmtId="0" fontId="2" fillId="8" borderId="38" xfId="0" quotePrefix="1" applyFont="1" applyFill="1" applyBorder="1" applyAlignment="1" applyProtection="1">
      <alignment horizontal="center"/>
    </xf>
    <xf numFmtId="0" fontId="18" fillId="9" borderId="31" xfId="0" applyFont="1" applyFill="1" applyBorder="1" applyAlignment="1" applyProtection="1">
      <alignment horizontal="center" vertical="center" wrapText="1"/>
    </xf>
    <xf numFmtId="0" fontId="2" fillId="8" borderId="31" xfId="0" quotePrefix="1" applyFont="1" applyFill="1" applyBorder="1" applyAlignment="1" applyProtection="1">
      <alignment horizontal="center" wrapText="1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2" fillId="8" borderId="32" xfId="0" quotePrefix="1" applyNumberFormat="1" applyFont="1" applyFill="1" applyBorder="1" applyAlignment="1" applyProtection="1">
      <alignment horizontal="center"/>
    </xf>
    <xf numFmtId="0" fontId="2" fillId="8" borderId="32" xfId="0" quotePrefix="1" applyFont="1" applyFill="1" applyBorder="1" applyAlignment="1" applyProtection="1">
      <alignment horizontal="center" wrapText="1"/>
    </xf>
    <xf numFmtId="0" fontId="4" fillId="8" borderId="36" xfId="0" applyFont="1" applyFill="1" applyBorder="1" applyAlignment="1" applyProtection="1">
      <alignment horizontal="left" vertical="top"/>
      <protection locked="0"/>
    </xf>
    <xf numFmtId="0" fontId="2" fillId="8" borderId="38" xfId="0" quotePrefix="1" applyNumberFormat="1" applyFont="1" applyFill="1" applyBorder="1" applyAlignment="1" applyProtection="1">
      <alignment horizontal="center"/>
    </xf>
    <xf numFmtId="165" fontId="2" fillId="8" borderId="35" xfId="0" applyNumberFormat="1" applyFont="1" applyFill="1" applyBorder="1" applyAlignment="1" applyProtection="1">
      <alignment horizontal="center" vertical="top"/>
    </xf>
    <xf numFmtId="0" fontId="4" fillId="8" borderId="39" xfId="0" applyFont="1" applyFill="1" applyBorder="1" applyAlignment="1" applyProtection="1">
      <alignment horizontal="left" vertical="top"/>
      <protection locked="0"/>
    </xf>
    <xf numFmtId="0" fontId="4" fillId="8" borderId="34" xfId="0" applyFont="1" applyFill="1" applyBorder="1" applyAlignment="1" applyProtection="1">
      <alignment horizontal="left" vertical="top" wrapText="1"/>
      <protection locked="0"/>
    </xf>
    <xf numFmtId="0" fontId="2" fillId="8" borderId="30" xfId="0" quotePrefix="1" applyFont="1" applyFill="1" applyBorder="1" applyAlignment="1" applyProtection="1">
      <alignment horizontal="center"/>
    </xf>
    <xf numFmtId="0" fontId="2" fillId="8" borderId="33" xfId="0" quotePrefix="1" applyFont="1" applyFill="1" applyBorder="1" applyAlignment="1" applyProtection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0" fillId="10" borderId="0" xfId="0" applyFill="1" applyProtection="1"/>
    <xf numFmtId="0" fontId="0" fillId="9" borderId="0" xfId="0" applyFill="1" applyProtection="1"/>
    <xf numFmtId="0" fontId="23" fillId="9" borderId="0" xfId="0" applyFont="1" applyFill="1" applyAlignment="1" applyProtection="1">
      <alignment horizontal="center" vertical="center"/>
    </xf>
    <xf numFmtId="0" fontId="23" fillId="0" borderId="4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3"/>
    </xf>
    <xf numFmtId="0" fontId="5" fillId="0" borderId="12" xfId="0" applyFont="1" applyBorder="1" applyAlignment="1" applyProtection="1">
      <alignment horizontal="left" vertical="center" indent="3"/>
    </xf>
    <xf numFmtId="0" fontId="12" fillId="5" borderId="1" xfId="0" quotePrefix="1" applyFont="1" applyFill="1" applyBorder="1" applyAlignment="1">
      <alignment horizontal="center" vertical="center" wrapText="1"/>
    </xf>
    <xf numFmtId="0" fontId="25" fillId="0" borderId="3" xfId="0" quotePrefix="1" applyFont="1" applyBorder="1" applyAlignment="1" applyProtection="1">
      <alignment horizontal="center" vertical="center"/>
    </xf>
    <xf numFmtId="0" fontId="5" fillId="0" borderId="0" xfId="0" applyFont="1" applyProtection="1"/>
    <xf numFmtId="0" fontId="11" fillId="15" borderId="15" xfId="2" applyFont="1" applyFill="1" applyBorder="1" applyAlignment="1" applyProtection="1">
      <alignment horizontal="center" vertical="center" wrapText="1"/>
    </xf>
    <xf numFmtId="0" fontId="20" fillId="16" borderId="15" xfId="2" applyFont="1" applyFill="1" applyBorder="1" applyAlignment="1" applyProtection="1">
      <alignment horizontal="center" vertical="center" wrapText="1"/>
    </xf>
    <xf numFmtId="0" fontId="11" fillId="18" borderId="23" xfId="2" applyFont="1" applyFill="1" applyBorder="1" applyAlignment="1" applyProtection="1">
      <alignment horizontal="center" vertical="top" wrapText="1"/>
    </xf>
    <xf numFmtId="0" fontId="5" fillId="19" borderId="6" xfId="0" applyFont="1" applyFill="1" applyBorder="1" applyAlignment="1" applyProtection="1">
      <alignment vertical="center"/>
      <protection locked="0"/>
    </xf>
    <xf numFmtId="0" fontId="5" fillId="19" borderId="6" xfId="0" applyFont="1" applyFill="1" applyBorder="1" applyAlignment="1" applyProtection="1">
      <alignment horizontal="left" vertical="center" wrapText="1"/>
      <protection locked="0"/>
    </xf>
    <xf numFmtId="0" fontId="5" fillId="19" borderId="7" xfId="0" applyFont="1" applyFill="1" applyBorder="1" applyAlignment="1" applyProtection="1">
      <alignment vertical="center"/>
      <protection locked="0"/>
    </xf>
    <xf numFmtId="0" fontId="8" fillId="19" borderId="7" xfId="0" applyFont="1" applyFill="1" applyBorder="1" applyAlignment="1" applyProtection="1">
      <alignment horizontal="left" vertical="center" wrapText="1"/>
      <protection locked="0"/>
    </xf>
    <xf numFmtId="0" fontId="14" fillId="19" borderId="18" xfId="0" applyFont="1" applyFill="1" applyBorder="1" applyAlignment="1" applyProtection="1">
      <alignment horizontal="center" vertical="center" wrapText="1"/>
      <protection locked="0"/>
    </xf>
    <xf numFmtId="0" fontId="14" fillId="19" borderId="19" xfId="0" applyFont="1" applyFill="1" applyBorder="1" applyAlignment="1" applyProtection="1">
      <alignment horizontal="center" vertical="center" wrapText="1"/>
      <protection locked="0"/>
    </xf>
    <xf numFmtId="0" fontId="14" fillId="19" borderId="20" xfId="0" applyFont="1" applyFill="1" applyBorder="1" applyAlignment="1" applyProtection="1">
      <alignment horizontal="center" vertical="center" wrapText="1"/>
      <protection locked="0"/>
    </xf>
    <xf numFmtId="0" fontId="14" fillId="19" borderId="21" xfId="0" applyFont="1" applyFill="1" applyBorder="1" applyAlignment="1" applyProtection="1">
      <alignment horizontal="center" vertical="center" wrapText="1"/>
      <protection locked="0"/>
    </xf>
    <xf numFmtId="0" fontId="5" fillId="19" borderId="27" xfId="0" applyFont="1" applyFill="1" applyBorder="1" applyAlignment="1" applyProtection="1">
      <alignment vertical="center" wrapText="1"/>
      <protection locked="0"/>
    </xf>
    <xf numFmtId="0" fontId="5" fillId="19" borderId="29" xfId="0" applyFont="1" applyFill="1" applyBorder="1" applyAlignment="1" applyProtection="1">
      <alignment vertical="center" wrapText="1"/>
      <protection locked="0"/>
    </xf>
    <xf numFmtId="0" fontId="0" fillId="19" borderId="29" xfId="0" applyFont="1" applyFill="1" applyBorder="1" applyAlignment="1" applyProtection="1">
      <alignment vertical="center" wrapText="1"/>
      <protection locked="0"/>
    </xf>
    <xf numFmtId="0" fontId="8" fillId="19" borderId="8" xfId="0" applyFont="1" applyFill="1" applyBorder="1" applyAlignment="1" applyProtection="1">
      <alignment horizontal="center" vertical="center" wrapText="1"/>
      <protection locked="0"/>
    </xf>
    <xf numFmtId="0" fontId="8" fillId="19" borderId="9" xfId="0" applyFont="1" applyFill="1" applyBorder="1" applyAlignment="1" applyProtection="1">
      <alignment horizontal="center" vertical="center" wrapText="1"/>
      <protection locked="0"/>
    </xf>
    <xf numFmtId="0" fontId="4" fillId="8" borderId="33" xfId="0" applyFont="1" applyFill="1" applyBorder="1" applyAlignment="1" applyProtection="1">
      <alignment horizontal="left" vertical="top" wrapText="1"/>
      <protection locked="0"/>
    </xf>
    <xf numFmtId="0" fontId="15" fillId="14" borderId="28" xfId="2" applyFont="1" applyFill="1" applyBorder="1" applyAlignment="1" applyProtection="1">
      <alignment horizontal="center" vertical="center" wrapText="1"/>
    </xf>
    <xf numFmtId="0" fontId="27" fillId="17" borderId="16" xfId="2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2" fillId="20" borderId="0" xfId="0" applyFont="1" applyFill="1" applyBorder="1" applyAlignment="1" applyProtection="1">
      <alignment horizontal="center"/>
    </xf>
    <xf numFmtId="165" fontId="2" fillId="20" borderId="0" xfId="0" applyNumberFormat="1" applyFont="1" applyFill="1" applyBorder="1" applyAlignment="1" applyProtection="1">
      <alignment horizontal="center" vertical="top" wrapText="1"/>
    </xf>
    <xf numFmtId="0" fontId="0" fillId="19" borderId="0" xfId="0" applyFill="1"/>
    <xf numFmtId="0" fontId="0" fillId="0" borderId="0" xfId="0" applyFill="1"/>
    <xf numFmtId="0" fontId="26" fillId="15" borderId="3" xfId="2" applyFont="1" applyFill="1" applyBorder="1" applyAlignment="1" applyProtection="1">
      <alignment horizontal="center" vertical="center" wrapText="1"/>
    </xf>
    <xf numFmtId="0" fontId="26" fillId="15" borderId="4" xfId="2" applyFont="1" applyFill="1" applyBorder="1" applyAlignment="1" applyProtection="1">
      <alignment horizontal="center" vertical="center" wrapText="1"/>
    </xf>
    <xf numFmtId="0" fontId="26" fillId="5" borderId="13" xfId="2" applyFont="1" applyFill="1" applyBorder="1" applyAlignment="1" applyProtection="1">
      <alignment horizontal="center" vertical="center" wrapText="1"/>
    </xf>
    <xf numFmtId="0" fontId="26" fillId="5" borderId="26" xfId="2" applyFont="1" applyFill="1" applyBorder="1" applyAlignment="1" applyProtection="1">
      <alignment horizontal="center" vertical="center" wrapText="1"/>
    </xf>
    <xf numFmtId="0" fontId="26" fillId="5" borderId="45" xfId="2" applyFont="1" applyFill="1" applyBorder="1" applyAlignment="1" applyProtection="1">
      <alignment horizontal="center" vertical="center" wrapText="1"/>
    </xf>
    <xf numFmtId="0" fontId="26" fillId="5" borderId="15" xfId="2" applyFont="1" applyFill="1" applyBorder="1" applyAlignment="1" applyProtection="1">
      <alignment horizontal="center" vertical="center" wrapText="1"/>
    </xf>
    <xf numFmtId="0" fontId="26" fillId="5" borderId="5" xfId="2" applyFont="1" applyFill="1" applyBorder="1" applyAlignment="1" applyProtection="1">
      <alignment horizontal="center" vertical="center" wrapText="1"/>
    </xf>
    <xf numFmtId="0" fontId="26" fillId="5" borderId="46" xfId="2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21" fillId="16" borderId="3" xfId="2" applyFont="1" applyFill="1" applyBorder="1" applyAlignment="1" applyProtection="1">
      <alignment horizontal="center" vertical="center" wrapText="1"/>
    </xf>
    <xf numFmtId="0" fontId="21" fillId="16" borderId="4" xfId="2" applyFont="1" applyFill="1" applyBorder="1" applyAlignment="1" applyProtection="1">
      <alignment horizontal="center" vertical="center" wrapText="1"/>
    </xf>
    <xf numFmtId="0" fontId="21" fillId="17" borderId="16" xfId="2" applyFont="1" applyFill="1" applyBorder="1" applyAlignment="1" applyProtection="1">
      <alignment horizontal="center" vertical="center" wrapText="1"/>
    </xf>
    <xf numFmtId="0" fontId="21" fillId="17" borderId="17" xfId="2" applyFont="1" applyFill="1" applyBorder="1" applyAlignment="1" applyProtection="1">
      <alignment horizontal="center" vertical="center" wrapText="1"/>
    </xf>
    <xf numFmtId="0" fontId="26" fillId="18" borderId="22" xfId="2" applyFont="1" applyFill="1" applyBorder="1" applyAlignment="1" applyProtection="1">
      <alignment horizontal="center" vertical="center" wrapText="1"/>
    </xf>
    <xf numFmtId="0" fontId="26" fillId="18" borderId="23" xfId="2" applyFont="1" applyFill="1" applyBorder="1" applyAlignment="1" applyProtection="1">
      <alignment horizontal="center" vertical="center" wrapText="1"/>
    </xf>
    <xf numFmtId="0" fontId="21" fillId="16" borderId="13" xfId="2" applyFont="1" applyFill="1" applyBorder="1" applyAlignment="1" applyProtection="1">
      <alignment horizontal="center" vertical="center" wrapText="1"/>
    </xf>
    <xf numFmtId="0" fontId="21" fillId="16" borderId="14" xfId="2" applyFont="1" applyFill="1" applyBorder="1" applyAlignment="1" applyProtection="1">
      <alignment horizontal="center" vertical="center" wrapText="1"/>
    </xf>
    <xf numFmtId="0" fontId="21" fillId="13" borderId="16" xfId="2" applyFont="1" applyFill="1" applyBorder="1" applyAlignment="1" applyProtection="1">
      <alignment horizontal="center" vertical="center" wrapText="1"/>
    </xf>
    <xf numFmtId="0" fontId="21" fillId="13" borderId="44" xfId="2" applyFont="1" applyFill="1" applyBorder="1" applyAlignment="1" applyProtection="1">
      <alignment horizontal="center" vertical="center" wrapText="1"/>
    </xf>
    <xf numFmtId="0" fontId="26" fillId="15" borderId="13" xfId="2" applyFont="1" applyFill="1" applyBorder="1" applyAlignment="1" applyProtection="1">
      <alignment horizontal="center" vertical="center" wrapText="1"/>
    </xf>
    <xf numFmtId="0" fontId="26" fillId="15" borderId="14" xfId="2" applyFont="1" applyFill="1" applyBorder="1" applyAlignment="1" applyProtection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 applyProtection="1">
      <alignment horizontal="center" wrapText="1"/>
    </xf>
    <xf numFmtId="0" fontId="19" fillId="10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3" fillId="2" borderId="40" xfId="0" applyFont="1" applyFill="1" applyBorder="1" applyProtection="1"/>
    <xf numFmtId="0" fontId="3" fillId="2" borderId="41" xfId="0" applyFont="1" applyFill="1" applyBorder="1" applyProtection="1"/>
    <xf numFmtId="0" fontId="3" fillId="2" borderId="42" xfId="0" applyFont="1" applyFill="1" applyBorder="1" applyProtection="1"/>
    <xf numFmtId="0" fontId="19" fillId="10" borderId="0" xfId="0" applyFont="1" applyFill="1" applyBorder="1" applyAlignment="1" applyProtection="1">
      <alignment horizontal="center" vertical="center" textRotation="90" wrapText="1"/>
    </xf>
    <xf numFmtId="0" fontId="19" fillId="10" borderId="0" xfId="0" applyFont="1" applyFill="1" applyBorder="1" applyAlignment="1" applyProtection="1">
      <alignment horizontal="center" vertical="center" textRotation="90"/>
    </xf>
    <xf numFmtId="0" fontId="18" fillId="9" borderId="0" xfId="0" applyFont="1" applyFill="1" applyBorder="1" applyAlignment="1" applyProtection="1">
      <alignment horizontal="center" vertical="center" textRotation="90"/>
    </xf>
    <xf numFmtId="0" fontId="18" fillId="9" borderId="35" xfId="0" applyFont="1" applyFill="1" applyBorder="1" applyAlignment="1" applyProtection="1">
      <alignment horizontal="center" vertical="center" textRotation="90"/>
    </xf>
    <xf numFmtId="0" fontId="22" fillId="10" borderId="0" xfId="0" applyFont="1" applyFill="1" applyAlignment="1" applyProtection="1">
      <alignment horizontal="center" vertical="center" wrapText="1"/>
    </xf>
    <xf numFmtId="0" fontId="22" fillId="10" borderId="0" xfId="0" applyFont="1" applyFill="1" applyAlignment="1" applyProtection="1">
      <alignment horizontal="center" vertical="center"/>
    </xf>
    <xf numFmtId="0" fontId="22" fillId="10" borderId="0" xfId="0" applyFont="1" applyFill="1" applyAlignment="1" applyProtection="1">
      <alignment horizontal="center" vertical="center" textRotation="90" wrapText="1"/>
    </xf>
    <xf numFmtId="0" fontId="24" fillId="0" borderId="0" xfId="0" applyFont="1" applyAlignment="1" applyProtection="1">
      <alignment horizontal="center" vertical="center"/>
    </xf>
    <xf numFmtId="0" fontId="23" fillId="9" borderId="43" xfId="0" applyFont="1" applyFill="1" applyBorder="1" applyAlignment="1" applyProtection="1">
      <alignment horizontal="center" vertical="center" textRotation="90"/>
    </xf>
  </cellXfs>
  <cellStyles count="4">
    <cellStyle name="C:\Data\MS\Excel 2" xfId="1"/>
    <cellStyle name="Обычный" xfId="0" builtinId="0"/>
    <cellStyle name="Процентный" xfId="3" builtinId="5"/>
    <cellStyle name="Хороший" xfId="2" builtinId="26"/>
  </cellStyles>
  <dxfs count="0"/>
  <tableStyles count="0" defaultTableStyle="TableStyleMedium9" defaultPivotStyle="PivotStyleLight16"/>
  <colors>
    <mruColors>
      <color rgb="FFF2F2F2"/>
      <color rgb="FFD9D9D9"/>
      <color rgb="FFFF9B9D"/>
      <color rgb="FFFF7C80"/>
      <color rgb="FFFF99FF"/>
      <color rgb="FFD9EDFF"/>
      <color rgb="FFBFBFBF"/>
      <color rgb="FF44546A"/>
      <color rgb="FFADD9E5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</a:t>
            </a:r>
          </a:p>
        </c:rich>
      </c:tx>
      <c:layout>
        <c:manualLayout>
          <c:xMode val="edge"/>
          <c:yMode val="edge"/>
          <c:x val="7.0171749786736404E-2"/>
          <c:y val="3.616274373665549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List!$N$1</c:f>
              <c:strCache>
                <c:ptCount val="1"/>
                <c:pt idx="0">
                  <c:v>% Global</c:v>
                </c:pt>
              </c:strCache>
            </c:strRef>
          </c:tx>
          <c:spPr>
            <a:ln w="31750"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47-4748-9D9F-AD6ABDE596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47-4748-9D9F-AD6ABDE596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8E47-4748-9D9F-AD6ABDE5965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8E47-4748-9D9F-AD6ABDE5965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8E47-4748-9D9F-AD6ABDE5965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List!$N$2:$N$4</c:f>
              <c:numCache>
                <c:formatCode>0.0%</c:formatCode>
                <c:ptCount val="3"/>
                <c:pt idx="0">
                  <c:v>0.27272727272727271</c:v>
                </c:pt>
                <c:pt idx="1">
                  <c:v>0.18181818181818182</c:v>
                </c:pt>
                <c:pt idx="2">
                  <c:v>0.54545454545454541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E47-4748-9D9F-AD6ABDE5965C}"/>
            </c:ext>
          </c:extLst>
        </c:ser>
        <c:ser>
          <c:idx val="1"/>
          <c:order val="1"/>
          <c:tx>
            <c:strRef>
              <c:f>List!$R$1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List!$R$2:$R$4</c:f>
              <c:numCache>
                <c:formatCode>0.0%</c:formatCode>
                <c:ptCount val="3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E47-4748-9D9F-AD6ABDE5965C}"/>
            </c:ext>
          </c:extLst>
        </c:ser>
        <c:ser>
          <c:idx val="2"/>
          <c:order val="2"/>
          <c:tx>
            <c:strRef>
              <c:f>List!$S$1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List!$S$2:$S$4</c:f>
              <c:numCache>
                <c:formatCode>0.0%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E47-4748-9D9F-AD6ABDE59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77024"/>
        <c:axId val="329275848"/>
      </c:lineChart>
      <c:catAx>
        <c:axId val="329277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29275848"/>
        <c:crosses val="autoZero"/>
        <c:auto val="1"/>
        <c:lblAlgn val="ctr"/>
        <c:lblOffset val="100"/>
        <c:noMultiLvlLbl val="0"/>
      </c:catAx>
      <c:valAx>
        <c:axId val="3292758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9277024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7430462962962958"/>
          <c:y val="3.2267777777777784E-2"/>
          <c:w val="0.3989914814814815"/>
          <c:h val="0.12144500000000001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 By Gender</a:t>
            </a:r>
          </a:p>
        </c:rich>
      </c:tx>
      <c:layout>
        <c:manualLayout>
          <c:xMode val="edge"/>
          <c:yMode val="edge"/>
          <c:x val="8.0064999999999997E-2"/>
          <c:y val="2.46944444444444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List!$BH$1</c:f>
              <c:strCache>
                <c:ptCount val="1"/>
                <c:pt idx="0">
                  <c:v>Male</c:v>
                </c:pt>
              </c:strCache>
            </c:strRef>
          </c:tx>
          <c:spPr>
            <a:ln w="31750"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3A0-4343-93F8-EAA578D3FD7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A0-4343-93F8-EAA578D3FD7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3A0-4343-93F8-EAA578D3FD7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3A0-4343-93F8-EAA578D3FD7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3A0-4343-93F8-EAA578D3FD7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List!$BG$2:$BG$4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List!$BH$2:$BH$4</c:f>
              <c:numCache>
                <c:formatCode>0.0%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A0-4343-93F8-EAA578D3FD7A}"/>
            </c:ext>
          </c:extLst>
        </c:ser>
        <c:ser>
          <c:idx val="1"/>
          <c:order val="1"/>
          <c:tx>
            <c:strRef>
              <c:f>List!$BI$1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List!$BG$2:$BG$4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List!$BI$2:$BI$4</c:f>
              <c:numCache>
                <c:formatCode>0.0%</c:formatCode>
                <c:ptCount val="3"/>
                <c:pt idx="0">
                  <c:v>0.14285714285714285</c:v>
                </c:pt>
                <c:pt idx="1">
                  <c:v>0.14285714285714285</c:v>
                </c:pt>
                <c:pt idx="2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A0-4343-93F8-EAA578D3F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15176"/>
        <c:axId val="333015568"/>
      </c:barChart>
      <c:catAx>
        <c:axId val="33301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33015568"/>
        <c:crosses val="autoZero"/>
        <c:auto val="1"/>
        <c:lblAlgn val="ctr"/>
        <c:lblOffset val="100"/>
        <c:noMultiLvlLbl val="0"/>
      </c:catAx>
      <c:valAx>
        <c:axId val="3330155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33015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11648148148147"/>
          <c:y val="1.1456666666666665E-2"/>
          <c:w val="0.10622141463086344"/>
          <c:h val="0.1307987246650195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</a:t>
            </a:r>
          </a:p>
        </c:rich>
      </c:tx>
      <c:layout>
        <c:manualLayout>
          <c:xMode val="edge"/>
          <c:yMode val="edge"/>
          <c:x val="7.0171749786736404E-2"/>
          <c:y val="3.616274373665549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List!$O$1</c:f>
              <c:strCache>
                <c:ptCount val="1"/>
                <c:pt idx="0">
                  <c:v>% Employee</c:v>
                </c:pt>
              </c:strCache>
            </c:strRef>
          </c:tx>
          <c:spPr>
            <a:ln w="31750"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A7-4C7A-A31F-756573ED6F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A7-4C7A-A31F-756573ED6F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D7A7-4C7A-A31F-756573ED6F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D7A7-4C7A-A31F-756573ED6F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D7A7-4C7A-A31F-756573ED6F8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List!$O$2:$O$4</c:f>
              <c:numCache>
                <c:formatCode>0.0%</c:formatCode>
                <c:ptCount val="3"/>
                <c:pt idx="0">
                  <c:v>0.16666666666666666</c:v>
                </c:pt>
                <c:pt idx="1">
                  <c:v>0.16666666666666666</c:v>
                </c:pt>
                <c:pt idx="2">
                  <c:v>0.66666666666666663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7A7-4C7A-A31F-756573ED6F8A}"/>
            </c:ext>
          </c:extLst>
        </c:ser>
        <c:ser>
          <c:idx val="1"/>
          <c:order val="1"/>
          <c:tx>
            <c:strRef>
              <c:f>List!$R$1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List!$R$2:$R$4</c:f>
              <c:numCache>
                <c:formatCode>0.0%</c:formatCode>
                <c:ptCount val="3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7A7-4C7A-A31F-756573ED6F8A}"/>
            </c:ext>
          </c:extLst>
        </c:ser>
        <c:ser>
          <c:idx val="2"/>
          <c:order val="2"/>
          <c:tx>
            <c:strRef>
              <c:f>List!$S$1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List!$S$2:$S$4</c:f>
              <c:numCache>
                <c:formatCode>0.0%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7A7-4C7A-A31F-756573ED6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16352"/>
        <c:axId val="333016744"/>
      </c:lineChart>
      <c:catAx>
        <c:axId val="33301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33016744"/>
        <c:crosses val="autoZero"/>
        <c:auto val="1"/>
        <c:lblAlgn val="ctr"/>
        <c:lblOffset val="100"/>
        <c:noMultiLvlLbl val="0"/>
      </c:catAx>
      <c:valAx>
        <c:axId val="3330167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3301635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554518518518529"/>
          <c:y val="3.2267643828862137E-2"/>
          <c:w val="0.39090240740740739"/>
          <c:h val="0.11859073488872451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 By Gender</a:t>
            </a:r>
          </a:p>
        </c:rich>
      </c:tx>
      <c:layout>
        <c:manualLayout>
          <c:xMode val="edge"/>
          <c:yMode val="edge"/>
          <c:x val="8.0064999999999997E-2"/>
          <c:y val="2.46944444444444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List!$BL$1</c:f>
              <c:strCache>
                <c:ptCount val="1"/>
                <c:pt idx="0">
                  <c:v>Male</c:v>
                </c:pt>
              </c:strCache>
            </c:strRef>
          </c:tx>
          <c:spPr>
            <a:ln w="31750"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3A-4AE1-A26C-E496293B3A3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3A-4AE1-A26C-E496293B3A3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3A-4AE1-A26C-E496293B3A3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3A-4AE1-A26C-E496293B3A3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3A-4AE1-A26C-E496293B3A3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List!$BK$2:$BK$4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List!$BL$2:$BL$4</c:f>
              <c:numCache>
                <c:formatCode>0.0%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3A-4AE1-A26C-E496293B3A3A}"/>
            </c:ext>
          </c:extLst>
        </c:ser>
        <c:ser>
          <c:idx val="1"/>
          <c:order val="1"/>
          <c:tx>
            <c:strRef>
              <c:f>List!$BM$1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List!$BK$2:$BK$4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List!$BM$2:$BM$4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3A-4AE1-A26C-E496293B3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17528"/>
        <c:axId val="333017920"/>
      </c:barChart>
      <c:catAx>
        <c:axId val="333017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33017920"/>
        <c:crosses val="autoZero"/>
        <c:auto val="1"/>
        <c:lblAlgn val="ctr"/>
        <c:lblOffset val="100"/>
        <c:noMultiLvlLbl val="0"/>
      </c:catAx>
      <c:valAx>
        <c:axId val="3330179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33017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11648148148147"/>
          <c:y val="1.1456666666666665E-2"/>
          <c:w val="0.10622141463086344"/>
          <c:h val="0.1307987246650195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</a:t>
            </a:r>
          </a:p>
        </c:rich>
      </c:tx>
      <c:layout>
        <c:manualLayout>
          <c:xMode val="edge"/>
          <c:yMode val="edge"/>
          <c:x val="7.0171749786736404E-2"/>
          <c:y val="3.616274373665549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List!$P$1</c:f>
              <c:strCache>
                <c:ptCount val="1"/>
                <c:pt idx="0">
                  <c:v>% Leader</c:v>
                </c:pt>
              </c:strCache>
            </c:strRef>
          </c:tx>
          <c:spPr>
            <a:ln w="31750"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4-4966-998B-0ED6E05E01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94-4966-998B-0ED6E05E01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C594-4966-998B-0ED6E05E01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C594-4966-998B-0ED6E05E013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C594-4966-998B-0ED6E05E013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List!$P$2:$P$4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594-4966-998B-0ED6E05E0130}"/>
            </c:ext>
          </c:extLst>
        </c:ser>
        <c:ser>
          <c:idx val="1"/>
          <c:order val="1"/>
          <c:tx>
            <c:strRef>
              <c:f>List!$R$1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List!$R$2:$R$4</c:f>
              <c:numCache>
                <c:formatCode>0.0%</c:formatCode>
                <c:ptCount val="3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594-4966-998B-0ED6E05E0130}"/>
            </c:ext>
          </c:extLst>
        </c:ser>
        <c:ser>
          <c:idx val="2"/>
          <c:order val="2"/>
          <c:tx>
            <c:strRef>
              <c:f>List!$S$1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List!$S$2:$S$4</c:f>
              <c:numCache>
                <c:formatCode>0.0%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594-4966-998B-0ED6E05E0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815920"/>
        <c:axId val="332816312"/>
      </c:lineChart>
      <c:catAx>
        <c:axId val="33281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32816312"/>
        <c:crosses val="autoZero"/>
        <c:auto val="1"/>
        <c:lblAlgn val="ctr"/>
        <c:lblOffset val="100"/>
        <c:noMultiLvlLbl val="0"/>
      </c:catAx>
      <c:valAx>
        <c:axId val="332816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32815920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319333333333346"/>
          <c:y val="3.2267777777777784E-2"/>
          <c:w val="0.39325425925925928"/>
          <c:h val="0.12214863623120194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 By Gender</a:t>
            </a:r>
          </a:p>
        </c:rich>
      </c:tx>
      <c:layout>
        <c:manualLayout>
          <c:xMode val="edge"/>
          <c:yMode val="edge"/>
          <c:x val="8.0064999999999997E-2"/>
          <c:y val="2.46944444444444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List!$BP$1</c:f>
              <c:strCache>
                <c:ptCount val="1"/>
                <c:pt idx="0">
                  <c:v>Male</c:v>
                </c:pt>
              </c:strCache>
            </c:strRef>
          </c:tx>
          <c:spPr>
            <a:ln w="31750"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FC-400C-8C7D-83D57E4116C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FC-400C-8C7D-83D57E4116C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FC-400C-8C7D-83D57E4116C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FC-400C-8C7D-83D57E4116C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FC-400C-8C7D-83D57E4116C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List!$BO$2:$BO$4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List!$BP$2:$BP$4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FC-400C-8C7D-83D57E4116C2}"/>
            </c:ext>
          </c:extLst>
        </c:ser>
        <c:ser>
          <c:idx val="1"/>
          <c:order val="1"/>
          <c:tx>
            <c:strRef>
              <c:f>List!$BQ$1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List!$BO$2:$BO$4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List!$BQ$2:$BQ$4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FC-400C-8C7D-83D57E411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17488"/>
        <c:axId val="332817880"/>
      </c:barChart>
      <c:catAx>
        <c:axId val="33281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32817880"/>
        <c:crosses val="autoZero"/>
        <c:auto val="1"/>
        <c:lblAlgn val="ctr"/>
        <c:lblOffset val="100"/>
        <c:noMultiLvlLbl val="0"/>
      </c:catAx>
      <c:valAx>
        <c:axId val="3328178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3281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11648148148147"/>
          <c:y val="1.1456666666666665E-2"/>
          <c:w val="0.10622141463086344"/>
          <c:h val="0.1307987246650195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</a:t>
            </a:r>
          </a:p>
        </c:rich>
      </c:tx>
      <c:layout>
        <c:manualLayout>
          <c:xMode val="edge"/>
          <c:yMode val="edge"/>
          <c:x val="7.0171749786736404E-2"/>
          <c:y val="3.616274373665549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List!$Q$1</c:f>
              <c:strCache>
                <c:ptCount val="1"/>
                <c:pt idx="0">
                  <c:v>% Senior Leader</c:v>
                </c:pt>
              </c:strCache>
            </c:strRef>
          </c:tx>
          <c:spPr>
            <a:ln w="31750"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1F-4990-A56F-6F9CE426DE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1F-4990-A56F-6F9CE426DE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F31F-4990-A56F-6F9CE426DE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F31F-4990-A56F-6F9CE426DE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F31F-4990-A56F-6F9CE426DEB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List!$Q$2:$Q$4</c:f>
              <c:numCache>
                <c:formatCode>0.0%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31F-4990-A56F-6F9CE426DEB5}"/>
            </c:ext>
          </c:extLst>
        </c:ser>
        <c:ser>
          <c:idx val="1"/>
          <c:order val="1"/>
          <c:tx>
            <c:strRef>
              <c:f>List!$R$1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List!$R$2:$R$4</c:f>
              <c:numCache>
                <c:formatCode>0.0%</c:formatCode>
                <c:ptCount val="3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F31F-4990-A56F-6F9CE426DEB5}"/>
            </c:ext>
          </c:extLst>
        </c:ser>
        <c:ser>
          <c:idx val="2"/>
          <c:order val="2"/>
          <c:tx>
            <c:strRef>
              <c:f>List!$S$1</c:f>
              <c:strCache>
                <c:ptCount val="1"/>
                <c:pt idx="0">
                  <c:v>Distribution - Nestlé Guideline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List!$M$2:$M$4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List!$S$2:$S$4</c:f>
              <c:numCache>
                <c:formatCode>0.0%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F31F-4990-A56F-6F9CE426D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333896"/>
        <c:axId val="333334288"/>
      </c:lineChart>
      <c:catAx>
        <c:axId val="333333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33334288"/>
        <c:crosses val="autoZero"/>
        <c:auto val="1"/>
        <c:lblAlgn val="ctr"/>
        <c:lblOffset val="100"/>
        <c:noMultiLvlLbl val="0"/>
      </c:catAx>
      <c:valAx>
        <c:axId val="3333342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33333896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1200817384645911"/>
          <c:y val="3.2267777777777784E-2"/>
          <c:w val="0.36738388888888895"/>
          <c:h val="0.12214863623120194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Performance Distribution By Gender</a:t>
            </a:r>
          </a:p>
        </c:rich>
      </c:tx>
      <c:layout>
        <c:manualLayout>
          <c:xMode val="edge"/>
          <c:yMode val="edge"/>
          <c:x val="8.0064999999999997E-2"/>
          <c:y val="2.46944444444444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List!$BT$1</c:f>
              <c:strCache>
                <c:ptCount val="1"/>
                <c:pt idx="0">
                  <c:v>Male</c:v>
                </c:pt>
              </c:strCache>
            </c:strRef>
          </c:tx>
          <c:spPr>
            <a:ln w="31750"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B94-44FF-B977-3E2019C54E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B94-44FF-B977-3E2019C54E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94-44FF-B977-3E2019C54E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B94-44FF-B977-3E2019C54E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B94-44FF-B977-3E2019C54E9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List!$BS$2:$BS$4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List!$BT$2:$BT$4</c:f>
              <c:numCache>
                <c:formatCode>0.0%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94-44FF-B977-3E2019C54E93}"/>
            </c:ext>
          </c:extLst>
        </c:ser>
        <c:ser>
          <c:idx val="1"/>
          <c:order val="1"/>
          <c:tx>
            <c:strRef>
              <c:f>List!$BU$1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List!$BS$2:$BS$4</c:f>
              <c:strCache>
                <c:ptCount val="3"/>
                <c:pt idx="0">
                  <c:v>1/x - x/1</c:v>
                </c:pt>
                <c:pt idx="1">
                  <c:v>2/2</c:v>
                </c:pt>
                <c:pt idx="2">
                  <c:v>2/3 - 3/2 - 3/3</c:v>
                </c:pt>
              </c:strCache>
            </c:strRef>
          </c:cat>
          <c:val>
            <c:numRef>
              <c:f>List!$BU$2:$BU$4</c:f>
              <c:numCache>
                <c:formatCode>0.0%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94-44FF-B977-3E2019C54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35072"/>
        <c:axId val="333335464"/>
      </c:barChart>
      <c:catAx>
        <c:axId val="33333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333335464"/>
        <c:crosses val="autoZero"/>
        <c:auto val="1"/>
        <c:lblAlgn val="ctr"/>
        <c:lblOffset val="100"/>
        <c:noMultiLvlLbl val="0"/>
      </c:catAx>
      <c:valAx>
        <c:axId val="3333354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33335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11648148148147"/>
          <c:y val="1.1456666666666665E-2"/>
          <c:w val="0.10622141463086344"/>
          <c:h val="0.1307987246650195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2</xdr:row>
      <xdr:rowOff>50800</xdr:rowOff>
    </xdr:from>
    <xdr:to>
      <xdr:col>3</xdr:col>
      <xdr:colOff>1945601</xdr:colOff>
      <xdr:row>14</xdr:row>
      <xdr:rowOff>196400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2133600</xdr:colOff>
      <xdr:row>2</xdr:row>
      <xdr:rowOff>59265</xdr:rowOff>
    </xdr:from>
    <xdr:to>
      <xdr:col>7</xdr:col>
      <xdr:colOff>590933</xdr:colOff>
      <xdr:row>14</xdr:row>
      <xdr:rowOff>204865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2</xdr:row>
      <xdr:rowOff>50800</xdr:rowOff>
    </xdr:from>
    <xdr:to>
      <xdr:col>3</xdr:col>
      <xdr:colOff>1945601</xdr:colOff>
      <xdr:row>14</xdr:row>
      <xdr:rowOff>165920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2133600</xdr:colOff>
      <xdr:row>2</xdr:row>
      <xdr:rowOff>59265</xdr:rowOff>
    </xdr:from>
    <xdr:to>
      <xdr:col>7</xdr:col>
      <xdr:colOff>590933</xdr:colOff>
      <xdr:row>14</xdr:row>
      <xdr:rowOff>166765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2</xdr:row>
      <xdr:rowOff>50800</xdr:rowOff>
    </xdr:from>
    <xdr:to>
      <xdr:col>3</xdr:col>
      <xdr:colOff>1945601</xdr:colOff>
      <xdr:row>14</xdr:row>
      <xdr:rowOff>165920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2133600</xdr:colOff>
      <xdr:row>2</xdr:row>
      <xdr:rowOff>59265</xdr:rowOff>
    </xdr:from>
    <xdr:to>
      <xdr:col>7</xdr:col>
      <xdr:colOff>590933</xdr:colOff>
      <xdr:row>14</xdr:row>
      <xdr:rowOff>166765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2</xdr:row>
      <xdr:rowOff>50800</xdr:rowOff>
    </xdr:from>
    <xdr:to>
      <xdr:col>3</xdr:col>
      <xdr:colOff>1945601</xdr:colOff>
      <xdr:row>14</xdr:row>
      <xdr:rowOff>165920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2133600</xdr:colOff>
      <xdr:row>2</xdr:row>
      <xdr:rowOff>59265</xdr:rowOff>
    </xdr:from>
    <xdr:to>
      <xdr:col>7</xdr:col>
      <xdr:colOff>590933</xdr:colOff>
      <xdr:row>14</xdr:row>
      <xdr:rowOff>166765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504"/>
  <sheetViews>
    <sheetView showGridLines="0" zoomScale="85" zoomScaleNormal="85" workbookViewId="0">
      <pane ySplit="4" topLeftCell="A5" activePane="bottomLeft" state="frozen"/>
      <selection pane="bottomLeft" activeCell="H25" sqref="H25"/>
    </sheetView>
  </sheetViews>
  <sheetFormatPr defaultColWidth="9.140625" defaultRowHeight="12.75" customHeight="1" x14ac:dyDescent="0.2"/>
  <cols>
    <col min="1" max="1" width="24.5703125" style="100" customWidth="1"/>
    <col min="2" max="4" width="25" style="100" customWidth="1"/>
    <col min="5" max="5" width="13.5703125" style="100" customWidth="1"/>
    <col min="6" max="6" width="16.42578125" style="100" customWidth="1"/>
    <col min="7" max="8" width="22.42578125" style="100" customWidth="1"/>
    <col min="9" max="9" width="31" style="100" customWidth="1"/>
    <col min="10" max="10" width="16.42578125" style="100" bestFit="1" customWidth="1"/>
    <col min="11" max="11" width="15.28515625" style="100" bestFit="1" customWidth="1"/>
    <col min="12" max="12" width="15.28515625" style="100" customWidth="1"/>
    <col min="13" max="14" width="47.42578125" style="100" customWidth="1"/>
    <col min="15" max="20" width="19.85546875" style="100" customWidth="1"/>
    <col min="21" max="21" width="46.7109375" style="100" customWidth="1"/>
    <col min="22" max="16384" width="9.140625" style="100"/>
  </cols>
  <sheetData>
    <row r="1" spans="1:21" customFormat="1" ht="74.45" customHeight="1" x14ac:dyDescent="0.2">
      <c r="A1" s="5"/>
      <c r="B1" s="25"/>
      <c r="C1" s="25"/>
      <c r="D1" s="25"/>
      <c r="E1" s="6"/>
      <c r="F1" s="5"/>
      <c r="G1" s="5"/>
      <c r="H1" s="109"/>
      <c r="I1" s="109"/>
      <c r="J1" s="6"/>
      <c r="K1" s="7"/>
      <c r="L1" s="7"/>
      <c r="M1" s="8"/>
      <c r="N1" s="8"/>
      <c r="O1" s="8"/>
      <c r="P1" s="8"/>
      <c r="Q1" s="8"/>
      <c r="R1" s="8"/>
      <c r="S1" s="8"/>
      <c r="T1" s="8"/>
      <c r="U1" s="5"/>
    </row>
    <row r="2" spans="1:21" customFormat="1" ht="22.5" customHeight="1" x14ac:dyDescent="0.2">
      <c r="A2" s="118" t="s">
        <v>137</v>
      </c>
      <c r="B2" s="120" t="s">
        <v>35</v>
      </c>
      <c r="C2" s="101" t="s">
        <v>36</v>
      </c>
      <c r="D2" s="101" t="s">
        <v>37</v>
      </c>
      <c r="E2" s="116" t="s">
        <v>38</v>
      </c>
      <c r="F2" s="101" t="s">
        <v>139</v>
      </c>
      <c r="G2" s="110" t="s">
        <v>25</v>
      </c>
      <c r="H2" s="110" t="s">
        <v>34</v>
      </c>
      <c r="I2" s="101" t="s">
        <v>138</v>
      </c>
      <c r="J2" s="112" t="s">
        <v>31</v>
      </c>
      <c r="K2" s="112" t="s">
        <v>33</v>
      </c>
      <c r="L2" s="114" t="s">
        <v>140</v>
      </c>
      <c r="M2" s="101" t="s">
        <v>31</v>
      </c>
      <c r="N2" s="101" t="s">
        <v>33</v>
      </c>
      <c r="O2" s="103" t="s">
        <v>93</v>
      </c>
      <c r="P2" s="104"/>
      <c r="Q2" s="104"/>
      <c r="R2" s="104"/>
      <c r="S2" s="104"/>
      <c r="T2" s="105"/>
      <c r="U2" s="101" t="s">
        <v>0</v>
      </c>
    </row>
    <row r="3" spans="1:21" customFormat="1" ht="34.5" customHeight="1" x14ac:dyDescent="0.2">
      <c r="A3" s="119"/>
      <c r="B3" s="121"/>
      <c r="C3" s="102"/>
      <c r="D3" s="102"/>
      <c r="E3" s="117"/>
      <c r="F3" s="102"/>
      <c r="G3" s="111"/>
      <c r="H3" s="111"/>
      <c r="I3" s="102"/>
      <c r="J3" s="113"/>
      <c r="K3" s="113"/>
      <c r="L3" s="115"/>
      <c r="M3" s="102"/>
      <c r="N3" s="102"/>
      <c r="O3" s="106"/>
      <c r="P3" s="107"/>
      <c r="Q3" s="107"/>
      <c r="R3" s="107"/>
      <c r="S3" s="107"/>
      <c r="T3" s="108"/>
      <c r="U3" s="102"/>
    </row>
    <row r="4" spans="1:21" customFormat="1" ht="18.75" customHeight="1" x14ac:dyDescent="0.2">
      <c r="A4" s="94" t="s">
        <v>117</v>
      </c>
      <c r="B4" s="77"/>
      <c r="C4" s="77"/>
      <c r="D4" s="77"/>
      <c r="E4" s="78"/>
      <c r="F4" s="77"/>
      <c r="G4" s="78"/>
      <c r="H4" s="78"/>
      <c r="I4" s="77"/>
      <c r="J4" s="95" t="s">
        <v>118</v>
      </c>
      <c r="K4" s="95" t="s">
        <v>118</v>
      </c>
      <c r="L4" s="79"/>
      <c r="M4" s="77" t="s">
        <v>32</v>
      </c>
      <c r="N4" s="77" t="s">
        <v>32</v>
      </c>
      <c r="O4" s="77"/>
      <c r="P4" s="77"/>
      <c r="Q4" s="77"/>
      <c r="R4" s="77"/>
      <c r="S4" s="77"/>
      <c r="T4" s="77"/>
      <c r="U4" s="77"/>
    </row>
    <row r="5" spans="1:21" customFormat="1" ht="42.75" customHeight="1" x14ac:dyDescent="0.2">
      <c r="A5" s="88" t="s">
        <v>16</v>
      </c>
      <c r="B5" s="18"/>
      <c r="C5" s="18"/>
      <c r="D5" s="18"/>
      <c r="E5" s="91" t="s">
        <v>46</v>
      </c>
      <c r="F5" s="14" t="s">
        <v>47</v>
      </c>
      <c r="G5" s="80" t="s">
        <v>119</v>
      </c>
      <c r="H5" s="81" t="s">
        <v>120</v>
      </c>
      <c r="I5" s="15" t="s">
        <v>48</v>
      </c>
      <c r="J5" s="84">
        <v>1</v>
      </c>
      <c r="K5" s="85">
        <v>1</v>
      </c>
      <c r="L5" s="35">
        <v>0</v>
      </c>
      <c r="M5" s="20"/>
      <c r="N5" s="20"/>
      <c r="O5" s="34" t="str">
        <f t="shared" ref="O5:O15" ca="1" si="0">IFERROR(VLOOKUP($A5,List_Behaviour_Name,2,FALSE),"")</f>
        <v>Foster Competitive intensity</v>
      </c>
      <c r="P5" s="22" t="str">
        <f t="shared" ref="P5:P15" ca="1" si="1">IFERROR(VLOOKUP($A5,List_Behaviour_Name,3,FALSE),"")</f>
        <v>Inspire the Organisation</v>
      </c>
      <c r="Q5" s="22" t="str">
        <f t="shared" ref="Q5:Q15" ca="1" si="2">IFERROR(VLOOKUP($A5,List_Behaviour_Name,4,FALSE),"")</f>
        <v>Develop and execute strategy</v>
      </c>
      <c r="R5" s="22" t="str">
        <f t="shared" ref="R5:R15" ca="1" si="3">IFERROR(VLOOKUP($A5,List_Behaviour_Name,5,FALSE),"")</f>
        <v>Develop Organisational Capability</v>
      </c>
      <c r="S5" s="22" t="str">
        <f t="shared" ref="S5:S15" ca="1" si="4">IFERROR(VLOOKUP($A5,List_Behaviour_Name,6,FALSE),"")</f>
        <v>Create an inclusive Culture</v>
      </c>
      <c r="T5" s="22" t="str">
        <f t="shared" ref="T5:T15" ca="1" si="5">IFERROR(VLOOKUP($A5,List_Behaviour_Name,7,FALSE),"")</f>
        <v>Embrace and Lead Change</v>
      </c>
      <c r="U5" s="14"/>
    </row>
    <row r="6" spans="1:21" customFormat="1" ht="42.75" customHeight="1" x14ac:dyDescent="0.2">
      <c r="A6" s="89" t="s">
        <v>16</v>
      </c>
      <c r="B6" s="19"/>
      <c r="C6" s="19"/>
      <c r="D6" s="19"/>
      <c r="E6" s="92" t="s">
        <v>113</v>
      </c>
      <c r="F6" s="16"/>
      <c r="G6" s="82" t="s">
        <v>115</v>
      </c>
      <c r="H6" s="83" t="s">
        <v>116</v>
      </c>
      <c r="I6" s="17"/>
      <c r="J6" s="86">
        <v>1</v>
      </c>
      <c r="K6" s="87">
        <v>1</v>
      </c>
      <c r="L6" s="31">
        <v>0</v>
      </c>
      <c r="M6" s="21"/>
      <c r="N6" s="21"/>
      <c r="O6" s="24" t="str">
        <f t="shared" ca="1" si="0"/>
        <v>Foster Competitive intensity</v>
      </c>
      <c r="P6" s="23" t="str">
        <f t="shared" ca="1" si="1"/>
        <v>Inspire the Organisation</v>
      </c>
      <c r="Q6" s="23" t="str">
        <f t="shared" ca="1" si="2"/>
        <v>Develop and execute strategy</v>
      </c>
      <c r="R6" s="23" t="str">
        <f t="shared" ca="1" si="3"/>
        <v>Develop Organisational Capability</v>
      </c>
      <c r="S6" s="23" t="str">
        <f t="shared" ca="1" si="4"/>
        <v>Create an inclusive Culture</v>
      </c>
      <c r="T6" s="23" t="str">
        <f t="shared" ca="1" si="5"/>
        <v>Embrace and Lead Change</v>
      </c>
      <c r="U6" s="16"/>
    </row>
    <row r="7" spans="1:21" customFormat="1" ht="42.75" customHeight="1" x14ac:dyDescent="0.2">
      <c r="A7" s="89" t="s">
        <v>16</v>
      </c>
      <c r="B7" s="19"/>
      <c r="C7" s="19"/>
      <c r="D7" s="19"/>
      <c r="E7" s="92" t="s">
        <v>113</v>
      </c>
      <c r="F7" s="16"/>
      <c r="G7" s="82" t="s">
        <v>121</v>
      </c>
      <c r="H7" s="83" t="s">
        <v>122</v>
      </c>
      <c r="I7" s="17"/>
      <c r="J7" s="86">
        <v>3</v>
      </c>
      <c r="K7" s="87">
        <v>3</v>
      </c>
      <c r="L7" s="31">
        <v>1.2</v>
      </c>
      <c r="M7" s="21"/>
      <c r="N7" s="21"/>
      <c r="O7" s="24" t="str">
        <f t="shared" ca="1" si="0"/>
        <v>Foster Competitive intensity</v>
      </c>
      <c r="P7" s="23" t="str">
        <f t="shared" ca="1" si="1"/>
        <v>Inspire the Organisation</v>
      </c>
      <c r="Q7" s="23" t="str">
        <f t="shared" ca="1" si="2"/>
        <v>Develop and execute strategy</v>
      </c>
      <c r="R7" s="23" t="str">
        <f t="shared" ca="1" si="3"/>
        <v>Develop Organisational Capability</v>
      </c>
      <c r="S7" s="23" t="str">
        <f t="shared" ca="1" si="4"/>
        <v>Create an inclusive Culture</v>
      </c>
      <c r="T7" s="23" t="str">
        <f t="shared" ca="1" si="5"/>
        <v>Embrace and Lead Change</v>
      </c>
      <c r="U7" s="16"/>
    </row>
    <row r="8" spans="1:21" customFormat="1" ht="42.75" customHeight="1" x14ac:dyDescent="0.2">
      <c r="A8" s="89" t="s">
        <v>16</v>
      </c>
      <c r="B8" s="19"/>
      <c r="C8" s="19"/>
      <c r="D8" s="19"/>
      <c r="E8" s="92" t="s">
        <v>46</v>
      </c>
      <c r="F8" s="16"/>
      <c r="G8" s="82" t="s">
        <v>91</v>
      </c>
      <c r="H8" s="83" t="s">
        <v>92</v>
      </c>
      <c r="I8" s="17"/>
      <c r="J8" s="86">
        <v>3</v>
      </c>
      <c r="K8" s="87">
        <v>3</v>
      </c>
      <c r="L8" s="31">
        <v>1.2</v>
      </c>
      <c r="M8" s="21"/>
      <c r="N8" s="21"/>
      <c r="O8" s="24" t="str">
        <f t="shared" ca="1" si="0"/>
        <v>Foster Competitive intensity</v>
      </c>
      <c r="P8" s="23" t="str">
        <f t="shared" ca="1" si="1"/>
        <v>Inspire the Organisation</v>
      </c>
      <c r="Q8" s="23" t="str">
        <f t="shared" ca="1" si="2"/>
        <v>Develop and execute strategy</v>
      </c>
      <c r="R8" s="23" t="str">
        <f t="shared" ca="1" si="3"/>
        <v>Develop Organisational Capability</v>
      </c>
      <c r="S8" s="23" t="str">
        <f t="shared" ca="1" si="4"/>
        <v>Create an inclusive Culture</v>
      </c>
      <c r="T8" s="23" t="str">
        <f t="shared" ca="1" si="5"/>
        <v>Embrace and Lead Change</v>
      </c>
      <c r="U8" s="16"/>
    </row>
    <row r="9" spans="1:21" customFormat="1" ht="42.75" customHeight="1" x14ac:dyDescent="0.2">
      <c r="A9" s="89" t="s">
        <v>17</v>
      </c>
      <c r="B9" s="19"/>
      <c r="C9" s="19"/>
      <c r="D9" s="19"/>
      <c r="E9" s="92" t="s">
        <v>113</v>
      </c>
      <c r="F9" s="16"/>
      <c r="G9" s="82" t="s">
        <v>123</v>
      </c>
      <c r="H9" s="83" t="s">
        <v>124</v>
      </c>
      <c r="I9" s="17"/>
      <c r="J9" s="86">
        <v>2</v>
      </c>
      <c r="K9" s="87">
        <v>2</v>
      </c>
      <c r="L9" s="31">
        <v>1.05</v>
      </c>
      <c r="M9" s="21"/>
      <c r="N9" s="21"/>
      <c r="O9" s="24" t="str">
        <f t="shared" ca="1" si="0"/>
        <v>Insight</v>
      </c>
      <c r="P9" s="23" t="str">
        <f t="shared" ca="1" si="1"/>
        <v>Energize &amp; Engage</v>
      </c>
      <c r="Q9" s="23" t="str">
        <f t="shared" ca="1" si="2"/>
        <v>Enable results through others</v>
      </c>
      <c r="R9" s="23" t="str">
        <f t="shared" ca="1" si="3"/>
        <v>Coach &amp; Develop</v>
      </c>
      <c r="S9" s="23" t="str">
        <f t="shared" ca="1" si="4"/>
        <v>Influence with Integrity</v>
      </c>
      <c r="T9" s="23" t="str">
        <f t="shared" ca="1" si="5"/>
        <v>Courage</v>
      </c>
      <c r="U9" s="16"/>
    </row>
    <row r="10" spans="1:21" customFormat="1" ht="42.75" customHeight="1" x14ac:dyDescent="0.2">
      <c r="A10" s="89" t="s">
        <v>18</v>
      </c>
      <c r="B10" s="19"/>
      <c r="C10" s="19"/>
      <c r="D10" s="19"/>
      <c r="E10" s="92" t="s">
        <v>113</v>
      </c>
      <c r="F10" s="16"/>
      <c r="G10" s="82" t="s">
        <v>125</v>
      </c>
      <c r="H10" s="83" t="s">
        <v>126</v>
      </c>
      <c r="I10" s="17"/>
      <c r="J10" s="86">
        <v>3</v>
      </c>
      <c r="K10" s="87">
        <v>2</v>
      </c>
      <c r="L10" s="31">
        <v>1.1499999999999999</v>
      </c>
      <c r="M10" s="21"/>
      <c r="N10" s="21"/>
      <c r="O10" s="24" t="str">
        <f t="shared" ca="1" si="0"/>
        <v>Understand the Business Environnement</v>
      </c>
      <c r="P10" s="23" t="str">
        <f t="shared" ca="1" si="1"/>
        <v>Practice What You Preach</v>
      </c>
      <c r="Q10" s="23" t="str">
        <f t="shared" ca="1" si="2"/>
        <v>Results Focus</v>
      </c>
      <c r="R10" s="23" t="str">
        <f t="shared" ca="1" si="3"/>
        <v>Know Yourself</v>
      </c>
      <c r="S10" s="23" t="str">
        <f t="shared" ca="1" si="4"/>
        <v>Proactive Collaboration</v>
      </c>
      <c r="T10" s="23" t="str">
        <f t="shared" ca="1" si="5"/>
        <v>Initiative</v>
      </c>
      <c r="U10" s="16"/>
    </row>
    <row r="11" spans="1:21" customFormat="1" ht="42.75" customHeight="1" x14ac:dyDescent="0.2">
      <c r="A11" s="90" t="s">
        <v>18</v>
      </c>
      <c r="B11" s="19"/>
      <c r="C11" s="19"/>
      <c r="D11" s="19"/>
      <c r="E11" s="92" t="s">
        <v>113</v>
      </c>
      <c r="F11" s="16"/>
      <c r="G11" s="82" t="s">
        <v>127</v>
      </c>
      <c r="H11" s="83" t="s">
        <v>128</v>
      </c>
      <c r="I11" s="17"/>
      <c r="J11" s="86">
        <v>3</v>
      </c>
      <c r="K11" s="87">
        <v>2</v>
      </c>
      <c r="L11" s="31">
        <v>1.2</v>
      </c>
      <c r="M11" s="21"/>
      <c r="N11" s="21"/>
      <c r="O11" s="24" t="str">
        <f t="shared" ca="1" si="0"/>
        <v>Understand the Business Environnement</v>
      </c>
      <c r="P11" s="23" t="str">
        <f t="shared" ca="1" si="1"/>
        <v>Practice What You Preach</v>
      </c>
      <c r="Q11" s="23" t="str">
        <f t="shared" ca="1" si="2"/>
        <v>Results Focus</v>
      </c>
      <c r="R11" s="23" t="str">
        <f t="shared" ca="1" si="3"/>
        <v>Know Yourself</v>
      </c>
      <c r="S11" s="23" t="str">
        <f t="shared" ca="1" si="4"/>
        <v>Proactive Collaboration</v>
      </c>
      <c r="T11" s="23" t="str">
        <f t="shared" ca="1" si="5"/>
        <v>Initiative</v>
      </c>
      <c r="U11" s="16"/>
    </row>
    <row r="12" spans="1:21" customFormat="1" ht="42.75" customHeight="1" x14ac:dyDescent="0.2">
      <c r="A12" s="90" t="s">
        <v>18</v>
      </c>
      <c r="B12" s="19"/>
      <c r="C12" s="19"/>
      <c r="D12" s="19"/>
      <c r="E12" s="92" t="s">
        <v>113</v>
      </c>
      <c r="F12" s="16"/>
      <c r="G12" s="82" t="s">
        <v>129</v>
      </c>
      <c r="H12" s="83" t="s">
        <v>130</v>
      </c>
      <c r="I12" s="17"/>
      <c r="J12" s="86">
        <v>2</v>
      </c>
      <c r="K12" s="87">
        <v>3</v>
      </c>
      <c r="L12" s="31">
        <v>1.1000000000000001</v>
      </c>
      <c r="M12" s="21"/>
      <c r="N12" s="21"/>
      <c r="O12" s="24" t="str">
        <f t="shared" ca="1" si="0"/>
        <v>Understand the Business Environnement</v>
      </c>
      <c r="P12" s="23" t="str">
        <f t="shared" ca="1" si="1"/>
        <v>Practice What You Preach</v>
      </c>
      <c r="Q12" s="23" t="str">
        <f t="shared" ca="1" si="2"/>
        <v>Results Focus</v>
      </c>
      <c r="R12" s="23" t="str">
        <f t="shared" ca="1" si="3"/>
        <v>Know Yourself</v>
      </c>
      <c r="S12" s="23" t="str">
        <f t="shared" ca="1" si="4"/>
        <v>Proactive Collaboration</v>
      </c>
      <c r="T12" s="23" t="str">
        <f t="shared" ca="1" si="5"/>
        <v>Initiative</v>
      </c>
      <c r="U12" s="16"/>
    </row>
    <row r="13" spans="1:21" customFormat="1" ht="42.75" customHeight="1" x14ac:dyDescent="0.2">
      <c r="A13" s="90" t="s">
        <v>18</v>
      </c>
      <c r="B13" s="19"/>
      <c r="C13" s="19"/>
      <c r="D13" s="19"/>
      <c r="E13" s="92" t="s">
        <v>46</v>
      </c>
      <c r="F13" s="16"/>
      <c r="G13" s="82" t="s">
        <v>131</v>
      </c>
      <c r="H13" s="83" t="s">
        <v>132</v>
      </c>
      <c r="I13" s="17"/>
      <c r="J13" s="86">
        <v>2</v>
      </c>
      <c r="K13" s="87">
        <v>2</v>
      </c>
      <c r="L13" s="31">
        <v>0.9</v>
      </c>
      <c r="M13" s="21"/>
      <c r="N13" s="21"/>
      <c r="O13" s="24" t="str">
        <f t="shared" ca="1" si="0"/>
        <v>Understand the Business Environnement</v>
      </c>
      <c r="P13" s="23" t="str">
        <f t="shared" ca="1" si="1"/>
        <v>Practice What You Preach</v>
      </c>
      <c r="Q13" s="23" t="str">
        <f t="shared" ca="1" si="2"/>
        <v>Results Focus</v>
      </c>
      <c r="R13" s="23" t="str">
        <f t="shared" ca="1" si="3"/>
        <v>Know Yourself</v>
      </c>
      <c r="S13" s="23" t="str">
        <f t="shared" ca="1" si="4"/>
        <v>Proactive Collaboration</v>
      </c>
      <c r="T13" s="23" t="str">
        <f t="shared" ca="1" si="5"/>
        <v>Initiative</v>
      </c>
      <c r="U13" s="16"/>
    </row>
    <row r="14" spans="1:21" customFormat="1" ht="42.75" customHeight="1" x14ac:dyDescent="0.2">
      <c r="A14" s="90" t="s">
        <v>18</v>
      </c>
      <c r="B14" s="19"/>
      <c r="C14" s="19"/>
      <c r="D14" s="19"/>
      <c r="E14" s="92" t="s">
        <v>46</v>
      </c>
      <c r="F14" s="16"/>
      <c r="G14" s="82" t="s">
        <v>133</v>
      </c>
      <c r="H14" s="83" t="s">
        <v>134</v>
      </c>
      <c r="I14" s="17"/>
      <c r="J14" s="86">
        <v>3</v>
      </c>
      <c r="K14" s="87">
        <v>1</v>
      </c>
      <c r="L14" s="31">
        <v>0.8</v>
      </c>
      <c r="M14" s="21"/>
      <c r="N14" s="21"/>
      <c r="O14" s="24" t="str">
        <f t="shared" ca="1" si="0"/>
        <v>Understand the Business Environnement</v>
      </c>
      <c r="P14" s="23" t="str">
        <f t="shared" ca="1" si="1"/>
        <v>Practice What You Preach</v>
      </c>
      <c r="Q14" s="23" t="str">
        <f t="shared" ca="1" si="2"/>
        <v>Results Focus</v>
      </c>
      <c r="R14" s="23" t="str">
        <f t="shared" ca="1" si="3"/>
        <v>Know Yourself</v>
      </c>
      <c r="S14" s="23" t="str">
        <f t="shared" ca="1" si="4"/>
        <v>Proactive Collaboration</v>
      </c>
      <c r="T14" s="23" t="str">
        <f t="shared" ca="1" si="5"/>
        <v>Initiative</v>
      </c>
      <c r="U14" s="16"/>
    </row>
    <row r="15" spans="1:21" customFormat="1" ht="42.75" customHeight="1" x14ac:dyDescent="0.2">
      <c r="A15" s="90" t="s">
        <v>18</v>
      </c>
      <c r="B15" s="19"/>
      <c r="C15" s="19"/>
      <c r="D15" s="19"/>
      <c r="E15" s="92" t="s">
        <v>113</v>
      </c>
      <c r="F15" s="16"/>
      <c r="G15" s="82" t="s">
        <v>135</v>
      </c>
      <c r="H15" s="83" t="s">
        <v>136</v>
      </c>
      <c r="I15" s="17"/>
      <c r="J15" s="86">
        <v>2</v>
      </c>
      <c r="K15" s="87">
        <v>3</v>
      </c>
      <c r="L15" s="31">
        <v>1.1499999999999999</v>
      </c>
      <c r="M15" s="21"/>
      <c r="N15" s="21"/>
      <c r="O15" s="24" t="str">
        <f t="shared" ca="1" si="0"/>
        <v>Understand the Business Environnement</v>
      </c>
      <c r="P15" s="23" t="str">
        <f t="shared" ca="1" si="1"/>
        <v>Practice What You Preach</v>
      </c>
      <c r="Q15" s="23" t="str">
        <f t="shared" ca="1" si="2"/>
        <v>Results Focus</v>
      </c>
      <c r="R15" s="23" t="str">
        <f t="shared" ca="1" si="3"/>
        <v>Know Yourself</v>
      </c>
      <c r="S15" s="23" t="str">
        <f t="shared" ca="1" si="4"/>
        <v>Proactive Collaboration</v>
      </c>
      <c r="T15" s="23" t="str">
        <f t="shared" ca="1" si="5"/>
        <v>Initiative</v>
      </c>
      <c r="U15" s="16"/>
    </row>
    <row r="16" spans="1:21" ht="12.75" customHeight="1" x14ac:dyDescent="0.2">
      <c r="L16" s="99"/>
    </row>
    <row r="17" spans="12:12" ht="12.75" customHeight="1" x14ac:dyDescent="0.2">
      <c r="L17" s="99"/>
    </row>
    <row r="18" spans="12:12" ht="12.75" customHeight="1" x14ac:dyDescent="0.2">
      <c r="L18" s="99"/>
    </row>
    <row r="19" spans="12:12" ht="12.75" customHeight="1" x14ac:dyDescent="0.2">
      <c r="L19" s="99"/>
    </row>
    <row r="20" spans="12:12" ht="12.75" customHeight="1" x14ac:dyDescent="0.2">
      <c r="L20" s="99"/>
    </row>
    <row r="21" spans="12:12" ht="12.75" customHeight="1" x14ac:dyDescent="0.2">
      <c r="L21" s="99"/>
    </row>
    <row r="22" spans="12:12" ht="12.75" customHeight="1" x14ac:dyDescent="0.2">
      <c r="L22" s="99"/>
    </row>
    <row r="23" spans="12:12" ht="12.75" customHeight="1" x14ac:dyDescent="0.2">
      <c r="L23" s="99"/>
    </row>
    <row r="24" spans="12:12" ht="12.75" customHeight="1" x14ac:dyDescent="0.2">
      <c r="L24" s="99"/>
    </row>
    <row r="25" spans="12:12" ht="12.75" customHeight="1" x14ac:dyDescent="0.2">
      <c r="L25" s="99"/>
    </row>
    <row r="26" spans="12:12" ht="12.75" customHeight="1" x14ac:dyDescent="0.2">
      <c r="L26" s="99"/>
    </row>
    <row r="27" spans="12:12" ht="12.75" customHeight="1" x14ac:dyDescent="0.2">
      <c r="L27" s="99"/>
    </row>
    <row r="28" spans="12:12" ht="12.75" customHeight="1" x14ac:dyDescent="0.2">
      <c r="L28" s="99"/>
    </row>
    <row r="29" spans="12:12" ht="12.75" customHeight="1" x14ac:dyDescent="0.2">
      <c r="L29" s="99"/>
    </row>
    <row r="30" spans="12:12" ht="12.75" customHeight="1" x14ac:dyDescent="0.2">
      <c r="L30" s="99"/>
    </row>
    <row r="31" spans="12:12" ht="12.75" customHeight="1" x14ac:dyDescent="0.2">
      <c r="L31" s="99"/>
    </row>
    <row r="32" spans="12:12" ht="12.75" customHeight="1" x14ac:dyDescent="0.2">
      <c r="L32" s="99"/>
    </row>
    <row r="33" spans="12:12" ht="12.75" customHeight="1" x14ac:dyDescent="0.2">
      <c r="L33" s="99"/>
    </row>
    <row r="34" spans="12:12" ht="12.75" customHeight="1" x14ac:dyDescent="0.2">
      <c r="L34" s="99"/>
    </row>
    <row r="35" spans="12:12" ht="12.75" customHeight="1" x14ac:dyDescent="0.2">
      <c r="L35" s="99"/>
    </row>
    <row r="36" spans="12:12" ht="12.75" customHeight="1" x14ac:dyDescent="0.2">
      <c r="L36" s="99"/>
    </row>
    <row r="37" spans="12:12" ht="12.75" customHeight="1" x14ac:dyDescent="0.2">
      <c r="L37" s="99"/>
    </row>
    <row r="38" spans="12:12" ht="12.75" customHeight="1" x14ac:dyDescent="0.2">
      <c r="L38" s="99"/>
    </row>
    <row r="39" spans="12:12" ht="12.75" customHeight="1" x14ac:dyDescent="0.2">
      <c r="L39" s="99"/>
    </row>
    <row r="40" spans="12:12" ht="12.75" customHeight="1" x14ac:dyDescent="0.2">
      <c r="L40" s="99"/>
    </row>
    <row r="41" spans="12:12" ht="12.75" customHeight="1" x14ac:dyDescent="0.2">
      <c r="L41" s="99"/>
    </row>
    <row r="42" spans="12:12" ht="12.75" customHeight="1" x14ac:dyDescent="0.2">
      <c r="L42" s="99"/>
    </row>
    <row r="43" spans="12:12" ht="12.75" customHeight="1" x14ac:dyDescent="0.2">
      <c r="L43" s="99"/>
    </row>
    <row r="44" spans="12:12" ht="12.75" customHeight="1" x14ac:dyDescent="0.2">
      <c r="L44" s="99"/>
    </row>
    <row r="45" spans="12:12" ht="12.75" customHeight="1" x14ac:dyDescent="0.2">
      <c r="L45" s="99"/>
    </row>
    <row r="46" spans="12:12" ht="12.75" customHeight="1" x14ac:dyDescent="0.2">
      <c r="L46" s="99"/>
    </row>
    <row r="47" spans="12:12" ht="12.75" customHeight="1" x14ac:dyDescent="0.2">
      <c r="L47" s="99"/>
    </row>
    <row r="48" spans="12:12" ht="12.75" customHeight="1" x14ac:dyDescent="0.2">
      <c r="L48" s="99"/>
    </row>
    <row r="49" spans="12:12" ht="12.75" customHeight="1" x14ac:dyDescent="0.2">
      <c r="L49" s="99"/>
    </row>
    <row r="50" spans="12:12" ht="12.75" customHeight="1" x14ac:dyDescent="0.2">
      <c r="L50" s="99"/>
    </row>
    <row r="51" spans="12:12" ht="12.75" customHeight="1" x14ac:dyDescent="0.2">
      <c r="L51" s="99"/>
    </row>
    <row r="52" spans="12:12" ht="12.75" customHeight="1" x14ac:dyDescent="0.2">
      <c r="L52" s="99"/>
    </row>
    <row r="53" spans="12:12" ht="12.75" customHeight="1" x14ac:dyDescent="0.2">
      <c r="L53" s="99"/>
    </row>
    <row r="54" spans="12:12" ht="12.75" customHeight="1" x14ac:dyDescent="0.2">
      <c r="L54" s="99"/>
    </row>
    <row r="55" spans="12:12" ht="12.75" customHeight="1" x14ac:dyDescent="0.2">
      <c r="L55" s="99"/>
    </row>
    <row r="56" spans="12:12" ht="12.75" customHeight="1" x14ac:dyDescent="0.2">
      <c r="L56" s="99"/>
    </row>
    <row r="57" spans="12:12" ht="12.75" customHeight="1" x14ac:dyDescent="0.2">
      <c r="L57" s="99"/>
    </row>
    <row r="58" spans="12:12" ht="12.75" customHeight="1" x14ac:dyDescent="0.2">
      <c r="L58" s="99"/>
    </row>
    <row r="59" spans="12:12" ht="12.75" customHeight="1" x14ac:dyDescent="0.2">
      <c r="L59" s="99"/>
    </row>
    <row r="60" spans="12:12" ht="12.75" customHeight="1" x14ac:dyDescent="0.2">
      <c r="L60" s="99"/>
    </row>
    <row r="61" spans="12:12" ht="12.75" customHeight="1" x14ac:dyDescent="0.2">
      <c r="L61" s="99"/>
    </row>
    <row r="62" spans="12:12" ht="12.75" customHeight="1" x14ac:dyDescent="0.2">
      <c r="L62" s="99"/>
    </row>
    <row r="63" spans="12:12" ht="12.75" customHeight="1" x14ac:dyDescent="0.2">
      <c r="L63" s="99"/>
    </row>
    <row r="64" spans="12:12" ht="12.75" customHeight="1" x14ac:dyDescent="0.2">
      <c r="L64" s="99"/>
    </row>
    <row r="65" spans="12:12" ht="12.75" customHeight="1" x14ac:dyDescent="0.2">
      <c r="L65" s="99"/>
    </row>
    <row r="66" spans="12:12" ht="12.75" customHeight="1" x14ac:dyDescent="0.2">
      <c r="L66" s="99"/>
    </row>
    <row r="67" spans="12:12" ht="12.75" customHeight="1" x14ac:dyDescent="0.2">
      <c r="L67" s="99"/>
    </row>
    <row r="68" spans="12:12" ht="12.75" customHeight="1" x14ac:dyDescent="0.2">
      <c r="L68" s="99"/>
    </row>
    <row r="69" spans="12:12" ht="12.75" customHeight="1" x14ac:dyDescent="0.2">
      <c r="L69" s="99"/>
    </row>
    <row r="70" spans="12:12" ht="12.75" customHeight="1" x14ac:dyDescent="0.2">
      <c r="L70" s="99"/>
    </row>
    <row r="71" spans="12:12" ht="12.75" customHeight="1" x14ac:dyDescent="0.2">
      <c r="L71" s="99"/>
    </row>
    <row r="72" spans="12:12" ht="12.75" customHeight="1" x14ac:dyDescent="0.2">
      <c r="L72" s="99"/>
    </row>
    <row r="73" spans="12:12" ht="12.75" customHeight="1" x14ac:dyDescent="0.2">
      <c r="L73" s="99"/>
    </row>
    <row r="74" spans="12:12" ht="12.75" customHeight="1" x14ac:dyDescent="0.2">
      <c r="L74" s="99"/>
    </row>
    <row r="75" spans="12:12" ht="12.75" customHeight="1" x14ac:dyDescent="0.2">
      <c r="L75" s="99"/>
    </row>
    <row r="76" spans="12:12" ht="12.75" customHeight="1" x14ac:dyDescent="0.2">
      <c r="L76" s="99"/>
    </row>
    <row r="77" spans="12:12" ht="12.75" customHeight="1" x14ac:dyDescent="0.2">
      <c r="L77" s="99"/>
    </row>
    <row r="78" spans="12:12" ht="12.75" customHeight="1" x14ac:dyDescent="0.2">
      <c r="L78" s="99"/>
    </row>
    <row r="79" spans="12:12" ht="12.75" customHeight="1" x14ac:dyDescent="0.2">
      <c r="L79" s="99"/>
    </row>
    <row r="80" spans="12:12" ht="12.75" customHeight="1" x14ac:dyDescent="0.2">
      <c r="L80" s="99"/>
    </row>
    <row r="81" spans="12:12" ht="12.75" customHeight="1" x14ac:dyDescent="0.2">
      <c r="L81" s="99"/>
    </row>
    <row r="82" spans="12:12" ht="12.75" customHeight="1" x14ac:dyDescent="0.2">
      <c r="L82" s="99"/>
    </row>
    <row r="83" spans="12:12" ht="12.75" customHeight="1" x14ac:dyDescent="0.2">
      <c r="L83" s="99"/>
    </row>
    <row r="84" spans="12:12" ht="12.75" customHeight="1" x14ac:dyDescent="0.2">
      <c r="L84" s="99"/>
    </row>
    <row r="85" spans="12:12" ht="12.75" customHeight="1" x14ac:dyDescent="0.2">
      <c r="L85" s="99"/>
    </row>
    <row r="86" spans="12:12" ht="12.75" customHeight="1" x14ac:dyDescent="0.2">
      <c r="L86" s="99"/>
    </row>
    <row r="87" spans="12:12" ht="12.75" customHeight="1" x14ac:dyDescent="0.2">
      <c r="L87" s="99"/>
    </row>
    <row r="88" spans="12:12" ht="12.75" customHeight="1" x14ac:dyDescent="0.2">
      <c r="L88" s="99"/>
    </row>
    <row r="89" spans="12:12" ht="12.75" customHeight="1" x14ac:dyDescent="0.2">
      <c r="L89" s="99"/>
    </row>
    <row r="90" spans="12:12" ht="12.75" customHeight="1" x14ac:dyDescent="0.2">
      <c r="L90" s="99"/>
    </row>
    <row r="91" spans="12:12" ht="12.75" customHeight="1" x14ac:dyDescent="0.2">
      <c r="L91" s="99"/>
    </row>
    <row r="92" spans="12:12" ht="12.75" customHeight="1" x14ac:dyDescent="0.2">
      <c r="L92" s="99"/>
    </row>
    <row r="93" spans="12:12" ht="12.75" customHeight="1" x14ac:dyDescent="0.2">
      <c r="L93" s="99"/>
    </row>
    <row r="94" spans="12:12" ht="12.75" customHeight="1" x14ac:dyDescent="0.2">
      <c r="L94" s="99"/>
    </row>
    <row r="95" spans="12:12" ht="12.75" customHeight="1" x14ac:dyDescent="0.2">
      <c r="L95" s="99"/>
    </row>
    <row r="96" spans="12:12" ht="12.75" customHeight="1" x14ac:dyDescent="0.2">
      <c r="L96" s="99"/>
    </row>
    <row r="97" spans="12:12" ht="12.75" customHeight="1" x14ac:dyDescent="0.2">
      <c r="L97" s="99"/>
    </row>
    <row r="98" spans="12:12" ht="12.75" customHeight="1" x14ac:dyDescent="0.2">
      <c r="L98" s="99"/>
    </row>
    <row r="99" spans="12:12" ht="12.75" customHeight="1" x14ac:dyDescent="0.2">
      <c r="L99" s="99"/>
    </row>
    <row r="100" spans="12:12" ht="12.75" customHeight="1" x14ac:dyDescent="0.2">
      <c r="L100" s="99"/>
    </row>
    <row r="101" spans="12:12" ht="12.75" customHeight="1" x14ac:dyDescent="0.2">
      <c r="L101" s="99"/>
    </row>
    <row r="102" spans="12:12" ht="12.75" customHeight="1" x14ac:dyDescent="0.2">
      <c r="L102" s="99"/>
    </row>
    <row r="103" spans="12:12" ht="12.75" customHeight="1" x14ac:dyDescent="0.2">
      <c r="L103" s="99"/>
    </row>
    <row r="104" spans="12:12" ht="12.75" customHeight="1" x14ac:dyDescent="0.2">
      <c r="L104" s="99"/>
    </row>
    <row r="105" spans="12:12" ht="12.75" customHeight="1" x14ac:dyDescent="0.2">
      <c r="L105" s="99"/>
    </row>
    <row r="106" spans="12:12" ht="12.75" customHeight="1" x14ac:dyDescent="0.2">
      <c r="L106" s="99"/>
    </row>
    <row r="107" spans="12:12" ht="12.75" customHeight="1" x14ac:dyDescent="0.2">
      <c r="L107" s="99"/>
    </row>
    <row r="108" spans="12:12" ht="12.75" customHeight="1" x14ac:dyDescent="0.2">
      <c r="L108" s="99"/>
    </row>
    <row r="109" spans="12:12" ht="12.75" customHeight="1" x14ac:dyDescent="0.2">
      <c r="L109" s="99"/>
    </row>
    <row r="110" spans="12:12" ht="12.75" customHeight="1" x14ac:dyDescent="0.2">
      <c r="L110" s="99"/>
    </row>
    <row r="111" spans="12:12" ht="12.75" customHeight="1" x14ac:dyDescent="0.2">
      <c r="L111" s="99"/>
    </row>
    <row r="112" spans="12:12" ht="12.75" customHeight="1" x14ac:dyDescent="0.2">
      <c r="L112" s="99"/>
    </row>
    <row r="113" spans="12:12" ht="12.75" customHeight="1" x14ac:dyDescent="0.2">
      <c r="L113" s="99"/>
    </row>
    <row r="114" spans="12:12" ht="12.75" customHeight="1" x14ac:dyDescent="0.2">
      <c r="L114" s="99"/>
    </row>
    <row r="115" spans="12:12" ht="12.75" customHeight="1" x14ac:dyDescent="0.2">
      <c r="L115" s="99"/>
    </row>
    <row r="116" spans="12:12" ht="12.75" customHeight="1" x14ac:dyDescent="0.2">
      <c r="L116" s="99"/>
    </row>
    <row r="117" spans="12:12" ht="12.75" customHeight="1" x14ac:dyDescent="0.2">
      <c r="L117" s="99"/>
    </row>
    <row r="118" spans="12:12" ht="12.75" customHeight="1" x14ac:dyDescent="0.2">
      <c r="L118" s="99"/>
    </row>
    <row r="119" spans="12:12" ht="12.75" customHeight="1" x14ac:dyDescent="0.2">
      <c r="L119" s="99"/>
    </row>
    <row r="120" spans="12:12" ht="12.75" customHeight="1" x14ac:dyDescent="0.2">
      <c r="L120" s="99"/>
    </row>
    <row r="121" spans="12:12" ht="12.75" customHeight="1" x14ac:dyDescent="0.2">
      <c r="L121" s="99"/>
    </row>
    <row r="122" spans="12:12" ht="12.75" customHeight="1" x14ac:dyDescent="0.2">
      <c r="L122" s="99"/>
    </row>
    <row r="123" spans="12:12" ht="12.75" customHeight="1" x14ac:dyDescent="0.2">
      <c r="L123" s="99"/>
    </row>
    <row r="124" spans="12:12" ht="12.75" customHeight="1" x14ac:dyDescent="0.2">
      <c r="L124" s="99"/>
    </row>
    <row r="125" spans="12:12" ht="12.75" customHeight="1" x14ac:dyDescent="0.2">
      <c r="L125" s="99"/>
    </row>
    <row r="126" spans="12:12" ht="12.75" customHeight="1" x14ac:dyDescent="0.2">
      <c r="L126" s="99"/>
    </row>
    <row r="127" spans="12:12" ht="12.75" customHeight="1" x14ac:dyDescent="0.2">
      <c r="L127" s="99"/>
    </row>
    <row r="128" spans="12:12" ht="12.75" customHeight="1" x14ac:dyDescent="0.2">
      <c r="L128" s="99"/>
    </row>
    <row r="129" spans="12:12" ht="12.75" customHeight="1" x14ac:dyDescent="0.2">
      <c r="L129" s="99"/>
    </row>
    <row r="130" spans="12:12" ht="12.75" customHeight="1" x14ac:dyDescent="0.2">
      <c r="L130" s="99"/>
    </row>
    <row r="131" spans="12:12" ht="12.75" customHeight="1" x14ac:dyDescent="0.2">
      <c r="L131" s="99"/>
    </row>
    <row r="132" spans="12:12" ht="12.75" customHeight="1" x14ac:dyDescent="0.2">
      <c r="L132" s="99"/>
    </row>
    <row r="133" spans="12:12" ht="12.75" customHeight="1" x14ac:dyDescent="0.2">
      <c r="L133" s="99"/>
    </row>
    <row r="134" spans="12:12" ht="12.75" customHeight="1" x14ac:dyDescent="0.2">
      <c r="L134" s="99"/>
    </row>
    <row r="135" spans="12:12" ht="12.75" customHeight="1" x14ac:dyDescent="0.2">
      <c r="L135" s="99"/>
    </row>
    <row r="136" spans="12:12" ht="12.75" customHeight="1" x14ac:dyDescent="0.2">
      <c r="L136" s="99"/>
    </row>
    <row r="137" spans="12:12" ht="12.75" customHeight="1" x14ac:dyDescent="0.2">
      <c r="L137" s="99"/>
    </row>
    <row r="138" spans="12:12" ht="12.75" customHeight="1" x14ac:dyDescent="0.2">
      <c r="L138" s="99"/>
    </row>
    <row r="139" spans="12:12" ht="12.75" customHeight="1" x14ac:dyDescent="0.2">
      <c r="L139" s="99"/>
    </row>
    <row r="140" spans="12:12" ht="12.75" customHeight="1" x14ac:dyDescent="0.2">
      <c r="L140" s="99"/>
    </row>
    <row r="141" spans="12:12" ht="12.75" customHeight="1" x14ac:dyDescent="0.2">
      <c r="L141" s="99"/>
    </row>
    <row r="142" spans="12:12" ht="12.75" customHeight="1" x14ac:dyDescent="0.2">
      <c r="L142" s="99"/>
    </row>
    <row r="143" spans="12:12" ht="12.75" customHeight="1" x14ac:dyDescent="0.2">
      <c r="L143" s="99"/>
    </row>
    <row r="144" spans="12:12" ht="12.75" customHeight="1" x14ac:dyDescent="0.2">
      <c r="L144" s="99"/>
    </row>
    <row r="145" spans="12:12" ht="12.75" customHeight="1" x14ac:dyDescent="0.2">
      <c r="L145" s="99"/>
    </row>
    <row r="146" spans="12:12" ht="12.75" customHeight="1" x14ac:dyDescent="0.2">
      <c r="L146" s="99"/>
    </row>
    <row r="147" spans="12:12" ht="12.75" customHeight="1" x14ac:dyDescent="0.2">
      <c r="L147" s="99"/>
    </row>
    <row r="148" spans="12:12" ht="12.75" customHeight="1" x14ac:dyDescent="0.2">
      <c r="L148" s="99"/>
    </row>
    <row r="149" spans="12:12" ht="12.75" customHeight="1" x14ac:dyDescent="0.2">
      <c r="L149" s="99"/>
    </row>
    <row r="150" spans="12:12" ht="12.75" customHeight="1" x14ac:dyDescent="0.2">
      <c r="L150" s="99"/>
    </row>
    <row r="151" spans="12:12" ht="12.75" customHeight="1" x14ac:dyDescent="0.2">
      <c r="L151" s="99"/>
    </row>
    <row r="152" spans="12:12" ht="12.75" customHeight="1" x14ac:dyDescent="0.2">
      <c r="L152" s="99"/>
    </row>
    <row r="153" spans="12:12" ht="12.75" customHeight="1" x14ac:dyDescent="0.2">
      <c r="L153" s="99"/>
    </row>
    <row r="154" spans="12:12" ht="12.75" customHeight="1" x14ac:dyDescent="0.2">
      <c r="L154" s="99"/>
    </row>
    <row r="155" spans="12:12" ht="12.75" customHeight="1" x14ac:dyDescent="0.2">
      <c r="L155" s="99"/>
    </row>
    <row r="156" spans="12:12" ht="12.75" customHeight="1" x14ac:dyDescent="0.2">
      <c r="L156" s="99"/>
    </row>
    <row r="157" spans="12:12" ht="12.75" customHeight="1" x14ac:dyDescent="0.2">
      <c r="L157" s="99"/>
    </row>
    <row r="158" spans="12:12" ht="12.75" customHeight="1" x14ac:dyDescent="0.2">
      <c r="L158" s="99"/>
    </row>
    <row r="159" spans="12:12" ht="12.75" customHeight="1" x14ac:dyDescent="0.2">
      <c r="L159" s="99"/>
    </row>
    <row r="160" spans="12:12" ht="12.75" customHeight="1" x14ac:dyDescent="0.2">
      <c r="L160" s="99"/>
    </row>
    <row r="161" spans="12:12" ht="12.75" customHeight="1" x14ac:dyDescent="0.2">
      <c r="L161" s="99"/>
    </row>
    <row r="162" spans="12:12" ht="12.75" customHeight="1" x14ac:dyDescent="0.2">
      <c r="L162" s="99"/>
    </row>
    <row r="163" spans="12:12" ht="12.75" customHeight="1" x14ac:dyDescent="0.2">
      <c r="L163" s="99"/>
    </row>
    <row r="164" spans="12:12" ht="12.75" customHeight="1" x14ac:dyDescent="0.2">
      <c r="L164" s="99"/>
    </row>
    <row r="165" spans="12:12" ht="12.75" customHeight="1" x14ac:dyDescent="0.2">
      <c r="L165" s="99"/>
    </row>
    <row r="166" spans="12:12" ht="12.75" customHeight="1" x14ac:dyDescent="0.2">
      <c r="L166" s="99"/>
    </row>
    <row r="167" spans="12:12" ht="12.75" customHeight="1" x14ac:dyDescent="0.2">
      <c r="L167" s="99"/>
    </row>
    <row r="168" spans="12:12" ht="12.75" customHeight="1" x14ac:dyDescent="0.2">
      <c r="L168" s="99"/>
    </row>
    <row r="169" spans="12:12" ht="12.75" customHeight="1" x14ac:dyDescent="0.2">
      <c r="L169" s="99"/>
    </row>
    <row r="170" spans="12:12" ht="12.75" customHeight="1" x14ac:dyDescent="0.2">
      <c r="L170" s="99"/>
    </row>
    <row r="171" spans="12:12" ht="12.75" customHeight="1" x14ac:dyDescent="0.2">
      <c r="L171" s="99"/>
    </row>
    <row r="172" spans="12:12" ht="12.75" customHeight="1" x14ac:dyDescent="0.2">
      <c r="L172" s="99"/>
    </row>
    <row r="173" spans="12:12" ht="12.75" customHeight="1" x14ac:dyDescent="0.2">
      <c r="L173" s="99"/>
    </row>
    <row r="174" spans="12:12" ht="12.75" customHeight="1" x14ac:dyDescent="0.2">
      <c r="L174" s="99"/>
    </row>
    <row r="175" spans="12:12" ht="12.75" customHeight="1" x14ac:dyDescent="0.2">
      <c r="L175" s="99"/>
    </row>
    <row r="176" spans="12:12" ht="12.75" customHeight="1" x14ac:dyDescent="0.2">
      <c r="L176" s="99"/>
    </row>
    <row r="177" spans="12:12" ht="12.75" customHeight="1" x14ac:dyDescent="0.2">
      <c r="L177" s="99"/>
    </row>
    <row r="178" spans="12:12" ht="12.75" customHeight="1" x14ac:dyDescent="0.2">
      <c r="L178" s="99"/>
    </row>
    <row r="179" spans="12:12" ht="12.75" customHeight="1" x14ac:dyDescent="0.2">
      <c r="L179" s="99"/>
    </row>
    <row r="180" spans="12:12" ht="12.75" customHeight="1" x14ac:dyDescent="0.2">
      <c r="L180" s="99"/>
    </row>
    <row r="181" spans="12:12" ht="12.75" customHeight="1" x14ac:dyDescent="0.2">
      <c r="L181" s="99"/>
    </row>
    <row r="182" spans="12:12" ht="12.75" customHeight="1" x14ac:dyDescent="0.2">
      <c r="L182" s="99"/>
    </row>
    <row r="183" spans="12:12" ht="12.75" customHeight="1" x14ac:dyDescent="0.2">
      <c r="L183" s="99"/>
    </row>
    <row r="184" spans="12:12" ht="12.75" customHeight="1" x14ac:dyDescent="0.2">
      <c r="L184" s="99"/>
    </row>
    <row r="185" spans="12:12" ht="12.75" customHeight="1" x14ac:dyDescent="0.2">
      <c r="L185" s="99"/>
    </row>
    <row r="186" spans="12:12" ht="12.75" customHeight="1" x14ac:dyDescent="0.2">
      <c r="L186" s="99"/>
    </row>
    <row r="187" spans="12:12" ht="12.75" customHeight="1" x14ac:dyDescent="0.2">
      <c r="L187" s="99"/>
    </row>
    <row r="188" spans="12:12" ht="12.75" customHeight="1" x14ac:dyDescent="0.2">
      <c r="L188" s="99"/>
    </row>
    <row r="189" spans="12:12" ht="12.75" customHeight="1" x14ac:dyDescent="0.2">
      <c r="L189" s="99"/>
    </row>
    <row r="190" spans="12:12" ht="12.75" customHeight="1" x14ac:dyDescent="0.2">
      <c r="L190" s="99"/>
    </row>
    <row r="191" spans="12:12" ht="12.75" customHeight="1" x14ac:dyDescent="0.2">
      <c r="L191" s="99"/>
    </row>
    <row r="192" spans="12:12" ht="12.75" customHeight="1" x14ac:dyDescent="0.2">
      <c r="L192" s="99"/>
    </row>
    <row r="193" spans="12:12" ht="12.75" customHeight="1" x14ac:dyDescent="0.2">
      <c r="L193" s="99"/>
    </row>
    <row r="194" spans="12:12" ht="12.75" customHeight="1" x14ac:dyDescent="0.2">
      <c r="L194" s="99"/>
    </row>
    <row r="195" spans="12:12" ht="12.75" customHeight="1" x14ac:dyDescent="0.2">
      <c r="L195" s="99"/>
    </row>
    <row r="196" spans="12:12" ht="12.75" customHeight="1" x14ac:dyDescent="0.2">
      <c r="L196" s="99"/>
    </row>
    <row r="197" spans="12:12" ht="12.75" customHeight="1" x14ac:dyDescent="0.2">
      <c r="L197" s="99"/>
    </row>
    <row r="198" spans="12:12" ht="12.75" customHeight="1" x14ac:dyDescent="0.2">
      <c r="L198" s="99"/>
    </row>
    <row r="199" spans="12:12" ht="12.75" customHeight="1" x14ac:dyDescent="0.2">
      <c r="L199" s="99"/>
    </row>
    <row r="200" spans="12:12" ht="12.75" customHeight="1" x14ac:dyDescent="0.2">
      <c r="L200" s="99"/>
    </row>
    <row r="201" spans="12:12" ht="12.75" customHeight="1" x14ac:dyDescent="0.2">
      <c r="L201" s="99"/>
    </row>
    <row r="202" spans="12:12" ht="12.75" customHeight="1" x14ac:dyDescent="0.2">
      <c r="L202" s="99"/>
    </row>
    <row r="203" spans="12:12" ht="12.75" customHeight="1" x14ac:dyDescent="0.2">
      <c r="L203" s="99"/>
    </row>
    <row r="204" spans="12:12" ht="12.75" customHeight="1" x14ac:dyDescent="0.2">
      <c r="L204" s="99"/>
    </row>
    <row r="205" spans="12:12" ht="12.75" customHeight="1" x14ac:dyDescent="0.2">
      <c r="L205" s="99"/>
    </row>
    <row r="206" spans="12:12" ht="12.75" customHeight="1" x14ac:dyDescent="0.2">
      <c r="L206" s="99"/>
    </row>
    <row r="207" spans="12:12" ht="12.75" customHeight="1" x14ac:dyDescent="0.2">
      <c r="L207" s="99"/>
    </row>
    <row r="208" spans="12:12" ht="12.75" customHeight="1" x14ac:dyDescent="0.2">
      <c r="L208" s="99"/>
    </row>
    <row r="209" spans="12:12" ht="12.75" customHeight="1" x14ac:dyDescent="0.2">
      <c r="L209" s="99"/>
    </row>
    <row r="210" spans="12:12" ht="12.75" customHeight="1" x14ac:dyDescent="0.2">
      <c r="L210" s="99"/>
    </row>
    <row r="211" spans="12:12" ht="12.75" customHeight="1" x14ac:dyDescent="0.2">
      <c r="L211" s="99"/>
    </row>
    <row r="212" spans="12:12" ht="12.75" customHeight="1" x14ac:dyDescent="0.2">
      <c r="L212" s="99"/>
    </row>
    <row r="213" spans="12:12" ht="12.75" customHeight="1" x14ac:dyDescent="0.2">
      <c r="L213" s="99"/>
    </row>
    <row r="214" spans="12:12" ht="12.75" customHeight="1" x14ac:dyDescent="0.2">
      <c r="L214" s="99"/>
    </row>
    <row r="215" spans="12:12" ht="12.75" customHeight="1" x14ac:dyDescent="0.2">
      <c r="L215" s="99"/>
    </row>
    <row r="216" spans="12:12" ht="12.75" customHeight="1" x14ac:dyDescent="0.2">
      <c r="L216" s="99"/>
    </row>
    <row r="217" spans="12:12" ht="12.75" customHeight="1" x14ac:dyDescent="0.2">
      <c r="L217" s="99"/>
    </row>
    <row r="218" spans="12:12" ht="12.75" customHeight="1" x14ac:dyDescent="0.2">
      <c r="L218" s="99"/>
    </row>
    <row r="219" spans="12:12" ht="12.75" customHeight="1" x14ac:dyDescent="0.2">
      <c r="L219" s="99"/>
    </row>
    <row r="220" spans="12:12" ht="12.75" customHeight="1" x14ac:dyDescent="0.2">
      <c r="L220" s="99"/>
    </row>
    <row r="221" spans="12:12" ht="12.75" customHeight="1" x14ac:dyDescent="0.2">
      <c r="L221" s="99"/>
    </row>
    <row r="222" spans="12:12" ht="12.75" customHeight="1" x14ac:dyDescent="0.2">
      <c r="L222" s="99"/>
    </row>
    <row r="223" spans="12:12" ht="12.75" customHeight="1" x14ac:dyDescent="0.2">
      <c r="L223" s="99"/>
    </row>
    <row r="224" spans="12:12" ht="12.75" customHeight="1" x14ac:dyDescent="0.2">
      <c r="L224" s="99"/>
    </row>
    <row r="225" spans="12:12" ht="12.75" customHeight="1" x14ac:dyDescent="0.2">
      <c r="L225" s="99"/>
    </row>
    <row r="226" spans="12:12" ht="12.75" customHeight="1" x14ac:dyDescent="0.2">
      <c r="L226" s="99"/>
    </row>
    <row r="227" spans="12:12" ht="12.75" customHeight="1" x14ac:dyDescent="0.2">
      <c r="L227" s="99"/>
    </row>
    <row r="228" spans="12:12" ht="12.75" customHeight="1" x14ac:dyDescent="0.2">
      <c r="L228" s="99"/>
    </row>
    <row r="229" spans="12:12" ht="12.75" customHeight="1" x14ac:dyDescent="0.2">
      <c r="L229" s="99"/>
    </row>
    <row r="230" spans="12:12" ht="12.75" customHeight="1" x14ac:dyDescent="0.2">
      <c r="L230" s="99"/>
    </row>
    <row r="231" spans="12:12" ht="12.75" customHeight="1" x14ac:dyDescent="0.2">
      <c r="L231" s="99"/>
    </row>
    <row r="232" spans="12:12" ht="12.75" customHeight="1" x14ac:dyDescent="0.2">
      <c r="L232" s="99"/>
    </row>
    <row r="233" spans="12:12" ht="12.75" customHeight="1" x14ac:dyDescent="0.2">
      <c r="L233" s="99"/>
    </row>
    <row r="234" spans="12:12" ht="12.75" customHeight="1" x14ac:dyDescent="0.2">
      <c r="L234" s="99"/>
    </row>
    <row r="235" spans="12:12" ht="12.75" customHeight="1" x14ac:dyDescent="0.2">
      <c r="L235" s="99"/>
    </row>
    <row r="236" spans="12:12" ht="12.75" customHeight="1" x14ac:dyDescent="0.2">
      <c r="L236" s="99"/>
    </row>
    <row r="237" spans="12:12" ht="12.75" customHeight="1" x14ac:dyDescent="0.2">
      <c r="L237" s="99"/>
    </row>
    <row r="238" spans="12:12" ht="12.75" customHeight="1" x14ac:dyDescent="0.2">
      <c r="L238" s="99"/>
    </row>
    <row r="239" spans="12:12" ht="12.75" customHeight="1" x14ac:dyDescent="0.2">
      <c r="L239" s="99"/>
    </row>
    <row r="240" spans="12:12" ht="12.75" customHeight="1" x14ac:dyDescent="0.2">
      <c r="L240" s="99"/>
    </row>
    <row r="241" spans="12:12" ht="12.75" customHeight="1" x14ac:dyDescent="0.2">
      <c r="L241" s="99"/>
    </row>
    <row r="242" spans="12:12" ht="12.75" customHeight="1" x14ac:dyDescent="0.2">
      <c r="L242" s="99"/>
    </row>
    <row r="243" spans="12:12" ht="12.75" customHeight="1" x14ac:dyDescent="0.2">
      <c r="L243" s="99"/>
    </row>
    <row r="244" spans="12:12" ht="12.75" customHeight="1" x14ac:dyDescent="0.2">
      <c r="L244" s="99"/>
    </row>
    <row r="245" spans="12:12" ht="12.75" customHeight="1" x14ac:dyDescent="0.2">
      <c r="L245" s="99"/>
    </row>
    <row r="246" spans="12:12" ht="12.75" customHeight="1" x14ac:dyDescent="0.2">
      <c r="L246" s="99"/>
    </row>
    <row r="247" spans="12:12" ht="12.75" customHeight="1" x14ac:dyDescent="0.2">
      <c r="L247" s="99"/>
    </row>
    <row r="248" spans="12:12" ht="12.75" customHeight="1" x14ac:dyDescent="0.2">
      <c r="L248" s="99"/>
    </row>
    <row r="249" spans="12:12" ht="12.75" customHeight="1" x14ac:dyDescent="0.2">
      <c r="L249" s="99"/>
    </row>
    <row r="250" spans="12:12" ht="12.75" customHeight="1" x14ac:dyDescent="0.2">
      <c r="L250" s="99"/>
    </row>
    <row r="251" spans="12:12" ht="12.75" customHeight="1" x14ac:dyDescent="0.2">
      <c r="L251" s="99"/>
    </row>
    <row r="252" spans="12:12" ht="12.75" customHeight="1" x14ac:dyDescent="0.2">
      <c r="L252" s="99"/>
    </row>
    <row r="253" spans="12:12" ht="12.75" customHeight="1" x14ac:dyDescent="0.2">
      <c r="L253" s="99"/>
    </row>
    <row r="254" spans="12:12" ht="12.75" customHeight="1" x14ac:dyDescent="0.2">
      <c r="L254" s="99"/>
    </row>
    <row r="255" spans="12:12" ht="12.75" customHeight="1" x14ac:dyDescent="0.2">
      <c r="L255" s="99"/>
    </row>
    <row r="256" spans="12:12" ht="12.75" customHeight="1" x14ac:dyDescent="0.2">
      <c r="L256" s="99"/>
    </row>
    <row r="257" spans="12:12" ht="12.75" customHeight="1" x14ac:dyDescent="0.2">
      <c r="L257" s="99"/>
    </row>
    <row r="258" spans="12:12" ht="12.75" customHeight="1" x14ac:dyDescent="0.2">
      <c r="L258" s="99"/>
    </row>
    <row r="259" spans="12:12" ht="12.75" customHeight="1" x14ac:dyDescent="0.2">
      <c r="L259" s="99"/>
    </row>
    <row r="260" spans="12:12" ht="12.75" customHeight="1" x14ac:dyDescent="0.2">
      <c r="L260" s="99"/>
    </row>
    <row r="261" spans="12:12" ht="12.75" customHeight="1" x14ac:dyDescent="0.2">
      <c r="L261" s="99"/>
    </row>
    <row r="262" spans="12:12" ht="12.75" customHeight="1" x14ac:dyDescent="0.2">
      <c r="L262" s="99"/>
    </row>
    <row r="263" spans="12:12" ht="12.75" customHeight="1" x14ac:dyDescent="0.2">
      <c r="L263" s="99"/>
    </row>
    <row r="264" spans="12:12" ht="12.75" customHeight="1" x14ac:dyDescent="0.2">
      <c r="L264" s="99"/>
    </row>
    <row r="265" spans="12:12" ht="12.75" customHeight="1" x14ac:dyDescent="0.2">
      <c r="L265" s="99"/>
    </row>
    <row r="266" spans="12:12" ht="12.75" customHeight="1" x14ac:dyDescent="0.2">
      <c r="L266" s="99"/>
    </row>
    <row r="267" spans="12:12" ht="12.75" customHeight="1" x14ac:dyDescent="0.2">
      <c r="L267" s="99"/>
    </row>
    <row r="268" spans="12:12" ht="12.75" customHeight="1" x14ac:dyDescent="0.2">
      <c r="L268" s="99"/>
    </row>
    <row r="269" spans="12:12" ht="12.75" customHeight="1" x14ac:dyDescent="0.2">
      <c r="L269" s="99"/>
    </row>
    <row r="270" spans="12:12" ht="12.75" customHeight="1" x14ac:dyDescent="0.2">
      <c r="L270" s="99"/>
    </row>
    <row r="271" spans="12:12" ht="12.75" customHeight="1" x14ac:dyDescent="0.2">
      <c r="L271" s="99"/>
    </row>
    <row r="272" spans="12:12" ht="12.75" customHeight="1" x14ac:dyDescent="0.2">
      <c r="L272" s="99"/>
    </row>
    <row r="273" spans="12:12" ht="12.75" customHeight="1" x14ac:dyDescent="0.2">
      <c r="L273" s="99"/>
    </row>
    <row r="274" spans="12:12" ht="12.75" customHeight="1" x14ac:dyDescent="0.2">
      <c r="L274" s="99"/>
    </row>
    <row r="275" spans="12:12" ht="12.75" customHeight="1" x14ac:dyDescent="0.2">
      <c r="L275" s="99"/>
    </row>
    <row r="276" spans="12:12" ht="12.75" customHeight="1" x14ac:dyDescent="0.2">
      <c r="L276" s="99"/>
    </row>
    <row r="277" spans="12:12" ht="12.75" customHeight="1" x14ac:dyDescent="0.2">
      <c r="L277" s="99"/>
    </row>
    <row r="278" spans="12:12" ht="12.75" customHeight="1" x14ac:dyDescent="0.2">
      <c r="L278" s="99"/>
    </row>
    <row r="279" spans="12:12" ht="12.75" customHeight="1" x14ac:dyDescent="0.2">
      <c r="L279" s="99"/>
    </row>
    <row r="280" spans="12:12" ht="12.75" customHeight="1" x14ac:dyDescent="0.2">
      <c r="L280" s="99"/>
    </row>
    <row r="281" spans="12:12" ht="12.75" customHeight="1" x14ac:dyDescent="0.2">
      <c r="L281" s="99"/>
    </row>
    <row r="282" spans="12:12" ht="12.75" customHeight="1" x14ac:dyDescent="0.2">
      <c r="L282" s="99"/>
    </row>
    <row r="283" spans="12:12" ht="12.75" customHeight="1" x14ac:dyDescent="0.2">
      <c r="L283" s="99"/>
    </row>
    <row r="284" spans="12:12" ht="12.75" customHeight="1" x14ac:dyDescent="0.2">
      <c r="L284" s="99"/>
    </row>
    <row r="285" spans="12:12" ht="12.75" customHeight="1" x14ac:dyDescent="0.2">
      <c r="L285" s="99"/>
    </row>
    <row r="286" spans="12:12" ht="12.75" customHeight="1" x14ac:dyDescent="0.2">
      <c r="L286" s="99"/>
    </row>
    <row r="287" spans="12:12" ht="12.75" customHeight="1" x14ac:dyDescent="0.2">
      <c r="L287" s="99"/>
    </row>
    <row r="288" spans="12:12" ht="12.75" customHeight="1" x14ac:dyDescent="0.2">
      <c r="L288" s="99"/>
    </row>
    <row r="289" spans="12:12" ht="12.75" customHeight="1" x14ac:dyDescent="0.2">
      <c r="L289" s="99"/>
    </row>
    <row r="290" spans="12:12" ht="12.75" customHeight="1" x14ac:dyDescent="0.2">
      <c r="L290" s="99"/>
    </row>
    <row r="291" spans="12:12" ht="12.75" customHeight="1" x14ac:dyDescent="0.2">
      <c r="L291" s="99"/>
    </row>
    <row r="292" spans="12:12" ht="12.75" customHeight="1" x14ac:dyDescent="0.2">
      <c r="L292" s="99"/>
    </row>
    <row r="293" spans="12:12" ht="12.75" customHeight="1" x14ac:dyDescent="0.2">
      <c r="L293" s="99"/>
    </row>
    <row r="294" spans="12:12" ht="12.75" customHeight="1" x14ac:dyDescent="0.2">
      <c r="L294" s="99"/>
    </row>
    <row r="295" spans="12:12" ht="12.75" customHeight="1" x14ac:dyDescent="0.2">
      <c r="L295" s="99"/>
    </row>
    <row r="296" spans="12:12" ht="12.75" customHeight="1" x14ac:dyDescent="0.2">
      <c r="L296" s="99"/>
    </row>
    <row r="297" spans="12:12" ht="12.75" customHeight="1" x14ac:dyDescent="0.2">
      <c r="L297" s="99"/>
    </row>
    <row r="298" spans="12:12" ht="12.75" customHeight="1" x14ac:dyDescent="0.2">
      <c r="L298" s="99"/>
    </row>
    <row r="299" spans="12:12" ht="12.75" customHeight="1" x14ac:dyDescent="0.2">
      <c r="L299" s="99"/>
    </row>
    <row r="300" spans="12:12" ht="12.75" customHeight="1" x14ac:dyDescent="0.2">
      <c r="L300" s="99"/>
    </row>
    <row r="301" spans="12:12" ht="12.75" customHeight="1" x14ac:dyDescent="0.2">
      <c r="L301" s="99"/>
    </row>
    <row r="302" spans="12:12" ht="12.75" customHeight="1" x14ac:dyDescent="0.2">
      <c r="L302" s="99"/>
    </row>
    <row r="303" spans="12:12" ht="12.75" customHeight="1" x14ac:dyDescent="0.2">
      <c r="L303" s="99"/>
    </row>
    <row r="304" spans="12:12" ht="12.75" customHeight="1" x14ac:dyDescent="0.2">
      <c r="L304" s="99"/>
    </row>
    <row r="305" spans="12:12" ht="12.75" customHeight="1" x14ac:dyDescent="0.2">
      <c r="L305" s="99"/>
    </row>
    <row r="306" spans="12:12" ht="12.75" customHeight="1" x14ac:dyDescent="0.2">
      <c r="L306" s="99"/>
    </row>
    <row r="307" spans="12:12" ht="12.75" customHeight="1" x14ac:dyDescent="0.2">
      <c r="L307" s="99"/>
    </row>
    <row r="308" spans="12:12" ht="12.75" customHeight="1" x14ac:dyDescent="0.2">
      <c r="L308" s="99"/>
    </row>
    <row r="309" spans="12:12" ht="12.75" customHeight="1" x14ac:dyDescent="0.2">
      <c r="L309" s="99"/>
    </row>
    <row r="310" spans="12:12" ht="12.75" customHeight="1" x14ac:dyDescent="0.2">
      <c r="L310" s="99"/>
    </row>
    <row r="311" spans="12:12" ht="12.75" customHeight="1" x14ac:dyDescent="0.2">
      <c r="L311" s="99"/>
    </row>
    <row r="312" spans="12:12" ht="12.75" customHeight="1" x14ac:dyDescent="0.2">
      <c r="L312" s="99"/>
    </row>
    <row r="313" spans="12:12" ht="12.75" customHeight="1" x14ac:dyDescent="0.2">
      <c r="L313" s="99"/>
    </row>
    <row r="314" spans="12:12" ht="12.75" customHeight="1" x14ac:dyDescent="0.2">
      <c r="L314" s="99"/>
    </row>
    <row r="315" spans="12:12" ht="12.75" customHeight="1" x14ac:dyDescent="0.2">
      <c r="L315" s="99"/>
    </row>
    <row r="316" spans="12:12" ht="12.75" customHeight="1" x14ac:dyDescent="0.2">
      <c r="L316" s="99"/>
    </row>
    <row r="317" spans="12:12" ht="12.75" customHeight="1" x14ac:dyDescent="0.2">
      <c r="L317" s="99"/>
    </row>
    <row r="318" spans="12:12" ht="12.75" customHeight="1" x14ac:dyDescent="0.2">
      <c r="L318" s="99"/>
    </row>
    <row r="319" spans="12:12" ht="12.75" customHeight="1" x14ac:dyDescent="0.2">
      <c r="L319" s="99"/>
    </row>
    <row r="320" spans="12:12" ht="12.75" customHeight="1" x14ac:dyDescent="0.2">
      <c r="L320" s="99"/>
    </row>
    <row r="321" spans="12:12" ht="12.75" customHeight="1" x14ac:dyDescent="0.2">
      <c r="L321" s="99"/>
    </row>
    <row r="322" spans="12:12" ht="12.75" customHeight="1" x14ac:dyDescent="0.2">
      <c r="L322" s="99"/>
    </row>
    <row r="323" spans="12:12" ht="12.75" customHeight="1" x14ac:dyDescent="0.2">
      <c r="L323" s="99"/>
    </row>
    <row r="324" spans="12:12" ht="12.75" customHeight="1" x14ac:dyDescent="0.2">
      <c r="L324" s="99"/>
    </row>
    <row r="325" spans="12:12" ht="12.75" customHeight="1" x14ac:dyDescent="0.2">
      <c r="L325" s="99"/>
    </row>
    <row r="326" spans="12:12" ht="12.75" customHeight="1" x14ac:dyDescent="0.2">
      <c r="L326" s="99"/>
    </row>
    <row r="327" spans="12:12" ht="12.75" customHeight="1" x14ac:dyDescent="0.2">
      <c r="L327" s="99"/>
    </row>
    <row r="328" spans="12:12" ht="12.75" customHeight="1" x14ac:dyDescent="0.2">
      <c r="L328" s="99"/>
    </row>
    <row r="329" spans="12:12" ht="12.75" customHeight="1" x14ac:dyDescent="0.2">
      <c r="L329" s="99"/>
    </row>
    <row r="330" spans="12:12" ht="12.75" customHeight="1" x14ac:dyDescent="0.2">
      <c r="L330" s="99"/>
    </row>
    <row r="331" spans="12:12" ht="12.75" customHeight="1" x14ac:dyDescent="0.2">
      <c r="L331" s="99"/>
    </row>
    <row r="332" spans="12:12" ht="12.75" customHeight="1" x14ac:dyDescent="0.2">
      <c r="L332" s="99"/>
    </row>
    <row r="333" spans="12:12" ht="12.75" customHeight="1" x14ac:dyDescent="0.2">
      <c r="L333" s="99"/>
    </row>
    <row r="334" spans="12:12" ht="12.75" customHeight="1" x14ac:dyDescent="0.2">
      <c r="L334" s="99"/>
    </row>
    <row r="335" spans="12:12" ht="12.75" customHeight="1" x14ac:dyDescent="0.2">
      <c r="L335" s="99"/>
    </row>
    <row r="336" spans="12:12" ht="12.75" customHeight="1" x14ac:dyDescent="0.2">
      <c r="L336" s="99"/>
    </row>
    <row r="337" spans="12:12" ht="12.75" customHeight="1" x14ac:dyDescent="0.2">
      <c r="L337" s="99"/>
    </row>
    <row r="338" spans="12:12" ht="12.75" customHeight="1" x14ac:dyDescent="0.2">
      <c r="L338" s="99"/>
    </row>
    <row r="339" spans="12:12" ht="12.75" customHeight="1" x14ac:dyDescent="0.2">
      <c r="L339" s="99"/>
    </row>
    <row r="340" spans="12:12" ht="12.75" customHeight="1" x14ac:dyDescent="0.2">
      <c r="L340" s="99"/>
    </row>
    <row r="341" spans="12:12" ht="12.75" customHeight="1" x14ac:dyDescent="0.2">
      <c r="L341" s="99"/>
    </row>
    <row r="342" spans="12:12" ht="12.75" customHeight="1" x14ac:dyDescent="0.2">
      <c r="L342" s="99"/>
    </row>
    <row r="343" spans="12:12" ht="12.75" customHeight="1" x14ac:dyDescent="0.2">
      <c r="L343" s="99"/>
    </row>
    <row r="344" spans="12:12" ht="12.75" customHeight="1" x14ac:dyDescent="0.2">
      <c r="L344" s="99"/>
    </row>
    <row r="345" spans="12:12" ht="12.75" customHeight="1" x14ac:dyDescent="0.2">
      <c r="L345" s="99"/>
    </row>
    <row r="346" spans="12:12" ht="12.75" customHeight="1" x14ac:dyDescent="0.2">
      <c r="L346" s="99"/>
    </row>
    <row r="347" spans="12:12" ht="12.75" customHeight="1" x14ac:dyDescent="0.2">
      <c r="L347" s="99"/>
    </row>
    <row r="348" spans="12:12" ht="12.75" customHeight="1" x14ac:dyDescent="0.2">
      <c r="L348" s="99"/>
    </row>
    <row r="349" spans="12:12" ht="12.75" customHeight="1" x14ac:dyDescent="0.2">
      <c r="L349" s="99"/>
    </row>
    <row r="350" spans="12:12" ht="12.75" customHeight="1" x14ac:dyDescent="0.2">
      <c r="L350" s="99"/>
    </row>
    <row r="351" spans="12:12" ht="12.75" customHeight="1" x14ac:dyDescent="0.2">
      <c r="L351" s="99"/>
    </row>
    <row r="352" spans="12:12" ht="12.75" customHeight="1" x14ac:dyDescent="0.2">
      <c r="L352" s="99"/>
    </row>
    <row r="353" spans="12:12" ht="12.75" customHeight="1" x14ac:dyDescent="0.2">
      <c r="L353" s="99"/>
    </row>
    <row r="354" spans="12:12" ht="12.75" customHeight="1" x14ac:dyDescent="0.2">
      <c r="L354" s="99"/>
    </row>
    <row r="355" spans="12:12" ht="12.75" customHeight="1" x14ac:dyDescent="0.2">
      <c r="L355" s="99"/>
    </row>
    <row r="356" spans="12:12" ht="12.75" customHeight="1" x14ac:dyDescent="0.2">
      <c r="L356" s="99"/>
    </row>
    <row r="357" spans="12:12" ht="12.75" customHeight="1" x14ac:dyDescent="0.2">
      <c r="L357" s="99"/>
    </row>
    <row r="358" spans="12:12" ht="12.75" customHeight="1" x14ac:dyDescent="0.2">
      <c r="L358" s="99"/>
    </row>
    <row r="359" spans="12:12" ht="12.75" customHeight="1" x14ac:dyDescent="0.2">
      <c r="L359" s="99"/>
    </row>
    <row r="360" spans="12:12" ht="12.75" customHeight="1" x14ac:dyDescent="0.2">
      <c r="L360" s="99"/>
    </row>
    <row r="361" spans="12:12" ht="12.75" customHeight="1" x14ac:dyDescent="0.2">
      <c r="L361" s="99"/>
    </row>
    <row r="362" spans="12:12" ht="12.75" customHeight="1" x14ac:dyDescent="0.2">
      <c r="L362" s="99"/>
    </row>
    <row r="363" spans="12:12" ht="12.75" customHeight="1" x14ac:dyDescent="0.2">
      <c r="L363" s="99"/>
    </row>
    <row r="364" spans="12:12" ht="12.75" customHeight="1" x14ac:dyDescent="0.2">
      <c r="L364" s="99"/>
    </row>
    <row r="365" spans="12:12" ht="12.75" customHeight="1" x14ac:dyDescent="0.2">
      <c r="L365" s="99"/>
    </row>
    <row r="366" spans="12:12" ht="12.75" customHeight="1" x14ac:dyDescent="0.2">
      <c r="L366" s="99"/>
    </row>
    <row r="367" spans="12:12" ht="12.75" customHeight="1" x14ac:dyDescent="0.2">
      <c r="L367" s="99"/>
    </row>
    <row r="368" spans="12:12" ht="12.75" customHeight="1" x14ac:dyDescent="0.2">
      <c r="L368" s="99"/>
    </row>
    <row r="369" spans="12:12" ht="12.75" customHeight="1" x14ac:dyDescent="0.2">
      <c r="L369" s="99"/>
    </row>
    <row r="370" spans="12:12" ht="12.75" customHeight="1" x14ac:dyDescent="0.2">
      <c r="L370" s="99"/>
    </row>
    <row r="371" spans="12:12" ht="12.75" customHeight="1" x14ac:dyDescent="0.2">
      <c r="L371" s="99"/>
    </row>
    <row r="372" spans="12:12" ht="12.75" customHeight="1" x14ac:dyDescent="0.2">
      <c r="L372" s="99"/>
    </row>
    <row r="373" spans="12:12" ht="12.75" customHeight="1" x14ac:dyDescent="0.2">
      <c r="L373" s="99"/>
    </row>
    <row r="374" spans="12:12" ht="12.75" customHeight="1" x14ac:dyDescent="0.2">
      <c r="L374" s="99"/>
    </row>
    <row r="375" spans="12:12" ht="12.75" customHeight="1" x14ac:dyDescent="0.2">
      <c r="L375" s="99"/>
    </row>
    <row r="376" spans="12:12" ht="12.75" customHeight="1" x14ac:dyDescent="0.2">
      <c r="L376" s="99"/>
    </row>
    <row r="377" spans="12:12" ht="12.75" customHeight="1" x14ac:dyDescent="0.2">
      <c r="L377" s="99"/>
    </row>
    <row r="378" spans="12:12" ht="12.75" customHeight="1" x14ac:dyDescent="0.2">
      <c r="L378" s="99"/>
    </row>
    <row r="379" spans="12:12" ht="12.75" customHeight="1" x14ac:dyDescent="0.2">
      <c r="L379" s="99"/>
    </row>
    <row r="380" spans="12:12" ht="12.75" customHeight="1" x14ac:dyDescent="0.2">
      <c r="L380" s="99"/>
    </row>
    <row r="381" spans="12:12" ht="12.75" customHeight="1" x14ac:dyDescent="0.2">
      <c r="L381" s="99"/>
    </row>
    <row r="382" spans="12:12" ht="12.75" customHeight="1" x14ac:dyDescent="0.2">
      <c r="L382" s="99"/>
    </row>
    <row r="383" spans="12:12" ht="12.75" customHeight="1" x14ac:dyDescent="0.2">
      <c r="L383" s="99"/>
    </row>
    <row r="384" spans="12:12" ht="12.75" customHeight="1" x14ac:dyDescent="0.2">
      <c r="L384" s="99"/>
    </row>
    <row r="385" spans="12:12" ht="12.75" customHeight="1" x14ac:dyDescent="0.2">
      <c r="L385" s="99"/>
    </row>
    <row r="386" spans="12:12" ht="12.75" customHeight="1" x14ac:dyDescent="0.2">
      <c r="L386" s="99"/>
    </row>
    <row r="387" spans="12:12" ht="12.75" customHeight="1" x14ac:dyDescent="0.2">
      <c r="L387" s="99"/>
    </row>
    <row r="388" spans="12:12" ht="12.75" customHeight="1" x14ac:dyDescent="0.2">
      <c r="L388" s="99"/>
    </row>
    <row r="389" spans="12:12" ht="12.75" customHeight="1" x14ac:dyDescent="0.2">
      <c r="L389" s="99"/>
    </row>
    <row r="390" spans="12:12" ht="12.75" customHeight="1" x14ac:dyDescent="0.2">
      <c r="L390" s="99"/>
    </row>
    <row r="391" spans="12:12" ht="12.75" customHeight="1" x14ac:dyDescent="0.2">
      <c r="L391" s="99"/>
    </row>
    <row r="392" spans="12:12" ht="12.75" customHeight="1" x14ac:dyDescent="0.2">
      <c r="L392" s="99"/>
    </row>
    <row r="393" spans="12:12" ht="12.75" customHeight="1" x14ac:dyDescent="0.2">
      <c r="L393" s="99"/>
    </row>
    <row r="394" spans="12:12" ht="12.75" customHeight="1" x14ac:dyDescent="0.2">
      <c r="L394" s="99"/>
    </row>
    <row r="395" spans="12:12" ht="12.75" customHeight="1" x14ac:dyDescent="0.2">
      <c r="L395" s="99"/>
    </row>
    <row r="396" spans="12:12" ht="12.75" customHeight="1" x14ac:dyDescent="0.2">
      <c r="L396" s="99"/>
    </row>
    <row r="397" spans="12:12" ht="12.75" customHeight="1" x14ac:dyDescent="0.2">
      <c r="L397" s="99"/>
    </row>
    <row r="398" spans="12:12" ht="12.75" customHeight="1" x14ac:dyDescent="0.2">
      <c r="L398" s="99"/>
    </row>
    <row r="399" spans="12:12" ht="12.75" customHeight="1" x14ac:dyDescent="0.2">
      <c r="L399" s="99"/>
    </row>
    <row r="400" spans="12:12" ht="12.75" customHeight="1" x14ac:dyDescent="0.2">
      <c r="L400" s="99"/>
    </row>
    <row r="401" spans="12:12" ht="12.75" customHeight="1" x14ac:dyDescent="0.2">
      <c r="L401" s="99"/>
    </row>
    <row r="402" spans="12:12" ht="12.75" customHeight="1" x14ac:dyDescent="0.2">
      <c r="L402" s="99"/>
    </row>
    <row r="403" spans="12:12" ht="12.75" customHeight="1" x14ac:dyDescent="0.2">
      <c r="L403" s="99"/>
    </row>
    <row r="404" spans="12:12" ht="12.75" customHeight="1" x14ac:dyDescent="0.2">
      <c r="L404" s="99"/>
    </row>
    <row r="405" spans="12:12" ht="12.75" customHeight="1" x14ac:dyDescent="0.2">
      <c r="L405" s="99"/>
    </row>
    <row r="406" spans="12:12" ht="12.75" customHeight="1" x14ac:dyDescent="0.2">
      <c r="L406" s="99"/>
    </row>
    <row r="407" spans="12:12" ht="12.75" customHeight="1" x14ac:dyDescent="0.2">
      <c r="L407" s="99"/>
    </row>
    <row r="408" spans="12:12" ht="12.75" customHeight="1" x14ac:dyDescent="0.2">
      <c r="L408" s="99"/>
    </row>
    <row r="409" spans="12:12" ht="12.75" customHeight="1" x14ac:dyDescent="0.2">
      <c r="L409" s="99"/>
    </row>
    <row r="410" spans="12:12" ht="12.75" customHeight="1" x14ac:dyDescent="0.2">
      <c r="L410" s="99"/>
    </row>
    <row r="411" spans="12:12" ht="12.75" customHeight="1" x14ac:dyDescent="0.2">
      <c r="L411" s="99"/>
    </row>
    <row r="412" spans="12:12" ht="12.75" customHeight="1" x14ac:dyDescent="0.2">
      <c r="L412" s="99"/>
    </row>
    <row r="413" spans="12:12" ht="12.75" customHeight="1" x14ac:dyDescent="0.2">
      <c r="L413" s="99"/>
    </row>
    <row r="414" spans="12:12" ht="12.75" customHeight="1" x14ac:dyDescent="0.2">
      <c r="L414" s="99"/>
    </row>
    <row r="415" spans="12:12" ht="12.75" customHeight="1" x14ac:dyDescent="0.2">
      <c r="L415" s="99"/>
    </row>
    <row r="416" spans="12:12" ht="12.75" customHeight="1" x14ac:dyDescent="0.2">
      <c r="L416" s="99"/>
    </row>
    <row r="417" spans="12:12" ht="12.75" customHeight="1" x14ac:dyDescent="0.2">
      <c r="L417" s="99"/>
    </row>
    <row r="418" spans="12:12" ht="12.75" customHeight="1" x14ac:dyDescent="0.2">
      <c r="L418" s="99"/>
    </row>
    <row r="419" spans="12:12" ht="12.75" customHeight="1" x14ac:dyDescent="0.2">
      <c r="L419" s="99"/>
    </row>
    <row r="420" spans="12:12" ht="12.75" customHeight="1" x14ac:dyDescent="0.2">
      <c r="L420" s="99"/>
    </row>
    <row r="421" spans="12:12" ht="12.75" customHeight="1" x14ac:dyDescent="0.2">
      <c r="L421" s="99"/>
    </row>
    <row r="422" spans="12:12" ht="12.75" customHeight="1" x14ac:dyDescent="0.2">
      <c r="L422" s="99"/>
    </row>
    <row r="423" spans="12:12" ht="12.75" customHeight="1" x14ac:dyDescent="0.2">
      <c r="L423" s="99"/>
    </row>
    <row r="424" spans="12:12" ht="12.75" customHeight="1" x14ac:dyDescent="0.2">
      <c r="L424" s="99"/>
    </row>
    <row r="425" spans="12:12" ht="12.75" customHeight="1" x14ac:dyDescent="0.2">
      <c r="L425" s="99"/>
    </row>
    <row r="426" spans="12:12" ht="12.75" customHeight="1" x14ac:dyDescent="0.2">
      <c r="L426" s="99"/>
    </row>
    <row r="427" spans="12:12" ht="12.75" customHeight="1" x14ac:dyDescent="0.2">
      <c r="L427" s="99"/>
    </row>
    <row r="428" spans="12:12" ht="12.75" customHeight="1" x14ac:dyDescent="0.2">
      <c r="L428" s="99"/>
    </row>
    <row r="429" spans="12:12" ht="12.75" customHeight="1" x14ac:dyDescent="0.2">
      <c r="L429" s="99"/>
    </row>
    <row r="430" spans="12:12" ht="12.75" customHeight="1" x14ac:dyDescent="0.2">
      <c r="L430" s="99"/>
    </row>
    <row r="431" spans="12:12" ht="12.75" customHeight="1" x14ac:dyDescent="0.2">
      <c r="L431" s="99"/>
    </row>
    <row r="432" spans="12:12" ht="12.75" customHeight="1" x14ac:dyDescent="0.2">
      <c r="L432" s="99"/>
    </row>
    <row r="433" spans="12:12" ht="12.75" customHeight="1" x14ac:dyDescent="0.2">
      <c r="L433" s="99"/>
    </row>
    <row r="434" spans="12:12" ht="12.75" customHeight="1" x14ac:dyDescent="0.2">
      <c r="L434" s="99"/>
    </row>
    <row r="435" spans="12:12" ht="12.75" customHeight="1" x14ac:dyDescent="0.2">
      <c r="L435" s="99"/>
    </row>
    <row r="436" spans="12:12" ht="12.75" customHeight="1" x14ac:dyDescent="0.2">
      <c r="L436" s="99"/>
    </row>
    <row r="437" spans="12:12" ht="12.75" customHeight="1" x14ac:dyDescent="0.2">
      <c r="L437" s="99"/>
    </row>
    <row r="438" spans="12:12" ht="12.75" customHeight="1" x14ac:dyDescent="0.2">
      <c r="L438" s="99"/>
    </row>
    <row r="439" spans="12:12" ht="12.75" customHeight="1" x14ac:dyDescent="0.2">
      <c r="L439" s="99"/>
    </row>
    <row r="440" spans="12:12" ht="12.75" customHeight="1" x14ac:dyDescent="0.2">
      <c r="L440" s="99"/>
    </row>
    <row r="441" spans="12:12" ht="12.75" customHeight="1" x14ac:dyDescent="0.2">
      <c r="L441" s="99"/>
    </row>
    <row r="442" spans="12:12" ht="12.75" customHeight="1" x14ac:dyDescent="0.2">
      <c r="L442" s="99"/>
    </row>
    <row r="443" spans="12:12" ht="12.75" customHeight="1" x14ac:dyDescent="0.2">
      <c r="L443" s="99"/>
    </row>
    <row r="444" spans="12:12" ht="12.75" customHeight="1" x14ac:dyDescent="0.2">
      <c r="L444" s="99"/>
    </row>
    <row r="445" spans="12:12" ht="12.75" customHeight="1" x14ac:dyDescent="0.2">
      <c r="L445" s="99"/>
    </row>
    <row r="446" spans="12:12" ht="12.75" customHeight="1" x14ac:dyDescent="0.2">
      <c r="L446" s="99"/>
    </row>
    <row r="447" spans="12:12" ht="12.75" customHeight="1" x14ac:dyDescent="0.2">
      <c r="L447" s="99"/>
    </row>
    <row r="448" spans="12:12" ht="12.75" customHeight="1" x14ac:dyDescent="0.2">
      <c r="L448" s="99"/>
    </row>
    <row r="449" spans="12:12" ht="12.75" customHeight="1" x14ac:dyDescent="0.2">
      <c r="L449" s="99"/>
    </row>
    <row r="450" spans="12:12" ht="12.75" customHeight="1" x14ac:dyDescent="0.2">
      <c r="L450" s="99"/>
    </row>
    <row r="451" spans="12:12" ht="12.75" customHeight="1" x14ac:dyDescent="0.2">
      <c r="L451" s="99"/>
    </row>
    <row r="452" spans="12:12" ht="12.75" customHeight="1" x14ac:dyDescent="0.2">
      <c r="L452" s="99"/>
    </row>
    <row r="453" spans="12:12" ht="12.75" customHeight="1" x14ac:dyDescent="0.2">
      <c r="L453" s="99"/>
    </row>
    <row r="454" spans="12:12" ht="12.75" customHeight="1" x14ac:dyDescent="0.2">
      <c r="L454" s="99"/>
    </row>
    <row r="455" spans="12:12" ht="12.75" customHeight="1" x14ac:dyDescent="0.2">
      <c r="L455" s="99"/>
    </row>
    <row r="456" spans="12:12" ht="12.75" customHeight="1" x14ac:dyDescent="0.2">
      <c r="L456" s="99"/>
    </row>
    <row r="457" spans="12:12" ht="12.75" customHeight="1" x14ac:dyDescent="0.2">
      <c r="L457" s="99"/>
    </row>
    <row r="458" spans="12:12" ht="12.75" customHeight="1" x14ac:dyDescent="0.2">
      <c r="L458" s="99"/>
    </row>
    <row r="459" spans="12:12" ht="12.75" customHeight="1" x14ac:dyDescent="0.2">
      <c r="L459" s="99"/>
    </row>
    <row r="460" spans="12:12" ht="12.75" customHeight="1" x14ac:dyDescent="0.2">
      <c r="L460" s="99"/>
    </row>
    <row r="461" spans="12:12" ht="12.75" customHeight="1" x14ac:dyDescent="0.2">
      <c r="L461" s="99"/>
    </row>
    <row r="462" spans="12:12" ht="12.75" customHeight="1" x14ac:dyDescent="0.2">
      <c r="L462" s="99"/>
    </row>
    <row r="463" spans="12:12" ht="12.75" customHeight="1" x14ac:dyDescent="0.2">
      <c r="L463" s="99"/>
    </row>
    <row r="464" spans="12:12" ht="12.75" customHeight="1" x14ac:dyDescent="0.2">
      <c r="L464" s="99"/>
    </row>
    <row r="465" spans="12:12" ht="12.75" customHeight="1" x14ac:dyDescent="0.2">
      <c r="L465" s="99"/>
    </row>
    <row r="466" spans="12:12" ht="12.75" customHeight="1" x14ac:dyDescent="0.2">
      <c r="L466" s="99"/>
    </row>
    <row r="467" spans="12:12" ht="12.75" customHeight="1" x14ac:dyDescent="0.2">
      <c r="L467" s="99"/>
    </row>
    <row r="468" spans="12:12" ht="12.75" customHeight="1" x14ac:dyDescent="0.2">
      <c r="L468" s="99"/>
    </row>
    <row r="469" spans="12:12" ht="12.75" customHeight="1" x14ac:dyDescent="0.2">
      <c r="L469" s="99"/>
    </row>
    <row r="470" spans="12:12" ht="12.75" customHeight="1" x14ac:dyDescent="0.2">
      <c r="L470" s="99"/>
    </row>
    <row r="471" spans="12:12" ht="12.75" customHeight="1" x14ac:dyDescent="0.2">
      <c r="L471" s="99"/>
    </row>
    <row r="472" spans="12:12" ht="12.75" customHeight="1" x14ac:dyDescent="0.2">
      <c r="L472" s="99"/>
    </row>
    <row r="473" spans="12:12" ht="12.75" customHeight="1" x14ac:dyDescent="0.2">
      <c r="L473" s="99"/>
    </row>
    <row r="474" spans="12:12" ht="12.75" customHeight="1" x14ac:dyDescent="0.2">
      <c r="L474" s="99"/>
    </row>
    <row r="475" spans="12:12" ht="12.75" customHeight="1" x14ac:dyDescent="0.2">
      <c r="L475" s="99"/>
    </row>
    <row r="476" spans="12:12" ht="12.75" customHeight="1" x14ac:dyDescent="0.2">
      <c r="L476" s="99"/>
    </row>
    <row r="477" spans="12:12" ht="12.75" customHeight="1" x14ac:dyDescent="0.2">
      <c r="L477" s="99"/>
    </row>
    <row r="478" spans="12:12" ht="12.75" customHeight="1" x14ac:dyDescent="0.2">
      <c r="L478" s="99"/>
    </row>
    <row r="479" spans="12:12" ht="12.75" customHeight="1" x14ac:dyDescent="0.2">
      <c r="L479" s="99"/>
    </row>
    <row r="480" spans="12:12" ht="12.75" customHeight="1" x14ac:dyDescent="0.2">
      <c r="L480" s="99"/>
    </row>
    <row r="481" spans="12:12" ht="12.75" customHeight="1" x14ac:dyDescent="0.2">
      <c r="L481" s="99"/>
    </row>
    <row r="482" spans="12:12" ht="12.75" customHeight="1" x14ac:dyDescent="0.2">
      <c r="L482" s="99"/>
    </row>
    <row r="483" spans="12:12" ht="12.75" customHeight="1" x14ac:dyDescent="0.2">
      <c r="L483" s="99"/>
    </row>
    <row r="484" spans="12:12" ht="12.75" customHeight="1" x14ac:dyDescent="0.2">
      <c r="L484" s="99"/>
    </row>
    <row r="485" spans="12:12" ht="12.75" customHeight="1" x14ac:dyDescent="0.2">
      <c r="L485" s="99"/>
    </row>
    <row r="486" spans="12:12" ht="12.75" customHeight="1" x14ac:dyDescent="0.2">
      <c r="L486" s="99"/>
    </row>
    <row r="487" spans="12:12" ht="12.75" customHeight="1" x14ac:dyDescent="0.2">
      <c r="L487" s="99"/>
    </row>
    <row r="488" spans="12:12" ht="12.75" customHeight="1" x14ac:dyDescent="0.2">
      <c r="L488" s="99"/>
    </row>
    <row r="489" spans="12:12" ht="12.75" customHeight="1" x14ac:dyDescent="0.2">
      <c r="L489" s="99"/>
    </row>
    <row r="490" spans="12:12" ht="12.75" customHeight="1" x14ac:dyDescent="0.2">
      <c r="L490" s="99"/>
    </row>
    <row r="491" spans="12:12" ht="12.75" customHeight="1" x14ac:dyDescent="0.2">
      <c r="L491" s="99"/>
    </row>
    <row r="492" spans="12:12" ht="12.75" customHeight="1" x14ac:dyDescent="0.2">
      <c r="L492" s="99"/>
    </row>
    <row r="493" spans="12:12" ht="12.75" customHeight="1" x14ac:dyDescent="0.2">
      <c r="L493" s="99"/>
    </row>
    <row r="494" spans="12:12" ht="12.75" customHeight="1" x14ac:dyDescent="0.2">
      <c r="L494" s="99"/>
    </row>
    <row r="495" spans="12:12" ht="12.75" customHeight="1" x14ac:dyDescent="0.2">
      <c r="L495" s="99"/>
    </row>
    <row r="496" spans="12:12" ht="12.75" customHeight="1" x14ac:dyDescent="0.2">
      <c r="L496" s="99"/>
    </row>
    <row r="497" spans="12:12" ht="12.75" customHeight="1" x14ac:dyDescent="0.2">
      <c r="L497" s="99"/>
    </row>
    <row r="498" spans="12:12" ht="12.75" customHeight="1" x14ac:dyDescent="0.2">
      <c r="L498" s="99"/>
    </row>
    <row r="499" spans="12:12" ht="12.75" customHeight="1" x14ac:dyDescent="0.2">
      <c r="L499" s="99"/>
    </row>
    <row r="500" spans="12:12" ht="12.75" customHeight="1" x14ac:dyDescent="0.2">
      <c r="L500" s="99"/>
    </row>
    <row r="501" spans="12:12" ht="12.75" customHeight="1" x14ac:dyDescent="0.2">
      <c r="L501" s="99"/>
    </row>
    <row r="502" spans="12:12" ht="12.75" customHeight="1" x14ac:dyDescent="0.2">
      <c r="L502" s="99"/>
    </row>
    <row r="503" spans="12:12" ht="12.75" customHeight="1" x14ac:dyDescent="0.2">
      <c r="L503" s="99"/>
    </row>
    <row r="504" spans="12:12" ht="12.75" customHeight="1" x14ac:dyDescent="0.2">
      <c r="L504" s="99"/>
    </row>
  </sheetData>
  <sheetProtection formatColumns="0" formatRows="0" sort="0" autoFilter="0"/>
  <autoFilter ref="A4:U4"/>
  <mergeCells count="17">
    <mergeCell ref="E2:E3"/>
    <mergeCell ref="C2:C3"/>
    <mergeCell ref="A2:A3"/>
    <mergeCell ref="F2:F3"/>
    <mergeCell ref="G2:G3"/>
    <mergeCell ref="B2:B3"/>
    <mergeCell ref="D2:D3"/>
    <mergeCell ref="M2:M3"/>
    <mergeCell ref="N2:N3"/>
    <mergeCell ref="U2:U3"/>
    <mergeCell ref="O2:T3"/>
    <mergeCell ref="H1:I1"/>
    <mergeCell ref="I2:I3"/>
    <mergeCell ref="H2:H3"/>
    <mergeCell ref="J2:J3"/>
    <mergeCell ref="K2:K3"/>
    <mergeCell ref="L2:L3"/>
  </mergeCells>
  <dataValidations count="2">
    <dataValidation type="list" allowBlank="1" showInputMessage="1" showErrorMessage="1" sqref="A5:A15">
      <formula1>List_Position_Level</formula1>
    </dataValidation>
    <dataValidation type="list" allowBlank="1" showInputMessage="1" showErrorMessage="1" sqref="J5:K15">
      <formula1>List_PE_Form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&amp;LPE 2012 Ratings - Rationale&amp;RStrictly Confidential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U5"/>
  <sheetViews>
    <sheetView workbookViewId="0">
      <selection activeCell="BD2" sqref="BD2:BE2"/>
    </sheetView>
  </sheetViews>
  <sheetFormatPr defaultColWidth="9.140625" defaultRowHeight="12.75" customHeight="1" x14ac:dyDescent="0.2"/>
  <cols>
    <col min="1" max="7" width="15" customWidth="1"/>
    <col min="8" max="8" width="2.42578125" customWidth="1"/>
    <col min="9" max="9" width="23" customWidth="1"/>
    <col min="10" max="10" width="2.42578125" customWidth="1"/>
    <col min="12" max="12" width="2.42578125" customWidth="1"/>
    <col min="13" max="13" width="23.7109375" bestFit="1" customWidth="1"/>
    <col min="14" max="19" width="15.7109375" customWidth="1"/>
    <col min="20" max="20" width="2.42578125" customWidth="1"/>
    <col min="27" max="27" width="9.140625" customWidth="1"/>
    <col min="28" max="28" width="2.42578125" customWidth="1"/>
    <col min="29" max="30" width="12.28515625" customWidth="1"/>
    <col min="31" max="31" width="2.42578125" customWidth="1"/>
    <col min="32" max="33" width="12.28515625" customWidth="1"/>
    <col min="34" max="34" width="2.42578125" customWidth="1"/>
    <col min="35" max="36" width="12.28515625" customWidth="1"/>
    <col min="37" max="37" width="2.42578125" customWidth="1"/>
    <col min="38" max="39" width="12.28515625" customWidth="1"/>
    <col min="40" max="40" width="2.42578125" customWidth="1"/>
    <col min="41" max="42" width="12.28515625" customWidth="1"/>
    <col min="43" max="43" width="2.42578125" customWidth="1"/>
    <col min="44" max="45" width="12.28515625" customWidth="1"/>
    <col min="46" max="46" width="2.42578125" customWidth="1"/>
    <col min="47" max="48" width="12.28515625" customWidth="1"/>
    <col min="49" max="49" width="2.42578125" customWidth="1"/>
    <col min="50" max="51" width="12.28515625" customWidth="1"/>
    <col min="52" max="52" width="2.42578125" customWidth="1"/>
    <col min="53" max="54" width="12.28515625" customWidth="1"/>
    <col min="55" max="55" width="2.42578125" customWidth="1"/>
    <col min="56" max="57" width="12.28515625" customWidth="1"/>
    <col min="58" max="58" width="2.42578125" customWidth="1"/>
    <col min="59" max="61" width="15.7109375" customWidth="1"/>
    <col min="62" max="62" width="2.42578125" customWidth="1"/>
    <col min="63" max="65" width="15.7109375" customWidth="1"/>
    <col min="66" max="66" width="2.42578125" customWidth="1"/>
    <col min="67" max="69" width="15.7109375" customWidth="1"/>
    <col min="70" max="70" width="2.42578125" customWidth="1"/>
    <col min="71" max="73" width="15.7109375" customWidth="1"/>
  </cols>
  <sheetData>
    <row r="1" spans="1:73" ht="47.25" x14ac:dyDescent="0.2">
      <c r="A1" s="11" t="s">
        <v>26</v>
      </c>
      <c r="B1" s="122" t="s">
        <v>29</v>
      </c>
      <c r="C1" s="122"/>
      <c r="D1" s="122"/>
      <c r="E1" s="122"/>
      <c r="F1" s="122"/>
      <c r="G1" s="122"/>
      <c r="H1" s="12"/>
      <c r="I1" s="11" t="s">
        <v>30</v>
      </c>
      <c r="J1" s="12"/>
      <c r="K1" s="11" t="s">
        <v>27</v>
      </c>
      <c r="L1" s="12"/>
      <c r="M1" s="26" t="s">
        <v>94</v>
      </c>
      <c r="N1" s="26" t="s">
        <v>95</v>
      </c>
      <c r="O1" s="26" t="s">
        <v>40</v>
      </c>
      <c r="P1" s="26" t="s">
        <v>44</v>
      </c>
      <c r="Q1" s="26" t="s">
        <v>45</v>
      </c>
      <c r="R1" s="26" t="s">
        <v>41</v>
      </c>
      <c r="S1" s="26" t="s">
        <v>41</v>
      </c>
      <c r="T1" s="12"/>
      <c r="U1" s="26" t="s">
        <v>49</v>
      </c>
      <c r="V1" s="26" t="s">
        <v>50</v>
      </c>
      <c r="W1" s="26" t="s">
        <v>51</v>
      </c>
      <c r="X1" s="26" t="s">
        <v>52</v>
      </c>
      <c r="Y1" s="26" t="s">
        <v>53</v>
      </c>
      <c r="Z1" s="26" t="s">
        <v>54</v>
      </c>
      <c r="AA1" s="26" t="s">
        <v>55</v>
      </c>
      <c r="AB1" s="12"/>
      <c r="AC1" s="26" t="s">
        <v>71</v>
      </c>
      <c r="AD1" s="26" t="s">
        <v>72</v>
      </c>
      <c r="AE1" s="33"/>
      <c r="AF1" s="26" t="s">
        <v>73</v>
      </c>
      <c r="AG1" s="26" t="s">
        <v>74</v>
      </c>
      <c r="AH1" s="33"/>
      <c r="AI1" s="26" t="s">
        <v>75</v>
      </c>
      <c r="AJ1" s="26" t="s">
        <v>76</v>
      </c>
      <c r="AK1" s="33"/>
      <c r="AL1" s="26" t="s">
        <v>77</v>
      </c>
      <c r="AM1" s="26" t="s">
        <v>78</v>
      </c>
      <c r="AN1" s="33"/>
      <c r="AO1" s="26" t="s">
        <v>79</v>
      </c>
      <c r="AP1" s="26" t="s">
        <v>80</v>
      </c>
      <c r="AQ1" s="33"/>
      <c r="AR1" s="26" t="s">
        <v>81</v>
      </c>
      <c r="AS1" s="26" t="s">
        <v>82</v>
      </c>
      <c r="AT1" s="33"/>
      <c r="AU1" s="26" t="s">
        <v>83</v>
      </c>
      <c r="AV1" s="26" t="s">
        <v>84</v>
      </c>
      <c r="AW1" s="33"/>
      <c r="AX1" s="26" t="s">
        <v>85</v>
      </c>
      <c r="AY1" s="26" t="s">
        <v>86</v>
      </c>
      <c r="AZ1" s="33"/>
      <c r="BA1" s="26" t="s">
        <v>87</v>
      </c>
      <c r="BB1" s="26" t="s">
        <v>88</v>
      </c>
      <c r="BC1" s="33"/>
      <c r="BD1" s="26" t="s">
        <v>89</v>
      </c>
      <c r="BE1" s="26" t="s">
        <v>90</v>
      </c>
      <c r="BF1" s="33"/>
      <c r="BG1" s="26" t="s">
        <v>94</v>
      </c>
      <c r="BH1" s="26" t="s">
        <v>99</v>
      </c>
      <c r="BI1" s="26" t="s">
        <v>100</v>
      </c>
      <c r="BJ1" s="33"/>
      <c r="BK1" s="26" t="s">
        <v>39</v>
      </c>
      <c r="BL1" s="26" t="s">
        <v>99</v>
      </c>
      <c r="BM1" s="26" t="s">
        <v>100</v>
      </c>
      <c r="BN1" s="33"/>
      <c r="BO1" s="26" t="s">
        <v>42</v>
      </c>
      <c r="BP1" s="26" t="s">
        <v>99</v>
      </c>
      <c r="BQ1" s="26" t="s">
        <v>100</v>
      </c>
      <c r="BR1" s="33"/>
      <c r="BS1" s="26" t="s">
        <v>43</v>
      </c>
      <c r="BT1" s="26" t="s">
        <v>99</v>
      </c>
      <c r="BU1" s="26" t="s">
        <v>100</v>
      </c>
    </row>
    <row r="2" spans="1:73" ht="47.25" customHeight="1" x14ac:dyDescent="0.2">
      <c r="A2" s="10" t="s">
        <v>18</v>
      </c>
      <c r="B2" s="1" t="s">
        <v>19</v>
      </c>
      <c r="C2" s="1" t="s">
        <v>21</v>
      </c>
      <c r="D2" s="1" t="s">
        <v>20</v>
      </c>
      <c r="E2" s="1" t="s">
        <v>22</v>
      </c>
      <c r="F2" s="1" t="s">
        <v>23</v>
      </c>
      <c r="G2" s="1" t="s">
        <v>24</v>
      </c>
      <c r="H2" s="12"/>
      <c r="I2" s="13" t="s">
        <v>9</v>
      </c>
      <c r="J2" s="12"/>
      <c r="K2" s="13">
        <v>1</v>
      </c>
      <c r="L2" s="12"/>
      <c r="M2" s="74" t="s">
        <v>103</v>
      </c>
      <c r="N2" s="27">
        <f>IFERROR((COUNTIFS('Rational Table'!$G:$G,"&lt;&gt;",'Rational Table'!$H:$H,"&lt;&gt;",'Rational Table'!$J:$J,1)+COUNTIFS('Rational Table'!$G:$G,"&lt;&gt;",'Rational Table'!$H:$H,"&lt;&gt;",'Rational Table'!$J:$J,"&lt;&gt;1",'Rational Table'!$K:$K,1))/(COUNTIFS('Rational Table'!$G:$G,"&lt;&gt;",'Rational Table'!$H:$H,"&lt;&gt;")-1),0)</f>
        <v>0.27272727272727271</v>
      </c>
      <c r="O2" s="27">
        <f>IFERROR((COUNTIFS('Rational Table'!$A:$A,"EMPLOYEE",'Rational Table'!$G:$G,"&lt;&gt;",'Rational Table'!$H:$H,"&lt;&gt;",'Rational Table'!$J:$J,1)+COUNTIFS('Rational Table'!$A:$A,"EMPLOYEE",'Rational Table'!$G:$G,"&lt;&gt;",'Rational Table'!$H:$H,"&lt;&gt;",'Rational Table'!$J:$J,"&lt;&gt;1",'Rational Table'!$K:$K,1))/COUNTIFS('Rational Table'!$A:$A,"EMPLOYEE",'Rational Table'!$G:$G,"&lt;&gt;",'Rational Table'!$H:$H,"&lt;&gt;"),0)</f>
        <v>0.16666666666666666</v>
      </c>
      <c r="P2" s="27">
        <f>IFERROR((COUNTIFS('Rational Table'!$A:$A,"LEADER",'Rational Table'!$G:$G,"&lt;&gt;",'Rational Table'!$H:$H,"&lt;&gt;",'Rational Table'!$J:$J,1)+COUNTIFS('Rational Table'!$A:$A,"LEADER",'Rational Table'!$G:$G,"&lt;&gt;",'Rational Table'!$H:$H,"&lt;&gt;",'Rational Table'!$J:$J,"&lt;&gt;1",'Rational Table'!$K:$K,1))/COUNTIFS('Rational Table'!$A:$A,"LEADER",'Rational Table'!$G:$G,"&lt;&gt;",'Rational Table'!$H:$H,"&lt;&gt;"),0)</f>
        <v>0</v>
      </c>
      <c r="Q2" s="27">
        <f>IFERROR((COUNTIFS('Rational Table'!$A:$A,"SENIOR LEADER",'Rational Table'!$G:$G,"&lt;&gt;",'Rational Table'!$H:$H,"&lt;&gt;",'Rational Table'!$J:$J,1)+COUNTIFS('Rational Table'!$A:$A,"SENIOR LEADER",'Rational Table'!$G:$G,"&lt;&gt;",'Rational Table'!$H:$H,"&lt;&gt;",'Rational Table'!$J:$J,"&lt;&gt;1",'Rational Table'!$K:$K,1))/COUNTIFS('Rational Table'!$A:$A,"SENIOR LEADER",'Rational Table'!$G:$G,"&lt;&gt;",'Rational Table'!$H:$H,"&lt;&gt;"),0)</f>
        <v>0.5</v>
      </c>
      <c r="R2" s="27">
        <v>0.1</v>
      </c>
      <c r="S2" s="27">
        <v>0.2</v>
      </c>
      <c r="T2" s="12"/>
      <c r="U2" s="26" t="s">
        <v>56</v>
      </c>
      <c r="V2" s="28">
        <v>0</v>
      </c>
      <c r="W2" s="28">
        <v>0</v>
      </c>
      <c r="X2" s="28">
        <v>0</v>
      </c>
      <c r="Y2" s="28">
        <v>0.5</v>
      </c>
      <c r="Z2" s="28">
        <v>0.5</v>
      </c>
      <c r="AA2" s="28">
        <v>0.8</v>
      </c>
      <c r="AB2" s="12"/>
      <c r="AC2" s="32" t="s">
        <v>154</v>
      </c>
      <c r="AD2" s="32">
        <v>0</v>
      </c>
      <c r="AE2" s="33"/>
      <c r="AF2" s="32"/>
      <c r="AG2" s="32"/>
      <c r="AH2" s="33"/>
      <c r="AI2" s="32"/>
      <c r="AJ2" s="32"/>
      <c r="AK2" s="33"/>
      <c r="AL2" s="32"/>
      <c r="AM2" s="32"/>
      <c r="AN2" s="33"/>
      <c r="AO2" s="32" t="s">
        <v>158</v>
      </c>
      <c r="AP2" s="32">
        <v>1.05</v>
      </c>
      <c r="AQ2" s="33"/>
      <c r="AR2" s="32" t="s">
        <v>148</v>
      </c>
      <c r="AS2" s="32">
        <v>1.1499999999999999</v>
      </c>
      <c r="AT2" s="33"/>
      <c r="AU2" s="32" t="s">
        <v>147</v>
      </c>
      <c r="AV2" s="32">
        <v>0.8</v>
      </c>
      <c r="AW2" s="33"/>
      <c r="AX2" s="32" t="s">
        <v>144</v>
      </c>
      <c r="AY2" s="32">
        <v>1.2</v>
      </c>
      <c r="AZ2" s="33"/>
      <c r="BA2" s="32" t="s">
        <v>156</v>
      </c>
      <c r="BB2" s="32">
        <v>1.2</v>
      </c>
      <c r="BC2" s="33"/>
      <c r="BD2" s="32"/>
      <c r="BE2" s="32"/>
      <c r="BF2" s="33"/>
      <c r="BG2" s="74" t="s">
        <v>103</v>
      </c>
      <c r="BH2" s="27">
        <f>IFERROR((COUNTIFS('Rational Table'!$G:$G,"&lt;&gt;",'Rational Table'!$H:$H,"&lt;&gt;",'Rational Table'!$E:$E,"M",'Rational Table'!$J:$J,1)+COUNTIFS('Rational Table'!$G:$G,"&lt;&gt;",'Rational Table'!$H:$H,"&lt;&gt;",'Rational Table'!$E:$E,"M",'Rational Table'!$J:$J,"&lt;&gt;1",'Rational Table'!$K:$K,1))/COUNTIFS('Rational Table'!$G:$G,"&lt;&gt;",'Rational Table'!$H:$H,"&lt;&gt;",'Rational Table'!$E:$E,"M"),0)</f>
        <v>0.5</v>
      </c>
      <c r="BI2" s="27">
        <f>IFERROR((COUNTIFS('Rational Table'!$G:$G,"&lt;&gt;",'Rational Table'!$H:$H,"&lt;&gt;",'Rational Table'!$E:$E,"F",'Rational Table'!$J:$J,1)+COUNTIFS('Rational Table'!$G:$G,"&lt;&gt;",'Rational Table'!$H:$H,"&lt;&gt;",'Rational Table'!$E:$E,"F",'Rational Table'!$J:$J,"&lt;&gt;1",'Rational Table'!$K:$K,1))/COUNTIFS('Rational Table'!$G:$G,"&lt;&gt;",'Rational Table'!$H:$H,"&lt;&gt;",'Rational Table'!$E:$E,"F"),0)</f>
        <v>0.14285714285714285</v>
      </c>
      <c r="BJ2" s="33"/>
      <c r="BK2" s="74" t="s">
        <v>103</v>
      </c>
      <c r="BL2" s="27">
        <f>IFERROR((COUNTIFS('Rational Table'!$A:$A,"EMPLOYEE",'Rational Table'!$G:$G,"&lt;&gt;",'Rational Table'!$H:$H,"&lt;&gt;",'Rational Table'!$E:$E,"M",'Rational Table'!$J:$J,1)+COUNTIFS('Rational Table'!$A:$A,"EMPLOYEE",'Rational Table'!$G:$G,"&lt;&gt;",'Rational Table'!$H:$H,"&lt;&gt;",'Rational Table'!$E:$E,"M",'Rational Table'!$J:$J,"&lt;&gt;1",'Rational Table'!$K:$K,1))/COUNTIFS('Rational Table'!$A:$A,"EMPLOYEE",'Rational Table'!$G:$G,"&lt;&gt;",'Rational Table'!$H:$H,"&lt;&gt;",'Rational Table'!$E:$E,"M"),0)</f>
        <v>0.5</v>
      </c>
      <c r="BM2" s="27">
        <f>IFERROR((COUNTIFS('Rational Table'!$A:$A,"EMPLOYEE",'Rational Table'!$G:$G,"&lt;&gt;",'Rational Table'!$H:$H,"&lt;&gt;",'Rational Table'!$E:$E,"F",'Rational Table'!$J:$J,1)+COUNTIFS('Rational Table'!$A:$A,"EMPLOYEE",'Rational Table'!$G:$G,"&lt;&gt;",'Rational Table'!$H:$H,"&lt;&gt;",'Rational Table'!$E:$E,"F",'Rational Table'!$J:$J,"&lt;&gt;1",'Rational Table'!$K:$K,1))/COUNTIFS('Rational Table'!$A:$A,"EMPLOYEE",'Rational Table'!$G:$G,"&lt;&gt;",'Rational Table'!$H:$H,"&lt;&gt;",'Rational Table'!$E:$E,"F"),0)</f>
        <v>0</v>
      </c>
      <c r="BN2" s="33"/>
      <c r="BO2" s="74" t="s">
        <v>103</v>
      </c>
      <c r="BP2" s="27">
        <f>IFERROR((COUNTIFS('Rational Table'!$A:$A,"LEADER",'Rational Table'!$G:$G,"&lt;&gt;",'Rational Table'!$H:$H,"&lt;&gt;",'Rational Table'!$E:$E,"M",'Rational Table'!$J:$J,1)+COUNTIFS('Rational Table'!$A:$A,"LEADER",'Rational Table'!$G:$G,"&lt;&gt;",'Rational Table'!$H:$H,"&lt;&gt;",'Rational Table'!$E:$E,"M",'Rational Table'!$J:$J,"&lt;&gt;1",'Rational Table'!$K:$K,1))/COUNTIFS('Rational Table'!$A:$A,"LEADER",'Rational Table'!$G:$G,"&lt;&gt;",'Rational Table'!$H:$H,"&lt;&gt;",'Rational Table'!$E:$E,"M"),0)</f>
        <v>0</v>
      </c>
      <c r="BQ2" s="27">
        <f>IFERROR((COUNTIFS('Rational Table'!$A:$A,"LEADER",'Rational Table'!$G:$G,"&lt;&gt;",'Rational Table'!$H:$H,"&lt;&gt;",'Rational Table'!$E:$E,"F",'Rational Table'!$J:$J,1)+COUNTIFS('Rational Table'!$A:$A,"LEADER",'Rational Table'!$G:$G,"&lt;&gt;",'Rational Table'!$H:$H,"&lt;&gt;",'Rational Table'!$E:$E,"F",'Rational Table'!$J:$J,"&lt;&gt;1",'Rational Table'!$K:$K,1))/COUNTIFS('Rational Table'!$A:$A,"LEADER",'Rational Table'!$G:$G,"&lt;&gt;",'Rational Table'!$H:$H,"&lt;&gt;",'Rational Table'!$E:$E,"F"),0)</f>
        <v>0</v>
      </c>
      <c r="BR2" s="33"/>
      <c r="BS2" s="74" t="s">
        <v>103</v>
      </c>
      <c r="BT2" s="27">
        <f>IFERROR((COUNTIFS('Rational Table'!$A:$A,"SENIOR LEADER",'Rational Table'!$G:$G,"&lt;&gt;",'Rational Table'!$H:$H,"&lt;&gt;",'Rational Table'!$E:$E,"M",'Rational Table'!$J:$J,1)+COUNTIFS('Rational Table'!$A:$A,"SENIOR LEADER",'Rational Table'!$G:$G,"&lt;&gt;",'Rational Table'!$H:$H,"&lt;&gt;",'Rational Table'!$E:$E,"M",'Rational Table'!$J:$J,"&lt;&gt;1",'Rational Table'!$K:$K,1))/COUNTIFS('Rational Table'!$A:$A,"SENIOR LEADER",'Rational Table'!$G:$G,"&lt;&gt;",'Rational Table'!$H:$H,"&lt;&gt;",'Rational Table'!$E:$E,"M"),0)</f>
        <v>0.5</v>
      </c>
      <c r="BU2" s="27">
        <f>IFERROR((COUNTIFS('Rational Table'!$A:$A,"SENIOR LEADER",'Rational Table'!$G:$G,"&lt;&gt;",'Rational Table'!$H:$H,"&lt;&gt;",'Rational Table'!$E:$E,"F",'Rational Table'!$J:$J,1)+COUNTIFS('Rational Table'!$A:$A,"SENIOR LEADER",'Rational Table'!$G:$G,"&lt;&gt;",'Rational Table'!$H:$H,"&lt;&gt;",'Rational Table'!$E:$E,"F",'Rational Table'!$J:$J,"&lt;&gt;1",'Rational Table'!$K:$K,1))/COUNTIFS('Rational Table'!$A:$A,"SENIOR LEADER",'Rational Table'!$G:$G,"&lt;&gt;",'Rational Table'!$H:$H,"&lt;&gt;",'Rational Table'!$E:$E,"F"),0)</f>
        <v>0.5</v>
      </c>
    </row>
    <row r="3" spans="1:73" ht="47.25" customHeight="1" x14ac:dyDescent="0.2">
      <c r="A3" s="10" t="s">
        <v>17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2"/>
      <c r="I3" s="13" t="s">
        <v>11</v>
      </c>
      <c r="J3" s="12"/>
      <c r="K3" s="13">
        <v>2</v>
      </c>
      <c r="L3" s="12"/>
      <c r="M3" s="74" t="s">
        <v>102</v>
      </c>
      <c r="N3" s="27">
        <f>IFERROR(COUNTIFS('Rational Table'!$G:$G,"&lt;&gt;",'Rational Table'!$H:$H,"&lt;&gt;",'Rational Table'!$J:$J,2,'Rational Table'!$K:$K,2)/(COUNTIFS('Rational Table'!$G:$G,"&lt;&gt;",'Rational Table'!$H:$H,"&lt;&gt;")-1),0)</f>
        <v>0.18181818181818182</v>
      </c>
      <c r="O3" s="27">
        <f>IFERROR(COUNTIFS('Rational Table'!$A:$A,"EMPLOYEE",'Rational Table'!$G:$G,"&lt;&gt;",'Rational Table'!$H:$H,"&lt;&gt;",'Rational Table'!$J:$J,2,'Rational Table'!$K:$K,2)/COUNTIFS('Rational Table'!$A:$A,"EMPLOYEE",'Rational Table'!$G:$G,"&lt;&gt;",'Rational Table'!$H:$H,"&lt;&gt;"),0)</f>
        <v>0.16666666666666666</v>
      </c>
      <c r="P3" s="27">
        <f>IFERROR(COUNTIFS('Rational Table'!$A:$A,"LEADER",'Rational Table'!$G:$G,"&lt;&gt;",'Rational Table'!$H:$H,"&lt;&gt;",'Rational Table'!$J:$J,2,'Rational Table'!$K:$K,2)/COUNTIFS('Rational Table'!$A:$A,"LEADER",'Rational Table'!$G:$G,"&lt;&gt;",'Rational Table'!$H:$H,"&lt;&gt;"),0)</f>
        <v>1</v>
      </c>
      <c r="Q3" s="27">
        <f>IFERROR(COUNTIFS('Rational Table'!$A:$A,"SENIOR LEADER",'Rational Table'!$G:$G,"&lt;&gt;",'Rational Table'!$H:$H,"&lt;&gt;",'Rational Table'!$J:$J,2,'Rational Table'!$K:$K,2)/COUNTIFS('Rational Table'!$A:$A,"SENIOR LEADER",'Rational Table'!$G:$G,"&lt;&gt;",'Rational Table'!$H:$H,"&lt;&gt;"),0)</f>
        <v>0</v>
      </c>
      <c r="R3" s="27">
        <v>0.4</v>
      </c>
      <c r="S3" s="27">
        <v>0.6</v>
      </c>
      <c r="T3" s="12"/>
      <c r="U3" s="26" t="s">
        <v>57</v>
      </c>
      <c r="V3" s="28">
        <v>0</v>
      </c>
      <c r="W3" s="28">
        <v>0.5</v>
      </c>
      <c r="X3" s="28">
        <v>0.9</v>
      </c>
      <c r="Y3" s="28">
        <v>1.1000000000000001</v>
      </c>
      <c r="Z3" s="28">
        <v>1.1000000000000001</v>
      </c>
      <c r="AA3" s="28">
        <v>1.2</v>
      </c>
      <c r="AB3" s="12"/>
      <c r="AC3" s="32" t="s">
        <v>155</v>
      </c>
      <c r="AD3" s="32">
        <v>0</v>
      </c>
      <c r="AE3" s="33"/>
      <c r="AF3" s="32"/>
      <c r="AG3" s="32"/>
      <c r="AH3" s="33"/>
      <c r="AI3" s="32"/>
      <c r="AJ3" s="32"/>
      <c r="AK3" s="33"/>
      <c r="AL3" s="32"/>
      <c r="AM3" s="32"/>
      <c r="AN3" s="33"/>
      <c r="AO3" s="32" t="s">
        <v>146</v>
      </c>
      <c r="AP3" s="32">
        <v>0.9</v>
      </c>
      <c r="AQ3" s="33"/>
      <c r="AR3" s="32" t="s">
        <v>145</v>
      </c>
      <c r="AS3" s="32">
        <v>1.1000000000000001</v>
      </c>
      <c r="AT3" s="33"/>
      <c r="AU3" s="32"/>
      <c r="AV3" s="32"/>
      <c r="AW3" s="33"/>
      <c r="AX3" s="32" t="s">
        <v>143</v>
      </c>
      <c r="AY3" s="32">
        <v>1.1499999999999999</v>
      </c>
      <c r="AZ3" s="33"/>
      <c r="BA3" s="32" t="s">
        <v>157</v>
      </c>
      <c r="BB3" s="32">
        <v>1.2</v>
      </c>
      <c r="BC3" s="33"/>
      <c r="BD3" s="32"/>
      <c r="BE3" s="32"/>
      <c r="BF3" s="33"/>
      <c r="BG3" s="74" t="s">
        <v>102</v>
      </c>
      <c r="BH3" s="27">
        <f>IFERROR(COUNTIFS('Rational Table'!$G:$G,"&lt;&gt;",'Rational Table'!$H:$H,"&lt;&gt;",'Rational Table'!$E:$E,"M",'Rational Table'!$J:$J,2,'Rational Table'!$K:$K,2)/COUNTIFS('Rational Table'!$G:$G,"&lt;&gt;",'Rational Table'!$H:$H,"&lt;&gt;",'Rational Table'!$E:$E,"M"),0)</f>
        <v>0.25</v>
      </c>
      <c r="BI3" s="27">
        <f>IFERROR(COUNTIFS('Rational Table'!$G:$G,"&lt;&gt;",'Rational Table'!$H:$H,"&lt;&gt;",'Rational Table'!$E:$E,"F",'Rational Table'!$J:$J,2,'Rational Table'!$K:$K,2)/COUNTIFS('Rational Table'!$G:$G,"&lt;&gt;",'Rational Table'!$H:$H,"&lt;&gt;",'Rational Table'!$E:$E,"F"),0)</f>
        <v>0.14285714285714285</v>
      </c>
      <c r="BJ3" s="33"/>
      <c r="BK3" s="74" t="s">
        <v>102</v>
      </c>
      <c r="BL3" s="27">
        <f>IFERROR(COUNTIFS('Rational Table'!$A:$A,"EMPLOYEE",'Rational Table'!$G:$G,"&lt;&gt;",'Rational Table'!$H:$H,"&lt;&gt;",'Rational Table'!$E:$E,"M",'Rational Table'!$J:$J,2,'Rational Table'!$K:$K,2)/COUNTIFS('Rational Table'!$A:$A,"EMPLOYEE",'Rational Table'!$G:$G,"&lt;&gt;",'Rational Table'!$H:$H,"&lt;&gt;",'Rational Table'!$E:$E,"M"),0)</f>
        <v>0.5</v>
      </c>
      <c r="BM3" s="27">
        <f>IFERROR(COUNTIFS('Rational Table'!$A:$A,"EMPLOYEE",'Rational Table'!$G:$G,"&lt;&gt;",'Rational Table'!$H:$H,"&lt;&gt;",'Rational Table'!$E:$E,"F",'Rational Table'!$J:$J,2,'Rational Table'!$K:$K,2)/COUNTIFS('Rational Table'!$A:$A,"EMPLOYEE",'Rational Table'!$G:$G,"&lt;&gt;",'Rational Table'!$H:$H,"&lt;&gt;",'Rational Table'!$E:$E,"F"),0)</f>
        <v>0</v>
      </c>
      <c r="BN3" s="33"/>
      <c r="BO3" s="74" t="s">
        <v>102</v>
      </c>
      <c r="BP3" s="27">
        <f>IFERROR(COUNTIFS('Rational Table'!$A:$A,"LEADER",'Rational Table'!$G:$G,"&lt;&gt;",'Rational Table'!$H:$H,"&lt;&gt;",'Rational Table'!$E:$E,"M",'Rational Table'!$J:$J,2,'Rational Table'!$K:$K,2)/COUNTIFS('Rational Table'!$A:$A,"LEADER",'Rational Table'!$G:$G,"&lt;&gt;",'Rational Table'!$H:$H,"&lt;&gt;",'Rational Table'!$E:$E,"M"),0)</f>
        <v>0</v>
      </c>
      <c r="BQ3" s="27">
        <f>IFERROR(COUNTIFS('Rational Table'!$A:$A,"LEADER",'Rational Table'!$G:$G,"&lt;&gt;",'Rational Table'!$H:$H,"&lt;&gt;",'Rational Table'!$E:$E,"F",'Rational Table'!$J:$J,2,'Rational Table'!$K:$K,2)/COUNTIFS('Rational Table'!$A:$A,"LEADER",'Rational Table'!$G:$G,"&lt;&gt;",'Rational Table'!$H:$H,"&lt;&gt;",'Rational Table'!$E:$E,"F"),0)</f>
        <v>1</v>
      </c>
      <c r="BR3" s="33"/>
      <c r="BS3" s="74" t="s">
        <v>102</v>
      </c>
      <c r="BT3" s="27">
        <f>IFERROR(COUNTIFS('Rational Table'!$A:$A,"SENIOR LEADER",'Rational Table'!$G:$G,"&lt;&gt;",'Rational Table'!$H:$H,"&lt;&gt;",'Rational Table'!$E:$E,"M",'Rational Table'!$J:$J,2,'Rational Table'!$K:$K,2)/COUNTIFS('Rational Table'!$A:$A,"SENIOR LEADER",'Rational Table'!$G:$G,"&lt;&gt;",'Rational Table'!$H:$H,"&lt;&gt;",'Rational Table'!$E:$E,"M"),0)</f>
        <v>0</v>
      </c>
      <c r="BU3" s="27">
        <f>IFERROR(COUNTIFS('Rational Table'!$A:$A,"SENIOR LEADER",'Rational Table'!$G:$G,"&lt;&gt;",'Rational Table'!$H:$H,"&lt;&gt;",'Rational Table'!$E:$E,"F",'Rational Table'!$J:$J,2,'Rational Table'!$K:$K,2)/COUNTIFS('Rational Table'!$A:$A,"SENIOR LEADER",'Rational Table'!$G:$G,"&lt;&gt;",'Rational Table'!$H:$H,"&lt;&gt;",'Rational Table'!$E:$E,"F"),0)</f>
        <v>0</v>
      </c>
    </row>
    <row r="4" spans="1:73" ht="47.25" customHeight="1" x14ac:dyDescent="0.2">
      <c r="A4" s="3" t="s">
        <v>16</v>
      </c>
      <c r="B4" s="2" t="s">
        <v>7</v>
      </c>
      <c r="C4" s="1" t="s">
        <v>8</v>
      </c>
      <c r="D4" s="1" t="s">
        <v>12</v>
      </c>
      <c r="E4" s="1" t="s">
        <v>13</v>
      </c>
      <c r="F4" s="1" t="s">
        <v>14</v>
      </c>
      <c r="G4" s="1" t="s">
        <v>15</v>
      </c>
      <c r="H4" s="12"/>
      <c r="I4" s="4" t="s">
        <v>10</v>
      </c>
      <c r="J4" s="12"/>
      <c r="K4" s="4">
        <v>3</v>
      </c>
      <c r="L4" s="12"/>
      <c r="M4" s="67" t="s">
        <v>101</v>
      </c>
      <c r="N4" s="27">
        <f>IFERROR((COUNTIFS('Rational Table'!$G:$G,"&lt;&gt;",'Rational Table'!$H:$H,"&lt;&gt;",'Rational Table'!$J:$J,2,'Rational Table'!$K:$K,3)+COUNTIFS('Rational Table'!$G:$G,"&lt;&gt;",'Rational Table'!$H:$H,"&lt;&gt;",'Rational Table'!$J:$J,3,'Rational Table'!$K:$K,2)+COUNTIFS('Rational Table'!$G:$G,"&lt;&gt;",'Rational Table'!$H:$H,"&lt;&gt;",'Rational Table'!$J:$J,3,'Rational Table'!$K:$K,3))/(COUNTIFS('Rational Table'!$G:$G,"&lt;&gt;",'Rational Table'!$H:$H,"&lt;&gt;")-1),0)</f>
        <v>0.54545454545454541</v>
      </c>
      <c r="O4" s="27">
        <f>IFERROR((COUNTIFS('Rational Table'!$A:$A,"EMPLOYEE",'Rational Table'!$G:$G,"&lt;&gt;",'Rational Table'!$H:$H,"&lt;&gt;",'Rational Table'!$J:$J,2,'Rational Table'!$K:$K,3)+COUNTIFS('Rational Table'!$A:$A,"EMPLOYEE",'Rational Table'!$G:$G,"&lt;&gt;",'Rational Table'!$H:$H,"&lt;&gt;",'Rational Table'!$J:$J,3,'Rational Table'!$K:$K,2)+COUNTIFS('Rational Table'!$A:$A,"EMPLOYEE",'Rational Table'!$G:$G,"&lt;&gt;",'Rational Table'!$H:$H,"&lt;&gt;",'Rational Table'!$J:$J,3,'Rational Table'!$K:$K,3))/COUNTIFS('Rational Table'!$A:$A,"EMPLOYEE",'Rational Table'!$G:$G,"&lt;&gt;",'Rational Table'!$H:$H,"&lt;&gt;"),0)</f>
        <v>0.66666666666666663</v>
      </c>
      <c r="P4" s="27">
        <f>IFERROR((COUNTIFS('Rational Table'!$A:$A,"LEADER",'Rational Table'!$G:$G,"&lt;&gt;",'Rational Table'!$H:$H,"&lt;&gt;",'Rational Table'!$J:$J,2,'Rational Table'!$K:$K,3)+COUNTIFS('Rational Table'!$A:$A,"LEADER",'Rational Table'!$G:$G,"&lt;&gt;",'Rational Table'!$H:$H,"&lt;&gt;",'Rational Table'!$J:$J,3,'Rational Table'!$K:$K,2)+COUNTIFS('Rational Table'!$A:$A,"LEADER",'Rational Table'!$G:$G,"&lt;&gt;",'Rational Table'!$H:$H,"&lt;&gt;",'Rational Table'!$J:$J,3,'Rational Table'!$K:$K,3))/COUNTIFS('Rational Table'!$A:$A,"LEADER",'Rational Table'!$G:$G,"&lt;&gt;",'Rational Table'!$H:$H,"&lt;&gt;"),0)</f>
        <v>0</v>
      </c>
      <c r="Q4" s="27">
        <f>IFERROR((COUNTIFS('Rational Table'!$A:$A,"SENIOR LEADER",'Rational Table'!$G:$G,"&lt;&gt;",'Rational Table'!$H:$H,"&lt;&gt;",'Rational Table'!$J:$J,2,'Rational Table'!$K:$K,3)+COUNTIFS('Rational Table'!$A:$A,"SENIOR LEADER",'Rational Table'!$G:$G,"&lt;&gt;",'Rational Table'!$H:$H,"&lt;&gt;",'Rational Table'!$J:$J,3,'Rational Table'!$K:$K,2)+COUNTIFS('Rational Table'!$A:$A,"SENIOR LEADER",'Rational Table'!$G:$G,"&lt;&gt;",'Rational Table'!$H:$H,"&lt;&gt;",'Rational Table'!$J:$J,3,'Rational Table'!$K:$K,3))/COUNTIFS('Rational Table'!$A:$A,"SENIOR LEADER",'Rational Table'!$G:$G,"&lt;&gt;",'Rational Table'!$H:$H,"&lt;&gt;"),0)</f>
        <v>0.5</v>
      </c>
      <c r="R4" s="27">
        <v>0.2</v>
      </c>
      <c r="S4" s="27">
        <v>0.4</v>
      </c>
      <c r="T4" s="12"/>
      <c r="U4" s="26" t="s">
        <v>58</v>
      </c>
      <c r="V4" s="28">
        <v>0.5</v>
      </c>
      <c r="W4" s="28">
        <v>0.8</v>
      </c>
      <c r="X4" s="28">
        <v>1.1000000000000001</v>
      </c>
      <c r="Y4" s="28">
        <v>1.2</v>
      </c>
      <c r="Z4" s="28">
        <v>1.2</v>
      </c>
      <c r="AA4" s="28">
        <v>1.3</v>
      </c>
      <c r="AB4" s="12"/>
      <c r="AC4" s="32"/>
      <c r="AD4" s="32"/>
      <c r="AE4" s="33"/>
      <c r="AF4" s="32"/>
      <c r="AG4" s="32"/>
      <c r="AH4" s="33"/>
      <c r="AI4" s="32"/>
      <c r="AJ4" s="32"/>
      <c r="AK4" s="33"/>
      <c r="AL4" s="32"/>
      <c r="AM4" s="32"/>
      <c r="AN4" s="33"/>
      <c r="AO4" s="32"/>
      <c r="AP4" s="32"/>
      <c r="AQ4" s="33"/>
      <c r="AR4" s="32"/>
      <c r="AS4" s="32"/>
      <c r="AT4" s="33"/>
      <c r="AU4" s="32"/>
      <c r="AV4" s="32"/>
      <c r="AW4" s="33"/>
      <c r="AX4" s="32"/>
      <c r="AY4" s="32"/>
      <c r="AZ4" s="33"/>
      <c r="BA4" s="32"/>
      <c r="BB4" s="32"/>
      <c r="BC4" s="33"/>
      <c r="BD4" s="32"/>
      <c r="BE4" s="32"/>
      <c r="BF4" s="33"/>
      <c r="BG4" s="67" t="s">
        <v>101</v>
      </c>
      <c r="BH4" s="27">
        <f>IFERROR((COUNTIFS('Rational Table'!$G:$G,"&lt;&gt;",'Rational Table'!$H:$H,"&lt;&gt;",'Rational Table'!$E:$E,"M",'Rational Table'!$J:$J,3,'Rational Table'!$K:$K,3)+COUNTIFS('Rational Table'!$G:$G,"&lt;&gt;",'Rational Table'!$H:$H,"&lt;&gt;",'Rational Table'!$E:$E,"M",'Rational Table'!$J:$J,3,'Rational Table'!$K:$K,2)+COUNTIFS('Rational Table'!$G:$G,"&lt;&gt;",'Rational Table'!$H:$H,"&lt;&gt;",'Rational Table'!$E:$E,"M",'Rational Table'!$J:$J,2,'Rational Table'!$K:$K,3))/COUNTIFS('Rational Table'!$G:$G,"&lt;&gt;",'Rational Table'!$H:$H,"&lt;&gt;",'Rational Table'!$E:$E,"M"),0)</f>
        <v>0.25</v>
      </c>
      <c r="BI4" s="27">
        <f>IFERROR((COUNTIFS('Rational Table'!$G:$G,"&lt;&gt;",'Rational Table'!$H:$H,"&lt;&gt;",'Rational Table'!$E:$E,"F",'Rational Table'!$J:$J,3,'Rational Table'!$K:$K,3)+COUNTIFS('Rational Table'!$G:$G,"&lt;&gt;",'Rational Table'!$H:$H,"&lt;&gt;",'Rational Table'!$E:$E,"F",'Rational Table'!$J:$J,3,'Rational Table'!$K:$K,2)+COUNTIFS('Rational Table'!$G:$G,"&lt;&gt;",'Rational Table'!$H:$H,"&lt;&gt;",'Rational Table'!$E:$E,"F",'Rational Table'!$J:$J,2,'Rational Table'!$K:$K,3))/COUNTIFS('Rational Table'!$G:$G,"&lt;&gt;",'Rational Table'!$H:$H,"&lt;&gt;",'Rational Table'!$E:$E,"F"),0)</f>
        <v>0.7142857142857143</v>
      </c>
      <c r="BJ4" s="33"/>
      <c r="BK4" s="67" t="s">
        <v>101</v>
      </c>
      <c r="BL4" s="27">
        <f>IFERROR((COUNTIFS('Rational Table'!$A:$A,"EMPLOYEE",'Rational Table'!$G:$G,"&lt;&gt;",'Rational Table'!$H:$H,"&lt;&gt;",'Rational Table'!$E:$E,"M",'Rational Table'!$J:$J,3,'Rational Table'!$K:$K,3)+COUNTIFS('Rational Table'!$A:$A,"EMPLOYEE",'Rational Table'!$G:$G,"&lt;&gt;",'Rational Table'!$H:$H,"&lt;&gt;",'Rational Table'!$E:$E,"M",'Rational Table'!$J:$J,3,'Rational Table'!$K:$K,2)+COUNTIFS('Rational Table'!$A:$A,"EMPLOYEE",'Rational Table'!$G:$G,"&lt;&gt;",'Rational Table'!$H:$H,"&lt;&gt;",'Rational Table'!$E:$E,"M",'Rational Table'!$J:$J,2,'Rational Table'!$K:$K,3))/COUNTIFS('Rational Table'!$A:$A,"EMPLOYEE",'Rational Table'!$G:$G,"&lt;&gt;",'Rational Table'!$H:$H,"&lt;&gt;",'Rational Table'!$E:$E,"M"),0)</f>
        <v>0</v>
      </c>
      <c r="BM4" s="27">
        <f>IFERROR((COUNTIFS('Rational Table'!$A:$A,"EMPLOYEE",'Rational Table'!$G:$G,"&lt;&gt;",'Rational Table'!$H:$H,"&lt;&gt;",'Rational Table'!$E:$E,"F",'Rational Table'!$J:$J,3,'Rational Table'!$K:$K,3)+COUNTIFS('Rational Table'!$A:$A,"EMPLOYEE",'Rational Table'!$G:$G,"&lt;&gt;",'Rational Table'!$H:$H,"&lt;&gt;",'Rational Table'!$E:$E,"F",'Rational Table'!$J:$J,3,'Rational Table'!$K:$K,2)+COUNTIFS('Rational Table'!$A:$A,"EMPLOYEE",'Rational Table'!$G:$G,"&lt;&gt;",'Rational Table'!$H:$H,"&lt;&gt;",'Rational Table'!$E:$E,"F",'Rational Table'!$J:$J,2,'Rational Table'!$K:$K,3))/COUNTIFS('Rational Table'!$A:$A,"EMPLOYEE",'Rational Table'!$G:$G,"&lt;&gt;",'Rational Table'!$H:$H,"&lt;&gt;",'Rational Table'!$E:$E,"F"),0)</f>
        <v>1</v>
      </c>
      <c r="BN4" s="33"/>
      <c r="BO4" s="67" t="s">
        <v>101</v>
      </c>
      <c r="BP4" s="27">
        <f>IFERROR((COUNTIFS('Rational Table'!$A:$A,"LEADER",'Rational Table'!$G:$G,"&lt;&gt;",'Rational Table'!$H:$H,"&lt;&gt;",'Rational Table'!$E:$E,"M",'Rational Table'!$J:$J,3,'Rational Table'!$K:$K,3)+COUNTIFS('Rational Table'!$A:$A,"LEADER",'Rational Table'!$G:$G,"&lt;&gt;",'Rational Table'!$H:$H,"&lt;&gt;",'Rational Table'!$E:$E,"M",'Rational Table'!$J:$J,3,'Rational Table'!$K:$K,2)+COUNTIFS('Rational Table'!$A:$A,"LEADER",'Rational Table'!$G:$G,"&lt;&gt;",'Rational Table'!$H:$H,"&lt;&gt;",'Rational Table'!$E:$E,"M",'Rational Table'!$J:$J,2,'Rational Table'!$K:$K,3))/COUNTIFS('Rational Table'!$A:$A,"LEADER",'Rational Table'!$G:$G,"&lt;&gt;",'Rational Table'!$H:$H,"&lt;&gt;",'Rational Table'!$E:$E,"M"),0)</f>
        <v>0</v>
      </c>
      <c r="BQ4" s="27">
        <f>IFERROR((COUNTIFS('Rational Table'!$A:$A,"LEADER",'Rational Table'!$G:$G,"&lt;&gt;",'Rational Table'!$H:$H,"&lt;&gt;",'Rational Table'!$E:$E,"F",'Rational Table'!$J:$J,3,'Rational Table'!$K:$K,3)+COUNTIFS('Rational Table'!$A:$A,"LEADER",'Rational Table'!$G:$G,"&lt;&gt;",'Rational Table'!$H:$H,"&lt;&gt;",'Rational Table'!$E:$E,"F",'Rational Table'!$J:$J,3,'Rational Table'!$K:$K,2)+COUNTIFS('Rational Table'!$A:$A,"LEADER",'Rational Table'!$G:$G,"&lt;&gt;",'Rational Table'!$H:$H,"&lt;&gt;",'Rational Table'!$E:$E,"F",'Rational Table'!$J:$J,2,'Rational Table'!$K:$K,3))/COUNTIFS('Rational Table'!$A:$A,"LEADER",'Rational Table'!$G:$G,"&lt;&gt;",'Rational Table'!$H:$H,"&lt;&gt;",'Rational Table'!$E:$E,"F"),0)</f>
        <v>0</v>
      </c>
      <c r="BR4" s="33"/>
      <c r="BS4" s="67" t="s">
        <v>101</v>
      </c>
      <c r="BT4" s="27">
        <f>IFERROR((COUNTIFS('Rational Table'!$A:$A,"SENIOR LEADER",'Rational Table'!$G:$G,"&lt;&gt;",'Rational Table'!$H:$H,"&lt;&gt;",'Rational Table'!$E:$E,"M",'Rational Table'!$J:$J,3,'Rational Table'!$K:$K,3)+COUNTIFS('Rational Table'!$A:$A,"SENIOR LEADER",'Rational Table'!$G:$G,"&lt;&gt;",'Rational Table'!$H:$H,"&lt;&gt;",'Rational Table'!$E:$E,"M",'Rational Table'!$J:$J,3,'Rational Table'!$K:$K,2)+COUNTIFS('Rational Table'!$A:$A,"SENIOR LEADER",'Rational Table'!$G:$G,"&lt;&gt;",'Rational Table'!$H:$H,"&lt;&gt;",'Rational Table'!$E:$E,"M",'Rational Table'!$J:$J,2,'Rational Table'!$K:$K,3))/COUNTIFS('Rational Table'!$A:$A,"SENIOR LEADER",'Rational Table'!$G:$G,"&lt;&gt;",'Rational Table'!$H:$H,"&lt;&gt;",'Rational Table'!$E:$E,"M"),0)</f>
        <v>0.5</v>
      </c>
      <c r="BU4" s="27">
        <f>IFERROR((COUNTIFS('Rational Table'!$A:$A,"SENIOR LEADER",'Rational Table'!$G:$G,"&lt;&gt;",'Rational Table'!$H:$H,"&lt;&gt;",'Rational Table'!$E:$E,"F",'Rational Table'!$J:$J,3,'Rational Table'!$K:$K,3)+COUNTIFS('Rational Table'!$A:$A,"SENIOR LEADER",'Rational Table'!$G:$G,"&lt;&gt;",'Rational Table'!$H:$H,"&lt;&gt;",'Rational Table'!$E:$E,"F",'Rational Table'!$J:$J,3,'Rational Table'!$K:$K,2)+COUNTIFS('Rational Table'!$A:$A,"SENIOR LEADER",'Rational Table'!$G:$G,"&lt;&gt;",'Rational Table'!$H:$H,"&lt;&gt;",'Rational Table'!$E:$E,"F",'Rational Table'!$J:$J,2,'Rational Table'!$K:$K,3))/COUNTIFS('Rational Table'!$A:$A,"SENIOR LEADER",'Rational Table'!$G:$G,"&lt;&gt;",'Rational Table'!$H:$H,"&lt;&gt;",'Rational Table'!$E:$E,"F"),0)</f>
        <v>0.5</v>
      </c>
    </row>
    <row r="5" spans="1:73" ht="47.2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4" t="s">
        <v>28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32"/>
      <c r="AD5" s="32"/>
      <c r="AE5" s="33"/>
      <c r="AF5" s="32"/>
      <c r="AG5" s="32"/>
      <c r="AH5" s="33"/>
      <c r="AI5" s="32"/>
      <c r="AJ5" s="32"/>
      <c r="AK5" s="33"/>
      <c r="AL5" s="32"/>
      <c r="AM5" s="32"/>
      <c r="AN5" s="33"/>
      <c r="AO5" s="32"/>
      <c r="AP5" s="32"/>
      <c r="AQ5" s="33"/>
      <c r="AR5" s="32"/>
      <c r="AS5" s="32"/>
      <c r="AT5" s="33"/>
      <c r="AU5" s="32"/>
      <c r="AV5" s="32"/>
      <c r="AW5" s="33"/>
      <c r="AX5" s="32"/>
      <c r="AY5" s="32"/>
      <c r="AZ5" s="33"/>
      <c r="BA5" s="32"/>
      <c r="BB5" s="32"/>
      <c r="BC5" s="33"/>
      <c r="BD5" s="32"/>
      <c r="BE5" s="32"/>
      <c r="BF5" s="33"/>
      <c r="BG5" s="12"/>
      <c r="BH5" s="12"/>
      <c r="BI5" s="12"/>
      <c r="BJ5" s="33"/>
      <c r="BK5" s="12"/>
      <c r="BL5" s="12"/>
      <c r="BM5" s="12"/>
      <c r="BN5" s="33"/>
      <c r="BO5" s="12"/>
      <c r="BP5" s="12"/>
      <c r="BQ5" s="12"/>
      <c r="BR5" s="33"/>
      <c r="BS5" s="12"/>
      <c r="BT5" s="12"/>
      <c r="BU5" s="12"/>
    </row>
  </sheetData>
  <sheetProtection formatColumns="0" formatRows="0"/>
  <sortState ref="BD1:BE2">
    <sortCondition descending="1" ref="BE1"/>
    <sortCondition ref="BD1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3"/>
  <sheetViews>
    <sheetView showGridLines="0" topLeftCell="A8" zoomScale="90" zoomScaleNormal="90" workbookViewId="0">
      <selection activeCell="N33" sqref="N33"/>
    </sheetView>
  </sheetViews>
  <sheetFormatPr defaultColWidth="9.140625" defaultRowHeight="12.75" customHeight="1" x14ac:dyDescent="0.2"/>
  <cols>
    <col min="1" max="1" width="6.7109375" customWidth="1"/>
    <col min="2" max="2" width="3.85546875" customWidth="1"/>
    <col min="3" max="5" width="41.42578125" customWidth="1"/>
    <col min="6" max="8" width="9.140625" customWidth="1"/>
    <col min="9" max="9" width="3.7109375" customWidth="1"/>
    <col min="10" max="10" width="4.7109375" customWidth="1"/>
    <col min="11" max="11" width="3.85546875" customWidth="1"/>
    <col min="12" max="14" width="23" customWidth="1"/>
  </cols>
  <sheetData>
    <row r="1" spans="1:14" ht="18" x14ac:dyDescent="0.25">
      <c r="A1" s="125" t="s">
        <v>96</v>
      </c>
      <c r="B1" s="125"/>
      <c r="C1" s="125"/>
      <c r="D1" s="125"/>
      <c r="E1" s="125"/>
      <c r="F1" s="9"/>
      <c r="G1" s="9"/>
      <c r="H1" s="9"/>
      <c r="I1" s="9"/>
      <c r="J1" s="9"/>
      <c r="K1" s="9"/>
      <c r="L1" s="9"/>
      <c r="M1" s="9"/>
      <c r="N1" s="9"/>
    </row>
    <row r="2" spans="1:14" ht="23.45" customHeight="1" x14ac:dyDescent="0.2">
      <c r="A2" s="9"/>
      <c r="B2" s="9"/>
      <c r="C2" s="9"/>
      <c r="D2" s="9"/>
      <c r="E2" s="9"/>
      <c r="F2" s="9"/>
      <c r="G2" s="9"/>
      <c r="H2" s="9"/>
      <c r="I2" s="9"/>
      <c r="J2" s="136" t="s">
        <v>114</v>
      </c>
      <c r="K2" s="136"/>
      <c r="L2" s="136"/>
      <c r="M2" s="136"/>
      <c r="N2" s="136"/>
    </row>
    <row r="3" spans="1:14" ht="22.9" customHeight="1" x14ac:dyDescent="0.2">
      <c r="A3" s="9"/>
      <c r="B3" s="9"/>
      <c r="C3" s="9"/>
      <c r="D3" s="9"/>
      <c r="E3" s="9"/>
      <c r="F3" s="9"/>
      <c r="G3" s="9"/>
      <c r="H3" s="9"/>
      <c r="I3" s="9"/>
      <c r="J3" s="135" t="s">
        <v>31</v>
      </c>
      <c r="K3" s="137" t="s">
        <v>68</v>
      </c>
      <c r="L3" s="75" t="s">
        <v>105</v>
      </c>
      <c r="M3" s="75" t="s">
        <v>108</v>
      </c>
      <c r="N3" s="75" t="s">
        <v>104</v>
      </c>
    </row>
    <row r="4" spans="1:14" ht="2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135"/>
      <c r="K4" s="137"/>
      <c r="L4" s="71" t="str">
        <f>"Avg Bonus: " &amp; IFERROR(TEXT(AVERAGEIFS('Rational Table'!$L:$L,'Rational Table'!$G:$G,"&lt;&gt;",'Rational Table'!$H:$H,"&lt;&gt;",'Rational Table'!$J:$J,3,'Rational Table'!$K:$K,1),"0.0%"),"-")</f>
        <v>Avg Bonus: -</v>
      </c>
      <c r="M4" s="71" t="str">
        <f>"Avg Bonus: " &amp; IFERROR(TEXT(AVERAGEIFS('Rational Table'!$L:$L,'Rational Table'!$G:$G,"&lt;&gt;",'Rational Table'!$H:$H,"&lt;&gt;",'Rational Table'!$J:$J,3,'Rational Table'!$K:$K,2),"0.0%"),"-")</f>
        <v>Avg Bonus: -</v>
      </c>
      <c r="N4" s="71" t="str">
        <f>"Avg Bonus: " &amp; IFERROR(TEXT(AVERAGEIFS('Rational Table'!$L:$L,'Rational Table'!$G:$G,"&lt;&gt;",'Rational Table'!$H:$H,"&lt;&gt;",'Rational Table'!$J:$J,3,'Rational Table'!$K:$K,3),"0.0%"),"-")</f>
        <v>Avg Bonus: -</v>
      </c>
    </row>
    <row r="5" spans="1:14" ht="22.9" customHeight="1" x14ac:dyDescent="0.2">
      <c r="A5" s="9"/>
      <c r="B5" s="9"/>
      <c r="C5" s="9"/>
      <c r="D5" s="9"/>
      <c r="E5" s="76"/>
      <c r="F5" s="9"/>
      <c r="G5" s="9"/>
      <c r="H5" s="9"/>
      <c r="I5" s="9"/>
      <c r="J5" s="135"/>
      <c r="K5" s="137"/>
      <c r="L5" s="72" t="str">
        <f>"Male: " &amp; IFERROR(TEXT(AVERAGEIFS('Rational Table'!$L:$L,'Rational Table'!$G:$G,"&lt;&gt;",'Rational Table'!$H:$H,"&lt;&gt;",'Rational Table'!$E:$E,"M",'Rational Table'!$J:$J,3,'Rational Table'!$K:$K,1),"0.0%"),"-")</f>
        <v>Male: -</v>
      </c>
      <c r="M5" s="72" t="str">
        <f>"Male: " &amp; IFERROR(TEXT(AVERAGEIFS('Rational Table'!$L:$L,'Rational Table'!$G:$G,"&lt;&gt;",'Rational Table'!$H:$H,"&lt;&gt;",'Rational Table'!$E:$E,"M",'Rational Table'!$J:$J,3,'Rational Table'!$K:$K,2),"0.0%"),"-")</f>
        <v>Male: -</v>
      </c>
      <c r="N5" s="72" t="str">
        <f>"Male: " &amp; IFERROR(TEXT(AVERAGEIFS('Rational Table'!$L:$L,'Rational Table'!$G:$G,"&lt;&gt;",'Rational Table'!$H:$H,"&lt;&gt;",'Rational Table'!$E:$E,"M",'Rational Table'!$J:$J,3,'Rational Table'!$K:$K,3),"0.0%"),"-")</f>
        <v>Male: -</v>
      </c>
    </row>
    <row r="6" spans="1:14" ht="22.9" customHeight="1" x14ac:dyDescent="0.2">
      <c r="A6" s="9"/>
      <c r="B6" s="9"/>
      <c r="C6" s="9"/>
      <c r="D6" s="9"/>
      <c r="E6" s="9"/>
      <c r="F6" s="9"/>
      <c r="G6" s="9"/>
      <c r="H6" s="9"/>
      <c r="I6" s="9"/>
      <c r="J6" s="135"/>
      <c r="K6" s="137"/>
      <c r="L6" s="73" t="str">
        <f>"Female: " &amp; IFERROR(TEXT(AVERAGEIFS('Rational Table'!$L:$L,'Rational Table'!$G:$G,"&lt;&gt;",'Rational Table'!$H:$H,"&lt;&gt;",'Rational Table'!$E:$E,"F",'Rational Table'!$J:$J,3,'Rational Table'!$K:$K,1),"0.0%"),"-")</f>
        <v>Female: -</v>
      </c>
      <c r="M6" s="73" t="str">
        <f>"Female: " &amp; IFERROR(TEXT(AVERAGEIFS('Rational Table'!$L:$L,'Rational Table'!$G:$G,"&lt;&gt;",'Rational Table'!$H:$H,"&lt;&gt;",'Rational Table'!$E:$E,"F",'Rational Table'!$J:$J,3,'Rational Table'!$K:$K,2),"0.0%"),"-")</f>
        <v>Female: -</v>
      </c>
      <c r="N6" s="73" t="str">
        <f>"Female: " &amp; IFERROR(TEXT(AVERAGEIFS('Rational Table'!$L:$L,'Rational Table'!$G:$G,"&lt;&gt;",'Rational Table'!$H:$H,"&lt;&gt;",'Rational Table'!$E:$E,"F",'Rational Table'!$J:$J,3,'Rational Table'!$K:$K,3),"0.0%"),"-")</f>
        <v>Female: -</v>
      </c>
    </row>
    <row r="7" spans="1:14" ht="22.9" customHeight="1" x14ac:dyDescent="0.2">
      <c r="A7" s="9"/>
      <c r="B7" s="9"/>
      <c r="C7" s="9"/>
      <c r="D7" s="9"/>
      <c r="E7" s="9"/>
      <c r="F7" s="9"/>
      <c r="G7" s="9"/>
      <c r="H7" s="9"/>
      <c r="I7" s="9"/>
      <c r="J7" s="135"/>
      <c r="K7" s="137" t="s">
        <v>69</v>
      </c>
      <c r="L7" s="75" t="s">
        <v>109</v>
      </c>
      <c r="M7" s="75" t="s">
        <v>110</v>
      </c>
      <c r="N7" s="75" t="s">
        <v>111</v>
      </c>
    </row>
    <row r="8" spans="1:14" ht="22.9" customHeight="1" x14ac:dyDescent="0.2">
      <c r="A8" s="9"/>
      <c r="B8" s="9"/>
      <c r="C8" s="9"/>
      <c r="D8" s="9"/>
      <c r="E8" s="9"/>
      <c r="F8" s="9"/>
      <c r="G8" s="9"/>
      <c r="H8" s="9"/>
      <c r="I8" s="9"/>
      <c r="J8" s="135"/>
      <c r="K8" s="137"/>
      <c r="L8" s="71" t="str">
        <f>"Avg Bonus: " &amp; IFERROR(TEXT(AVERAGEIFS('Rational Table'!$L:$L,'Rational Table'!$G:$G,"&lt;&gt;",'Rational Table'!$H:$H,"&lt;&gt;",'Rational Table'!$J:$J,2,'Rational Table'!$K:$K,1),"0.0%"),"-")</f>
        <v>Avg Bonus: -</v>
      </c>
      <c r="M8" s="71" t="str">
        <f>"Avg Bonus: " &amp; IFERROR(TEXT(AVERAGEIFS('Rational Table'!$L:$L,'Rational Table'!$G:$G,"&lt;&gt;",'Rational Table'!$H:$H,"&lt;&gt;",'Rational Table'!$J:$J,2,'Rational Table'!$K:$K,2),"0.0%"),"-")</f>
        <v>Avg Bonus: -</v>
      </c>
      <c r="N8" s="71" t="str">
        <f>"Avg Bonus: " &amp; IFERROR(TEXT(AVERAGEIFS('Rational Table'!$L:$L,'Rational Table'!$G:$G,"&lt;&gt;",'Rational Table'!$H:$H,"&lt;&gt;",'Rational Table'!$J:$J,2,'Rational Table'!$K:$K,3),"0.0%"),"-")</f>
        <v>Avg Bonus: -</v>
      </c>
    </row>
    <row r="9" spans="1:14" ht="22.9" customHeight="1" x14ac:dyDescent="0.2">
      <c r="A9" s="9"/>
      <c r="B9" s="9"/>
      <c r="C9" s="9"/>
      <c r="D9" s="9"/>
      <c r="E9" s="9"/>
      <c r="F9" s="9"/>
      <c r="G9" s="9"/>
      <c r="H9" s="9"/>
      <c r="I9" s="9"/>
      <c r="J9" s="135"/>
      <c r="K9" s="137"/>
      <c r="L9" s="72" t="str">
        <f>"Male: " &amp; IFERROR(TEXT(AVERAGEIFS('Rational Table'!$L:$L,'Rational Table'!$G:$G,"&lt;&gt;",'Rational Table'!$H:$H,"&lt;&gt;",'Rational Table'!$E:$E,"M",'Rational Table'!$J:$J,2,'Rational Table'!$K:$K,1),"0.0%"),"-")</f>
        <v>Male: -</v>
      </c>
      <c r="M9" s="72" t="str">
        <f>"Male: " &amp; IFERROR(TEXT(AVERAGEIFS('Rational Table'!$L:$L,'Rational Table'!$G:$G,"&lt;&gt;",'Rational Table'!$H:$H,"&lt;&gt;",'Rational Table'!$E:$E,"M",'Rational Table'!$J:$J,2,'Rational Table'!$K:$K,2),"0.0%"),"-")</f>
        <v>Male: -</v>
      </c>
      <c r="N9" s="72" t="str">
        <f>"Male: " &amp; IFERROR(TEXT(AVERAGEIFS('Rational Table'!$L:$L,'Rational Table'!$G:$G,"&lt;&gt;",'Rational Table'!$H:$H,"&lt;&gt;",'Rational Table'!$E:$E,"M",'Rational Table'!$J:$J,2,'Rational Table'!$K:$K,3),"0.0%"),"-")</f>
        <v>Male: -</v>
      </c>
    </row>
    <row r="10" spans="1:14" ht="22.9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135"/>
      <c r="K10" s="137"/>
      <c r="L10" s="73" t="str">
        <f>"Female: " &amp; IFERROR(TEXT(AVERAGEIFS('Rational Table'!$L:$L,'Rational Table'!$G:$G,"&lt;&gt;",'Rational Table'!$H:$H,"&lt;&gt;",'Rational Table'!$E:$E,"F",'Rational Table'!$J:$J,2,'Rational Table'!$K:$K,1),"0.0%"),"-")</f>
        <v>Female: -</v>
      </c>
      <c r="M10" s="73" t="str">
        <f>"Female: " &amp; IFERROR(TEXT(AVERAGEIFS('Rational Table'!$L:$L,'Rational Table'!$G:$G,"&lt;&gt;",'Rational Table'!$H:$H,"&lt;&gt;",'Rational Table'!$E:$E,"F",'Rational Table'!$J:$J,2,'Rational Table'!$K:$K,2),"0.0%"),"-")</f>
        <v>Female: -</v>
      </c>
      <c r="N10" s="73" t="str">
        <f>"Female: " &amp; IFERROR(TEXT(AVERAGEIFS('Rational Table'!$L:$L,'Rational Table'!$G:$G,"&lt;&gt;",'Rational Table'!$H:$H,"&lt;&gt;",'Rational Table'!$E:$E,"F",'Rational Table'!$J:$J,2,'Rational Table'!$K:$K,3),"0.0%"),"-")</f>
        <v>Female: -</v>
      </c>
    </row>
    <row r="11" spans="1:14" ht="22.9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135"/>
      <c r="K11" s="137" t="s">
        <v>70</v>
      </c>
      <c r="L11" s="75" t="s">
        <v>106</v>
      </c>
      <c r="M11" s="75" t="s">
        <v>112</v>
      </c>
      <c r="N11" s="75" t="s">
        <v>107</v>
      </c>
    </row>
    <row r="12" spans="1:14" ht="22.9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135"/>
      <c r="K12" s="137"/>
      <c r="L12" s="71" t="str">
        <f>"Avg Bonus: " &amp; IFERROR(TEXT(AVERAGEIFS('Rational Table'!$L:$L,'Rational Table'!$G:$G,"&lt;&gt;",'Rational Table'!$H:$H,"&lt;&gt;",'Rational Table'!$J:$J,1,'Rational Table'!$K:$K,1),"0.0%"),"-")</f>
        <v>Avg Bonus: -</v>
      </c>
      <c r="M12" s="71" t="str">
        <f>"Avg Bonus: " &amp; IFERROR(TEXT(AVERAGEIFS('Rational Table'!$L:$L,'Rational Table'!$G:$G,"&lt;&gt;",'Rational Table'!$H:$H,"&lt;&gt;",'Rational Table'!$J:$J,1,'Rational Table'!$K:$K,2),"0.0%"),"-")</f>
        <v>Avg Bonus: -</v>
      </c>
      <c r="N12" s="71" t="str">
        <f>"Avg Bonus: " &amp; IFERROR(TEXT(AVERAGEIFS('Rational Table'!$L:$L,'Rational Table'!$G:$G,"&lt;&gt;",'Rational Table'!$H:$H,"&lt;&gt;",'Rational Table'!$J:$J,1,'Rational Table'!$K:$K,3),"0.0%"),"-")</f>
        <v>Avg Bonus: -</v>
      </c>
    </row>
    <row r="13" spans="1:14" ht="22.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135"/>
      <c r="K13" s="137"/>
      <c r="L13" s="72" t="str">
        <f>"Male: " &amp; IFERROR(TEXT(AVERAGEIFS('Rational Table'!$L:$L,'Rational Table'!$G:$G,"&lt;&gt;",'Rational Table'!$H:$H,"&lt;&gt;",'Rational Table'!$E:$E,"M",'Rational Table'!$J:$J,1,'Rational Table'!$K:$K,1),"0.0%"),"-")</f>
        <v>Male: -</v>
      </c>
      <c r="M13" s="72" t="str">
        <f>"Male: " &amp; IFERROR(TEXT(AVERAGEIFS('Rational Table'!$L:$L,'Rational Table'!$G:$G,"&lt;&gt;",'Rational Table'!$H:$H,"&lt;&gt;",'Rational Table'!$E:$E,"M",'Rational Table'!$J:$J,1,'Rational Table'!$K:$K,2),"0.0%"),"-")</f>
        <v>Male: -</v>
      </c>
      <c r="N13" s="72" t="str">
        <f>"Male: " &amp; IFERROR(TEXT(AVERAGEIFS('Rational Table'!$L:$L,'Rational Table'!$G:$G,"&lt;&gt;",'Rational Table'!$H:$H,"&lt;&gt;",'Rational Table'!$E:$E,"M",'Rational Table'!$J:$J,1,'Rational Table'!$K:$K,3),"0.0%"),"-")</f>
        <v>Male: -</v>
      </c>
    </row>
    <row r="14" spans="1:14" ht="22.9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135"/>
      <c r="K14" s="137"/>
      <c r="L14" s="73" t="str">
        <f>"Female: " &amp; IFERROR(TEXT(AVERAGEIFS('Rational Table'!$L:$L,'Rational Table'!$G:$G,"&lt;&gt;",'Rational Table'!$H:$H,"&lt;&gt;",'Rational Table'!$E:$E,"F",'Rational Table'!$J:$J,1,'Rational Table'!$K:$K,1),"0.0%"),"-")</f>
        <v>Female: -</v>
      </c>
      <c r="M14" s="73" t="str">
        <f>"Female: " &amp; IFERROR(TEXT(AVERAGEIFS('Rational Table'!$L:$L,'Rational Table'!$G:$G,"&lt;&gt;",'Rational Table'!$H:$H,"&lt;&gt;",'Rational Table'!$E:$E,"F",'Rational Table'!$J:$J,1,'Rational Table'!$K:$K,2),"0.0%"),"-")</f>
        <v>Female: -</v>
      </c>
      <c r="N14" s="73" t="str">
        <f>"Female: " &amp; IFERROR(TEXT(AVERAGEIFS('Rational Table'!$L:$L,'Rational Table'!$G:$G,"&lt;&gt;",'Rational Table'!$H:$H,"&lt;&gt;",'Rational Table'!$E:$E,"F",'Rational Table'!$J:$J,1,'Rational Table'!$K:$K,3),"0.0%"),"-")</f>
        <v>Female: -</v>
      </c>
    </row>
    <row r="15" spans="1:14" ht="18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135"/>
      <c r="K15" s="69"/>
      <c r="L15" s="70" t="s">
        <v>70</v>
      </c>
      <c r="M15" s="70" t="s">
        <v>69</v>
      </c>
      <c r="N15" s="70" t="s">
        <v>68</v>
      </c>
    </row>
    <row r="16" spans="1:14" ht="19.899999999999999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68"/>
      <c r="L16" s="133" t="s">
        <v>33</v>
      </c>
      <c r="M16" s="134"/>
      <c r="N16" s="134"/>
    </row>
    <row r="17" spans="1:14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6" customHeight="1" x14ac:dyDescent="0.2">
      <c r="A18" s="126"/>
      <c r="B18" s="127"/>
      <c r="C18" s="127"/>
      <c r="D18" s="127"/>
      <c r="E18" s="128"/>
      <c r="F18" s="9"/>
      <c r="G18" s="9"/>
      <c r="H18" s="9"/>
      <c r="I18" s="9"/>
      <c r="J18" s="9"/>
      <c r="K18" s="9"/>
      <c r="L18" s="9"/>
      <c r="M18" s="9"/>
      <c r="N18" s="9"/>
    </row>
    <row r="19" spans="1:14" ht="12.75" customHeight="1" x14ac:dyDescent="0.2">
      <c r="A19" s="129" t="s">
        <v>97</v>
      </c>
      <c r="B19" s="131" t="s">
        <v>68</v>
      </c>
      <c r="C19" s="65" t="s">
        <v>59</v>
      </c>
      <c r="D19" s="66" t="s">
        <v>60</v>
      </c>
      <c r="E19" s="65" t="s">
        <v>61</v>
      </c>
      <c r="F19" s="36"/>
      <c r="G19" s="9"/>
      <c r="H19" s="9"/>
      <c r="I19" s="9"/>
      <c r="J19" s="9"/>
      <c r="K19" s="9"/>
      <c r="L19" s="9"/>
      <c r="M19" s="9"/>
      <c r="N19" s="9"/>
    </row>
    <row r="20" spans="1:14" ht="21.6" customHeight="1" x14ac:dyDescent="0.2">
      <c r="A20" s="130"/>
      <c r="B20" s="131"/>
      <c r="C20" s="40" t="e">
        <f>IF(IFERROR(COUNTIFS('Rational Table'!$G:$G,"&lt;&gt;",'Rational Table'!$H:$H,"&lt;&gt;",'Rational Table'!$J:$J,3,'Rational Table'!$K:$K,1),0)=0,"",TEXT(IFERROR(COUNTIFS('Rational Table'!$G:$G,"&lt;&gt;",'Rational Table'!$H:$H,"&lt;&gt;",'Rational Table'!$J:$J,3,'Rational Table'!$K:$K,1)/(COUNTIFS('Rational Table'!$G:$G,"&lt;&gt;",'Rational Table'!$H:$H,"&lt;&gt;")-1),0),"0.0%") &amp; IFERROR(" (Avg Bonus: " &amp; TEXT(AVERAGEIFS('Rational Table'!$L:$L,'Rational Table'!$G:$G,"&lt;&gt;",'Rational Table'!$H:$H,"&lt;&gt;",'Rational Table'!$J:$J,3,'Rational Table'!$K:$K,1),"0.0%") &amp; ")",""))</f>
        <v>#VALUE!</v>
      </c>
      <c r="D20" s="47" t="e">
        <f>IF(IFERROR(COUNTIFS('Rational Table'!$G:$G,"&lt;&gt;",'Rational Table'!$H:$H,"&lt;&gt;",'Rational Table'!$J:$J,3,'Rational Table'!$K:$K,2),0)=0,"",TEXT(IFERROR(COUNTIFS('Rational Table'!$G:$G,"&lt;&gt;",'Rational Table'!$H:$H,"&lt;&gt;",'Rational Table'!$J:$J,3,'Rational Table'!$K:$K,2)/(COUNTIFS('Rational Table'!$G:$G,"&lt;&gt;",'Rational Table'!$H:$H,"&lt;&gt;")-1),0),"0.0%") &amp; IFERROR(" (Avg Bonus: " &amp; TEXT(AVERAGEIFS('Rational Table'!$L:$L,'Rational Table'!$G:$G,"&lt;&gt;",'Rational Table'!$H:$H,"&lt;&gt;",'Rational Table'!$J:$J,3,'Rational Table'!$K:$K,2),"0.0%") &amp; ")",""))</f>
        <v>#VALUE!</v>
      </c>
      <c r="E20" s="43" t="e">
        <f>IF(IFERROR(COUNTIFS('Rational Table'!$G:$G,"&lt;&gt;",'Rational Table'!$H:$H,"&lt;&gt;",'Rational Table'!$J:$J,3,'Rational Table'!$K:$K,3),0)=0,"",TEXT(IFERROR(COUNTIFS('Rational Table'!$G:$G,"&lt;&gt;",'Rational Table'!$H:$H,"&lt;&gt;",'Rational Table'!$J:$J,3,'Rational Table'!$K:$K,3)/(COUNTIFS('Rational Table'!$G:$G,"&lt;&gt;",'Rational Table'!$H:$H,"&lt;&gt;")-1),0),"0.0%") &amp; IFERROR(" (Avg Bonus: " &amp; TEXT(AVERAGEIFS('Rational Table'!$L:$L,'Rational Table'!$G:$G,"&lt;&gt;",'Rational Table'!$H:$H,"&lt;&gt;",'Rational Table'!$J:$J,3,'Rational Table'!$K:$K,3),"0.0%") &amp; ")",""))</f>
        <v>#VALUE!</v>
      </c>
      <c r="F20" s="36"/>
      <c r="G20" s="9"/>
      <c r="H20" s="9"/>
      <c r="I20" s="9"/>
      <c r="J20" s="9"/>
      <c r="K20" s="9"/>
      <c r="L20" s="9"/>
      <c r="M20" s="9"/>
      <c r="N20" s="9"/>
    </row>
    <row r="21" spans="1:14" ht="59.1" customHeight="1" x14ac:dyDescent="0.2">
      <c r="A21" s="130"/>
      <c r="B21" s="131"/>
      <c r="C21" s="38" t="s">
        <v>151</v>
      </c>
      <c r="D21" s="64" t="s">
        <v>152</v>
      </c>
      <c r="E21" s="38" t="s">
        <v>142</v>
      </c>
      <c r="F21" s="36"/>
      <c r="G21" s="9"/>
      <c r="H21" s="9"/>
      <c r="I21" s="9"/>
      <c r="J21" s="9"/>
      <c r="K21" s="9"/>
      <c r="L21" s="9"/>
      <c r="M21" s="9"/>
      <c r="N21" s="9"/>
    </row>
    <row r="22" spans="1:14" ht="12.75" customHeight="1" x14ac:dyDescent="0.2">
      <c r="A22" s="130"/>
      <c r="B22" s="132" t="s">
        <v>69</v>
      </c>
      <c r="C22" s="54" t="s">
        <v>62</v>
      </c>
      <c r="D22" s="46" t="s">
        <v>63</v>
      </c>
      <c r="E22" s="46" t="s">
        <v>64</v>
      </c>
      <c r="F22" s="36"/>
      <c r="G22" s="9"/>
      <c r="H22" s="9"/>
      <c r="I22" s="9"/>
      <c r="J22" s="9"/>
      <c r="K22" s="9"/>
      <c r="L22" s="9"/>
      <c r="M22" s="9"/>
      <c r="N22" s="9"/>
    </row>
    <row r="23" spans="1:14" ht="21.6" customHeight="1" x14ac:dyDescent="0.2">
      <c r="A23" s="130"/>
      <c r="B23" s="132"/>
      <c r="C23" s="62" t="str">
        <f>IF(IFERROR(COUNTIFS('Rational Table'!$G:$G,"&lt;&gt;",'Rational Table'!$H:$H,"&lt;&gt;",'Rational Table'!$J:$J,2,'Rational Table'!$K:$K,1),0)=0,"",TEXT(IFERROR(COUNTIFS('Rational Table'!$G:$G,"&lt;&gt;",'Rational Table'!$H:$H,"&lt;&gt;",'Rational Table'!$J:$J,2,'Rational Table'!$K:$K,1)/(COUNTIFS('Rational Table'!$G:$G,"&lt;&gt;",'Rational Table'!$H:$H,"&lt;&gt;")-1),0),"0.0%") &amp; IFERROR(" (Avg Bonus: " &amp; TEXT(AVERAGEIFS('Rational Table'!$L:$L,'Rational Table'!$G:$G,"&lt;&gt;",'Rational Table'!$H:$H,"&lt;&gt;",'Rational Table'!$J:$J,2,'Rational Table'!$K:$K,1),"0.0%") &amp; ")",""))</f>
        <v/>
      </c>
      <c r="D23" s="43" t="e">
        <f>IF(IFERROR(COUNTIFS('Rational Table'!$G:$G,"&lt;&gt;",'Rational Table'!$H:$H,"&lt;&gt;",'Rational Table'!$J:$J,2,'Rational Table'!$K:$K,2),0)=0,"",TEXT(IFERROR(COUNTIFS('Rational Table'!$G:$G,"&lt;&gt;",'Rational Table'!$H:$H,"&lt;&gt;",'Rational Table'!$J:$J,2,'Rational Table'!$K:$K,2)/(COUNTIFS('Rational Table'!$G:$G,"&lt;&gt;",'Rational Table'!$H:$H,"&lt;&gt;")-1),0),"0.0%") &amp; IFERROR(" (Avg Bonus: " &amp; TEXT(AVERAGEIFS('Rational Table'!$L:$L,'Rational Table'!$G:$G,"&lt;&gt;",'Rational Table'!$H:$H,"&lt;&gt;",'Rational Table'!$J:$J,2,'Rational Table'!$K:$K,2),"0.0%") &amp; ")",""))</f>
        <v>#VALUE!</v>
      </c>
      <c r="E23" s="40" t="e">
        <f>IF(IFERROR(COUNTIFS('Rational Table'!$G:$G,"&lt;&gt;",'Rational Table'!$H:$H,"&lt;&gt;",'Rational Table'!$J:$J,2,'Rational Table'!$K:$K,3),0)=0,"",TEXT(IFERROR(COUNTIFS('Rational Table'!$G:$G,"&lt;&gt;",'Rational Table'!$H:$H,"&lt;&gt;",'Rational Table'!$J:$J,2,'Rational Table'!$K:$K,3)/(COUNTIFS('Rational Table'!$G:$G,"&lt;&gt;",'Rational Table'!$H:$H,"&lt;&gt;")-1),0),"0.0%") &amp; IFERROR(" (Avg Bonus: " &amp; TEXT(AVERAGEIFS('Rational Table'!$L:$L,'Rational Table'!$G:$G,"&lt;&gt;",'Rational Table'!$H:$H,"&lt;&gt;",'Rational Table'!$J:$J,2,'Rational Table'!$K:$K,3),"0.0%") &amp; ")",""))</f>
        <v>#VALUE!</v>
      </c>
      <c r="F23" s="36"/>
      <c r="G23" s="9"/>
      <c r="H23" s="9"/>
      <c r="I23" s="9"/>
      <c r="J23" s="9"/>
      <c r="K23" s="9"/>
      <c r="L23" s="9"/>
      <c r="M23" s="9"/>
      <c r="N23" s="9"/>
    </row>
    <row r="24" spans="1:14" ht="59.1" customHeight="1" x14ac:dyDescent="0.2">
      <c r="A24" s="130"/>
      <c r="B24" s="132"/>
      <c r="C24" s="42"/>
      <c r="D24" s="38" t="s">
        <v>149</v>
      </c>
      <c r="E24" s="38" t="s">
        <v>150</v>
      </c>
      <c r="F24" s="36"/>
      <c r="G24" s="9"/>
      <c r="H24" s="9"/>
      <c r="I24" s="9"/>
      <c r="J24" s="9"/>
      <c r="K24" s="9"/>
      <c r="L24" s="9"/>
      <c r="M24" s="9"/>
      <c r="N24" s="9"/>
    </row>
    <row r="25" spans="1:14" ht="12.75" customHeight="1" x14ac:dyDescent="0.2">
      <c r="A25" s="130"/>
      <c r="B25" s="131" t="s">
        <v>70</v>
      </c>
      <c r="C25" s="58" t="s">
        <v>65</v>
      </c>
      <c r="D25" s="59" t="s">
        <v>66</v>
      </c>
      <c r="E25" s="46" t="s">
        <v>67</v>
      </c>
      <c r="F25" s="36"/>
      <c r="G25" s="9"/>
      <c r="H25" s="9"/>
      <c r="I25" s="9"/>
      <c r="J25" s="9"/>
      <c r="K25" s="9"/>
      <c r="L25" s="9"/>
      <c r="M25" s="9"/>
      <c r="N25" s="9"/>
    </row>
    <row r="26" spans="1:14" ht="21.6" customHeight="1" x14ac:dyDescent="0.2">
      <c r="A26" s="130"/>
      <c r="B26" s="131"/>
      <c r="C26" s="47" t="e">
        <f>IF(IFERROR(COUNTIFS('Rational Table'!$G:$G,"&lt;&gt;",'Rational Table'!$H:$H,"&lt;&gt;",'Rational Table'!$J:$J,1,'Rational Table'!$K:$K,1),0)=0,"",TEXT(IFERROR(COUNTIFS('Rational Table'!$G:$G,"&lt;&gt;",'Rational Table'!$H:$H,"&lt;&gt;",'Rational Table'!$J:$J,1,'Rational Table'!$K:$K,1)/(COUNTIFS('Rational Table'!$G:$G,"&lt;&gt;",'Rational Table'!$H:$H,"&lt;&gt;")-1),0),"0.0%") &amp; IFERROR(" (Avg Bonus: " &amp; TEXT(AVERAGEIFS('Rational Table'!$L:$L,'Rational Table'!$G:$G,"&lt;&gt;",'Rational Table'!$H:$H,"&lt;&gt;",'Rational Table'!$J:$J,1,'Rational Table'!$K:$K,1),"0.0%") &amp; ")",""))</f>
        <v>#VALUE!</v>
      </c>
      <c r="D26" s="40" t="str">
        <f>IF(IFERROR(COUNTIFS('Rational Table'!$G:$G,"&lt;&gt;",'Rational Table'!$H:$H,"&lt;&gt;",'Rational Table'!$J:$J,1,'Rational Table'!$K:$K,2),0)=0,"",TEXT(IFERROR(COUNTIFS('Rational Table'!$G:$G,"&lt;&gt;",'Rational Table'!$H:$H,"&lt;&gt;",'Rational Table'!$J:$J,1,'Rational Table'!$K:$K,2)/(COUNTIFS('Rational Table'!$G:$G,"&lt;&gt;",'Rational Table'!$H:$H,"&lt;&gt;")-1),0),"0.0%") &amp; IFERROR(" (Avg Bonus: " &amp; TEXT(AVERAGEIFS('Rational Table'!$L:$L,'Rational Table'!$G:$G,"&lt;&gt;",'Rational Table'!$H:$H,"&lt;&gt;",'Rational Table'!$J:$J,1,'Rational Table'!$K:$K,2),"0.0%") &amp; ")",""))</f>
        <v/>
      </c>
      <c r="E26" s="40" t="str">
        <f>IF(IFERROR(COUNTIFS('Rational Table'!$G:$G,"&lt;&gt;",'Rational Table'!$H:$H,"&lt;&gt;",'Rational Table'!$J:$J,1,'Rational Table'!$K:$K,3),0)=0,"",TEXT(IFERROR(COUNTIFS('Rational Table'!$G:$G,"&lt;&gt;",'Rational Table'!$H:$H,"&lt;&gt;",'Rational Table'!$J:$J,1,'Rational Table'!$K:$K,3)/(COUNTIFS('Rational Table'!$G:$G,"&lt;&gt;",'Rational Table'!$H:$H,"&lt;&gt;")-1),0),"0.0%") &amp; IFERROR(" (Avg Bonus: " &amp; TEXT(AVERAGEIFS('Rational Table'!$L:$L,'Rational Table'!$G:$G,"&lt;&gt;",'Rational Table'!$H:$H,"&lt;&gt;",'Rational Table'!$J:$J,1,'Rational Table'!$K:$K,3),"0.0%") &amp; ")",""))</f>
        <v/>
      </c>
      <c r="F26" s="36"/>
      <c r="G26" s="9"/>
      <c r="H26" s="9"/>
      <c r="I26" s="9"/>
      <c r="J26" s="9"/>
      <c r="K26" s="9"/>
      <c r="L26" s="9"/>
      <c r="M26" s="9"/>
      <c r="N26" s="9"/>
    </row>
    <row r="27" spans="1:14" ht="59.1" customHeight="1" x14ac:dyDescent="0.2">
      <c r="A27" s="130"/>
      <c r="B27" s="131"/>
      <c r="C27" s="64" t="s">
        <v>141</v>
      </c>
      <c r="D27" s="53"/>
      <c r="E27" s="60"/>
      <c r="F27" s="36"/>
      <c r="G27" s="9"/>
      <c r="H27" s="9"/>
      <c r="I27" s="9"/>
      <c r="J27" s="9"/>
      <c r="K27" s="9"/>
      <c r="L27" s="9"/>
      <c r="M27" s="9"/>
      <c r="N27" s="9"/>
    </row>
    <row r="28" spans="1:14" ht="18" customHeight="1" x14ac:dyDescent="0.2">
      <c r="A28" s="130"/>
      <c r="B28" s="30"/>
      <c r="C28" s="39" t="s">
        <v>70</v>
      </c>
      <c r="D28" s="39" t="s">
        <v>69</v>
      </c>
      <c r="E28" s="52" t="s">
        <v>68</v>
      </c>
      <c r="F28" s="9"/>
      <c r="G28" s="9"/>
      <c r="H28" s="9"/>
      <c r="I28" s="9"/>
      <c r="J28" s="9"/>
      <c r="K28" s="9"/>
      <c r="L28" s="9"/>
      <c r="M28" s="9"/>
      <c r="N28" s="9"/>
    </row>
    <row r="29" spans="1:14" ht="30" customHeight="1" x14ac:dyDescent="0.2">
      <c r="A29" s="29"/>
      <c r="B29" s="123" t="s">
        <v>98</v>
      </c>
      <c r="C29" s="124"/>
      <c r="D29" s="124"/>
      <c r="E29" s="124"/>
      <c r="F29" s="9"/>
      <c r="G29" s="9"/>
      <c r="H29" s="76"/>
      <c r="I29" s="76"/>
      <c r="J29" s="9"/>
      <c r="K29" s="9"/>
      <c r="L29" s="9"/>
      <c r="M29" s="9"/>
      <c r="N29" s="9"/>
    </row>
    <row r="30" spans="1:14" ht="6.6" customHeight="1" x14ac:dyDescent="0.2">
      <c r="A30" s="9"/>
      <c r="B30" s="9"/>
      <c r="C30" s="9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2.75" customHeight="1" x14ac:dyDescent="0.2">
      <c r="A31" s="9"/>
      <c r="B31" s="9"/>
      <c r="C31" s="97"/>
      <c r="D31" s="96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21.6" customHeight="1" x14ac:dyDescent="0.2">
      <c r="A32" s="9"/>
      <c r="B32" s="9"/>
      <c r="C32" s="98">
        <f>IFERROR((COUNTIFS('Rational Table'!$G:$G,"&lt;&gt;",'Rational Table'!$H:$H,"&lt;&gt;",'Rational Table'!$J:$J,"N/A",'Rational Table'!$K:$K,"N/A")+COUNTIFS('Rational Table'!$G:$G,"&lt;&gt;",'Rational Table'!$H:$H,"&lt;&gt;",'Rational Table'!$J:$J,"&lt;&gt;N/A",'Rational Table'!$K:$K,"N/A")+COUNTIFS('Rational Table'!$G:$G,"&lt;&gt;",'Rational Table'!$H:$H,"&lt;&gt;",'Rational Table'!$J:$J,"N/A",'Rational Table'!$K:$K,"&lt;&gt;N/A"))/(COUNTIFS('Rational Table'!$G:$G,"&lt;&gt;",'Rational Table'!$H:$H,"&lt;&gt;")-1),0)</f>
        <v>0</v>
      </c>
      <c r="D32" s="96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ht="59.1" customHeight="1" x14ac:dyDescent="0.2"/>
  </sheetData>
  <sheetProtection formatColumns="0" formatRows="0"/>
  <mergeCells count="13">
    <mergeCell ref="L16:N16"/>
    <mergeCell ref="J3:J15"/>
    <mergeCell ref="J2:N2"/>
    <mergeCell ref="K3:K6"/>
    <mergeCell ref="K11:K14"/>
    <mergeCell ref="K7:K10"/>
    <mergeCell ref="B29:E29"/>
    <mergeCell ref="A1:E1"/>
    <mergeCell ref="A18:E18"/>
    <mergeCell ref="A19:A28"/>
    <mergeCell ref="B19:B21"/>
    <mergeCell ref="B22:B24"/>
    <mergeCell ref="B25:B27"/>
  </mergeCells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>
    <oddHeader>&amp;LPerformance Grid 2012&amp;RStrictly Confidential</oddHead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2"/>
  <sheetViews>
    <sheetView showGridLines="0" zoomScale="90" zoomScaleNormal="90" workbookViewId="0">
      <selection activeCell="C31" sqref="C31"/>
    </sheetView>
  </sheetViews>
  <sheetFormatPr defaultColWidth="9.140625" defaultRowHeight="12.75" customHeight="1" x14ac:dyDescent="0.2"/>
  <cols>
    <col min="1" max="1" width="6.7109375" customWidth="1"/>
    <col min="2" max="2" width="3.85546875" customWidth="1"/>
    <col min="3" max="5" width="41.42578125" customWidth="1"/>
    <col min="6" max="8" width="9.140625" customWidth="1"/>
    <col min="9" max="9" width="3.7109375" customWidth="1"/>
    <col min="10" max="10" width="4.7109375" customWidth="1"/>
    <col min="11" max="11" width="3.85546875" customWidth="1"/>
    <col min="12" max="14" width="23" customWidth="1"/>
  </cols>
  <sheetData>
    <row r="1" spans="1:14" ht="18" x14ac:dyDescent="0.25">
      <c r="A1" s="125" t="s">
        <v>18</v>
      </c>
      <c r="B1" s="125"/>
      <c r="C1" s="125"/>
      <c r="D1" s="125"/>
      <c r="E1" s="125"/>
      <c r="F1" s="9"/>
      <c r="G1" s="9"/>
      <c r="H1" s="9"/>
      <c r="I1" s="9"/>
      <c r="J1" s="9"/>
      <c r="K1" s="9"/>
      <c r="L1" s="9"/>
      <c r="M1" s="9"/>
      <c r="N1" s="9"/>
    </row>
    <row r="2" spans="1:14" ht="23.45" customHeight="1" x14ac:dyDescent="0.2">
      <c r="A2" s="9"/>
      <c r="B2" s="9"/>
      <c r="C2" s="9"/>
      <c r="D2" s="9"/>
      <c r="E2" s="9"/>
      <c r="F2" s="9"/>
      <c r="G2" s="9"/>
      <c r="H2" s="9"/>
      <c r="I2" s="9"/>
      <c r="J2" s="136" t="s">
        <v>114</v>
      </c>
      <c r="K2" s="136"/>
      <c r="L2" s="136"/>
      <c r="M2" s="136"/>
      <c r="N2" s="136"/>
    </row>
    <row r="3" spans="1:14" ht="22.9" customHeight="1" x14ac:dyDescent="0.2">
      <c r="A3" s="9"/>
      <c r="B3" s="9"/>
      <c r="C3" s="9"/>
      <c r="D3" s="9"/>
      <c r="E3" s="9"/>
      <c r="F3" s="9"/>
      <c r="G3" s="9"/>
      <c r="H3" s="9"/>
      <c r="I3" s="9"/>
      <c r="J3" s="135" t="s">
        <v>31</v>
      </c>
      <c r="K3" s="137" t="s">
        <v>68</v>
      </c>
      <c r="L3" s="75" t="s">
        <v>105</v>
      </c>
      <c r="M3" s="75" t="s">
        <v>108</v>
      </c>
      <c r="N3" s="75" t="s">
        <v>104</v>
      </c>
    </row>
    <row r="4" spans="1:14" ht="2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135"/>
      <c r="K4" s="137"/>
      <c r="L4" s="71" t="str">
        <f>"Avg Bonus: " &amp; IFERROR(TEXT(AVERAGEIFS('Rational Table'!$L:$L,'Rational Table'!$A:$A,"EMPLOYEE",'Rational Table'!$G:$G,"&lt;&gt;",'Rational Table'!$H:$H,"&lt;&gt;",'Rational Table'!$J:$J,3,'Rational Table'!$K:$K,1),"0.0%"),"-")</f>
        <v>Avg Bonus: -</v>
      </c>
      <c r="M4" s="71" t="str">
        <f>"Avg Bonus: " &amp; IFERROR(TEXT(AVERAGEIFS('Rational Table'!$L:$L,'Rational Table'!$A:$A,"EMPLOYEE",'Rational Table'!$G:$G,"&lt;&gt;",'Rational Table'!$H:$H,"&lt;&gt;",'Rational Table'!$J:$J,3,'Rational Table'!$K:$K,2),"0.0%"),"-")</f>
        <v>Avg Bonus: -</v>
      </c>
      <c r="N4" s="71" t="str">
        <f>"Avg Bonus: " &amp; IFERROR(TEXT(AVERAGEIFS('Rational Table'!$L:$L,'Rational Table'!$A:$A,"EMPLOYEE",'Rational Table'!$G:$G,"&lt;&gt;",'Rational Table'!$H:$H,"&lt;&gt;",'Rational Table'!$J:$J,3,'Rational Table'!$K:$K,3),"0.0%"),"-")</f>
        <v>Avg Bonus: -</v>
      </c>
    </row>
    <row r="5" spans="1:14" ht="22.9" customHeight="1" x14ac:dyDescent="0.2">
      <c r="A5" s="9"/>
      <c r="B5" s="9"/>
      <c r="C5" s="9"/>
      <c r="D5" s="9"/>
      <c r="E5" s="76"/>
      <c r="F5" s="9"/>
      <c r="G5" s="9"/>
      <c r="H5" s="9"/>
      <c r="I5" s="9"/>
      <c r="J5" s="135"/>
      <c r="K5" s="137"/>
      <c r="L5" s="72" t="str">
        <f>"Male: " &amp; IFERROR(TEXT(AVERAGEIFS('Rational Table'!$L:$L,'Rational Table'!$A:$A,"EMPLOYEE",'Rational Table'!$G:$G,"&lt;&gt;",'Rational Table'!$H:$H,"&lt;&gt;",'Rational Table'!$E:$E,"M",'Rational Table'!$J:$J,3,'Rational Table'!$K:$K,1),"0.0%"),"-")</f>
        <v>Male: -</v>
      </c>
      <c r="M5" s="72" t="str">
        <f>"Male: " &amp; IFERROR(TEXT(AVERAGEIFS('Rational Table'!$L:$L,'Rational Table'!$A:$A,"EMPLOYEE",'Rational Table'!$G:$G,"&lt;&gt;",'Rational Table'!$H:$H,"&lt;&gt;",'Rational Table'!$E:$E,"M",'Rational Table'!$J:$J,3,'Rational Table'!$K:$K,2),"0.0%"),"-")</f>
        <v>Male: -</v>
      </c>
      <c r="N5" s="72" t="str">
        <f>"Male: " &amp; IFERROR(TEXT(AVERAGEIFS('Rational Table'!$L:$L,'Rational Table'!$A:$A,"EMPLOYEE",'Rational Table'!$G:$G,"&lt;&gt;",'Rational Table'!$H:$H,"&lt;&gt;",'Rational Table'!$E:$E,"M",'Rational Table'!$J:$J,3,'Rational Table'!$K:$K,3),"0.0%"),"-")</f>
        <v>Male: -</v>
      </c>
    </row>
    <row r="6" spans="1:14" ht="22.9" customHeight="1" x14ac:dyDescent="0.2">
      <c r="A6" s="9"/>
      <c r="B6" s="9"/>
      <c r="C6" s="9"/>
      <c r="D6" s="9"/>
      <c r="E6" s="9"/>
      <c r="F6" s="9"/>
      <c r="G6" s="9"/>
      <c r="H6" s="9"/>
      <c r="I6" s="9"/>
      <c r="J6" s="135"/>
      <c r="K6" s="137"/>
      <c r="L6" s="73" t="str">
        <f>"Female: " &amp; IFERROR(TEXT(AVERAGEIFS('Rational Table'!$L:$L,'Rational Table'!$A:$A,"EMPLOYEE",'Rational Table'!$G:$G,"&lt;&gt;",'Rational Table'!$H:$H,"&lt;&gt;",'Rational Table'!$E:$E,"F",'Rational Table'!$J:$J,3,'Rational Table'!$K:$K,1),"0.0%"),"-")</f>
        <v>Female: -</v>
      </c>
      <c r="M6" s="73" t="str">
        <f>"Female: " &amp; IFERROR(TEXT(AVERAGEIFS('Rational Table'!$L:$L,'Rational Table'!$A:$A,"EMPLOYEE",'Rational Table'!$G:$G,"&lt;&gt;",'Rational Table'!$H:$H,"&lt;&gt;",'Rational Table'!$E:$E,"F",'Rational Table'!$J:$J,3,'Rational Table'!$K:$K,2),"0.0%"),"-")</f>
        <v>Female: -</v>
      </c>
      <c r="N6" s="73" t="str">
        <f>"Female: " &amp; IFERROR(TEXT(AVERAGEIFS('Rational Table'!$L:$L,'Rational Table'!$A:$A,"EMPLOYEE",'Rational Table'!$G:$G,"&lt;&gt;",'Rational Table'!$H:$H,"&lt;&gt;",'Rational Table'!$E:$E,"F",'Rational Table'!$J:$J,3,'Rational Table'!$K:$K,3),"0.0%"),"-")</f>
        <v>Female: -</v>
      </c>
    </row>
    <row r="7" spans="1:14" ht="22.9" customHeight="1" x14ac:dyDescent="0.2">
      <c r="A7" s="9"/>
      <c r="B7" s="9"/>
      <c r="C7" s="9"/>
      <c r="D7" s="9"/>
      <c r="E7" s="9"/>
      <c r="F7" s="9"/>
      <c r="G7" s="9"/>
      <c r="H7" s="9"/>
      <c r="I7" s="9"/>
      <c r="J7" s="135"/>
      <c r="K7" s="137" t="s">
        <v>69</v>
      </c>
      <c r="L7" s="75" t="s">
        <v>109</v>
      </c>
      <c r="M7" s="75" t="s">
        <v>110</v>
      </c>
      <c r="N7" s="75" t="s">
        <v>111</v>
      </c>
    </row>
    <row r="8" spans="1:14" ht="22.9" customHeight="1" x14ac:dyDescent="0.2">
      <c r="A8" s="9"/>
      <c r="B8" s="9"/>
      <c r="C8" s="9"/>
      <c r="D8" s="9"/>
      <c r="E8" s="9"/>
      <c r="F8" s="9"/>
      <c r="G8" s="9"/>
      <c r="H8" s="9"/>
      <c r="I8" s="9"/>
      <c r="J8" s="135"/>
      <c r="K8" s="137"/>
      <c r="L8" s="71" t="str">
        <f>"Avg Bonus: " &amp; IFERROR(TEXT(AVERAGEIFS('Rational Table'!$L:$L,'Rational Table'!$A:$A,"EMPLOYEE",'Rational Table'!$G:$G,"&lt;&gt;",'Rational Table'!$H:$H,"&lt;&gt;",'Rational Table'!$J:$J,2,'Rational Table'!$K:$K,1),"0.0%"),"-")</f>
        <v>Avg Bonus: -</v>
      </c>
      <c r="M8" s="71" t="str">
        <f>"Avg Bonus: " &amp; IFERROR(TEXT(AVERAGEIFS('Rational Table'!$L:$L,'Rational Table'!$A:$A,"EMPLOYEE",'Rational Table'!$G:$G,"&lt;&gt;",'Rational Table'!$H:$H,"&lt;&gt;",'Rational Table'!$J:$J,2,'Rational Table'!$K:$K,2),"0.0%"),"-")</f>
        <v>Avg Bonus: -</v>
      </c>
      <c r="N8" s="71" t="str">
        <f>"Avg Bonus: " &amp; IFERROR(TEXT(AVERAGEIFS('Rational Table'!$L:$L,'Rational Table'!$A:$A,"EMPLOYEE",'Rational Table'!$G:$G,"&lt;&gt;",'Rational Table'!$H:$H,"&lt;&gt;",'Rational Table'!$J:$J,2,'Rational Table'!$K:$K,3),"0.0%"),"-")</f>
        <v>Avg Bonus: -</v>
      </c>
    </row>
    <row r="9" spans="1:14" ht="22.9" customHeight="1" x14ac:dyDescent="0.2">
      <c r="A9" s="9"/>
      <c r="B9" s="9"/>
      <c r="C9" s="9"/>
      <c r="D9" s="9"/>
      <c r="E9" s="9"/>
      <c r="F9" s="9"/>
      <c r="G9" s="9"/>
      <c r="H9" s="9"/>
      <c r="I9" s="9"/>
      <c r="J9" s="135"/>
      <c r="K9" s="137"/>
      <c r="L9" s="72" t="str">
        <f>"Male: " &amp; IFERROR(TEXT(AVERAGEIFS('Rational Table'!$L:$L,'Rational Table'!$A:$A,"EMPLOYEE",'Rational Table'!$G:$G,"&lt;&gt;",'Rational Table'!$H:$H,"&lt;&gt;",'Rational Table'!$E:$E,"M",'Rational Table'!$J:$J,2,'Rational Table'!$K:$K,1),"0.0%"),"-")</f>
        <v>Male: -</v>
      </c>
      <c r="M9" s="72" t="str">
        <f>"Male: " &amp; IFERROR(TEXT(AVERAGEIFS('Rational Table'!$L:$L,'Rational Table'!$A:$A,"EMPLOYEE",'Rational Table'!$G:$G,"&lt;&gt;",'Rational Table'!$H:$H,"&lt;&gt;",'Rational Table'!$E:$E,"M",'Rational Table'!$J:$J,2,'Rational Table'!$K:$K,2),"0.0%"),"-")</f>
        <v>Male: -</v>
      </c>
      <c r="N9" s="72" t="str">
        <f>"Male: " &amp; IFERROR(TEXT(AVERAGEIFS('Rational Table'!$L:$L,'Rational Table'!$A:$A,"EMPLOYEE",'Rational Table'!$G:$G,"&lt;&gt;",'Rational Table'!$H:$H,"&lt;&gt;",'Rational Table'!$E:$E,"M",'Rational Table'!$J:$J,2,'Rational Table'!$K:$K,3),"0.0%"),"-")</f>
        <v>Male: -</v>
      </c>
    </row>
    <row r="10" spans="1:14" ht="22.9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135"/>
      <c r="K10" s="137"/>
      <c r="L10" s="73" t="str">
        <f>"Female: " &amp; IFERROR(TEXT(AVERAGEIFS('Rational Table'!$L:$L,'Rational Table'!$A:$A,"EMPLOYEE",'Rational Table'!$G:$G,"&lt;&gt;",'Rational Table'!$H:$H,"&lt;&gt;",'Rational Table'!$E:$E,"F",'Rational Table'!$J:$J,2,'Rational Table'!$K:$K,1),"0.0%"),"-")</f>
        <v>Female: -</v>
      </c>
      <c r="M10" s="73" t="str">
        <f>"Female: " &amp; IFERROR(TEXT(AVERAGEIFS('Rational Table'!$L:$L,'Rational Table'!$A:$A,"EMPLOYEE",'Rational Table'!$G:$G,"&lt;&gt;",'Rational Table'!$H:$H,"&lt;&gt;",'Rational Table'!$E:$E,"F",'Rational Table'!$J:$J,2,'Rational Table'!$K:$K,2),"0.0%"),"-")</f>
        <v>Female: -</v>
      </c>
      <c r="N10" s="73" t="str">
        <f>"Female: " &amp; IFERROR(TEXT(AVERAGEIFS('Rational Table'!$L:$L,'Rational Table'!$A:$A,"EMPLOYEE",'Rational Table'!$G:$G,"&lt;&gt;",'Rational Table'!$H:$H,"&lt;&gt;",'Rational Table'!$E:$E,"F",'Rational Table'!$J:$J,2,'Rational Table'!$K:$K,3),"0.0%"),"-")</f>
        <v>Female: -</v>
      </c>
    </row>
    <row r="11" spans="1:14" ht="22.9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135"/>
      <c r="K11" s="137" t="s">
        <v>70</v>
      </c>
      <c r="L11" s="75" t="s">
        <v>106</v>
      </c>
      <c r="M11" s="75" t="s">
        <v>112</v>
      </c>
      <c r="N11" s="75" t="s">
        <v>107</v>
      </c>
    </row>
    <row r="12" spans="1:14" ht="22.9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135"/>
      <c r="K12" s="137"/>
      <c r="L12" s="71" t="str">
        <f>"Avg Bonus: " &amp; IFERROR(TEXT(AVERAGEIFS('Rational Table'!$L:$L,'Rational Table'!$A:$A,"EMPLOYEE",'Rational Table'!$G:$G,"&lt;&gt;",'Rational Table'!$H:$H,"&lt;&gt;",'Rational Table'!$J:$J,1,'Rational Table'!$K:$K,1),"0.0%"),"-")</f>
        <v>Avg Bonus: -</v>
      </c>
      <c r="M12" s="71" t="str">
        <f>"Avg Bonus: " &amp; IFERROR(TEXT(AVERAGEIFS('Rational Table'!$L:$L,'Rational Table'!$A:$A,"EMPLOYEE",'Rational Table'!$G:$G,"&lt;&gt;",'Rational Table'!$H:$H,"&lt;&gt;",'Rational Table'!$J:$J,1,'Rational Table'!$K:$K,2),"0.0%"),"-")</f>
        <v>Avg Bonus: -</v>
      </c>
      <c r="N12" s="71" t="str">
        <f>"Avg Bonus: " &amp; IFERROR(TEXT(AVERAGEIFS('Rational Table'!$L:$L,'Rational Table'!$A:$A,"EMPLOYEE",'Rational Table'!$G:$G,"&lt;&gt;",'Rational Table'!$H:$H,"&lt;&gt;",'Rational Table'!$J:$J,1,'Rational Table'!$K:$K,3),"0.0%"),"-")</f>
        <v>Avg Bonus: -</v>
      </c>
    </row>
    <row r="13" spans="1:14" ht="22.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135"/>
      <c r="K13" s="137"/>
      <c r="L13" s="72" t="str">
        <f>"Male: " &amp; IFERROR(TEXT(AVERAGEIFS('Rational Table'!$L:$L,'Rational Table'!$A:$A,"EMPLOYEE",'Rational Table'!$G:$G,"&lt;&gt;",'Rational Table'!$H:$H,"&lt;&gt;",'Rational Table'!$E:$E,"M",'Rational Table'!$J:$J,1,'Rational Table'!$K:$K,1),"0.0%"),"-")</f>
        <v>Male: -</v>
      </c>
      <c r="M13" s="72" t="str">
        <f>"Male: " &amp; IFERROR(TEXT(AVERAGEIFS('Rational Table'!$L:$L,'Rational Table'!$A:$A,"EMPLOYEE",'Rational Table'!$G:$G,"&lt;&gt;",'Rational Table'!$H:$H,"&lt;&gt;",'Rational Table'!$E:$E,"M",'Rational Table'!$J:$J,1,'Rational Table'!$K:$K,2),"0.0%"),"-")</f>
        <v>Male: -</v>
      </c>
      <c r="N13" s="72" t="str">
        <f>"Male: " &amp; IFERROR(TEXT(AVERAGEIFS('Rational Table'!$L:$L,'Rational Table'!$A:$A,"EMPLOYEE",'Rational Table'!$G:$G,"&lt;&gt;",'Rational Table'!$H:$H,"&lt;&gt;",'Rational Table'!$E:$E,"M",'Rational Table'!$J:$J,1,'Rational Table'!$K:$K,3),"0.0%"),"-")</f>
        <v>Male: -</v>
      </c>
    </row>
    <row r="14" spans="1:14" ht="22.9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135"/>
      <c r="K14" s="137"/>
      <c r="L14" s="73" t="str">
        <f>"Female: " &amp; IFERROR(TEXT(AVERAGEIFS('Rational Table'!$L:$L,'Rational Table'!$A:$A,"EMPLOYEE",'Rational Table'!$G:$G,"&lt;&gt;",'Rational Table'!$H:$H,"&lt;&gt;",'Rational Table'!$E:$E,"F",'Rational Table'!$J:$J,1,'Rational Table'!$K:$K,1),"0.0%"),"-")</f>
        <v>Female: -</v>
      </c>
      <c r="M14" s="73" t="str">
        <f>"Female: " &amp; IFERROR(TEXT(AVERAGEIFS('Rational Table'!$L:$L,'Rational Table'!$A:$A,"EMPLOYEE",'Rational Table'!$G:$G,"&lt;&gt;",'Rational Table'!$H:$H,"&lt;&gt;",'Rational Table'!$E:$E,"F",'Rational Table'!$J:$J,1,'Rational Table'!$K:$K,2),"0.0%"),"-")</f>
        <v>Female: -</v>
      </c>
      <c r="N14" s="73" t="str">
        <f>"Female: " &amp; IFERROR(TEXT(AVERAGEIFS('Rational Table'!$L:$L,'Rational Table'!$A:$A,"EMPLOYEE",'Rational Table'!$G:$G,"&lt;&gt;",'Rational Table'!$H:$H,"&lt;&gt;",'Rational Table'!$E:$E,"F",'Rational Table'!$J:$J,1,'Rational Table'!$K:$K,3),"0.0%"),"-")</f>
        <v>Female: -</v>
      </c>
    </row>
    <row r="15" spans="1:14" ht="18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135"/>
      <c r="K15" s="69"/>
      <c r="L15" s="70" t="s">
        <v>70</v>
      </c>
      <c r="M15" s="70" t="s">
        <v>69</v>
      </c>
      <c r="N15" s="70" t="s">
        <v>68</v>
      </c>
    </row>
    <row r="16" spans="1:14" ht="19.899999999999999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68"/>
      <c r="L16" s="133" t="s">
        <v>33</v>
      </c>
      <c r="M16" s="134"/>
      <c r="N16" s="134"/>
    </row>
    <row r="17" spans="1:14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6" customHeight="1" x14ac:dyDescent="0.2">
      <c r="A18" s="126"/>
      <c r="B18" s="127"/>
      <c r="C18" s="127"/>
      <c r="D18" s="127"/>
      <c r="E18" s="128"/>
      <c r="F18" s="9"/>
      <c r="G18" s="9"/>
      <c r="H18" s="9"/>
      <c r="I18" s="9"/>
      <c r="J18" s="9"/>
      <c r="K18" s="9"/>
      <c r="L18" s="9"/>
      <c r="M18" s="9"/>
      <c r="N18" s="9"/>
    </row>
    <row r="19" spans="1:14" ht="12.75" customHeight="1" x14ac:dyDescent="0.2">
      <c r="A19" s="129" t="s">
        <v>97</v>
      </c>
      <c r="B19" s="132" t="s">
        <v>68</v>
      </c>
      <c r="C19" s="54" t="s">
        <v>59</v>
      </c>
      <c r="D19" s="46" t="s">
        <v>60</v>
      </c>
      <c r="E19" s="44" t="s">
        <v>61</v>
      </c>
      <c r="F19" s="36"/>
      <c r="G19" s="9"/>
      <c r="H19" s="9"/>
      <c r="I19" s="9"/>
      <c r="J19" s="9"/>
      <c r="K19" s="9"/>
      <c r="L19" s="9"/>
      <c r="M19" s="9"/>
      <c r="N19" s="9"/>
    </row>
    <row r="20" spans="1:14" ht="21.6" customHeight="1" x14ac:dyDescent="0.2">
      <c r="A20" s="130"/>
      <c r="B20" s="132"/>
      <c r="C20" s="43" t="e">
        <f>IF(IFERROR(COUNTIFS('Rational Table'!$A:$A,"EMPLOYEE",'Rational Table'!$G:$G,"&lt;&gt;",'Rational Table'!$H:$H,"&lt;&gt;",'Rational Table'!$J:$J,3,'Rational Table'!$K:$K,1),0)=0,"",TEXT(IFERROR(COUNTIFS('Rational Table'!$A:$A,"EMPLOYEE",'Rational Table'!$G:$G,"&lt;&gt;",'Rational Table'!$H:$H,"&lt;&gt;",'Rational Table'!$J:$J,3,'Rational Table'!$K:$K,1)/COUNTIFS('Rational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Table'!$J:$J,3,'Rational Table'!$K:$K,1),"0.0%") &amp; ")",""))</f>
        <v>#VALUE!</v>
      </c>
      <c r="D20" s="47" t="e">
        <f>IF(IFERROR(COUNTIFS('Rational Table'!$A:$A,"EMPLOYEE",'Rational Table'!$G:$G,"&lt;&gt;",'Rational Table'!$H:$H,"&lt;&gt;",'Rational Table'!$J:$J,3,'Rational Table'!$K:$K,2),0)=0,"",TEXT(IFERROR(COUNTIFS('Rational Table'!$A:$A,"EMPLOYEE",'Rational Table'!$G:$G,"&lt;&gt;",'Rational Table'!$H:$H,"&lt;&gt;",'Rational Table'!$J:$J,3,'Rational Table'!$K:$K,2)/COUNTIFS('Rational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Table'!$J:$J,3,'Rational Table'!$K:$K,2),"0.0%") &amp; ")",""))</f>
        <v>#VALUE!</v>
      </c>
      <c r="E20" s="40" t="str">
        <f>IF(IFERROR(COUNTIFS('Rational Table'!$A:$A,"EMPLOYEE",'Rational Table'!$G:$G,"&lt;&gt;",'Rational Table'!$H:$H,"&lt;&gt;",'Rational Table'!$J:$J,3,'Rational Table'!$K:$K,3),0)=0,"",TEXT(IFERROR(COUNTIFS('Rational Table'!$A:$A,"EMPLOYEE",'Rational Table'!$G:$G,"&lt;&gt;",'Rational Table'!$H:$H,"&lt;&gt;",'Rational Table'!$J:$J,3,'Rational Table'!$K:$K,3)/COUNTIFS('Rational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Table'!$J:$J,3,'Rational Table'!$K:$K,3),"0.0%") &amp; ")",""))</f>
        <v/>
      </c>
      <c r="F20" s="36"/>
      <c r="G20" s="9"/>
      <c r="H20" s="9"/>
      <c r="I20" s="9"/>
      <c r="J20" s="9"/>
      <c r="K20" s="9"/>
      <c r="L20" s="9"/>
      <c r="M20" s="9"/>
      <c r="N20" s="9"/>
    </row>
    <row r="21" spans="1:14" ht="59.1" customHeight="1" x14ac:dyDescent="0.2">
      <c r="A21" s="130"/>
      <c r="B21" s="132"/>
      <c r="C21" s="42" t="s">
        <v>151</v>
      </c>
      <c r="D21" s="93" t="s">
        <v>152</v>
      </c>
      <c r="E21" s="45"/>
      <c r="F21" s="36"/>
      <c r="G21" s="9"/>
      <c r="H21" s="9"/>
      <c r="I21" s="9"/>
      <c r="J21" s="9"/>
      <c r="K21" s="9"/>
      <c r="L21" s="9"/>
      <c r="M21" s="9"/>
      <c r="N21" s="9"/>
    </row>
    <row r="22" spans="1:14" ht="12.75" customHeight="1" x14ac:dyDescent="0.2">
      <c r="A22" s="130"/>
      <c r="B22" s="131" t="s">
        <v>69</v>
      </c>
      <c r="C22" s="44" t="s">
        <v>62</v>
      </c>
      <c r="D22" s="44" t="s">
        <v>63</v>
      </c>
      <c r="E22" s="46" t="s">
        <v>64</v>
      </c>
      <c r="F22" s="36"/>
      <c r="G22" s="9"/>
      <c r="H22" s="9"/>
      <c r="I22" s="9"/>
      <c r="J22" s="9"/>
      <c r="K22" s="9"/>
      <c r="L22" s="9"/>
      <c r="M22" s="9"/>
      <c r="N22" s="9"/>
    </row>
    <row r="23" spans="1:14" ht="21.6" customHeight="1" x14ac:dyDescent="0.2">
      <c r="A23" s="130"/>
      <c r="B23" s="131"/>
      <c r="C23" s="40" t="str">
        <f>IF(IFERROR(COUNTIFS('Rational Table'!$A:$A,"EMPLOYEE",'Rational Table'!$G:$G,"&lt;&gt;",'Rational Table'!$H:$H,"&lt;&gt;",'Rational Table'!$J:$J,2,'Rational Table'!$K:$K,1),0)=0,"",TEXT(IFERROR(COUNTIFS('Rational Table'!$A:$A,"EMPLOYEE",'Rational Table'!$G:$G,"&lt;&gt;",'Rational Table'!$H:$H,"&lt;&gt;",'Rational Table'!$J:$J,2,'Rational Table'!$K:$K,1)/COUNTIFS('Rational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Table'!$J:$J,2,'Rational Table'!$K:$K,1),"0.0%") &amp; ")",""))</f>
        <v/>
      </c>
      <c r="D23" s="40" t="e">
        <f>IF(IFERROR(COUNTIFS('Rational Table'!$A:$A,"EMPLOYEE",'Rational Table'!$G:$G,"&lt;&gt;",'Rational Table'!$H:$H,"&lt;&gt;",'Rational Table'!$J:$J,2,'Rational Table'!$K:$K,2),0)=0,"",TEXT(IFERROR(COUNTIFS('Rational Table'!$A:$A,"EMPLOYEE",'Rational Table'!$G:$G,"&lt;&gt;",'Rational Table'!$H:$H,"&lt;&gt;",'Rational Table'!$J:$J,2,'Rational Table'!$K:$K,2)/COUNTIFS('Rational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Table'!$J:$J,2,'Rational Table'!$K:$K,2),"0.0%") &amp; ")",""))</f>
        <v>#VALUE!</v>
      </c>
      <c r="E23" s="40" t="e">
        <f>IF(IFERROR(COUNTIFS('Rational Table'!$A:$A,"EMPLOYEE",'Rational Table'!$G:$G,"&lt;&gt;",'Rational Table'!$H:$H,"&lt;&gt;",'Rational Table'!$J:$J,2,'Rational Table'!$K:$K,3),0)=0,"",TEXT(IFERROR(COUNTIFS('Rational Table'!$A:$A,"EMPLOYEE",'Rational Table'!$G:$G,"&lt;&gt;",'Rational Table'!$H:$H,"&lt;&gt;",'Rational Table'!$J:$J,2,'Rational Table'!$K:$K,3)/COUNTIFS('Rational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Table'!$J:$J,2,'Rational Table'!$K:$K,3),"0.0%") &amp; ")",""))</f>
        <v>#VALUE!</v>
      </c>
      <c r="F23" s="36"/>
      <c r="G23" s="9"/>
      <c r="H23" s="9"/>
      <c r="I23" s="9"/>
      <c r="J23" s="9"/>
      <c r="K23" s="9"/>
      <c r="L23" s="9"/>
      <c r="M23" s="9"/>
      <c r="N23" s="9"/>
    </row>
    <row r="24" spans="1:14" ht="59.1" customHeight="1" x14ac:dyDescent="0.2">
      <c r="A24" s="130"/>
      <c r="B24" s="131"/>
      <c r="C24" s="45"/>
      <c r="D24" s="49" t="s">
        <v>153</v>
      </c>
      <c r="E24" s="49" t="s">
        <v>150</v>
      </c>
      <c r="F24" s="36"/>
      <c r="G24" s="9"/>
      <c r="H24" s="9"/>
      <c r="I24" s="9"/>
      <c r="J24" s="9"/>
      <c r="K24" s="9"/>
      <c r="L24" s="9"/>
      <c r="M24" s="9"/>
      <c r="N24" s="9"/>
    </row>
    <row r="25" spans="1:14" ht="12.75" customHeight="1" x14ac:dyDescent="0.2">
      <c r="A25" s="130"/>
      <c r="B25" s="131" t="s">
        <v>70</v>
      </c>
      <c r="C25" s="58" t="s">
        <v>65</v>
      </c>
      <c r="D25" s="56" t="s">
        <v>66</v>
      </c>
      <c r="E25" s="46" t="s">
        <v>67</v>
      </c>
      <c r="F25" s="36"/>
      <c r="G25" s="9"/>
      <c r="H25" s="9"/>
      <c r="I25" s="9"/>
      <c r="J25" s="9"/>
      <c r="K25" s="9"/>
      <c r="L25" s="9"/>
      <c r="M25" s="9"/>
      <c r="N25" s="9"/>
    </row>
    <row r="26" spans="1:14" ht="21.6" customHeight="1" x14ac:dyDescent="0.2">
      <c r="A26" s="130"/>
      <c r="B26" s="131"/>
      <c r="C26" s="47" t="str">
        <f>IF(IFERROR(COUNTIFS('Rational Table'!$A:$A,"EMPLOYEE",'Rational Table'!$G:$G,"&lt;&gt;",'Rational Table'!$H:$H,"&lt;&gt;",'Rational Table'!$J:$J,1,'Rational Table'!$K:$K,1),0)=0,"",TEXT(IFERROR(COUNTIFS('Rational Table'!$A:$A,"EMPLOYEE",'Rational Table'!$G:$G,"&lt;&gt;",'Rational Table'!$H:$H,"&lt;&gt;",'Rational Table'!$J:$J,1,'Rational Table'!$K:$K,1)/COUNTIFS('Rational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Table'!$J:$J,1,'Rational Table'!$K:$K,1),"0.0%") &amp; ")",""))</f>
        <v/>
      </c>
      <c r="D26" s="47" t="str">
        <f>IF(IFERROR(COUNTIFS('Rational Table'!$A:$A,"EMPLOYEE",'Rational Table'!$G:$G,"&lt;&gt;",'Rational Table'!$H:$H,"&lt;&gt;",'Rational Table'!$J:$J,1,'Rational Table'!$K:$K,2),0)=0,"",TEXT(IFERROR(COUNTIFS('Rational Table'!$A:$A,"EMPLOYEE",'Rational Table'!$G:$G,"&lt;&gt;",'Rational Table'!$H:$H,"&lt;&gt;",'Rational Table'!$J:$J,1,'Rational Table'!$K:$K,2)/COUNTIFS('Rational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Table'!$J:$J,1,'Rational Table'!$K:$K,2),"0.0%") &amp; ")",""))</f>
        <v/>
      </c>
      <c r="E26" s="47" t="str">
        <f>IF(IFERROR(COUNTIFS('Rational Table'!$A:$A,"EMPLOYEE",'Rational Table'!$G:$G,"&lt;&gt;",'Rational Table'!$H:$H,"&lt;&gt;",'Rational Table'!$J:$J,1,'Rational Table'!$K:$K,3),0)=0,"",TEXT(IFERROR(COUNTIFS('Rational Table'!$A:$A,"EMPLOYEE",'Rational Table'!$G:$G,"&lt;&gt;",'Rational Table'!$H:$H,"&lt;&gt;",'Rational Table'!$J:$J,1,'Rational Table'!$K:$K,3)/COUNTIFS('Rational Table'!$A:$A,"EMPLOYEE",'Rational Table'!$G:$G,"&lt;&gt;",'Rational Table'!$H:$H,"&lt;&gt;"),0),"0.0%") &amp; IFERROR(" (Avg Bonus: " &amp; TEXT(AVERAGEIFS('Rational Table'!$L:$L,'Rational Table'!$A:$A,"EMPLOYEE",'Rational Table'!$G:$G,"&lt;&gt;",'Rational Table'!$H:$H,"&lt;&gt;",'Rational Table'!$J:$J,1,'Rational Table'!$K:$K,3),"0.0%") &amp; ")",""))</f>
        <v/>
      </c>
      <c r="F26" s="36"/>
      <c r="G26" s="9"/>
      <c r="H26" s="9"/>
      <c r="I26" s="9"/>
      <c r="J26" s="9"/>
      <c r="K26" s="9"/>
      <c r="L26" s="9"/>
      <c r="M26" s="9"/>
      <c r="N26" s="9"/>
    </row>
    <row r="27" spans="1:14" ht="59.1" customHeight="1" x14ac:dyDescent="0.2">
      <c r="A27" s="130"/>
      <c r="B27" s="131"/>
      <c r="C27" s="53"/>
      <c r="D27" s="57"/>
      <c r="E27" s="53"/>
      <c r="F27" s="36"/>
      <c r="G27" s="9"/>
      <c r="H27" s="9"/>
      <c r="I27" s="9"/>
      <c r="J27" s="9"/>
      <c r="K27" s="9"/>
      <c r="L27" s="9"/>
      <c r="M27" s="9"/>
      <c r="N27" s="9"/>
    </row>
    <row r="28" spans="1:14" ht="18" customHeight="1" x14ac:dyDescent="0.2">
      <c r="A28" s="130"/>
      <c r="B28" s="30"/>
      <c r="C28" s="39" t="s">
        <v>70</v>
      </c>
      <c r="D28" s="39" t="s">
        <v>69</v>
      </c>
      <c r="E28" s="55" t="s">
        <v>68</v>
      </c>
      <c r="F28" s="9"/>
      <c r="G28" s="9"/>
      <c r="H28" s="9"/>
      <c r="I28" s="9"/>
      <c r="J28" s="9"/>
      <c r="K28" s="9"/>
      <c r="L28" s="9"/>
      <c r="M28" s="9"/>
      <c r="N28" s="9"/>
    </row>
    <row r="29" spans="1:14" ht="30" customHeight="1" x14ac:dyDescent="0.2">
      <c r="A29" s="29"/>
      <c r="B29" s="123" t="s">
        <v>98</v>
      </c>
      <c r="C29" s="124"/>
      <c r="D29" s="124"/>
      <c r="E29" s="124"/>
      <c r="F29" s="9"/>
      <c r="G29" s="9"/>
      <c r="H29" s="76"/>
      <c r="I29" s="76"/>
      <c r="J29" s="9"/>
      <c r="K29" s="9"/>
      <c r="L29" s="9"/>
      <c r="M29" s="9"/>
      <c r="N29" s="9"/>
    </row>
    <row r="30" spans="1:14" ht="6.6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2.75" customHeight="1" x14ac:dyDescent="0.2">
      <c r="A31" s="9"/>
      <c r="B31" s="96"/>
      <c r="C31" s="9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21.6" customHeight="1" x14ac:dyDescent="0.2">
      <c r="A32" s="9"/>
      <c r="B32" s="9"/>
      <c r="C32" s="98">
        <f>IFERROR((COUNTIFS('Rational Table'!$A:$A,"EMPLOYEE",'Rational Table'!$G:$G,"&lt;&gt;",'Rational Table'!$H:$H,"&lt;&gt;",'Rational Table'!$J:$J,"N/A",'Rational Table'!$K:$K,"N/A")+COUNTIFS('Rational Table'!$A:$A,"EMPLOYEE",'Rational Table'!$G:$G,"&lt;&gt;",'Rational Table'!$H:$H,"&lt;&gt;",'Rational Table'!$J:$J,"&lt;&gt;N/A",'Rational Table'!$K:$K,"N/A")+COUNTIFS('Rational Table'!$A:$A,"EMPLOYEE",'Rational Table'!$G:$G,"&lt;&gt;",'Rational Table'!$H:$H,"&lt;&gt;",'Rational Table'!$J:$J,"N/A",'Rational Table'!$K:$K,"&lt;&gt;N/A"))/COUNTIFS('Rational Table'!$A:$A,"EMPLOYEE",'Rational Table'!$G:$G,"&lt;&gt;",'Rational Table'!$H:$H,"&lt;&gt;"),0)</f>
        <v>0</v>
      </c>
      <c r="D32" s="96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sheetProtection formatColumns="0" formatRows="0"/>
  <mergeCells count="13">
    <mergeCell ref="L16:N16"/>
    <mergeCell ref="A18:E18"/>
    <mergeCell ref="J2:N2"/>
    <mergeCell ref="J3:J15"/>
    <mergeCell ref="K3:K6"/>
    <mergeCell ref="K7:K10"/>
    <mergeCell ref="K11:K14"/>
    <mergeCell ref="A19:A28"/>
    <mergeCell ref="A1:E1"/>
    <mergeCell ref="B29:E29"/>
    <mergeCell ref="B25:B27"/>
    <mergeCell ref="B22:B24"/>
    <mergeCell ref="B19:B21"/>
  </mergeCells>
  <phoneticPr fontId="1" type="noConversion"/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>
    <oddHeader>&amp;LPerformance Grid 2012&amp;RStrictly Confidential</oddHead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32"/>
  <sheetViews>
    <sheetView showGridLines="0" zoomScale="90" zoomScaleNormal="90" workbookViewId="0">
      <selection activeCell="C31" sqref="C31"/>
    </sheetView>
  </sheetViews>
  <sheetFormatPr defaultColWidth="9.140625" defaultRowHeight="12.75" customHeight="1" x14ac:dyDescent="0.2"/>
  <cols>
    <col min="1" max="1" width="6.7109375" customWidth="1"/>
    <col min="2" max="2" width="3.85546875" customWidth="1"/>
    <col min="3" max="5" width="41.42578125" customWidth="1"/>
    <col min="6" max="8" width="9.140625" customWidth="1"/>
    <col min="9" max="9" width="3.7109375" customWidth="1"/>
    <col min="10" max="10" width="4.7109375" customWidth="1"/>
    <col min="11" max="11" width="3.85546875" customWidth="1"/>
    <col min="12" max="14" width="23" customWidth="1"/>
  </cols>
  <sheetData>
    <row r="1" spans="1:14" ht="18" x14ac:dyDescent="0.25">
      <c r="A1" s="125" t="s">
        <v>17</v>
      </c>
      <c r="B1" s="125"/>
      <c r="C1" s="125"/>
      <c r="D1" s="125"/>
      <c r="E1" s="125"/>
      <c r="F1" s="9"/>
      <c r="G1" s="9"/>
      <c r="H1" s="9"/>
      <c r="I1" s="9"/>
      <c r="J1" s="9"/>
      <c r="K1" s="9"/>
      <c r="L1" s="9"/>
      <c r="M1" s="9"/>
      <c r="N1" s="9"/>
    </row>
    <row r="2" spans="1:14" ht="23.45" customHeight="1" x14ac:dyDescent="0.2">
      <c r="A2" s="9"/>
      <c r="B2" s="9"/>
      <c r="C2" s="9"/>
      <c r="D2" s="9"/>
      <c r="E2" s="9"/>
      <c r="F2" s="9"/>
      <c r="G2" s="9"/>
      <c r="H2" s="9"/>
      <c r="I2" s="9"/>
      <c r="J2" s="136" t="s">
        <v>114</v>
      </c>
      <c r="K2" s="136"/>
      <c r="L2" s="136"/>
      <c r="M2" s="136"/>
      <c r="N2" s="136"/>
    </row>
    <row r="3" spans="1:14" ht="22.9" customHeight="1" x14ac:dyDescent="0.2">
      <c r="A3" s="9"/>
      <c r="B3" s="9"/>
      <c r="C3" s="9"/>
      <c r="D3" s="9"/>
      <c r="E3" s="9"/>
      <c r="F3" s="9"/>
      <c r="G3" s="9"/>
      <c r="H3" s="9"/>
      <c r="I3" s="9"/>
      <c r="J3" s="135" t="s">
        <v>31</v>
      </c>
      <c r="K3" s="137" t="s">
        <v>68</v>
      </c>
      <c r="L3" s="75" t="s">
        <v>105</v>
      </c>
      <c r="M3" s="75" t="s">
        <v>108</v>
      </c>
      <c r="N3" s="75" t="s">
        <v>104</v>
      </c>
    </row>
    <row r="4" spans="1:14" ht="2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135"/>
      <c r="K4" s="137"/>
      <c r="L4" s="71" t="str">
        <f>"Avg Bonus: " &amp; IFERROR(TEXT(AVERAGEIFS('Rational Table'!$L:$L,'Rational Table'!$A:$A,"LEADER",'Rational Table'!$G:$G,"&lt;&gt;",'Rational Table'!$H:$H,"&lt;&gt;",'Rational Table'!$J:$J,3,'Rational Table'!$K:$K,1),"0.0%"),"-")</f>
        <v>Avg Bonus: -</v>
      </c>
      <c r="M4" s="71" t="str">
        <f>"Avg Bonus: " &amp; IFERROR(TEXT(AVERAGEIFS('Rational Table'!$L:$L,'Rational Table'!$A:$A,"LEADER",'Rational Table'!$G:$G,"&lt;&gt;",'Rational Table'!$H:$H,"&lt;&gt;",'Rational Table'!$J:$J,3,'Rational Table'!$K:$K,2),"0.0%"),"-")</f>
        <v>Avg Bonus: -</v>
      </c>
      <c r="N4" s="71" t="str">
        <f>"Avg Bonus: " &amp; IFERROR(TEXT(AVERAGEIFS('Rational Table'!$L:$L,'Rational Table'!$A:$A,"LEADER",'Rational Table'!$G:$G,"&lt;&gt;",'Rational Table'!$H:$H,"&lt;&gt;",'Rational Table'!$J:$J,3,'Rational Table'!$K:$K,3),"0.0%"),"-")</f>
        <v>Avg Bonus: -</v>
      </c>
    </row>
    <row r="5" spans="1:14" ht="22.9" customHeight="1" x14ac:dyDescent="0.2">
      <c r="A5" s="9"/>
      <c r="B5" s="9"/>
      <c r="C5" s="9"/>
      <c r="D5" s="9"/>
      <c r="E5" s="76"/>
      <c r="F5" s="9"/>
      <c r="G5" s="9"/>
      <c r="H5" s="9"/>
      <c r="I5" s="9"/>
      <c r="J5" s="135"/>
      <c r="K5" s="137"/>
      <c r="L5" s="72" t="str">
        <f>"Male: " &amp; IFERROR(TEXT(AVERAGEIFS('Rational Table'!$L:$L,'Rational Table'!$A:$A,"LEADER",'Rational Table'!$G:$G,"&lt;&gt;",'Rational Table'!$H:$H,"&lt;&gt;",'Rational Table'!$E:$E,"M",'Rational Table'!$J:$J,3,'Rational Table'!$K:$K,1),"0.0%"),"-")</f>
        <v>Male: -</v>
      </c>
      <c r="M5" s="72" t="str">
        <f>"Male: " &amp; IFERROR(TEXT(AVERAGEIFS('Rational Table'!$L:$L,'Rational Table'!$A:$A,"LEADER",'Rational Table'!$G:$G,"&lt;&gt;",'Rational Table'!$H:$H,"&lt;&gt;",'Rational Table'!$E:$E,"M",'Rational Table'!$J:$J,3,'Rational Table'!$K:$K,2),"0.0%"),"-")</f>
        <v>Male: -</v>
      </c>
      <c r="N5" s="72" t="str">
        <f>"Male: " &amp; IFERROR(TEXT(AVERAGEIFS('Rational Table'!$L:$L,'Rational Table'!$A:$A,"LEADER",'Rational Table'!$G:$G,"&lt;&gt;",'Rational Table'!$H:$H,"&lt;&gt;",'Rational Table'!$E:$E,"M",'Rational Table'!$J:$J,3,'Rational Table'!$K:$K,3),"0.0%"),"-")</f>
        <v>Male: -</v>
      </c>
    </row>
    <row r="6" spans="1:14" ht="22.9" customHeight="1" x14ac:dyDescent="0.2">
      <c r="A6" s="9"/>
      <c r="B6" s="9"/>
      <c r="C6" s="9"/>
      <c r="D6" s="9"/>
      <c r="E6" s="9"/>
      <c r="F6" s="9"/>
      <c r="G6" s="9"/>
      <c r="H6" s="9"/>
      <c r="I6" s="9"/>
      <c r="J6" s="135"/>
      <c r="K6" s="137"/>
      <c r="L6" s="73" t="str">
        <f>"Female: " &amp; IFERROR(TEXT(AVERAGEIFS('Rational Table'!$L:$L,'Rational Table'!$A:$A,"LEADER",'Rational Table'!$G:$G,"&lt;&gt;",'Rational Table'!$H:$H,"&lt;&gt;",'Rational Table'!$E:$E,"F",'Rational Table'!$J:$J,3,'Rational Table'!$K:$K,1),"0.0%"),"-")</f>
        <v>Female: -</v>
      </c>
      <c r="M6" s="73" t="str">
        <f>"Female: " &amp; IFERROR(TEXT(AVERAGEIFS('Rational Table'!$L:$L,'Rational Table'!$A:$A,"LEADER",'Rational Table'!$G:$G,"&lt;&gt;",'Rational Table'!$H:$H,"&lt;&gt;",'Rational Table'!$E:$E,"F",'Rational Table'!$J:$J,3,'Rational Table'!$K:$K,2),"0.0%"),"-")</f>
        <v>Female: -</v>
      </c>
      <c r="N6" s="73" t="str">
        <f>"Female: " &amp; IFERROR(TEXT(AVERAGEIFS('Rational Table'!$L:$L,'Rational Table'!$A:$A,"LEADER",'Rational Table'!$G:$G,"&lt;&gt;",'Rational Table'!$H:$H,"&lt;&gt;",'Rational Table'!$E:$E,"F",'Rational Table'!$J:$J,3,'Rational Table'!$K:$K,3),"0.0%"),"-")</f>
        <v>Female: -</v>
      </c>
    </row>
    <row r="7" spans="1:14" ht="22.9" customHeight="1" x14ac:dyDescent="0.2">
      <c r="A7" s="9"/>
      <c r="B7" s="9"/>
      <c r="C7" s="9"/>
      <c r="D7" s="9"/>
      <c r="E7" s="9"/>
      <c r="F7" s="9"/>
      <c r="G7" s="9"/>
      <c r="H7" s="9"/>
      <c r="I7" s="9"/>
      <c r="J7" s="135"/>
      <c r="K7" s="137" t="s">
        <v>69</v>
      </c>
      <c r="L7" s="75" t="s">
        <v>109</v>
      </c>
      <c r="M7" s="75" t="s">
        <v>110</v>
      </c>
      <c r="N7" s="75" t="s">
        <v>111</v>
      </c>
    </row>
    <row r="8" spans="1:14" ht="22.9" customHeight="1" x14ac:dyDescent="0.2">
      <c r="A8" s="9"/>
      <c r="B8" s="9"/>
      <c r="C8" s="9"/>
      <c r="D8" s="9"/>
      <c r="E8" s="9"/>
      <c r="F8" s="9"/>
      <c r="G8" s="9"/>
      <c r="H8" s="9"/>
      <c r="I8" s="9"/>
      <c r="J8" s="135"/>
      <c r="K8" s="137"/>
      <c r="L8" s="71" t="str">
        <f>"Avg Bonus: " &amp; IFERROR(TEXT(AVERAGEIFS('Rational Table'!$L:$L,'Rational Table'!$A:$A,"LEADER",'Rational Table'!$G:$G,"&lt;&gt;",'Rational Table'!$H:$H,"&lt;&gt;",'Rational Table'!$J:$J,2,'Rational Table'!$K:$K,1),"0.0%"),"-")</f>
        <v>Avg Bonus: -</v>
      </c>
      <c r="M8" s="71" t="str">
        <f>"Avg Bonus: " &amp; IFERROR(TEXT(AVERAGEIFS('Rational Table'!$L:$L,'Rational Table'!$A:$A,"LEADER",'Rational Table'!$G:$G,"&lt;&gt;",'Rational Table'!$H:$H,"&lt;&gt;",'Rational Table'!$J:$J,2,'Rational Table'!$K:$K,2),"0.0%"),"-")</f>
        <v>Avg Bonus: -</v>
      </c>
      <c r="N8" s="71" t="str">
        <f>"Avg Bonus: " &amp; IFERROR(TEXT(AVERAGEIFS('Rational Table'!$L:$L,'Rational Table'!$A:$A,"LEADER",'Rational Table'!$G:$G,"&lt;&gt;",'Rational Table'!$H:$H,"&lt;&gt;",'Rational Table'!$J:$J,2,'Rational Table'!$K:$K,3),"0.0%"),"-")</f>
        <v>Avg Bonus: -</v>
      </c>
    </row>
    <row r="9" spans="1:14" ht="22.9" customHeight="1" x14ac:dyDescent="0.2">
      <c r="A9" s="9"/>
      <c r="B9" s="9"/>
      <c r="C9" s="9"/>
      <c r="D9" s="9"/>
      <c r="E9" s="9"/>
      <c r="F9" s="9"/>
      <c r="G9" s="9"/>
      <c r="H9" s="9"/>
      <c r="I9" s="9"/>
      <c r="J9" s="135"/>
      <c r="K9" s="137"/>
      <c r="L9" s="72" t="str">
        <f>"Male: " &amp; IFERROR(TEXT(AVERAGEIFS('Rational Table'!$L:$L,'Rational Table'!$A:$A,"LEADER",'Rational Table'!$G:$G,"&lt;&gt;",'Rational Table'!$H:$H,"&lt;&gt;",'Rational Table'!$E:$E,"M",'Rational Table'!$J:$J,2,'Rational Table'!$K:$K,1),"0.0%"),"-")</f>
        <v>Male: -</v>
      </c>
      <c r="M9" s="72" t="str">
        <f>"Male: " &amp; IFERROR(TEXT(AVERAGEIFS('Rational Table'!$L:$L,'Rational Table'!$A:$A,"LEADER",'Rational Table'!$G:$G,"&lt;&gt;",'Rational Table'!$H:$H,"&lt;&gt;",'Rational Table'!$E:$E,"M",'Rational Table'!$J:$J,2,'Rational Table'!$K:$K,2),"0.0%"),"-")</f>
        <v>Male: -</v>
      </c>
      <c r="N9" s="72" t="str">
        <f>"Male: " &amp; IFERROR(TEXT(AVERAGEIFS('Rational Table'!$L:$L,'Rational Table'!$A:$A,"LEADER",'Rational Table'!$G:$G,"&lt;&gt;",'Rational Table'!$H:$H,"&lt;&gt;",'Rational Table'!$E:$E,"M",'Rational Table'!$J:$J,2,'Rational Table'!$K:$K,3),"0.0%"),"-")</f>
        <v>Male: -</v>
      </c>
    </row>
    <row r="10" spans="1:14" ht="22.9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135"/>
      <c r="K10" s="137"/>
      <c r="L10" s="73" t="str">
        <f>"Female: " &amp; IFERROR(TEXT(AVERAGEIFS('Rational Table'!$L:$L,'Rational Table'!$A:$A,"LEADER",'Rational Table'!$G:$G,"&lt;&gt;",'Rational Table'!$H:$H,"&lt;&gt;",'Rational Table'!$E:$E,"F",'Rational Table'!$J:$J,2,'Rational Table'!$K:$K,1),"0.0%"),"-")</f>
        <v>Female: -</v>
      </c>
      <c r="M10" s="73" t="str">
        <f>"Female: " &amp; IFERROR(TEXT(AVERAGEIFS('Rational Table'!$L:$L,'Rational Table'!$A:$A,"LEADER",'Rational Table'!$G:$G,"&lt;&gt;",'Rational Table'!$H:$H,"&lt;&gt;",'Rational Table'!$E:$E,"F",'Rational Table'!$J:$J,2,'Rational Table'!$K:$K,2),"0.0%"),"-")</f>
        <v>Female: -</v>
      </c>
      <c r="N10" s="73" t="str">
        <f>"Female: " &amp; IFERROR(TEXT(AVERAGEIFS('Rational Table'!$L:$L,'Rational Table'!$A:$A,"LEADER",'Rational Table'!$G:$G,"&lt;&gt;",'Rational Table'!$H:$H,"&lt;&gt;",'Rational Table'!$E:$E,"F",'Rational Table'!$J:$J,2,'Rational Table'!$K:$K,3),"0.0%"),"-")</f>
        <v>Female: -</v>
      </c>
    </row>
    <row r="11" spans="1:14" ht="22.9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135"/>
      <c r="K11" s="137" t="s">
        <v>70</v>
      </c>
      <c r="L11" s="75" t="s">
        <v>106</v>
      </c>
      <c r="M11" s="75" t="s">
        <v>112</v>
      </c>
      <c r="N11" s="75" t="s">
        <v>107</v>
      </c>
    </row>
    <row r="12" spans="1:14" ht="22.9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135"/>
      <c r="K12" s="137"/>
      <c r="L12" s="71" t="str">
        <f>"Avg Bonus: " &amp; IFERROR(TEXT(AVERAGEIFS('Rational Table'!$L:$L,'Rational Table'!$A:$A,"LEADER",'Rational Table'!$G:$G,"&lt;&gt;",'Rational Table'!$H:$H,"&lt;&gt;",'Rational Table'!$J:$J,1,'Rational Table'!$K:$K,1),"0.0%"),"-")</f>
        <v>Avg Bonus: -</v>
      </c>
      <c r="M12" s="71" t="str">
        <f>"Avg Bonus: " &amp; IFERROR(TEXT(AVERAGEIFS('Rational Table'!$L:$L,'Rational Table'!$A:$A,"LEADER",'Rational Table'!$G:$G,"&lt;&gt;",'Rational Table'!$H:$H,"&lt;&gt;",'Rational Table'!$J:$J,1,'Rational Table'!$K:$K,2),"0.0%"),"-")</f>
        <v>Avg Bonus: -</v>
      </c>
      <c r="N12" s="71" t="str">
        <f>"Avg Bonus: " &amp; IFERROR(TEXT(AVERAGEIFS('Rational Table'!$L:$L,'Rational Table'!$A:$A,"LEADER",'Rational Table'!$G:$G,"&lt;&gt;",'Rational Table'!$H:$H,"&lt;&gt;",'Rational Table'!$J:$J,1,'Rational Table'!$K:$K,3),"0.0%"),"-")</f>
        <v>Avg Bonus: -</v>
      </c>
    </row>
    <row r="13" spans="1:14" ht="22.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135"/>
      <c r="K13" s="137"/>
      <c r="L13" s="72" t="str">
        <f>"Male: " &amp; IFERROR(TEXT(AVERAGEIFS('Rational Table'!$L:$L,'Rational Table'!$A:$A,"LEADER",'Rational Table'!$G:$G,"&lt;&gt;",'Rational Table'!$H:$H,"&lt;&gt;",'Rational Table'!$E:$E,"M",'Rational Table'!$J:$J,1,'Rational Table'!$K:$K,1),"0.0%"),"-")</f>
        <v>Male: -</v>
      </c>
      <c r="M13" s="72" t="str">
        <f>"Male: " &amp; IFERROR(TEXT(AVERAGEIFS('Rational Table'!$L:$L,'Rational Table'!$A:$A,"LEADER",'Rational Table'!$G:$G,"&lt;&gt;",'Rational Table'!$H:$H,"&lt;&gt;",'Rational Table'!$E:$E,"M",'Rational Table'!$J:$J,1,'Rational Table'!$K:$K,2),"0.0%"),"-")</f>
        <v>Male: -</v>
      </c>
      <c r="N13" s="72" t="str">
        <f>"Male: " &amp; IFERROR(TEXT(AVERAGEIFS('Rational Table'!$L:$L,'Rational Table'!$A:$A,"LEADER",'Rational Table'!$G:$G,"&lt;&gt;",'Rational Table'!$H:$H,"&lt;&gt;",'Rational Table'!$E:$E,"M",'Rational Table'!$J:$J,1,'Rational Table'!$K:$K,3),"0.0%"),"-")</f>
        <v>Male: -</v>
      </c>
    </row>
    <row r="14" spans="1:14" ht="22.9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135"/>
      <c r="K14" s="137"/>
      <c r="L14" s="73" t="str">
        <f>"Female: " &amp; IFERROR(TEXT(AVERAGEIFS('Rational Table'!$L:$L,'Rational Table'!$A:$A,"LEADER",'Rational Table'!$G:$G,"&lt;&gt;",'Rational Table'!$H:$H,"&lt;&gt;",'Rational Table'!$E:$E,"F",'Rational Table'!$J:$J,1,'Rational Table'!$K:$K,1),"0.0%"),"-")</f>
        <v>Female: -</v>
      </c>
      <c r="M14" s="73" t="str">
        <f>"Female: " &amp; IFERROR(TEXT(AVERAGEIFS('Rational Table'!$L:$L,'Rational Table'!$A:$A,"LEADER",'Rational Table'!$G:$G,"&lt;&gt;",'Rational Table'!$H:$H,"&lt;&gt;",'Rational Table'!$E:$E,"F",'Rational Table'!$J:$J,1,'Rational Table'!$K:$K,2),"0.0%"),"-")</f>
        <v>Female: -</v>
      </c>
      <c r="N14" s="73" t="str">
        <f>"Female: " &amp; IFERROR(TEXT(AVERAGEIFS('Rational Table'!$L:$L,'Rational Table'!$A:$A,"LEADER",'Rational Table'!$G:$G,"&lt;&gt;",'Rational Table'!$H:$H,"&lt;&gt;",'Rational Table'!$E:$E,"F",'Rational Table'!$J:$J,1,'Rational Table'!$K:$K,3),"0.0%"),"-")</f>
        <v>Female: -</v>
      </c>
    </row>
    <row r="15" spans="1:14" ht="18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135"/>
      <c r="K15" s="69"/>
      <c r="L15" s="70" t="s">
        <v>70</v>
      </c>
      <c r="M15" s="70" t="s">
        <v>69</v>
      </c>
      <c r="N15" s="70" t="s">
        <v>68</v>
      </c>
    </row>
    <row r="16" spans="1:14" ht="19.899999999999999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68"/>
      <c r="L16" s="133" t="s">
        <v>33</v>
      </c>
      <c r="M16" s="134"/>
      <c r="N16" s="134"/>
    </row>
    <row r="17" spans="1:14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6" customHeight="1" x14ac:dyDescent="0.2">
      <c r="A18" s="126"/>
      <c r="B18" s="127"/>
      <c r="C18" s="127"/>
      <c r="D18" s="127"/>
      <c r="E18" s="128"/>
      <c r="F18" s="9"/>
      <c r="G18" s="9"/>
      <c r="H18" s="9"/>
      <c r="I18" s="9"/>
      <c r="J18" s="9"/>
      <c r="K18" s="9"/>
      <c r="L18" s="9"/>
      <c r="M18" s="9"/>
      <c r="N18" s="9"/>
    </row>
    <row r="19" spans="1:14" ht="12.75" customHeight="1" x14ac:dyDescent="0.2">
      <c r="A19" s="129" t="s">
        <v>97</v>
      </c>
      <c r="B19" s="131" t="s">
        <v>68</v>
      </c>
      <c r="C19" s="46" t="s">
        <v>59</v>
      </c>
      <c r="D19" s="46" t="s">
        <v>60</v>
      </c>
      <c r="E19" s="46" t="s">
        <v>61</v>
      </c>
      <c r="F19" s="36"/>
      <c r="G19" s="9"/>
      <c r="H19" s="9"/>
      <c r="I19" s="9"/>
      <c r="J19" s="9"/>
      <c r="K19" s="9"/>
      <c r="L19" s="9"/>
      <c r="M19" s="9"/>
      <c r="N19" s="9"/>
    </row>
    <row r="20" spans="1:14" ht="21.6" customHeight="1" x14ac:dyDescent="0.2">
      <c r="A20" s="130"/>
      <c r="B20" s="131"/>
      <c r="C20" s="47" t="str">
        <f>IF(IFERROR(COUNTIFS('Rational Table'!$A:$A,"LEADER",'Rational Table'!$G:$G,"&lt;&gt;",'Rational Table'!$H:$H,"&lt;&gt;",'Rational Table'!$J:$J,3,'Rational Table'!$K:$K,1),0)=0,"",TEXT(IFERROR(COUNTIFS('Rational Table'!$A:$A,"LEADER",'Rational Table'!$G:$G,"&lt;&gt;",'Rational Table'!$H:$H,"&lt;&gt;",'Rational Table'!$J:$J,3,'Rational Table'!$K:$K,1)/COUNTIFS('Rational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Table'!$J:$J,3,'Rational Table'!$K:$K,1),"0.0%") &amp; ")",""))</f>
        <v/>
      </c>
      <c r="D20" s="47" t="str">
        <f>IF(IFERROR(COUNTIFS('Rational Table'!$A:$A,"LEADER",'Rational Table'!$G:$G,"&lt;&gt;",'Rational Table'!$H:$H,"&lt;&gt;",'Rational Table'!$J:$J,3,'Rational Table'!$K:$K,2),0)=0,"",TEXT(IFERROR(COUNTIFS('Rational Table'!$A:$A,"LEADER",'Rational Table'!$G:$G,"&lt;&gt;",'Rational Table'!$H:$H,"&lt;&gt;",'Rational Table'!$J:$J,3,'Rational Table'!$K:$K,2)/COUNTIFS('Rational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Table'!$J:$J,3,'Rational Table'!$K:$K,2),"0.0%") &amp; ")",""))</f>
        <v/>
      </c>
      <c r="E20" s="40" t="str">
        <f>IF(IFERROR(COUNTIFS('Rational Table'!$A:$A,"LEADER",'Rational Table'!$G:$G,"&lt;&gt;",'Rational Table'!$H:$H,"&lt;&gt;",'Rational Table'!$J:$J,3,'Rational Table'!$K:$K,3),0)=0,"",TEXT(IFERROR(COUNTIFS('Rational Table'!$A:$A,"LEADER",'Rational Table'!$G:$G,"&lt;&gt;",'Rational Table'!$H:$H,"&lt;&gt;",'Rational Table'!$J:$J,3,'Rational Table'!$K:$K,3)/COUNTIFS('Rational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Table'!$J:$J,3,'Rational Table'!$K:$K,3),"0.0%") &amp; ")",""))</f>
        <v/>
      </c>
      <c r="F20" s="36"/>
      <c r="G20" s="9"/>
      <c r="H20" s="9"/>
      <c r="I20" s="9"/>
      <c r="J20" s="9"/>
      <c r="K20" s="9"/>
      <c r="L20" s="9"/>
      <c r="M20" s="9"/>
      <c r="N20" s="9"/>
    </row>
    <row r="21" spans="1:14" ht="59.1" customHeight="1" x14ac:dyDescent="0.2">
      <c r="A21" s="130"/>
      <c r="B21" s="131"/>
      <c r="C21" s="53"/>
      <c r="D21" s="42"/>
      <c r="E21" s="53"/>
      <c r="F21" s="36"/>
      <c r="G21" s="9"/>
      <c r="H21" s="9"/>
      <c r="I21" s="9"/>
      <c r="J21" s="9"/>
      <c r="K21" s="9"/>
      <c r="L21" s="9"/>
      <c r="M21" s="9"/>
      <c r="N21" s="9"/>
    </row>
    <row r="22" spans="1:14" ht="12.75" customHeight="1" x14ac:dyDescent="0.2">
      <c r="A22" s="130"/>
      <c r="B22" s="131" t="s">
        <v>69</v>
      </c>
      <c r="C22" s="46" t="s">
        <v>62</v>
      </c>
      <c r="D22" s="46" t="s">
        <v>63</v>
      </c>
      <c r="E22" s="51" t="s">
        <v>64</v>
      </c>
      <c r="F22" s="36"/>
      <c r="G22" s="9"/>
      <c r="H22" s="9"/>
      <c r="I22" s="9"/>
      <c r="J22" s="9"/>
      <c r="K22" s="9"/>
      <c r="L22" s="9"/>
      <c r="M22" s="9"/>
      <c r="N22" s="9"/>
    </row>
    <row r="23" spans="1:14" ht="21.6" customHeight="1" x14ac:dyDescent="0.2">
      <c r="A23" s="130"/>
      <c r="B23" s="131"/>
      <c r="C23" s="47" t="str">
        <f>IF(IFERROR(COUNTIFS('Rational Table'!$A:$A,"LEADER",'Rational Table'!$G:$G,"&lt;&gt;",'Rational Table'!$H:$H,"&lt;&gt;",'Rational Table'!$J:$J,2,'Rational Table'!$K:$K,1),0)=0,"",TEXT(IFERROR(COUNTIFS('Rational Table'!$A:$A,"LEADER",'Rational Table'!$G:$G,"&lt;&gt;",'Rational Table'!$H:$H,"&lt;&gt;",'Rational Table'!$J:$J,2,'Rational Table'!$K:$K,1)/COUNTIFS('Rational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Table'!$J:$J,2,'Rational Table'!$K:$K,1),"0.0%") &amp; ")",""))</f>
        <v/>
      </c>
      <c r="D23" s="43" t="e">
        <f>IF(IFERROR(COUNTIFS('Rational Table'!$A:$A,"LEADER",'Rational Table'!$G:$G,"&lt;&gt;",'Rational Table'!$H:$H,"&lt;&gt;",'Rational Table'!$J:$J,2,'Rational Table'!$K:$K,2),0)=0,"",TEXT(IFERROR(COUNTIFS('Rational Table'!$A:$A,"LEADER",'Rational Table'!$G:$G,"&lt;&gt;",'Rational Table'!$H:$H,"&lt;&gt;",'Rational Table'!$J:$J,2,'Rational Table'!$K:$K,2)/COUNTIFS('Rational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Table'!$J:$J,2,'Rational Table'!$K:$K,2),"0.0%") &amp; ")",""))</f>
        <v>#VALUE!</v>
      </c>
      <c r="E23" s="47" t="str">
        <f>IF(IFERROR(COUNTIFS('Rational Table'!$A:$A,"LEADER",'Rational Table'!$G:$G,"&lt;&gt;",'Rational Table'!$H:$H,"&lt;&gt;",'Rational Table'!$J:$J,2,'Rational Table'!$K:$K,3),0)=0,"",TEXT(IFERROR(COUNTIFS('Rational Table'!$A:$A,"LEADER",'Rational Table'!$G:$G,"&lt;&gt;",'Rational Table'!$H:$H,"&lt;&gt;",'Rational Table'!$J:$J,2,'Rational Table'!$K:$K,3)/COUNTIFS('Rational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Table'!$J:$J,2,'Rational Table'!$K:$K,3),"0.0%") &amp; ")",""))</f>
        <v/>
      </c>
      <c r="F23" s="36"/>
      <c r="G23" s="9"/>
      <c r="H23" s="9"/>
      <c r="I23" s="9"/>
      <c r="J23" s="9"/>
      <c r="K23" s="9"/>
      <c r="L23" s="9"/>
      <c r="M23" s="9"/>
      <c r="N23" s="9"/>
    </row>
    <row r="24" spans="1:14" ht="59.1" customHeight="1" x14ac:dyDescent="0.2">
      <c r="A24" s="130"/>
      <c r="B24" s="131"/>
      <c r="C24" s="53"/>
      <c r="D24" s="57" t="s">
        <v>159</v>
      </c>
      <c r="E24" s="49"/>
      <c r="F24" s="36"/>
      <c r="G24" s="9"/>
      <c r="H24" s="9"/>
      <c r="I24" s="9"/>
      <c r="J24" s="9"/>
      <c r="K24" s="9"/>
      <c r="L24" s="9"/>
      <c r="M24" s="9"/>
      <c r="N24" s="9"/>
    </row>
    <row r="25" spans="1:14" ht="12.75" customHeight="1" x14ac:dyDescent="0.2">
      <c r="A25" s="130"/>
      <c r="B25" s="132" t="s">
        <v>70</v>
      </c>
      <c r="C25" s="61" t="s">
        <v>65</v>
      </c>
      <c r="D25" s="59" t="s">
        <v>66</v>
      </c>
      <c r="E25" s="46" t="s">
        <v>67</v>
      </c>
      <c r="F25" s="36"/>
      <c r="G25" s="9"/>
      <c r="H25" s="9"/>
      <c r="I25" s="9"/>
      <c r="J25" s="9"/>
      <c r="K25" s="9"/>
      <c r="L25" s="9"/>
      <c r="M25" s="9"/>
      <c r="N25" s="9"/>
    </row>
    <row r="26" spans="1:14" ht="21.6" customHeight="1" x14ac:dyDescent="0.2">
      <c r="A26" s="130"/>
      <c r="B26" s="132"/>
      <c r="C26" s="62" t="str">
        <f>IF(IFERROR(COUNTIFS('Rational Table'!$A:$A,"LEADER",'Rational Table'!$G:$G,"&lt;&gt;",'Rational Table'!$H:$H,"&lt;&gt;",'Rational Table'!$J:$J,1,'Rational Table'!$K:$K,1),0)=0,"",TEXT(IFERROR(COUNTIFS('Rational Table'!$A:$A,"LEADER",'Rational Table'!$G:$G,"&lt;&gt;",'Rational Table'!$H:$H,"&lt;&gt;",'Rational Table'!$J:$J,1,'Rational Table'!$K:$K,1)/COUNTIFS('Rational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Table'!$J:$J,1,'Rational Table'!$K:$K,1),"0.0%") &amp; ")",""))</f>
        <v/>
      </c>
      <c r="D26" s="47" t="str">
        <f>IF(IFERROR(COUNTIFS('Rational Table'!$A:$A,"LEADER",'Rational Table'!$G:$G,"&lt;&gt;",'Rational Table'!$H:$H,"&lt;&gt;",'Rational Table'!$J:$J,1,'Rational Table'!$K:$K,2),0)=0,"",TEXT(IFERROR(COUNTIFS('Rational Table'!$A:$A,"LEADER",'Rational Table'!$G:$G,"&lt;&gt;",'Rational Table'!$H:$H,"&lt;&gt;",'Rational Table'!$J:$J,1,'Rational Table'!$K:$K,2)/COUNTIFS('Rational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Table'!$J:$J,1,'Rational Table'!$K:$K,2),"0.0%") &amp; ")",""))</f>
        <v/>
      </c>
      <c r="E26" s="40" t="str">
        <f>IF(IFERROR(COUNTIFS('Rational Table'!$A:$A,"LEADER",'Rational Table'!$G:$G,"&lt;&gt;",'Rational Table'!$H:$H,"&lt;&gt;",'Rational Table'!$J:$J,1,'Rational Table'!$K:$K,3),0)=0,"",TEXT(IFERROR(COUNTIFS('Rational Table'!$A:$A,"LEADER",'Rational Table'!$G:$G,"&lt;&gt;",'Rational Table'!$H:$H,"&lt;&gt;",'Rational Table'!$J:$J,1,'Rational Table'!$K:$K,3)/COUNTIFS('Rational Table'!$A:$A,"LEADER",'Rational Table'!$G:$G,"&lt;&gt;",'Rational Table'!$H:$H,"&lt;&gt;"),0),"0.0%") &amp; IFERROR(" (Avg Bonus: " &amp; TEXT(AVERAGEIFS('Rational Table'!$L:$L,'Rational Table'!$A:$A,"LEADER",'Rational Table'!$G:$G,"&lt;&gt;",'Rational Table'!$H:$H,"&lt;&gt;",'Rational Table'!$J:$J,1,'Rational Table'!$K:$K,3),"0.0%") &amp; ")",""))</f>
        <v/>
      </c>
      <c r="F26" s="36"/>
      <c r="G26" s="9"/>
      <c r="H26" s="9"/>
      <c r="I26" s="9"/>
      <c r="J26" s="9"/>
      <c r="K26" s="9"/>
      <c r="L26" s="9"/>
      <c r="M26" s="9"/>
      <c r="N26" s="9"/>
    </row>
    <row r="27" spans="1:14" ht="59.1" customHeight="1" x14ac:dyDescent="0.2">
      <c r="A27" s="130"/>
      <c r="B27" s="132"/>
      <c r="C27" s="63"/>
      <c r="D27" s="53"/>
      <c r="E27" s="60"/>
      <c r="F27" s="36"/>
      <c r="G27" s="9"/>
      <c r="H27" s="9"/>
      <c r="I27" s="9"/>
      <c r="J27" s="9"/>
      <c r="K27" s="9"/>
      <c r="L27" s="9"/>
      <c r="M27" s="9"/>
      <c r="N27" s="9"/>
    </row>
    <row r="28" spans="1:14" ht="18" customHeight="1" x14ac:dyDescent="0.2">
      <c r="A28" s="130"/>
      <c r="B28" s="30"/>
      <c r="C28" s="37" t="s">
        <v>70</v>
      </c>
      <c r="D28" s="37" t="s">
        <v>69</v>
      </c>
      <c r="E28" s="52" t="s">
        <v>68</v>
      </c>
      <c r="F28" s="9"/>
      <c r="G28" s="9"/>
      <c r="H28" s="9"/>
      <c r="I28" s="9"/>
      <c r="J28" s="9"/>
      <c r="K28" s="9"/>
      <c r="L28" s="9"/>
      <c r="M28" s="9"/>
      <c r="N28" s="9"/>
    </row>
    <row r="29" spans="1:14" ht="30" customHeight="1" x14ac:dyDescent="0.2">
      <c r="A29" s="29"/>
      <c r="B29" s="123" t="s">
        <v>98</v>
      </c>
      <c r="C29" s="124"/>
      <c r="D29" s="124"/>
      <c r="E29" s="124"/>
      <c r="F29" s="9"/>
      <c r="G29" s="9"/>
      <c r="H29" s="76"/>
      <c r="I29" s="76"/>
      <c r="J29" s="9"/>
      <c r="K29" s="9"/>
      <c r="L29" s="9"/>
      <c r="M29" s="9"/>
      <c r="N29" s="9"/>
    </row>
    <row r="30" spans="1:14" ht="6.6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2.75" customHeight="1" x14ac:dyDescent="0.2">
      <c r="A31" s="9"/>
      <c r="B31" s="9"/>
      <c r="C31" s="97"/>
      <c r="D31" s="96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21.6" customHeight="1" x14ac:dyDescent="0.2">
      <c r="A32" s="9"/>
      <c r="B32" s="9"/>
      <c r="C32" s="98">
        <f>IFERROR((COUNTIFS('Rational Table'!$A:$A,"LEADER",'Rational Table'!$G:$G,"&lt;&gt;",'Rational Table'!$H:$H,"&lt;&gt;",'Rational Table'!$J:$J,"N/A",'Rational Table'!$K:$K,"N/A")+COUNTIFS('Rational Table'!$A:$A,"LEADER",'Rational Table'!$G:$G,"&lt;&gt;",'Rational Table'!$H:$H,"&lt;&gt;",'Rational Table'!$J:$J,"&lt;&gt;N/A",'Rational Table'!$K:$K,"N/A")+COUNTIFS('Rational Table'!$A:$A,"LEADER",'Rational Table'!$G:$G,"&lt;&gt;",'Rational Table'!$H:$H,"&lt;&gt;",'Rational Table'!$J:$J,"N/A",'Rational Table'!$K:$K,"&lt;&gt;N/A"))/COUNTIFS('Rational Table'!$A:$A,"LEADER",'Rational Table'!$G:$G,"&lt;&gt;",'Rational Table'!$H:$H,"&lt;&gt;"),0)</f>
        <v>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sheetProtection formatColumns="0" formatRows="0"/>
  <mergeCells count="13">
    <mergeCell ref="L16:N16"/>
    <mergeCell ref="A18:E18"/>
    <mergeCell ref="J2:N2"/>
    <mergeCell ref="J3:J15"/>
    <mergeCell ref="K3:K6"/>
    <mergeCell ref="K7:K10"/>
    <mergeCell ref="K11:K14"/>
    <mergeCell ref="B29:E29"/>
    <mergeCell ref="A1:E1"/>
    <mergeCell ref="A19:A28"/>
    <mergeCell ref="B19:B21"/>
    <mergeCell ref="B22:B24"/>
    <mergeCell ref="B25:B27"/>
  </mergeCells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>
    <oddHeader>&amp;LPerformance Grid 2012&amp;RStrictly Confidential</oddHead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29"/>
  <sheetViews>
    <sheetView showGridLines="0" tabSelected="1" topLeftCell="A3" zoomScale="90" zoomScaleNormal="90" workbookViewId="0">
      <selection activeCell="C26" sqref="C26"/>
    </sheetView>
  </sheetViews>
  <sheetFormatPr defaultColWidth="9.140625" defaultRowHeight="12.75" customHeight="1" x14ac:dyDescent="0.2"/>
  <cols>
    <col min="1" max="1" width="6.7109375" customWidth="1"/>
    <col min="2" max="2" width="3.85546875" customWidth="1"/>
    <col min="3" max="5" width="41.42578125" customWidth="1"/>
    <col min="6" max="8" width="9.140625" customWidth="1"/>
    <col min="9" max="9" width="3.7109375" customWidth="1"/>
    <col min="10" max="10" width="4.7109375" customWidth="1"/>
    <col min="11" max="11" width="3.85546875" customWidth="1"/>
    <col min="12" max="14" width="23" customWidth="1"/>
  </cols>
  <sheetData>
    <row r="1" spans="1:14" ht="18" x14ac:dyDescent="0.25">
      <c r="A1" s="125" t="s">
        <v>16</v>
      </c>
      <c r="B1" s="125"/>
      <c r="C1" s="125"/>
      <c r="D1" s="125"/>
      <c r="E1" s="125"/>
      <c r="F1" s="9"/>
      <c r="G1" s="9"/>
      <c r="H1" s="9"/>
      <c r="I1" s="9"/>
      <c r="J1" s="9"/>
      <c r="K1" s="9"/>
      <c r="L1" s="9"/>
      <c r="M1" s="9"/>
      <c r="N1" s="9"/>
    </row>
    <row r="2" spans="1:14" ht="23.45" customHeight="1" x14ac:dyDescent="0.2">
      <c r="A2" s="9"/>
      <c r="B2" s="9"/>
      <c r="C2" s="9"/>
      <c r="D2" s="9"/>
      <c r="E2" s="9"/>
      <c r="F2" s="9"/>
      <c r="G2" s="9"/>
      <c r="H2" s="9"/>
      <c r="I2" s="9"/>
      <c r="J2" s="136" t="s">
        <v>114</v>
      </c>
      <c r="K2" s="136"/>
      <c r="L2" s="136"/>
      <c r="M2" s="136"/>
      <c r="N2" s="136"/>
    </row>
    <row r="3" spans="1:14" ht="22.9" customHeight="1" x14ac:dyDescent="0.2">
      <c r="A3" s="9"/>
      <c r="B3" s="9"/>
      <c r="C3" s="9"/>
      <c r="D3" s="9"/>
      <c r="E3" s="9"/>
      <c r="F3" s="9"/>
      <c r="G3" s="9"/>
      <c r="H3" s="9"/>
      <c r="I3" s="9"/>
      <c r="J3" s="135" t="s">
        <v>31</v>
      </c>
      <c r="K3" s="137" t="s">
        <v>68</v>
      </c>
      <c r="L3" s="75" t="s">
        <v>105</v>
      </c>
      <c r="M3" s="75" t="s">
        <v>108</v>
      </c>
      <c r="N3" s="75" t="s">
        <v>104</v>
      </c>
    </row>
    <row r="4" spans="1:14" ht="2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135"/>
      <c r="K4" s="137"/>
      <c r="L4" s="71" t="str">
        <f>"Avg Bonus: " &amp; IFERROR(TEXT(AVERAGEIFS('Rational Table'!$L:$L,'Rational Table'!$A:$A,"SENIOR LEADER",'Rational Table'!$G:$G,"&lt;&gt;",'Rational Table'!$H:$H,"&lt;&gt;",'Rational Table'!$J:$J,3,'Rational Table'!$K:$K,1),"0.0%"),"-")</f>
        <v>Avg Bonus: -</v>
      </c>
      <c r="M4" s="71" t="str">
        <f>"Avg Bonus: " &amp; IFERROR(TEXT(AVERAGEIFS('Rational Table'!$L:$L,'Rational Table'!$A:$A,"SENIOR LEADER",'Rational Table'!$G:$G,"&lt;&gt;",'Rational Table'!$H:$H,"&lt;&gt;",'Rational Table'!$J:$J,3,'Rational Table'!$K:$K,2),"0.0%"),"-")</f>
        <v>Avg Bonus: -</v>
      </c>
      <c r="N4" s="71" t="str">
        <f>"Avg Bonus: " &amp; IFERROR(TEXT(AVERAGEIFS('Rational Table'!$L:$L,'Rational Table'!$A:$A,"SENIOR LEADER",'Rational Table'!$G:$G,"&lt;&gt;",'Rational Table'!$H:$H,"&lt;&gt;",'Rational Table'!$J:$J,3,'Rational Table'!$K:$K,3),"0.0%"),"-")</f>
        <v>Avg Bonus: -</v>
      </c>
    </row>
    <row r="5" spans="1:14" ht="22.9" customHeight="1" x14ac:dyDescent="0.2">
      <c r="A5" s="9"/>
      <c r="B5" s="9"/>
      <c r="C5" s="9"/>
      <c r="D5" s="9"/>
      <c r="E5" s="76"/>
      <c r="F5" s="9"/>
      <c r="G5" s="9"/>
      <c r="H5" s="9"/>
      <c r="I5" s="9"/>
      <c r="J5" s="135"/>
      <c r="K5" s="137"/>
      <c r="L5" s="72" t="str">
        <f>"Male: " &amp; IFERROR(TEXT(AVERAGEIFS('Rational Table'!$L:$L,'Rational Table'!$A:$A,"SENIOR LEADER",'Rational Table'!$G:$G,"&lt;&gt;",'Rational Table'!$H:$H,"&lt;&gt;",'Rational Table'!$E:$E,"M",'Rational Table'!$J:$J,3,'Rational Table'!$K:$K,1),"0.0%"),"-")</f>
        <v>Male: -</v>
      </c>
      <c r="M5" s="72" t="str">
        <f>"Male: " &amp; IFERROR(TEXT(AVERAGEIFS('Rational Table'!$L:$L,'Rational Table'!$A:$A,"SENIOR LEADER",'Rational Table'!$G:$G,"&lt;&gt;",'Rational Table'!$H:$H,"&lt;&gt;",'Rational Table'!$E:$E,"M",'Rational Table'!$J:$J,3,'Rational Table'!$K:$K,2),"0.0%"),"-")</f>
        <v>Male: -</v>
      </c>
      <c r="N5" s="72" t="str">
        <f>"Male: " &amp; IFERROR(TEXT(AVERAGEIFS('Rational Table'!$L:$L,'Rational Table'!$A:$A,"SENIOR LEADER",'Rational Table'!$G:$G,"&lt;&gt;",'Rational Table'!$H:$H,"&lt;&gt;",'Rational Table'!$E:$E,"M",'Rational Table'!$J:$J,3,'Rational Table'!$K:$K,3),"0.0%"),"-")</f>
        <v>Male: -</v>
      </c>
    </row>
    <row r="6" spans="1:14" ht="22.9" customHeight="1" x14ac:dyDescent="0.2">
      <c r="A6" s="9"/>
      <c r="B6" s="9"/>
      <c r="C6" s="9"/>
      <c r="D6" s="9"/>
      <c r="E6" s="9"/>
      <c r="F6" s="9"/>
      <c r="G6" s="9"/>
      <c r="H6" s="9"/>
      <c r="I6" s="9"/>
      <c r="J6" s="135"/>
      <c r="K6" s="137"/>
      <c r="L6" s="73" t="str">
        <f>"Female: " &amp; IFERROR(TEXT(AVERAGEIFS('Rational Table'!$L:$L,'Rational Table'!$A:$A,"SENIOR LEADER",'Rational Table'!$G:$G,"&lt;&gt;",'Rational Table'!$H:$H,"&lt;&gt;",'Rational Table'!$E:$E,"F",'Rational Table'!$J:$J,3,'Rational Table'!$K:$K,1),"0.0%"),"-")</f>
        <v>Female: -</v>
      </c>
      <c r="M6" s="73" t="str">
        <f>"Female: " &amp; IFERROR(TEXT(AVERAGEIFS('Rational Table'!$L:$L,'Rational Table'!$A:$A,"SENIOR LEADER",'Rational Table'!$G:$G,"&lt;&gt;",'Rational Table'!$H:$H,"&lt;&gt;",'Rational Table'!$E:$E,"F",'Rational Table'!$J:$J,3,'Rational Table'!$K:$K,2),"0.0%"),"-")</f>
        <v>Female: -</v>
      </c>
      <c r="N6" s="73" t="str">
        <f>"Female: " &amp; IFERROR(TEXT(AVERAGEIFS('Rational Table'!$L:$L,'Rational Table'!$A:$A,"SENIOR LEADER",'Rational Table'!$G:$G,"&lt;&gt;",'Rational Table'!$H:$H,"&lt;&gt;",'Rational Table'!$E:$E,"F",'Rational Table'!$J:$J,3,'Rational Table'!$K:$K,3),"0.0%"),"-")</f>
        <v>Female: -</v>
      </c>
    </row>
    <row r="7" spans="1:14" ht="22.9" customHeight="1" x14ac:dyDescent="0.2">
      <c r="A7" s="9"/>
      <c r="B7" s="9"/>
      <c r="C7" s="9"/>
      <c r="D7" s="9"/>
      <c r="E7" s="9"/>
      <c r="F7" s="9"/>
      <c r="G7" s="9"/>
      <c r="H7" s="9"/>
      <c r="I7" s="9"/>
      <c r="J7" s="135"/>
      <c r="K7" s="137" t="s">
        <v>69</v>
      </c>
      <c r="L7" s="75" t="s">
        <v>109</v>
      </c>
      <c r="M7" s="75" t="s">
        <v>110</v>
      </c>
      <c r="N7" s="75" t="s">
        <v>111</v>
      </c>
    </row>
    <row r="8" spans="1:14" ht="22.9" customHeight="1" x14ac:dyDescent="0.2">
      <c r="A8" s="9"/>
      <c r="B8" s="9"/>
      <c r="C8" s="9"/>
      <c r="D8" s="9"/>
      <c r="E8" s="9"/>
      <c r="F8" s="9"/>
      <c r="G8" s="9"/>
      <c r="H8" s="9"/>
      <c r="I8" s="9"/>
      <c r="J8" s="135"/>
      <c r="K8" s="137"/>
      <c r="L8" s="71" t="str">
        <f>"Avg Bonus: " &amp; IFERROR(TEXT(AVERAGEIFS('Rational Table'!$L:$L,'Rational Table'!$A:$A,"SENIOR LEADER",'Rational Table'!$G:$G,"&lt;&gt;",'Rational Table'!$H:$H,"&lt;&gt;",'Rational Table'!$J:$J,2,'Rational Table'!$K:$K,1),"0.0%"),"-")</f>
        <v>Avg Bonus: -</v>
      </c>
      <c r="M8" s="71" t="str">
        <f>"Avg Bonus: " &amp; IFERROR(TEXT(AVERAGEIFS('Rational Table'!$L:$L,'Rational Table'!$A:$A,"SENIOR LEADER",'Rational Table'!$G:$G,"&lt;&gt;",'Rational Table'!$H:$H,"&lt;&gt;",'Rational Table'!$J:$J,2,'Rational Table'!$K:$K,2),"0.0%"),"-")</f>
        <v>Avg Bonus: -</v>
      </c>
      <c r="N8" s="71" t="str">
        <f>"Avg Bonus: " &amp; IFERROR(TEXT(AVERAGEIFS('Rational Table'!$L:$L,'Rational Table'!$A:$A,"SENIOR LEADER",'Rational Table'!$G:$G,"&lt;&gt;",'Rational Table'!$H:$H,"&lt;&gt;",'Rational Table'!$J:$J,2,'Rational Table'!$K:$K,3),"0.0%"),"-")</f>
        <v>Avg Bonus: -</v>
      </c>
    </row>
    <row r="9" spans="1:14" ht="22.9" customHeight="1" x14ac:dyDescent="0.2">
      <c r="A9" s="9"/>
      <c r="B9" s="9"/>
      <c r="C9" s="9"/>
      <c r="D9" s="9"/>
      <c r="E9" s="9"/>
      <c r="F9" s="9"/>
      <c r="G9" s="9"/>
      <c r="H9" s="9"/>
      <c r="I9" s="9"/>
      <c r="J9" s="135"/>
      <c r="K9" s="137"/>
      <c r="L9" s="72" t="str">
        <f>"Male: " &amp; IFERROR(TEXT(AVERAGEIFS('Rational Table'!$L:$L,'Rational Table'!$A:$A,"SENIOR LEADER",'Rational Table'!$G:$G,"&lt;&gt;",'Rational Table'!$H:$H,"&lt;&gt;",'Rational Table'!$E:$E,"M",'Rational Table'!$J:$J,2,'Rational Table'!$K:$K,1),"0.0%"),"-")</f>
        <v>Male: -</v>
      </c>
      <c r="M9" s="72" t="str">
        <f>"Male: " &amp; IFERROR(TEXT(AVERAGEIFS('Rational Table'!$L:$L,'Rational Table'!$A:$A,"SENIOR LEADER",'Rational Table'!$G:$G,"&lt;&gt;",'Rational Table'!$H:$H,"&lt;&gt;",'Rational Table'!$E:$E,"M",'Rational Table'!$J:$J,2,'Rational Table'!$K:$K,2),"0.0%"),"-")</f>
        <v>Male: -</v>
      </c>
      <c r="N9" s="72" t="str">
        <f>"Male: " &amp; IFERROR(TEXT(AVERAGEIFS('Rational Table'!$L:$L,'Rational Table'!$A:$A,"SENIOR LEADER",'Rational Table'!$G:$G,"&lt;&gt;",'Rational Table'!$H:$H,"&lt;&gt;",'Rational Table'!$E:$E,"M",'Rational Table'!$J:$J,2,'Rational Table'!$K:$K,3),"0.0%"),"-")</f>
        <v>Male: -</v>
      </c>
    </row>
    <row r="10" spans="1:14" ht="22.9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135"/>
      <c r="K10" s="137"/>
      <c r="L10" s="73" t="str">
        <f>"Female: " &amp; IFERROR(TEXT(AVERAGEIFS('Rational Table'!$L:$L,'Rational Table'!$A:$A,"SENIOR LEADER",'Rational Table'!$G:$G,"&lt;&gt;",'Rational Table'!$H:$H,"&lt;&gt;",'Rational Table'!$E:$E,"F",'Rational Table'!$J:$J,2,'Rational Table'!$K:$K,1),"0.0%"),"-")</f>
        <v>Female: -</v>
      </c>
      <c r="M10" s="73" t="str">
        <f>"Female: " &amp; IFERROR(TEXT(AVERAGEIFS('Rational Table'!$L:$L,'Rational Table'!$A:$A,"SENIOR LEADER",'Rational Table'!$G:$G,"&lt;&gt;",'Rational Table'!$H:$H,"&lt;&gt;",'Rational Table'!$E:$E,"F",'Rational Table'!$J:$J,2,'Rational Table'!$K:$K,2),"0.0%"),"-")</f>
        <v>Female: -</v>
      </c>
      <c r="N10" s="73" t="str">
        <f>"Female: " &amp; IFERROR(TEXT(AVERAGEIFS('Rational Table'!$L:$L,'Rational Table'!$A:$A,"SENIOR LEADER",'Rational Table'!$G:$G,"&lt;&gt;",'Rational Table'!$H:$H,"&lt;&gt;",'Rational Table'!$E:$E,"F",'Rational Table'!$J:$J,2,'Rational Table'!$K:$K,3),"0.0%"),"-")</f>
        <v>Female: -</v>
      </c>
    </row>
    <row r="11" spans="1:14" ht="22.9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135"/>
      <c r="K11" s="137" t="s">
        <v>70</v>
      </c>
      <c r="L11" s="75" t="s">
        <v>106</v>
      </c>
      <c r="M11" s="75" t="s">
        <v>112</v>
      </c>
      <c r="N11" s="75" t="s">
        <v>107</v>
      </c>
    </row>
    <row r="12" spans="1:14" ht="22.9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135"/>
      <c r="K12" s="137"/>
      <c r="L12" s="71" t="str">
        <f>"Avg Bonus: " &amp; IFERROR(TEXT(AVERAGEIFS('Rational Table'!$L:$L,'Rational Table'!$A:$A,"SENIOR LEADER",'Rational Table'!$G:$G,"&lt;&gt;",'Rational Table'!$H:$H,"&lt;&gt;",'Rational Table'!$J:$J,1,'Rational Table'!$K:$K,1),"0.0%"),"-")</f>
        <v>Avg Bonus: -</v>
      </c>
      <c r="M12" s="71" t="str">
        <f>"Avg Bonus: " &amp; IFERROR(TEXT(AVERAGEIFS('Rational Table'!$L:$L,'Rational Table'!$A:$A,"SENIOR LEADER",'Rational Table'!$G:$G,"&lt;&gt;",'Rational Table'!$H:$H,"&lt;&gt;",'Rational Table'!$J:$J,1,'Rational Table'!$K:$K,2),"0.0%"),"-")</f>
        <v>Avg Bonus: -</v>
      </c>
      <c r="N12" s="71" t="str">
        <f>"Avg Bonus: " &amp; IFERROR(TEXT(AVERAGEIFS('Rational Table'!$L:$L,'Rational Table'!$A:$A,"SENIOR LEADER",'Rational Table'!$G:$G,"&lt;&gt;",'Rational Table'!$H:$H,"&lt;&gt;",'Rational Table'!$J:$J,1,'Rational Table'!$K:$K,3),"0.0%"),"-")</f>
        <v>Avg Bonus: -</v>
      </c>
    </row>
    <row r="13" spans="1:14" ht="22.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135"/>
      <c r="K13" s="137"/>
      <c r="L13" s="72" t="str">
        <f>"Male: " &amp; IFERROR(TEXT(AVERAGEIFS('Rational Table'!$L:$L,'Rational Table'!$A:$A,"SENIOR LEADER",'Rational Table'!$G:$G,"&lt;&gt;",'Rational Table'!$H:$H,"&lt;&gt;",'Rational Table'!$E:$E,"M",'Rational Table'!$J:$J,1,'Rational Table'!$K:$K,1),"0.0%"),"-")</f>
        <v>Male: -</v>
      </c>
      <c r="M13" s="72" t="str">
        <f>"Male: " &amp; IFERROR(TEXT(AVERAGEIFS('Rational Table'!$L:$L,'Rational Table'!$A:$A,"SENIOR LEADER",'Rational Table'!$G:$G,"&lt;&gt;",'Rational Table'!$H:$H,"&lt;&gt;",'Rational Table'!$E:$E,"M",'Rational Table'!$J:$J,1,'Rational Table'!$K:$K,2),"0.0%"),"-")</f>
        <v>Male: -</v>
      </c>
      <c r="N13" s="72" t="str">
        <f>"Male: " &amp; IFERROR(TEXT(AVERAGEIFS('Rational Table'!$L:$L,'Rational Table'!$A:$A,"SENIOR LEADER",'Rational Table'!$G:$G,"&lt;&gt;",'Rational Table'!$H:$H,"&lt;&gt;",'Rational Table'!$E:$E,"M",'Rational Table'!$J:$J,1,'Rational Table'!$K:$K,3),"0.0%"),"-")</f>
        <v>Male: -</v>
      </c>
    </row>
    <row r="14" spans="1:14" ht="22.9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135"/>
      <c r="K14" s="137"/>
      <c r="L14" s="73" t="str">
        <f>"Female: " &amp; IFERROR(TEXT(AVERAGEIFS('Rational Table'!$L:$L,'Rational Table'!$A:$A,"SENIOR LEADER",'Rational Table'!$G:$G,"&lt;&gt;",'Rational Table'!$H:$H,"&lt;&gt;",'Rational Table'!$E:$E,"F",'Rational Table'!$J:$J,1,'Rational Table'!$K:$K,1),"0.0%"),"-")</f>
        <v>Female: -</v>
      </c>
      <c r="M14" s="73" t="str">
        <f>"Female: " &amp; IFERROR(TEXT(AVERAGEIFS('Rational Table'!$L:$L,'Rational Table'!$A:$A,"SENIOR LEADER",'Rational Table'!$G:$G,"&lt;&gt;",'Rational Table'!$H:$H,"&lt;&gt;",'Rational Table'!$E:$E,"F",'Rational Table'!$J:$J,1,'Rational Table'!$K:$K,2),"0.0%"),"-")</f>
        <v>Female: -</v>
      </c>
      <c r="N14" s="73" t="str">
        <f>"Female: " &amp; IFERROR(TEXT(AVERAGEIFS('Rational Table'!$L:$L,'Rational Table'!$A:$A,"SENIOR LEADER",'Rational Table'!$G:$G,"&lt;&gt;",'Rational Table'!$H:$H,"&lt;&gt;",'Rational Table'!$E:$E,"F",'Rational Table'!$J:$J,1,'Rational Table'!$K:$K,3),"0.0%"),"-")</f>
        <v>Female: -</v>
      </c>
    </row>
    <row r="15" spans="1:14" ht="18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135"/>
      <c r="K15" s="69"/>
      <c r="L15" s="70" t="s">
        <v>70</v>
      </c>
      <c r="M15" s="70" t="s">
        <v>69</v>
      </c>
      <c r="N15" s="70" t="s">
        <v>68</v>
      </c>
    </row>
    <row r="16" spans="1:14" ht="19.899999999999999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68"/>
      <c r="L16" s="133" t="s">
        <v>33</v>
      </c>
      <c r="M16" s="134"/>
      <c r="N16" s="134"/>
    </row>
    <row r="17" spans="1:14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6" customHeight="1" x14ac:dyDescent="0.2">
      <c r="A18" s="126"/>
      <c r="B18" s="127"/>
      <c r="C18" s="127"/>
      <c r="D18" s="127"/>
      <c r="E18" s="128"/>
      <c r="F18" s="9"/>
      <c r="G18" s="9"/>
      <c r="H18" s="9"/>
      <c r="I18" s="9"/>
      <c r="J18" s="9"/>
      <c r="K18" s="9"/>
      <c r="L18" s="9"/>
      <c r="M18" s="9"/>
      <c r="N18" s="9"/>
    </row>
    <row r="19" spans="1:14" ht="12.75" customHeight="1" x14ac:dyDescent="0.2">
      <c r="A19" s="129" t="s">
        <v>97</v>
      </c>
      <c r="B19" s="131" t="s">
        <v>68</v>
      </c>
      <c r="C19" s="46" t="s">
        <v>59</v>
      </c>
      <c r="D19" s="44" t="s">
        <v>60</v>
      </c>
      <c r="E19" s="44" t="s">
        <v>61</v>
      </c>
      <c r="F19" s="36"/>
      <c r="G19" s="9"/>
      <c r="H19" s="9"/>
      <c r="I19" s="9"/>
      <c r="J19" s="9"/>
      <c r="K19" s="9"/>
      <c r="L19" s="9"/>
      <c r="M19" s="9"/>
      <c r="N19" s="9"/>
    </row>
    <row r="20" spans="1:14" ht="21.6" customHeight="1" x14ac:dyDescent="0.2">
      <c r="A20" s="130"/>
      <c r="B20" s="131"/>
      <c r="C20" s="47" t="str">
        <f>IF(IFERROR(COUNTIFS('Rational Table'!$A:$A,"SENIOR LEADER",'Rational Table'!$G:$G,"&lt;&gt;",'Rational Table'!$H:$H,"&lt;&gt;",'Rational Table'!$J:$J,3,'Rational Table'!$K:$K,1),0)=0,"",TEXT(IFERROR(COUNTIFS('Rational Table'!$A:$A,"SENIOR LEADER",'Rational Table'!$G:$G,"&lt;&gt;",'Rational Table'!$H:$H,"&lt;&gt;",'Rational Table'!$J:$J,3,'Rational Table'!$K:$K,1)/COUNTIFS('Rational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Table'!$J:$J,3,'Rational Table'!$K:$K,1),"0.0%") &amp; ")",""))</f>
        <v/>
      </c>
      <c r="D20" s="47" t="str">
        <f>IF(IFERROR(COUNTIFS('Rational Table'!$A:$A,"SENIOR LEADER",'Rational Table'!$G:$G,"&lt;&gt;",'Rational Table'!$H:$H,"&lt;&gt;",'Rational Table'!$J:$J,3,'Rational Table'!$K:$K,2),0)=0,"",TEXT(IFERROR(COUNTIFS('Rational Table'!$A:$A,"SENIOR LEADER",'Rational Table'!$G:$G,"&lt;&gt;",'Rational Table'!$H:$H,"&lt;&gt;",'Rational Table'!$J:$J,3,'Rational Table'!$K:$K,2)/COUNTIFS('Rational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Table'!$J:$J,3,'Rational Table'!$K:$K,2),"0.0%") &amp; ")",""))</f>
        <v/>
      </c>
      <c r="E20" s="43" t="e">
        <f>IF(IFERROR(COUNTIFS('Rational Table'!$A:$A,"SENIOR LEADER",'Rational Table'!$G:$G,"&lt;&gt;",'Rational Table'!$H:$H,"&lt;&gt;",'Rational Table'!$J:$J,3,'Rational Table'!$K:$K,3),0)=0,"",TEXT(IFERROR(COUNTIFS('Rational Table'!$A:$A,"SENIOR LEADER",'Rational Table'!$G:$G,"&lt;&gt;",'Rational Table'!$H:$H,"&lt;&gt;",'Rational Table'!$J:$J,3,'Rational Table'!$K:$K,3)/COUNTIFS('Rational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Table'!$J:$J,3,'Rational Table'!$K:$K,3),"0.0%") &amp; ")",""))</f>
        <v>#VALUE!</v>
      </c>
      <c r="F20" s="36"/>
      <c r="G20" s="9"/>
      <c r="H20" s="9"/>
      <c r="I20" s="9"/>
      <c r="J20" s="9"/>
      <c r="K20" s="9"/>
      <c r="L20" s="9"/>
      <c r="M20" s="9"/>
      <c r="N20" s="9"/>
    </row>
    <row r="21" spans="1:14" ht="59.1" customHeight="1" x14ac:dyDescent="0.2">
      <c r="A21" s="130"/>
      <c r="B21" s="131"/>
      <c r="C21" s="45"/>
      <c r="D21" s="48"/>
      <c r="E21" s="38" t="s">
        <v>142</v>
      </c>
      <c r="F21" s="36"/>
      <c r="G21" s="9"/>
      <c r="H21" s="9"/>
      <c r="I21" s="9"/>
      <c r="J21" s="9"/>
      <c r="K21" s="9"/>
      <c r="L21" s="9"/>
      <c r="M21" s="9"/>
      <c r="N21" s="9"/>
    </row>
    <row r="22" spans="1:14" ht="12.75" customHeight="1" x14ac:dyDescent="0.2">
      <c r="A22" s="130"/>
      <c r="B22" s="132" t="s">
        <v>69</v>
      </c>
      <c r="C22" s="44" t="s">
        <v>62</v>
      </c>
      <c r="D22" s="46" t="s">
        <v>63</v>
      </c>
      <c r="E22" s="51" t="s">
        <v>64</v>
      </c>
      <c r="F22" s="36"/>
      <c r="G22" s="9"/>
      <c r="H22" s="9"/>
      <c r="I22" s="9"/>
      <c r="J22" s="9"/>
      <c r="K22" s="9"/>
      <c r="L22" s="9"/>
      <c r="M22" s="9"/>
      <c r="N22" s="9"/>
    </row>
    <row r="23" spans="1:14" ht="21.6" customHeight="1" x14ac:dyDescent="0.2">
      <c r="A23" s="130"/>
      <c r="B23" s="132"/>
      <c r="C23" s="43" t="str">
        <f>IF(IFERROR(COUNTIFS('Rational Table'!$A:$A,"SENIOR LEADER",'Rational Table'!$G:$G,"&lt;&gt;",'Rational Table'!$H:$H,"&lt;&gt;",'Rational Table'!$J:$J,2,'Rational Table'!$K:$K,1),0)=0,"",TEXT(IFERROR(COUNTIFS('Rational Table'!$A:$A,"SENIOR LEADER",'Rational Table'!$G:$G,"&lt;&gt;",'Rational Table'!$H:$H,"&lt;&gt;",'Rational Table'!$J:$J,2,'Rational Table'!$K:$K,1)/COUNTIFS('Rational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Table'!$J:$J,2,'Rational Table'!$K:$K,1),"0.0%") &amp; ")",""))</f>
        <v/>
      </c>
      <c r="D23" s="40" t="str">
        <f>IF(IFERROR(COUNTIFS('Rational Table'!$A:$A,"SENIOR LEADER",'Rational Table'!$G:$G,"&lt;&gt;",'Rational Table'!$H:$H,"&lt;&gt;",'Rational Table'!$J:$J,2,'Rational Table'!$K:$K,2),0)=0,"",TEXT(IFERROR(COUNTIFS('Rational Table'!$A:$A,"SENIOR LEADER",'Rational Table'!$G:$G,"&lt;&gt;",'Rational Table'!$H:$H,"&lt;&gt;",'Rational Table'!$J:$J,2,'Rational Table'!$K:$K,2)/COUNTIFS('Rational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Table'!$J:$J,2,'Rational Table'!$K:$K,2),"0.0%") &amp; ")",""))</f>
        <v/>
      </c>
      <c r="E23" s="40" t="str">
        <f>IF(IFERROR(COUNTIFS('Rational Table'!$A:$A,"SENIOR LEADER",'Rational Table'!$G:$G,"&lt;&gt;",'Rational Table'!$H:$H,"&lt;&gt;",'Rational Table'!$J:$J,2,'Rational Table'!$K:$K,3),0)=0,"",TEXT(IFERROR(COUNTIFS('Rational Table'!$A:$A,"SENIOR LEADER",'Rational Table'!$G:$G,"&lt;&gt;",'Rational Table'!$H:$H,"&lt;&gt;",'Rational Table'!$J:$J,2,'Rational Table'!$K:$K,3)/COUNTIFS('Rational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Table'!$J:$J,2,'Rational Table'!$K:$K,3),"0.0%") &amp; ")",""))</f>
        <v/>
      </c>
      <c r="F23" s="36"/>
      <c r="G23" s="9"/>
      <c r="H23" s="9"/>
      <c r="I23" s="9"/>
      <c r="J23" s="9"/>
      <c r="K23" s="9"/>
      <c r="L23" s="9"/>
      <c r="M23" s="9"/>
      <c r="N23" s="9"/>
    </row>
    <row r="24" spans="1:14" ht="59.1" customHeight="1" x14ac:dyDescent="0.2">
      <c r="A24" s="130"/>
      <c r="B24" s="132"/>
      <c r="C24" s="42"/>
      <c r="D24" s="49"/>
      <c r="E24" s="49"/>
      <c r="F24" s="36"/>
      <c r="G24" s="9"/>
      <c r="H24" s="9"/>
      <c r="I24" s="9"/>
      <c r="J24" s="9"/>
      <c r="K24" s="9"/>
      <c r="L24" s="9"/>
      <c r="M24" s="9"/>
      <c r="N24" s="9"/>
    </row>
    <row r="25" spans="1:14" ht="12.75" customHeight="1" x14ac:dyDescent="0.2">
      <c r="A25" s="130"/>
      <c r="B25" s="131" t="s">
        <v>70</v>
      </c>
      <c r="C25" s="41" t="s">
        <v>65</v>
      </c>
      <c r="D25" s="50" t="s">
        <v>66</v>
      </c>
      <c r="E25" s="46" t="s">
        <v>67</v>
      </c>
      <c r="F25" s="36"/>
      <c r="G25" s="9"/>
      <c r="H25" s="9"/>
      <c r="I25" s="9"/>
      <c r="J25" s="9"/>
      <c r="K25" s="9"/>
      <c r="L25" s="9"/>
      <c r="M25" s="9"/>
      <c r="N25" s="9"/>
    </row>
    <row r="26" spans="1:14" ht="21.6" customHeight="1" x14ac:dyDescent="0.2">
      <c r="A26" s="130"/>
      <c r="B26" s="131"/>
      <c r="C26" s="40" t="e">
        <f>IF(IFERROR(COUNTIFS('Rational Table'!$A:$A,"SENIOR LEADER",'Rational Table'!$G:$G,"&lt;&gt;",'Rational Table'!$H:$H,"&lt;&gt;",'Rational Table'!$J:$J,1,'Rational Table'!$K:$K,1),0)=0,"",TEXT(IFERROR(COUNTIFS('Rational Table'!$A:$A,"SENIOR LEADER",'Rational Table'!$G:$G,"&lt;&gt;",'Rational Table'!$H:$H,"&lt;&gt;",'Rational Table'!$J:$J,1,'Rational Table'!$K:$K,1)/COUNTIFS('Rational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Table'!$J:$J,1,'Rational Table'!$K:$K,1),"0.0%") &amp; ")",""))</f>
        <v>#VALUE!</v>
      </c>
      <c r="D26" s="40" t="str">
        <f>IF(IFERROR(COUNTIFS('Rational Table'!$A:$A,"SENIOR LEADER",'Rational Table'!$G:$G,"&lt;&gt;",'Rational Table'!$H:$H,"&lt;&gt;",'Rational Table'!$J:$J,1,'Rational Table'!$K:$K,2),0)=0,"",TEXT(IFERROR(COUNTIFS('Rational Table'!$A:$A,"SENIOR LEADER",'Rational Table'!$G:$G,"&lt;&gt;",'Rational Table'!$H:$H,"&lt;&gt;",'Rational Table'!$J:$J,1,'Rational Table'!$K:$K,2)/COUNTIFS('Rational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Table'!$J:$J,1,'Rational Table'!$K:$K,2),"0.0%") &amp; ")",""))</f>
        <v/>
      </c>
      <c r="E26" s="40" t="str">
        <f>IF(IFERROR(COUNTIFS('Rational Table'!$A:$A,"SENIOR LEADER",'Rational Table'!$G:$G,"&lt;&gt;",'Rational Table'!$H:$H,"&lt;&gt;",'Rational Table'!$J:$J,1,'Rational Table'!$K:$K,3),0)=0,"",TEXT(IFERROR(COUNTIFS('Rational Table'!$A:$A,"SENIOR LEADER",'Rational Table'!$G:$G,"&lt;&gt;",'Rational Table'!$H:$H,"&lt;&gt;",'Rational Table'!$J:$J,1,'Rational Table'!$K:$K,3)/COUNTIFS('Rational Table'!$A:$A,"SENIOR LEADER",'Rational Table'!$G:$G,"&lt;&gt;",'Rational Table'!$H:$H,"&lt;&gt;"),0),"0.0%") &amp; IFERROR(" (Avg Bonus: " &amp; TEXT(AVERAGEIFS('Rational Table'!$L:$L,'Rational Table'!$A:$A,"SENIOR LEADER",'Rational Table'!$G:$G,"&lt;&gt;",'Rational Table'!$H:$H,"&lt;&gt;",'Rational Table'!$J:$J,1,'Rational Table'!$K:$K,3),"0.0%") &amp; ")",""))</f>
        <v/>
      </c>
      <c r="F26" s="36"/>
      <c r="G26" s="9"/>
      <c r="H26" s="9"/>
      <c r="I26" s="9"/>
      <c r="J26" s="9"/>
      <c r="K26" s="9"/>
      <c r="L26" s="9"/>
      <c r="M26" s="9"/>
      <c r="N26" s="9"/>
    </row>
    <row r="27" spans="1:14" ht="59.1" customHeight="1" x14ac:dyDescent="0.2">
      <c r="A27" s="130"/>
      <c r="B27" s="131"/>
      <c r="C27" s="38" t="s">
        <v>141</v>
      </c>
      <c r="D27" s="45"/>
      <c r="E27" s="53"/>
      <c r="F27" s="36"/>
      <c r="G27" s="9"/>
      <c r="H27" s="9"/>
      <c r="I27" s="9"/>
      <c r="J27" s="9"/>
      <c r="K27" s="9"/>
      <c r="L27" s="9"/>
      <c r="M27" s="9"/>
      <c r="N27" s="9"/>
    </row>
    <row r="28" spans="1:14" ht="18" customHeight="1" x14ac:dyDescent="0.2">
      <c r="A28" s="130"/>
      <c r="B28" s="30"/>
      <c r="C28" s="37" t="s">
        <v>70</v>
      </c>
      <c r="D28" s="39" t="s">
        <v>69</v>
      </c>
      <c r="E28" s="52" t="s">
        <v>68</v>
      </c>
      <c r="F28" s="9"/>
      <c r="G28" s="9"/>
      <c r="H28" s="9"/>
      <c r="I28" s="9"/>
      <c r="J28" s="9"/>
      <c r="K28" s="9"/>
      <c r="L28" s="9"/>
      <c r="M28" s="9"/>
      <c r="N28" s="9"/>
    </row>
    <row r="29" spans="1:14" ht="30" customHeight="1" x14ac:dyDescent="0.2">
      <c r="A29" s="29"/>
      <c r="B29" s="123" t="s">
        <v>98</v>
      </c>
      <c r="C29" s="124"/>
      <c r="D29" s="124"/>
      <c r="E29" s="124"/>
      <c r="F29" s="9"/>
      <c r="G29" s="9"/>
      <c r="H29" s="76"/>
      <c r="I29" s="76"/>
      <c r="J29" s="9"/>
      <c r="K29" s="9"/>
      <c r="L29" s="9"/>
      <c r="M29" s="9"/>
      <c r="N29" s="9"/>
    </row>
  </sheetData>
  <sheetProtection formatColumns="0" formatRows="0"/>
  <mergeCells count="13">
    <mergeCell ref="L16:N16"/>
    <mergeCell ref="A18:E18"/>
    <mergeCell ref="J2:N2"/>
    <mergeCell ref="J3:J15"/>
    <mergeCell ref="K3:K6"/>
    <mergeCell ref="K7:K10"/>
    <mergeCell ref="K11:K14"/>
    <mergeCell ref="B29:E29"/>
    <mergeCell ref="A1:E1"/>
    <mergeCell ref="A19:A28"/>
    <mergeCell ref="B19:B21"/>
    <mergeCell ref="B22:B24"/>
    <mergeCell ref="B25:B27"/>
  </mergeCells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>
    <oddHeader>&amp;LPerformance Grid 2012&amp;RStrictly Confidential</oddHead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7f9b3e-6ab6-421f-8361-de808eb20321">3VHFAE6TM4WR-1411221271-1118</_dlc_DocId>
    <_dlc_DocIdUrl xmlns="0f7f9b3e-6ab6-421f-8361-de808eb20321">
      <Url>https://nestle.sharepoint.com/teams/PDP/_layouts/15/DocIdRedir.aspx?ID=3VHFAE6TM4WR-1411221271-1118</Url>
      <Description>3VHFAE6TM4WR-1411221271-1118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489D35A147B4A97892556357DC217" ma:contentTypeVersion="8" ma:contentTypeDescription="Create a new document." ma:contentTypeScope="" ma:versionID="84bb03924d0e5fcc9225e7d1c5b50799">
  <xsd:schema xmlns:xsd="http://www.w3.org/2001/XMLSchema" xmlns:xs="http://www.w3.org/2001/XMLSchema" xmlns:p="http://schemas.microsoft.com/office/2006/metadata/properties" xmlns:ns2="0f7f9b3e-6ab6-421f-8361-de808eb20321" xmlns:ns3="070dfafd-e4eb-43dd-8b89-6cf2561914e6" targetNamespace="http://schemas.microsoft.com/office/2006/metadata/properties" ma:root="true" ma:fieldsID="c60fbb6edada528d8f444de778883d9a" ns2:_="" ns3:_="">
    <xsd:import namespace="0f7f9b3e-6ab6-421f-8361-de808eb20321"/>
    <xsd:import namespace="070dfafd-e4eb-43dd-8b89-6cf2561914e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f9b3e-6ab6-421f-8361-de808eb20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dfafd-e4eb-43dd-8b89-6cf2561914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CD4C20-AFA1-4BE0-87F2-1311E432B66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2871FA5-923A-4167-A6FC-D800756EF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720CBB-13CC-43B3-9AF0-6771DADB06E9}">
  <ds:schemaRefs>
    <ds:schemaRef ds:uri="http://purl.org/dc/elements/1.1/"/>
    <ds:schemaRef ds:uri="http://schemas.microsoft.com/office/2006/metadata/properties"/>
    <ds:schemaRef ds:uri="070dfafd-e4eb-43dd-8b89-6cf2561914e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f7f9b3e-6ab6-421f-8361-de808eb20321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415B604-1C58-46A1-A892-926DBBD75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7f9b3e-6ab6-421f-8361-de808eb20321"/>
    <ds:schemaRef ds:uri="070dfafd-e4eb-43dd-8b89-6cf256191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Rational Table</vt:lpstr>
      <vt:lpstr>List</vt:lpstr>
      <vt:lpstr>PDP Grid - Global</vt:lpstr>
      <vt:lpstr>PDP Grid - Employee</vt:lpstr>
      <vt:lpstr>PDP Grid - Leader</vt:lpstr>
      <vt:lpstr>PDP Grid - Senior Leader</vt:lpstr>
      <vt:lpstr>Grid_Employee_Start</vt:lpstr>
      <vt:lpstr>Grid_Employee_TooSoon</vt:lpstr>
      <vt:lpstr>'PDP Grid - Global'!Grid_Global_Start</vt:lpstr>
      <vt:lpstr>'PDP Grid - Global'!Grid_Global_TooSoon</vt:lpstr>
      <vt:lpstr>Grid_Leader_Start</vt:lpstr>
      <vt:lpstr>Grid_Leader_TooSoon</vt:lpstr>
      <vt:lpstr>Grid_Senior_Start</vt:lpstr>
      <vt:lpstr>Grid_Senior_TooSoon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smcghee</dc:creator>
  <cp:lastModifiedBy>Glybov,Sergey,MOSCOW,HR</cp:lastModifiedBy>
  <cp:lastPrinted>2012-12-04T11:20:57Z</cp:lastPrinted>
  <dcterms:created xsi:type="dcterms:W3CDTF">2008-05-29T00:19:16Z</dcterms:created>
  <dcterms:modified xsi:type="dcterms:W3CDTF">2017-11-24T12:50:28Z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0x010100218489D35A147B4A97892556357DC217</vt:lpwstr>
  </property>
  <property fmtid="{D5CDD505-2E9C-101B-9397-08002B2CF9AE}" pid="3" name="_dlc_DocIdItemGuid">
    <vt:lpwstr>a5c5786d-fb0b-49ad-b86c-ca6329b5fa9c</vt:lpwstr>
  </property>
</Properties>
</file>