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480" yWindow="60" windowWidth="27795" windowHeight="13605" activeTab="2"/>
    <workbookView xWindow="480" yWindow="30" windowWidth="27795" windowHeight="12330" activeTab="2"/>
  </bookViews>
  <sheets>
    <sheet name="СМУ" sheetId="1" r:id="rId1"/>
    <sheet name="ТУ" sheetId="2" r:id="rId2"/>
    <sheet name="ПЗ" sheetId="3" r:id="rId3"/>
  </sheets>
  <definedNames>
    <definedName name="_xlnm._FilterDatabase" localSheetId="1" hidden="1">ТУ!$A$2:$AK$94</definedName>
  </definedNames>
  <calcPr calcId="145621" calcOnSave="0" concurrentCalc="0"/>
</workbook>
</file>

<file path=xl/calcChain.xml><?xml version="1.0" encoding="utf-8"?>
<calcChain xmlns="http://schemas.openxmlformats.org/spreadsheetml/2006/main">
  <c r="D93" i="3" l="1"/>
  <c r="C93" i="3"/>
  <c r="D87" i="3"/>
  <c r="C80" i="3"/>
  <c r="D80" i="3"/>
  <c r="D75" i="3"/>
  <c r="B75" i="3" a="1"/>
  <c r="B75" i="3"/>
  <c r="J6" i="2"/>
  <c r="I6" i="2"/>
  <c r="J7" i="2"/>
  <c r="T7" i="2"/>
  <c r="I7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H3" i="2"/>
  <c r="C64" i="2"/>
  <c r="F64" i="2"/>
  <c r="G64" i="2"/>
  <c r="J64" i="2"/>
  <c r="P64" i="2"/>
  <c r="T64" i="2"/>
  <c r="X64" i="2"/>
  <c r="I64" i="2"/>
  <c r="AJ63" i="2"/>
  <c r="C65" i="2"/>
  <c r="F65" i="2"/>
  <c r="G65" i="2"/>
  <c r="J65" i="2"/>
  <c r="P65" i="2"/>
  <c r="T65" i="2"/>
  <c r="X65" i="2"/>
  <c r="I65" i="2"/>
  <c r="AJ64" i="2"/>
  <c r="C66" i="2"/>
  <c r="F66" i="2"/>
  <c r="G66" i="2"/>
  <c r="J66" i="2"/>
  <c r="P66" i="2"/>
  <c r="T66" i="2"/>
  <c r="X66" i="2"/>
  <c r="I66" i="2"/>
  <c r="AJ65" i="2"/>
  <c r="C67" i="2"/>
  <c r="F67" i="2"/>
  <c r="G67" i="2"/>
  <c r="J67" i="2"/>
  <c r="P67" i="2"/>
  <c r="T67" i="2"/>
  <c r="X67" i="2"/>
  <c r="I67" i="2"/>
  <c r="AJ66" i="2"/>
  <c r="C68" i="2"/>
  <c r="F68" i="2"/>
  <c r="G68" i="2"/>
  <c r="J68" i="2"/>
  <c r="P68" i="2"/>
  <c r="T68" i="2"/>
  <c r="X68" i="2"/>
  <c r="I68" i="2"/>
  <c r="AJ67" i="2"/>
  <c r="C69" i="2"/>
  <c r="F69" i="2"/>
  <c r="G69" i="2"/>
  <c r="J69" i="2"/>
  <c r="P69" i="2"/>
  <c r="T69" i="2"/>
  <c r="X69" i="2"/>
  <c r="I69" i="2"/>
  <c r="AJ68" i="2"/>
  <c r="C70" i="2"/>
  <c r="F70" i="2"/>
  <c r="G70" i="2"/>
  <c r="J70" i="2"/>
  <c r="P70" i="2"/>
  <c r="T70" i="2"/>
  <c r="X70" i="2"/>
  <c r="I70" i="2"/>
  <c r="AJ69" i="2"/>
  <c r="C71" i="2"/>
  <c r="F71" i="2"/>
  <c r="G71" i="2"/>
  <c r="J71" i="2"/>
  <c r="P71" i="2"/>
  <c r="T71" i="2"/>
  <c r="X71" i="2"/>
  <c r="I71" i="2"/>
  <c r="AJ70" i="2"/>
  <c r="C72" i="2"/>
  <c r="F72" i="2"/>
  <c r="G72" i="2"/>
  <c r="J72" i="2"/>
  <c r="P72" i="2"/>
  <c r="T72" i="2"/>
  <c r="X72" i="2"/>
  <c r="I72" i="2"/>
  <c r="AJ71" i="2"/>
  <c r="C73" i="2"/>
  <c r="F73" i="2"/>
  <c r="G73" i="2"/>
  <c r="J73" i="2"/>
  <c r="P73" i="2"/>
  <c r="T73" i="2"/>
  <c r="X73" i="2"/>
  <c r="I73" i="2"/>
  <c r="AJ72" i="2"/>
  <c r="C74" i="2"/>
  <c r="F74" i="2"/>
  <c r="G74" i="2"/>
  <c r="J74" i="2"/>
  <c r="P74" i="2"/>
  <c r="T74" i="2"/>
  <c r="X74" i="2"/>
  <c r="I74" i="2"/>
  <c r="AJ73" i="2"/>
  <c r="C75" i="2"/>
  <c r="F75" i="2"/>
  <c r="G75" i="2"/>
  <c r="J75" i="2"/>
  <c r="P75" i="2"/>
  <c r="T75" i="2"/>
  <c r="X75" i="2"/>
  <c r="I75" i="2"/>
  <c r="AJ74" i="2"/>
  <c r="C76" i="2"/>
  <c r="F76" i="2"/>
  <c r="G76" i="2"/>
  <c r="J76" i="2"/>
  <c r="P76" i="2"/>
  <c r="T76" i="2"/>
  <c r="X76" i="2"/>
  <c r="I76" i="2"/>
  <c r="AJ75" i="2"/>
  <c r="C77" i="2"/>
  <c r="F77" i="2"/>
  <c r="G77" i="2"/>
  <c r="J77" i="2"/>
  <c r="P77" i="2"/>
  <c r="T77" i="2"/>
  <c r="X77" i="2"/>
  <c r="I77" i="2"/>
  <c r="AJ76" i="2"/>
  <c r="C78" i="2"/>
  <c r="F78" i="2"/>
  <c r="G78" i="2"/>
  <c r="J78" i="2"/>
  <c r="P78" i="2"/>
  <c r="T78" i="2"/>
  <c r="X78" i="2"/>
  <c r="I78" i="2"/>
  <c r="AJ77" i="2"/>
  <c r="C79" i="2"/>
  <c r="F79" i="2"/>
  <c r="G79" i="2"/>
  <c r="J79" i="2"/>
  <c r="P79" i="2"/>
  <c r="T79" i="2"/>
  <c r="X79" i="2"/>
  <c r="I79" i="2"/>
  <c r="AJ78" i="2"/>
  <c r="C80" i="2"/>
  <c r="F80" i="2"/>
  <c r="G80" i="2"/>
  <c r="J80" i="2"/>
  <c r="P80" i="2"/>
  <c r="T80" i="2"/>
  <c r="X80" i="2"/>
  <c r="I80" i="2"/>
  <c r="AJ79" i="2"/>
  <c r="C81" i="2"/>
  <c r="F81" i="2"/>
  <c r="G81" i="2"/>
  <c r="J81" i="2"/>
  <c r="P81" i="2"/>
  <c r="T81" i="2"/>
  <c r="X81" i="2"/>
  <c r="I81" i="2"/>
  <c r="AJ80" i="2"/>
  <c r="C82" i="2"/>
  <c r="F82" i="2"/>
  <c r="G82" i="2"/>
  <c r="J82" i="2"/>
  <c r="P82" i="2"/>
  <c r="T82" i="2"/>
  <c r="X82" i="2"/>
  <c r="I82" i="2"/>
  <c r="AJ81" i="2"/>
  <c r="C83" i="2"/>
  <c r="F83" i="2"/>
  <c r="G83" i="2"/>
  <c r="J83" i="2"/>
  <c r="P83" i="2"/>
  <c r="T83" i="2"/>
  <c r="X83" i="2"/>
  <c r="I83" i="2"/>
  <c r="AJ82" i="2"/>
  <c r="C84" i="2"/>
  <c r="F84" i="2"/>
  <c r="G84" i="2"/>
  <c r="J84" i="2"/>
  <c r="P84" i="2"/>
  <c r="T84" i="2"/>
  <c r="X84" i="2"/>
  <c r="I84" i="2"/>
  <c r="AJ83" i="2"/>
  <c r="C85" i="2"/>
  <c r="F85" i="2"/>
  <c r="G85" i="2"/>
  <c r="J85" i="2"/>
  <c r="P85" i="2"/>
  <c r="T85" i="2"/>
  <c r="X85" i="2"/>
  <c r="I85" i="2"/>
  <c r="AJ84" i="2"/>
  <c r="C86" i="2"/>
  <c r="F86" i="2"/>
  <c r="G86" i="2"/>
  <c r="J86" i="2"/>
  <c r="P86" i="2"/>
  <c r="T86" i="2"/>
  <c r="X86" i="2"/>
  <c r="I86" i="2"/>
  <c r="AJ85" i="2"/>
  <c r="C87" i="2"/>
  <c r="F87" i="2"/>
  <c r="G87" i="2"/>
  <c r="J87" i="2"/>
  <c r="P87" i="2"/>
  <c r="T87" i="2"/>
  <c r="X87" i="2"/>
  <c r="I87" i="2"/>
  <c r="AJ86" i="2"/>
  <c r="C88" i="2"/>
  <c r="F88" i="2"/>
  <c r="G88" i="2"/>
  <c r="J88" i="2"/>
  <c r="P88" i="2"/>
  <c r="T88" i="2"/>
  <c r="X88" i="2"/>
  <c r="I88" i="2"/>
  <c r="AJ87" i="2"/>
  <c r="C89" i="2"/>
  <c r="F89" i="2"/>
  <c r="G89" i="2"/>
  <c r="J89" i="2"/>
  <c r="P89" i="2"/>
  <c r="T89" i="2"/>
  <c r="X89" i="2"/>
  <c r="I89" i="2"/>
  <c r="AJ88" i="2"/>
  <c r="C90" i="2"/>
  <c r="F90" i="2"/>
  <c r="G90" i="2"/>
  <c r="J90" i="2"/>
  <c r="P90" i="2"/>
  <c r="T90" i="2"/>
  <c r="X90" i="2"/>
  <c r="I90" i="2"/>
  <c r="AJ89" i="2"/>
  <c r="C91" i="2"/>
  <c r="F91" i="2"/>
  <c r="G91" i="2"/>
  <c r="J91" i="2"/>
  <c r="P91" i="2"/>
  <c r="T91" i="2"/>
  <c r="X91" i="2"/>
  <c r="I91" i="2"/>
  <c r="AJ90" i="2"/>
  <c r="C92" i="2"/>
  <c r="F92" i="2"/>
  <c r="G92" i="2"/>
  <c r="J92" i="2"/>
  <c r="P92" i="2"/>
  <c r="T92" i="2"/>
  <c r="X92" i="2"/>
  <c r="I92" i="2"/>
  <c r="AJ91" i="2"/>
  <c r="C93" i="2"/>
  <c r="F93" i="2"/>
  <c r="G93" i="2"/>
  <c r="J93" i="2"/>
  <c r="P93" i="2"/>
  <c r="T93" i="2"/>
  <c r="X93" i="2"/>
  <c r="I93" i="2"/>
  <c r="AJ92" i="2"/>
  <c r="C94" i="2"/>
  <c r="F94" i="2"/>
  <c r="G94" i="2"/>
  <c r="J94" i="2"/>
  <c r="P94" i="2"/>
  <c r="T94" i="2"/>
  <c r="X94" i="2"/>
  <c r="I94" i="2"/>
  <c r="AJ93" i="2"/>
  <c r="C95" i="2"/>
  <c r="F95" i="2"/>
  <c r="G95" i="2"/>
  <c r="J95" i="2"/>
  <c r="P95" i="2"/>
  <c r="T95" i="2"/>
  <c r="X95" i="2"/>
  <c r="I95" i="2"/>
  <c r="AJ94" i="2"/>
  <c r="J5" i="2"/>
  <c r="P5" i="2"/>
  <c r="T5" i="2"/>
  <c r="X5" i="2"/>
  <c r="I5" i="2"/>
  <c r="P6" i="2"/>
  <c r="T6" i="2"/>
  <c r="X6" i="2"/>
  <c r="P7" i="2"/>
  <c r="X7" i="2"/>
  <c r="J8" i="2"/>
  <c r="P8" i="2"/>
  <c r="T8" i="2"/>
  <c r="X8" i="2"/>
  <c r="I8" i="2"/>
  <c r="J9" i="2"/>
  <c r="P9" i="2"/>
  <c r="T9" i="2"/>
  <c r="X9" i="2"/>
  <c r="I9" i="2"/>
  <c r="J10" i="2"/>
  <c r="P10" i="2"/>
  <c r="T10" i="2"/>
  <c r="X10" i="2"/>
  <c r="I10" i="2"/>
  <c r="J11" i="2"/>
  <c r="P11" i="2"/>
  <c r="T11" i="2"/>
  <c r="X11" i="2"/>
  <c r="I11" i="2"/>
  <c r="J12" i="2"/>
  <c r="P12" i="2"/>
  <c r="T12" i="2"/>
  <c r="X12" i="2"/>
  <c r="I12" i="2"/>
  <c r="J13" i="2"/>
  <c r="P13" i="2"/>
  <c r="T13" i="2"/>
  <c r="X13" i="2"/>
  <c r="I13" i="2"/>
  <c r="J14" i="2"/>
  <c r="P14" i="2"/>
  <c r="T14" i="2"/>
  <c r="X14" i="2"/>
  <c r="I14" i="2"/>
  <c r="J15" i="2"/>
  <c r="P15" i="2"/>
  <c r="T15" i="2"/>
  <c r="X15" i="2"/>
  <c r="I15" i="2"/>
  <c r="J16" i="2"/>
  <c r="P16" i="2"/>
  <c r="T16" i="2"/>
  <c r="X16" i="2"/>
  <c r="I16" i="2"/>
  <c r="J17" i="2"/>
  <c r="P17" i="2"/>
  <c r="T17" i="2"/>
  <c r="X17" i="2"/>
  <c r="I17" i="2"/>
  <c r="J18" i="2"/>
  <c r="P18" i="2"/>
  <c r="T18" i="2"/>
  <c r="X18" i="2"/>
  <c r="I18" i="2"/>
  <c r="J19" i="2"/>
  <c r="P19" i="2"/>
  <c r="T19" i="2"/>
  <c r="X19" i="2"/>
  <c r="I19" i="2"/>
  <c r="J20" i="2"/>
  <c r="P20" i="2"/>
  <c r="T20" i="2"/>
  <c r="X20" i="2"/>
  <c r="I20" i="2"/>
  <c r="J21" i="2"/>
  <c r="P21" i="2"/>
  <c r="T21" i="2"/>
  <c r="X21" i="2"/>
  <c r="I21" i="2"/>
  <c r="J22" i="2"/>
  <c r="P22" i="2"/>
  <c r="T22" i="2"/>
  <c r="X22" i="2"/>
  <c r="I22" i="2"/>
  <c r="J23" i="2"/>
  <c r="P23" i="2"/>
  <c r="T23" i="2"/>
  <c r="X23" i="2"/>
  <c r="I23" i="2"/>
  <c r="J24" i="2"/>
  <c r="P24" i="2"/>
  <c r="T24" i="2"/>
  <c r="X24" i="2"/>
  <c r="I24" i="2"/>
  <c r="J25" i="2"/>
  <c r="P25" i="2"/>
  <c r="T25" i="2"/>
  <c r="X25" i="2"/>
  <c r="I25" i="2"/>
  <c r="J26" i="2"/>
  <c r="P26" i="2"/>
  <c r="T26" i="2"/>
  <c r="X26" i="2"/>
  <c r="I26" i="2"/>
  <c r="J27" i="2"/>
  <c r="P27" i="2"/>
  <c r="T27" i="2"/>
  <c r="X27" i="2"/>
  <c r="I27" i="2"/>
  <c r="J28" i="2"/>
  <c r="P28" i="2"/>
  <c r="T28" i="2"/>
  <c r="X28" i="2"/>
  <c r="I28" i="2"/>
  <c r="J29" i="2"/>
  <c r="P29" i="2"/>
  <c r="T29" i="2"/>
  <c r="X29" i="2"/>
  <c r="I29" i="2"/>
  <c r="J30" i="2"/>
  <c r="P30" i="2"/>
  <c r="T30" i="2"/>
  <c r="X30" i="2"/>
  <c r="I30" i="2"/>
  <c r="J31" i="2"/>
  <c r="P31" i="2"/>
  <c r="T31" i="2"/>
  <c r="X31" i="2"/>
  <c r="I31" i="2"/>
  <c r="J32" i="2"/>
  <c r="P32" i="2"/>
  <c r="T32" i="2"/>
  <c r="X32" i="2"/>
  <c r="I32" i="2"/>
  <c r="J33" i="2"/>
  <c r="P33" i="2"/>
  <c r="T33" i="2"/>
  <c r="X33" i="2"/>
  <c r="I33" i="2"/>
  <c r="J34" i="2"/>
  <c r="P34" i="2"/>
  <c r="T34" i="2"/>
  <c r="X34" i="2"/>
  <c r="I34" i="2"/>
  <c r="J35" i="2"/>
  <c r="P35" i="2"/>
  <c r="T35" i="2"/>
  <c r="X35" i="2"/>
  <c r="I35" i="2"/>
  <c r="J36" i="2"/>
  <c r="P36" i="2"/>
  <c r="T36" i="2"/>
  <c r="X36" i="2"/>
  <c r="I36" i="2"/>
  <c r="J37" i="2"/>
  <c r="P37" i="2"/>
  <c r="T37" i="2"/>
  <c r="X37" i="2"/>
  <c r="I37" i="2"/>
  <c r="J38" i="2"/>
  <c r="P38" i="2"/>
  <c r="T38" i="2"/>
  <c r="X38" i="2"/>
  <c r="I38" i="2"/>
  <c r="J39" i="2"/>
  <c r="P39" i="2"/>
  <c r="T39" i="2"/>
  <c r="X39" i="2"/>
  <c r="I39" i="2"/>
  <c r="J40" i="2"/>
  <c r="P40" i="2"/>
  <c r="T40" i="2"/>
  <c r="X40" i="2"/>
  <c r="I40" i="2"/>
  <c r="J41" i="2"/>
  <c r="P41" i="2"/>
  <c r="T41" i="2"/>
  <c r="X41" i="2"/>
  <c r="I41" i="2"/>
  <c r="J42" i="2"/>
  <c r="P42" i="2"/>
  <c r="T42" i="2"/>
  <c r="X42" i="2"/>
  <c r="I42" i="2"/>
  <c r="J43" i="2"/>
  <c r="P43" i="2"/>
  <c r="T43" i="2"/>
  <c r="X43" i="2"/>
  <c r="I43" i="2"/>
  <c r="J44" i="2"/>
  <c r="P44" i="2"/>
  <c r="T44" i="2"/>
  <c r="X44" i="2"/>
  <c r="I44" i="2"/>
  <c r="J45" i="2"/>
  <c r="P45" i="2"/>
  <c r="T45" i="2"/>
  <c r="X45" i="2"/>
  <c r="I45" i="2"/>
  <c r="J46" i="2"/>
  <c r="P46" i="2"/>
  <c r="T46" i="2"/>
  <c r="X46" i="2"/>
  <c r="I46" i="2"/>
  <c r="J47" i="2"/>
  <c r="P47" i="2"/>
  <c r="T47" i="2"/>
  <c r="X47" i="2"/>
  <c r="I47" i="2"/>
  <c r="J48" i="2"/>
  <c r="P48" i="2"/>
  <c r="T48" i="2"/>
  <c r="X48" i="2"/>
  <c r="I48" i="2"/>
  <c r="J49" i="2"/>
  <c r="P49" i="2"/>
  <c r="T49" i="2"/>
  <c r="X49" i="2"/>
  <c r="I49" i="2"/>
  <c r="J50" i="2"/>
  <c r="P50" i="2"/>
  <c r="T50" i="2"/>
  <c r="X50" i="2"/>
  <c r="I50" i="2"/>
  <c r="J51" i="2"/>
  <c r="P51" i="2"/>
  <c r="T51" i="2"/>
  <c r="X51" i="2"/>
  <c r="I51" i="2"/>
  <c r="J52" i="2"/>
  <c r="P52" i="2"/>
  <c r="T52" i="2"/>
  <c r="X52" i="2"/>
  <c r="I52" i="2"/>
  <c r="J53" i="2"/>
  <c r="P53" i="2"/>
  <c r="T53" i="2"/>
  <c r="X53" i="2"/>
  <c r="I53" i="2"/>
  <c r="J54" i="2"/>
  <c r="P54" i="2"/>
  <c r="T54" i="2"/>
  <c r="X54" i="2"/>
  <c r="I54" i="2"/>
  <c r="J55" i="2"/>
  <c r="P55" i="2"/>
  <c r="T55" i="2"/>
  <c r="X55" i="2"/>
  <c r="I55" i="2"/>
  <c r="J56" i="2"/>
  <c r="P56" i="2"/>
  <c r="T56" i="2"/>
  <c r="X56" i="2"/>
  <c r="I56" i="2"/>
  <c r="J57" i="2"/>
  <c r="P57" i="2"/>
  <c r="T57" i="2"/>
  <c r="X57" i="2"/>
  <c r="I57" i="2"/>
  <c r="J58" i="2"/>
  <c r="P58" i="2"/>
  <c r="T58" i="2"/>
  <c r="X58" i="2"/>
  <c r="I58" i="2"/>
  <c r="J59" i="2"/>
  <c r="P59" i="2"/>
  <c r="T59" i="2"/>
  <c r="X59" i="2"/>
  <c r="I59" i="2"/>
  <c r="J60" i="2"/>
  <c r="P60" i="2"/>
  <c r="T60" i="2"/>
  <c r="X60" i="2"/>
  <c r="I60" i="2"/>
  <c r="J61" i="2"/>
  <c r="P61" i="2"/>
  <c r="T61" i="2"/>
  <c r="X61" i="2"/>
  <c r="I61" i="2"/>
  <c r="J62" i="2"/>
  <c r="P62" i="2"/>
  <c r="T62" i="2"/>
  <c r="X62" i="2"/>
  <c r="I62" i="2"/>
  <c r="J63" i="2"/>
  <c r="P63" i="2"/>
  <c r="T63" i="2"/>
  <c r="X63" i="2"/>
  <c r="I63" i="2"/>
  <c r="J4" i="2"/>
  <c r="P4" i="2"/>
  <c r="T4" i="2"/>
  <c r="X4" i="2"/>
  <c r="I4" i="2"/>
  <c r="G8" i="2"/>
  <c r="C75" i="3"/>
  <c r="B49" i="3" a="1"/>
  <c r="B49" i="3"/>
  <c r="B50" i="3" a="1"/>
  <c r="B50" i="3"/>
  <c r="B48" i="3" a="1"/>
  <c r="B48" i="3"/>
  <c r="AJ10" i="2"/>
  <c r="G11" i="2"/>
  <c r="F11" i="2"/>
  <c r="C11" i="2"/>
  <c r="C53" i="3"/>
  <c r="G7" i="2"/>
  <c r="G10" i="2"/>
  <c r="D54" i="3"/>
  <c r="B45" i="3" a="1"/>
  <c r="B45" i="3"/>
  <c r="B46" i="3" a="1"/>
  <c r="B46" i="3"/>
  <c r="B47" i="3" a="1"/>
  <c r="B47" i="3"/>
  <c r="B31" i="3" a="1"/>
  <c r="B31" i="3"/>
  <c r="B32" i="3" a="1"/>
  <c r="B32" i="3"/>
  <c r="B33" i="3" a="1"/>
  <c r="B33" i="3"/>
  <c r="B30" i="3" a="1"/>
  <c r="B30" i="3"/>
  <c r="C67" i="3"/>
  <c r="C54" i="3"/>
  <c r="B7" i="3" a="1"/>
  <c r="B7" i="3"/>
  <c r="B8" i="3" a="1"/>
  <c r="B8" i="3"/>
  <c r="B9" i="3" a="1"/>
  <c r="B10" i="3" a="1"/>
  <c r="B11" i="3" a="1"/>
  <c r="B13" i="3" a="1"/>
  <c r="B14" i="3" a="1"/>
  <c r="B15" i="3" a="1"/>
  <c r="B16" i="3" a="1"/>
  <c r="B17" i="3" a="1"/>
  <c r="B18" i="3" a="1"/>
  <c r="B20" i="3" a="1"/>
  <c r="B21" i="3" a="1"/>
  <c r="B22" i="3" a="1"/>
  <c r="B23" i="3" a="1"/>
  <c r="B24" i="3" a="1"/>
  <c r="B25" i="3" a="1"/>
  <c r="B9" i="3"/>
  <c r="B10" i="3"/>
  <c r="B11" i="3"/>
  <c r="B13" i="3"/>
  <c r="B14" i="3"/>
  <c r="B15" i="3"/>
  <c r="B16" i="3"/>
  <c r="B17" i="3"/>
  <c r="B18" i="3"/>
  <c r="B20" i="3"/>
  <c r="B21" i="3"/>
  <c r="B22" i="3"/>
  <c r="B23" i="3"/>
  <c r="B24" i="3"/>
  <c r="B25" i="3"/>
  <c r="C9" i="3"/>
  <c r="F50" i="3"/>
  <c r="F49" i="3"/>
  <c r="F48" i="3"/>
  <c r="F47" i="3"/>
  <c r="F46" i="3"/>
  <c r="F45" i="3"/>
  <c r="B44" i="3" a="1"/>
  <c r="B44" i="3"/>
  <c r="F44" i="3"/>
  <c r="D45" i="3"/>
  <c r="D46" i="3"/>
  <c r="D47" i="3"/>
  <c r="D48" i="3"/>
  <c r="D49" i="3"/>
  <c r="D50" i="3"/>
  <c r="D44" i="3"/>
  <c r="B37" i="3" a="1"/>
  <c r="B37" i="3"/>
  <c r="F37" i="3"/>
  <c r="B38" i="3" a="1"/>
  <c r="B38" i="3"/>
  <c r="F38" i="3"/>
  <c r="B39" i="3" a="1"/>
  <c r="B39" i="3"/>
  <c r="F39" i="3"/>
  <c r="B36" i="3" a="1"/>
  <c r="B36" i="3"/>
  <c r="F36" i="3"/>
  <c r="F30" i="3"/>
  <c r="F31" i="3"/>
  <c r="F32" i="3"/>
  <c r="F33" i="3"/>
  <c r="C26" i="3"/>
  <c r="H37" i="3"/>
  <c r="H38" i="3"/>
  <c r="H39" i="3"/>
  <c r="G6" i="2"/>
  <c r="H36" i="3"/>
  <c r="D37" i="3"/>
  <c r="D38" i="3"/>
  <c r="D39" i="3"/>
  <c r="D36" i="3"/>
  <c r="H31" i="3"/>
  <c r="H32" i="3"/>
  <c r="H33" i="3"/>
  <c r="H30" i="3"/>
  <c r="D31" i="3"/>
  <c r="D32" i="3"/>
  <c r="D33" i="3"/>
  <c r="D30" i="3"/>
  <c r="Q11" i="1"/>
  <c r="P11" i="1"/>
  <c r="R11" i="1"/>
  <c r="Q12" i="1"/>
  <c r="P12" i="1"/>
  <c r="O12" i="1"/>
  <c r="R12" i="1"/>
  <c r="Q13" i="1"/>
  <c r="P13" i="1"/>
  <c r="R13" i="1"/>
  <c r="Q14" i="1"/>
  <c r="P14" i="1"/>
  <c r="R14" i="1"/>
  <c r="Q15" i="1"/>
  <c r="P15" i="1"/>
  <c r="O15" i="1"/>
  <c r="R15" i="1"/>
  <c r="Q16" i="1"/>
  <c r="P16" i="1"/>
  <c r="R16" i="1"/>
  <c r="Q17" i="1"/>
  <c r="P17" i="1"/>
  <c r="R17" i="1"/>
  <c r="Q18" i="1"/>
  <c r="P18" i="1"/>
  <c r="O18" i="1"/>
  <c r="R18" i="1"/>
  <c r="Q19" i="1"/>
  <c r="P19" i="1"/>
  <c r="R19" i="1"/>
  <c r="Q20" i="1"/>
  <c r="P20" i="1"/>
  <c r="R20" i="1"/>
  <c r="Q21" i="1"/>
  <c r="P21" i="1"/>
  <c r="R21" i="1"/>
  <c r="Q22" i="1"/>
  <c r="P22" i="1"/>
  <c r="R22" i="1"/>
  <c r="Q23" i="1"/>
  <c r="P23" i="1"/>
  <c r="R23" i="1"/>
  <c r="Q24" i="1"/>
  <c r="P24" i="1"/>
  <c r="R24" i="1"/>
  <c r="Q25" i="1"/>
  <c r="P25" i="1"/>
  <c r="R25" i="1"/>
  <c r="Q26" i="1"/>
  <c r="P26" i="1"/>
  <c r="R26" i="1"/>
  <c r="Q27" i="1"/>
  <c r="P27" i="1"/>
  <c r="R27" i="1"/>
  <c r="Q28" i="1"/>
  <c r="P28" i="1"/>
  <c r="R28" i="1"/>
  <c r="Q29" i="1"/>
  <c r="P29" i="1"/>
  <c r="R29" i="1"/>
  <c r="Q30" i="1"/>
  <c r="P30" i="1"/>
  <c r="R30" i="1"/>
  <c r="Q31" i="1"/>
  <c r="P31" i="1"/>
  <c r="R31" i="1"/>
  <c r="Q32" i="1"/>
  <c r="P32" i="1"/>
  <c r="R32" i="1"/>
  <c r="Q33" i="1"/>
  <c r="P33" i="1"/>
  <c r="R33" i="1"/>
  <c r="Q34" i="1"/>
  <c r="P34" i="1"/>
  <c r="R34" i="1"/>
  <c r="Q35" i="1"/>
  <c r="P35" i="1"/>
  <c r="R35" i="1"/>
  <c r="Q36" i="1"/>
  <c r="P36" i="1"/>
  <c r="R36" i="1"/>
  <c r="Q37" i="1"/>
  <c r="P37" i="1"/>
  <c r="R37" i="1"/>
  <c r="Q38" i="1"/>
  <c r="P38" i="1"/>
  <c r="R38" i="1"/>
  <c r="Q39" i="1"/>
  <c r="P39" i="1"/>
  <c r="R39" i="1"/>
  <c r="Q40" i="1"/>
  <c r="P40" i="1"/>
  <c r="R40" i="1"/>
  <c r="Q41" i="1"/>
  <c r="P41" i="1"/>
  <c r="R41" i="1"/>
  <c r="Q42" i="1"/>
  <c r="P42" i="1"/>
  <c r="R42" i="1"/>
  <c r="Q43" i="1"/>
  <c r="P43" i="1"/>
  <c r="R43" i="1"/>
  <c r="Q44" i="1"/>
  <c r="P44" i="1"/>
  <c r="R44" i="1"/>
  <c r="Q45" i="1"/>
  <c r="P45" i="1"/>
  <c r="R45" i="1"/>
  <c r="Q46" i="1"/>
  <c r="P46" i="1"/>
  <c r="R46" i="1"/>
  <c r="Q47" i="1"/>
  <c r="P47" i="1"/>
  <c r="R47" i="1"/>
  <c r="Q48" i="1"/>
  <c r="P48" i="1"/>
  <c r="R48" i="1"/>
  <c r="Q49" i="1"/>
  <c r="P49" i="1"/>
  <c r="R49" i="1"/>
  <c r="Q50" i="1"/>
  <c r="P50" i="1"/>
  <c r="R50" i="1"/>
  <c r="Q51" i="1"/>
  <c r="P51" i="1"/>
  <c r="R51" i="1"/>
  <c r="Q52" i="1"/>
  <c r="P52" i="1"/>
  <c r="R52" i="1"/>
  <c r="Q53" i="1"/>
  <c r="P53" i="1"/>
  <c r="R53" i="1"/>
  <c r="Q54" i="1"/>
  <c r="P54" i="1"/>
  <c r="R54" i="1"/>
  <c r="Q55" i="1"/>
  <c r="P55" i="1"/>
  <c r="R55" i="1"/>
  <c r="Q56" i="1"/>
  <c r="P56" i="1"/>
  <c r="R56" i="1"/>
  <c r="Q57" i="1"/>
  <c r="P57" i="1"/>
  <c r="R57" i="1"/>
  <c r="Q58" i="1"/>
  <c r="P58" i="1"/>
  <c r="R58" i="1"/>
  <c r="Q59" i="1"/>
  <c r="P59" i="1"/>
  <c r="R59" i="1"/>
  <c r="Q60" i="1"/>
  <c r="P60" i="1"/>
  <c r="R60" i="1"/>
  <c r="Q61" i="1"/>
  <c r="P61" i="1"/>
  <c r="R61" i="1"/>
  <c r="Q10" i="1"/>
  <c r="P10" i="1"/>
  <c r="O10" i="1"/>
  <c r="R10" i="1"/>
  <c r="B96" i="3"/>
  <c r="B95" i="3"/>
  <c r="B85" i="3"/>
  <c r="B84" i="3"/>
  <c r="B83" i="3"/>
  <c r="B73" i="3"/>
  <c r="B72" i="3"/>
  <c r="B58" i="3"/>
  <c r="B57" i="3"/>
  <c r="B51" i="3"/>
  <c r="B42" i="3"/>
  <c r="B41" i="3"/>
  <c r="B40" i="3"/>
  <c r="B34" i="3"/>
  <c r="B28" i="3"/>
  <c r="B27" i="3"/>
  <c r="O17" i="1"/>
  <c r="O11" i="1"/>
  <c r="O13" i="1"/>
  <c r="O14" i="1"/>
  <c r="O16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N8" i="1"/>
  <c r="C76" i="3"/>
  <c r="C81" i="3"/>
  <c r="C99" i="3"/>
  <c r="C5" i="2"/>
  <c r="C6" i="2"/>
  <c r="C7" i="2"/>
  <c r="C8" i="2"/>
  <c r="C9" i="2"/>
  <c r="C10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57" i="2"/>
  <c r="C58" i="2"/>
  <c r="C59" i="2"/>
  <c r="C60" i="2"/>
  <c r="C61" i="2"/>
  <c r="C62" i="2"/>
  <c r="C63" i="2"/>
  <c r="C4" i="2"/>
  <c r="F5" i="2"/>
  <c r="F6" i="2"/>
  <c r="F7" i="2"/>
  <c r="F8" i="2"/>
  <c r="F9" i="2"/>
  <c r="F10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4" i="2"/>
  <c r="A3" i="1"/>
  <c r="A4" i="1"/>
  <c r="A5" i="1"/>
  <c r="A6" i="1"/>
  <c r="C7" i="3"/>
  <c r="C32" i="3"/>
  <c r="C33" i="3"/>
  <c r="P3" i="1"/>
  <c r="P6" i="1"/>
  <c r="Q3" i="1"/>
  <c r="Q6" i="1"/>
  <c r="K3" i="1"/>
  <c r="K6" i="1"/>
  <c r="G19" i="2"/>
  <c r="C8" i="3"/>
  <c r="D8" i="3"/>
  <c r="E8" i="3"/>
  <c r="F8" i="3"/>
  <c r="D9" i="3"/>
  <c r="E9" i="3"/>
  <c r="F9" i="3"/>
  <c r="C10" i="3"/>
  <c r="D10" i="3"/>
  <c r="E10" i="3"/>
  <c r="F10" i="3"/>
  <c r="C11" i="3"/>
  <c r="D11" i="3"/>
  <c r="E11" i="3"/>
  <c r="F11" i="3"/>
  <c r="F7" i="3"/>
  <c r="E7" i="3"/>
  <c r="D7" i="3"/>
  <c r="E21" i="3"/>
  <c r="F21" i="3"/>
  <c r="E22" i="3"/>
  <c r="F22" i="3"/>
  <c r="E23" i="3"/>
  <c r="F23" i="3"/>
  <c r="E24" i="3"/>
  <c r="F24" i="3"/>
  <c r="E25" i="3"/>
  <c r="F25" i="3"/>
  <c r="F20" i="3"/>
  <c r="E20" i="3"/>
  <c r="D21" i="3"/>
  <c r="D22" i="3"/>
  <c r="D23" i="3"/>
  <c r="D24" i="3"/>
  <c r="D25" i="3"/>
  <c r="D20" i="3"/>
  <c r="C21" i="3"/>
  <c r="C22" i="3"/>
  <c r="C23" i="3"/>
  <c r="C24" i="3"/>
  <c r="C25" i="3"/>
  <c r="C20" i="3"/>
  <c r="C14" i="3"/>
  <c r="C15" i="3"/>
  <c r="C16" i="3"/>
  <c r="C17" i="3"/>
  <c r="C18" i="3"/>
  <c r="C13" i="3"/>
  <c r="E4" i="3"/>
  <c r="L3" i="1"/>
  <c r="L6" i="1"/>
  <c r="G4" i="2"/>
  <c r="C66" i="3"/>
  <c r="C105" i="3"/>
  <c r="C104" i="3"/>
  <c r="C103" i="3"/>
  <c r="C100" i="3"/>
  <c r="C98" i="3"/>
  <c r="C94" i="3"/>
  <c r="C92" i="3"/>
  <c r="C89" i="3"/>
  <c r="C88" i="3"/>
  <c r="C82" i="3"/>
  <c r="C77" i="3"/>
  <c r="C69" i="3"/>
  <c r="C68" i="3"/>
  <c r="C63" i="3"/>
  <c r="C62" i="3"/>
  <c r="C61" i="3"/>
  <c r="C60" i="3"/>
  <c r="C50" i="3"/>
  <c r="C49" i="3"/>
  <c r="C48" i="3"/>
  <c r="C47" i="3"/>
  <c r="C46" i="3"/>
  <c r="C45" i="3"/>
  <c r="C44" i="3"/>
  <c r="C39" i="3"/>
  <c r="C38" i="3"/>
  <c r="C37" i="3"/>
  <c r="C36" i="3"/>
  <c r="C31" i="3"/>
  <c r="C12" i="3"/>
  <c r="D19" i="3"/>
  <c r="G20" i="3"/>
  <c r="F14" i="3"/>
  <c r="F15" i="3"/>
  <c r="F16" i="3"/>
  <c r="F17" i="3"/>
  <c r="F18" i="3"/>
  <c r="F13" i="3"/>
  <c r="E18" i="3"/>
  <c r="D18" i="3"/>
  <c r="E17" i="3"/>
  <c r="D17" i="3"/>
  <c r="E16" i="3"/>
  <c r="D16" i="3"/>
  <c r="E15" i="3"/>
  <c r="D15" i="3"/>
  <c r="E14" i="3"/>
  <c r="D14" i="3"/>
  <c r="E13" i="3"/>
  <c r="D13" i="3"/>
  <c r="F6" i="3"/>
  <c r="G6" i="1"/>
  <c r="G7" i="1"/>
  <c r="G8" i="1"/>
  <c r="D6" i="3"/>
  <c r="B101" i="3"/>
  <c r="B90" i="3"/>
  <c r="B78" i="3"/>
  <c r="J71" i="3"/>
  <c r="B64" i="3"/>
  <c r="G4" i="3"/>
  <c r="G9" i="2"/>
  <c r="G12" i="2"/>
  <c r="G13" i="2"/>
  <c r="G14" i="2"/>
  <c r="G15" i="2"/>
  <c r="G16" i="2"/>
  <c r="G17" i="2"/>
  <c r="G18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5" i="2"/>
  <c r="AJ25" i="2"/>
  <c r="AJ24" i="2"/>
  <c r="AJ23" i="2"/>
  <c r="AJ22" i="2"/>
  <c r="AJ21" i="2"/>
  <c r="AJ20" i="2"/>
  <c r="AJ18" i="2"/>
  <c r="AJ17" i="2"/>
  <c r="AJ16" i="2"/>
  <c r="AJ15" i="2"/>
  <c r="AJ19" i="2"/>
  <c r="AJ14" i="2"/>
  <c r="AJ13" i="2"/>
  <c r="AJ12" i="2"/>
  <c r="AJ11" i="2"/>
  <c r="AJ9" i="2"/>
  <c r="AJ8" i="2"/>
  <c r="AJ7" i="2"/>
  <c r="AJ6" i="2"/>
  <c r="AJ5" i="2"/>
  <c r="AJ4" i="2"/>
  <c r="AJ3" i="2"/>
  <c r="AJ35" i="2"/>
  <c r="AJ34" i="2"/>
  <c r="AJ33" i="2"/>
  <c r="AJ32" i="2"/>
  <c r="AJ31" i="2"/>
  <c r="AJ30" i="2"/>
  <c r="AJ29" i="2"/>
  <c r="AJ28" i="2"/>
  <c r="AJ27" i="2"/>
  <c r="AJ26" i="2"/>
  <c r="AJ62" i="2"/>
  <c r="AJ61" i="2"/>
  <c r="AJ60" i="2"/>
  <c r="AJ59" i="2"/>
  <c r="AJ58" i="2"/>
  <c r="AJ57" i="2"/>
  <c r="AJ56" i="2"/>
  <c r="AJ55" i="2"/>
  <c r="AJ54" i="2"/>
  <c r="AJ53" i="2"/>
  <c r="AJ52" i="2"/>
  <c r="AJ51" i="2"/>
  <c r="AJ50" i="2"/>
  <c r="AJ49" i="2"/>
  <c r="AJ48" i="2"/>
  <c r="AJ47" i="2"/>
  <c r="AJ46" i="2"/>
  <c r="AJ45" i="2"/>
  <c r="AJ44" i="2"/>
  <c r="AJ43" i="2"/>
  <c r="AJ42" i="2"/>
  <c r="AJ41" i="2"/>
  <c r="AJ40" i="2"/>
  <c r="AJ39" i="2"/>
  <c r="AJ38" i="2"/>
  <c r="AJ37" i="2"/>
  <c r="AJ36" i="2"/>
  <c r="P8" i="1"/>
  <c r="Q8" i="1"/>
  <c r="O8" i="1"/>
  <c r="R3" i="1"/>
  <c r="R6" i="1"/>
  <c r="R8" i="1"/>
  <c r="M3" i="1"/>
  <c r="M6" i="1"/>
  <c r="N3" i="1"/>
  <c r="N6" i="1"/>
  <c r="O3" i="1"/>
  <c r="O6" i="1"/>
  <c r="L7" i="1"/>
  <c r="L10" i="1"/>
  <c r="M10" i="1"/>
  <c r="L11" i="1"/>
  <c r="M11" i="1"/>
  <c r="L12" i="1"/>
  <c r="L13" i="1"/>
  <c r="M12" i="1"/>
  <c r="L14" i="1"/>
  <c r="M13" i="1"/>
  <c r="M14" i="1"/>
  <c r="L15" i="1"/>
  <c r="L16" i="1"/>
  <c r="M15" i="1"/>
  <c r="M16" i="1"/>
  <c r="L17" i="1"/>
  <c r="L18" i="1"/>
  <c r="M17" i="1"/>
  <c r="M18" i="1"/>
  <c r="L19" i="1"/>
  <c r="L20" i="1"/>
  <c r="M19" i="1"/>
  <c r="M20" i="1"/>
  <c r="L21" i="1"/>
  <c r="L22" i="1"/>
  <c r="M21" i="1"/>
  <c r="M22" i="1"/>
  <c r="L23" i="1"/>
  <c r="L24" i="1"/>
  <c r="M23" i="1"/>
  <c r="M24" i="1"/>
  <c r="L25" i="1"/>
  <c r="L26" i="1"/>
  <c r="M25" i="1"/>
  <c r="L27" i="1"/>
  <c r="M26" i="1"/>
  <c r="L28" i="1"/>
  <c r="M27" i="1"/>
  <c r="L29" i="1"/>
  <c r="M28" i="1"/>
  <c r="L30" i="1"/>
  <c r="M29" i="1"/>
  <c r="L31" i="1"/>
  <c r="M30" i="1"/>
  <c r="L32" i="1"/>
  <c r="M31" i="1"/>
  <c r="L33" i="1"/>
  <c r="M32" i="1"/>
  <c r="L34" i="1"/>
  <c r="M33" i="1"/>
  <c r="L35" i="1"/>
  <c r="M34" i="1"/>
  <c r="L36" i="1"/>
  <c r="M35" i="1"/>
  <c r="L37" i="1"/>
  <c r="M36" i="1"/>
  <c r="L38" i="1"/>
  <c r="M37" i="1"/>
  <c r="L39" i="1"/>
  <c r="M38" i="1"/>
  <c r="L40" i="1"/>
  <c r="M39" i="1"/>
  <c r="L41" i="1"/>
  <c r="M40" i="1"/>
  <c r="L42" i="1"/>
  <c r="M41" i="1"/>
  <c r="L43" i="1"/>
  <c r="M42" i="1"/>
  <c r="L44" i="1"/>
  <c r="M43" i="1"/>
  <c r="L45" i="1"/>
  <c r="M44" i="1"/>
  <c r="L46" i="1"/>
  <c r="M45" i="1"/>
  <c r="L47" i="1"/>
  <c r="M46" i="1"/>
  <c r="L48" i="1"/>
  <c r="M47" i="1"/>
  <c r="L49" i="1"/>
  <c r="M48" i="1"/>
  <c r="L50" i="1"/>
  <c r="M49" i="1"/>
  <c r="L51" i="1"/>
  <c r="M50" i="1"/>
  <c r="L52" i="1"/>
  <c r="M51" i="1"/>
  <c r="L53" i="1"/>
  <c r="M52" i="1"/>
  <c r="L54" i="1"/>
  <c r="M53" i="1"/>
  <c r="L55" i="1"/>
  <c r="M54" i="1"/>
  <c r="L56" i="1"/>
  <c r="M55" i="1"/>
  <c r="L57" i="1"/>
  <c r="M56" i="1"/>
  <c r="L58" i="1"/>
  <c r="M57" i="1"/>
  <c r="L59" i="1"/>
  <c r="M58" i="1"/>
  <c r="M59" i="1"/>
  <c r="L60" i="1"/>
  <c r="L61" i="1"/>
  <c r="M61" i="1"/>
  <c r="M60" i="1"/>
  <c r="C30" i="3"/>
</calcChain>
</file>

<file path=xl/comments1.xml><?xml version="1.0" encoding="utf-8"?>
<comments xmlns="http://schemas.openxmlformats.org/spreadsheetml/2006/main">
  <authors>
    <author>Автор</author>
    <author>ААА</author>
  </authors>
  <commentList>
    <comment ref="M3" authorId="0">
      <text>
        <r>
          <rPr>
            <sz val="8"/>
            <color indexed="81"/>
            <rFont val="Tahoma"/>
            <family val="2"/>
            <charset val="204"/>
          </rPr>
          <t>Вводится начало отчетного года</t>
        </r>
      </text>
    </comment>
    <comment ref="C26" authorId="1">
      <text>
        <r>
          <rPr>
            <sz val="9"/>
            <color indexed="81"/>
            <rFont val="Tahoma"/>
            <family val="2"/>
            <charset val="204"/>
          </rPr>
          <t>эти значения автоматически пересчитаются правильно по нормальному заполнению</t>
        </r>
      </text>
    </comment>
    <comment ref="D45" authorId="1">
      <text>
        <r>
          <rPr>
            <sz val="8"/>
            <color indexed="81"/>
            <rFont val="Tahoma"/>
            <family val="2"/>
            <charset val="204"/>
          </rPr>
          <t>должен быть как объект работающий под давлением в строке 53 (критерий значение ячейки F листа ТУ "орд" и пустые ячейки в столбце D листа ТУ) Значение указано как первое по поиску неправильно, должно быть ДЕ-16/14</t>
        </r>
      </text>
    </comment>
  </commentList>
</comments>
</file>

<file path=xl/sharedStrings.xml><?xml version="1.0" encoding="utf-8"?>
<sst xmlns="http://schemas.openxmlformats.org/spreadsheetml/2006/main" count="810" uniqueCount="275">
  <si>
    <t>№ недели</t>
  </si>
  <si>
    <t>неделя</t>
  </si>
  <si>
    <t>начало</t>
  </si>
  <si>
    <t>конец</t>
  </si>
  <si>
    <t>вп</t>
  </si>
  <si>
    <t>д</t>
  </si>
  <si>
    <t>п</t>
  </si>
  <si>
    <t>сн</t>
  </si>
  <si>
    <t>план</t>
  </si>
  <si>
    <t>факт</t>
  </si>
  <si>
    <t>вне плана</t>
  </si>
  <si>
    <t>не вып.</t>
  </si>
  <si>
    <t>!</t>
  </si>
  <si>
    <t>№ нед</t>
  </si>
  <si>
    <t>ТУ</t>
  </si>
  <si>
    <t xml:space="preserve">ТИП ТУ </t>
  </si>
  <si>
    <t>Кол-во</t>
  </si>
  <si>
    <t>орд</t>
  </si>
  <si>
    <t>Назначен</t>
  </si>
  <si>
    <t>Срок</t>
  </si>
  <si>
    <t xml:space="preserve"> </t>
  </si>
  <si>
    <t>гпм</t>
  </si>
  <si>
    <t>пс</t>
  </si>
  <si>
    <t>лет</t>
  </si>
  <si>
    <t>КБ-160.2</t>
  </si>
  <si>
    <t>КБ-160.2М</t>
  </si>
  <si>
    <t>КБ-308</t>
  </si>
  <si>
    <t>КБ-309 ХЛ</t>
  </si>
  <si>
    <t>КБ-401 Б</t>
  </si>
  <si>
    <t>КБ-402 В</t>
  </si>
  <si>
    <t>КБ-403</t>
  </si>
  <si>
    <t>КБ-403 А</t>
  </si>
  <si>
    <t>КБ-403 Б</t>
  </si>
  <si>
    <t>КБ-405-1А</t>
  </si>
  <si>
    <t>КБ-405-2А</t>
  </si>
  <si>
    <t>КБ-408</t>
  </si>
  <si>
    <t>КБ-572 А</t>
  </si>
  <si>
    <t>КБ-308 А</t>
  </si>
  <si>
    <t>КБМ-401 УХЛ-21</t>
  </si>
  <si>
    <t>не рег ТУ пс</t>
  </si>
  <si>
    <t>КК-10-32</t>
  </si>
  <si>
    <t>КК-10-25</t>
  </si>
  <si>
    <t>КК-12,5</t>
  </si>
  <si>
    <t>КК-12,5 СМ</t>
  </si>
  <si>
    <t>КК-12,5-25-9</t>
  </si>
  <si>
    <t>КК-12,5-25-9-1</t>
  </si>
  <si>
    <t>КЭК-5</t>
  </si>
  <si>
    <t>ЛТ-62М</t>
  </si>
  <si>
    <t>КК-12,5С-25-9</t>
  </si>
  <si>
    <t>КК-20/5-25-9</t>
  </si>
  <si>
    <t>КК-12,5 СМ-25</t>
  </si>
  <si>
    <t>К-162 М</t>
  </si>
  <si>
    <t>К-67</t>
  </si>
  <si>
    <t>КДЭ-251</t>
  </si>
  <si>
    <t>КДЭ-253</t>
  </si>
  <si>
    <t>КЖДЭ-16</t>
  </si>
  <si>
    <t>КС-1562А</t>
  </si>
  <si>
    <t>КС-2561</t>
  </si>
  <si>
    <t>КС-2561 Д</t>
  </si>
  <si>
    <t>КС-2561 Е</t>
  </si>
  <si>
    <t>КС-2561 К</t>
  </si>
  <si>
    <t>КС-2561 К-1</t>
  </si>
  <si>
    <t xml:space="preserve">КС-2571 </t>
  </si>
  <si>
    <t>КС-2571 А</t>
  </si>
  <si>
    <t>КС-2571 А-1</t>
  </si>
  <si>
    <t>КС-2572</t>
  </si>
  <si>
    <t>КС-2572 А-1</t>
  </si>
  <si>
    <t>КС-2573</t>
  </si>
  <si>
    <t>КС-2573-1</t>
  </si>
  <si>
    <t>КС-2573-2</t>
  </si>
  <si>
    <t>КС-2574</t>
  </si>
  <si>
    <t>КС-2577</t>
  </si>
  <si>
    <t>КС-3562</t>
  </si>
  <si>
    <t>КС-3562 А</t>
  </si>
  <si>
    <t>КС-3562 Б</t>
  </si>
  <si>
    <t>КС-3571-1</t>
  </si>
  <si>
    <t>КС-35714</t>
  </si>
  <si>
    <t>КС-35714-1</t>
  </si>
  <si>
    <t>КС-35714-2</t>
  </si>
  <si>
    <t>КС-35715-2</t>
  </si>
  <si>
    <t>КС-45717 К-1</t>
  </si>
  <si>
    <t>МКАТ-20.01</t>
  </si>
  <si>
    <t>МКГ-25.01 А</t>
  </si>
  <si>
    <t>МКГ-25.01А</t>
  </si>
  <si>
    <t>котел</t>
  </si>
  <si>
    <t>HW 0601</t>
  </si>
  <si>
    <t>UL-S-8000</t>
  </si>
  <si>
    <t>ДЕ-16/14</t>
  </si>
  <si>
    <t>ДЕ-16-14 ГМ</t>
  </si>
  <si>
    <t xml:space="preserve">Е-1,0-0,9 </t>
  </si>
  <si>
    <t>баллон</t>
  </si>
  <si>
    <t>сосуд</t>
  </si>
  <si>
    <t>барок(БЛКС 3-А)</t>
  </si>
  <si>
    <t>барок(БЛКС-3-01)</t>
  </si>
  <si>
    <t>Барокамера</t>
  </si>
  <si>
    <t>Барокамера (ОКА-МТ)</t>
  </si>
  <si>
    <t>не рег ТУ орд</t>
  </si>
  <si>
    <t>баллон (установки)</t>
  </si>
  <si>
    <t>баллон 100-200Л</t>
  </si>
  <si>
    <t>Баллон воздушный L65FX</t>
  </si>
  <si>
    <t>Баллон воздушный ГОСТ 943-73</t>
  </si>
  <si>
    <t>ВК-75-01</t>
  </si>
  <si>
    <t>ВК-75-1</t>
  </si>
  <si>
    <t>ВКУ-50</t>
  </si>
  <si>
    <t>ВКУ-75</t>
  </si>
  <si>
    <t>ГК-100-3</t>
  </si>
  <si>
    <t>ГК-100-3М</t>
  </si>
  <si>
    <t>Лебедка</t>
  </si>
  <si>
    <t>ОУ-2</t>
  </si>
  <si>
    <t>ОУ-3</t>
  </si>
  <si>
    <t>ОУ-40</t>
  </si>
  <si>
    <t>ОУ-5</t>
  </si>
  <si>
    <t>Таль</t>
  </si>
  <si>
    <t>Таль ручная</t>
  </si>
  <si>
    <t>Таль электрическая</t>
  </si>
  <si>
    <t>ТВ-0,5</t>
  </si>
  <si>
    <t>ТВ-1</t>
  </si>
  <si>
    <t>ТВ-2</t>
  </si>
  <si>
    <t>индекс ТУ</t>
  </si>
  <si>
    <t>башенный кран</t>
  </si>
  <si>
    <t>козловой кран</t>
  </si>
  <si>
    <t>кран дизель электрический</t>
  </si>
  <si>
    <t>автокран</t>
  </si>
  <si>
    <t>кран железнодорожный</t>
  </si>
  <si>
    <t>электроталь</t>
  </si>
  <si>
    <t>котёл</t>
  </si>
  <si>
    <t>огнетушитель</t>
  </si>
  <si>
    <t>паровой стерилизатор</t>
  </si>
  <si>
    <t>С П Р А В К А</t>
  </si>
  <si>
    <t>по</t>
  </si>
  <si>
    <t>)</t>
  </si>
  <si>
    <t>1.</t>
  </si>
  <si>
    <t>из них:</t>
  </si>
  <si>
    <t>2.</t>
  </si>
  <si>
    <t>3.</t>
  </si>
  <si>
    <t>техническое устройство</t>
  </si>
  <si>
    <t>ед.</t>
  </si>
  <si>
    <t>4.</t>
  </si>
  <si>
    <t>, из них:</t>
  </si>
  <si>
    <t>в</t>
  </si>
  <si>
    <t>н</t>
  </si>
  <si>
    <t>план, вне, нет</t>
  </si>
  <si>
    <t>к таблице «Результаты проведения ТО и Ремонта ООО на 3 буквы»</t>
  </si>
  <si>
    <t>индекс</t>
  </si>
  <si>
    <t>наименование</t>
  </si>
  <si>
    <t>расшифровка</t>
  </si>
  <si>
    <t>плановая</t>
  </si>
  <si>
    <t>внеплановая</t>
  </si>
  <si>
    <t>документы</t>
  </si>
  <si>
    <t>статус</t>
  </si>
  <si>
    <t>СМУ1</t>
  </si>
  <si>
    <t>СМУ2</t>
  </si>
  <si>
    <t>СУ1</t>
  </si>
  <si>
    <t>СУ2</t>
  </si>
  <si>
    <t>СМУ3</t>
  </si>
  <si>
    <t>СУ3</t>
  </si>
  <si>
    <t>СУ4</t>
  </si>
  <si>
    <t>СМУ4</t>
  </si>
  <si>
    <t>СМУ5</t>
  </si>
  <si>
    <t>СМУ-6</t>
  </si>
  <si>
    <t>город</t>
  </si>
  <si>
    <t>поселок</t>
  </si>
  <si>
    <t>гараж</t>
  </si>
  <si>
    <t>стройка</t>
  </si>
  <si>
    <t>вне города</t>
  </si>
  <si>
    <t>за рекой</t>
  </si>
  <si>
    <t>лес</t>
  </si>
  <si>
    <t>г. 1</t>
  </si>
  <si>
    <t>г. 2</t>
  </si>
  <si>
    <t>г. 3</t>
  </si>
  <si>
    <t>п. 2</t>
  </si>
  <si>
    <t>п. 1</t>
  </si>
  <si>
    <t>г. 7</t>
  </si>
  <si>
    <t>г. 8</t>
  </si>
  <si>
    <t>г. 9</t>
  </si>
  <si>
    <t>п. 5</t>
  </si>
  <si>
    <t>Иванов И.И.</t>
  </si>
  <si>
    <t>Петров П.П.</t>
  </si>
  <si>
    <t>Серов П.П.</t>
  </si>
  <si>
    <t>Седов А.А.</t>
  </si>
  <si>
    <t>Светлов А.А.</t>
  </si>
  <si>
    <t>Петраков П.П.</t>
  </si>
  <si>
    <t>Сидоров</t>
  </si>
  <si>
    <t>Колпаков</t>
  </si>
  <si>
    <t>Восьмов</t>
  </si>
  <si>
    <t>Девятый</t>
  </si>
  <si>
    <t>форма работы</t>
  </si>
  <si>
    <t>причина не выполнения ТОиР</t>
  </si>
  <si>
    <t>причина внепланового ТОиР</t>
  </si>
  <si>
    <t>перенос на 16 неделю нет ГСМ</t>
  </si>
  <si>
    <t>перенос на 26 неделю болен мастер</t>
  </si>
  <si>
    <t>перенос на 19 неделю непогода</t>
  </si>
  <si>
    <t>перенос на 29 неделю нет электричества</t>
  </si>
  <si>
    <t>перенос из 16 недели</t>
  </si>
  <si>
    <t>перенос из 36 недели</t>
  </si>
  <si>
    <t>поломка</t>
  </si>
  <si>
    <t>место</t>
  </si>
  <si>
    <t>СМУ</t>
  </si>
  <si>
    <t>нет заявок</t>
  </si>
  <si>
    <t>нет удостоверения</t>
  </si>
  <si>
    <t>нет аттестации</t>
  </si>
  <si>
    <t>нет допуска к работе</t>
  </si>
  <si>
    <t>дефекты металлоконстр.</t>
  </si>
  <si>
    <t>неисправны приборы</t>
  </si>
  <si>
    <t>ремонт с нарушениями</t>
  </si>
  <si>
    <t>дефекты сигнализации</t>
  </si>
  <si>
    <t>отсутствие мест для ТО</t>
  </si>
  <si>
    <t>по следующим причинам:</t>
  </si>
  <si>
    <t>ТОиР</t>
  </si>
  <si>
    <t>Проведено вне плана</t>
  </si>
  <si>
    <t>участок</t>
  </si>
  <si>
    <t>00155 Цех</t>
  </si>
  <si>
    <t>наименование Участка</t>
  </si>
  <si>
    <t>площадка</t>
  </si>
  <si>
    <t>ФИО</t>
  </si>
  <si>
    <t>санаторий</t>
  </si>
  <si>
    <t>Ивов И.И.</t>
  </si>
  <si>
    <t xml:space="preserve"> - плановый</t>
  </si>
  <si>
    <t xml:space="preserve"> - внеплановый</t>
  </si>
  <si>
    <t xml:space="preserve"> - не выполненный</t>
  </si>
  <si>
    <t>неуд. Результаты</t>
  </si>
  <si>
    <t>неисполнительность</t>
  </si>
  <si>
    <t>0001  Стройка</t>
  </si>
  <si>
    <t>0002  База</t>
  </si>
  <si>
    <t>0003  Санаторий</t>
  </si>
  <si>
    <t>0007  Котлован</t>
  </si>
  <si>
    <t>0017 Пилорама</t>
  </si>
  <si>
    <t>ТУ орд</t>
  </si>
  <si>
    <t>ТУ пс</t>
  </si>
  <si>
    <t>ТУ, из них:</t>
  </si>
  <si>
    <t>Проведено для</t>
  </si>
  <si>
    <t>СМУ-10</t>
  </si>
  <si>
    <t>Баллон SF</t>
  </si>
  <si>
    <t>Критерий заполнения строк 30 (№ недели=М1; непустые ячейки в столбце D листа ТУ; значение ячейки столбца F листа ТУ "пс")</t>
  </si>
  <si>
    <t>котёл ДЕ-16/14</t>
  </si>
  <si>
    <t>Должна быть пустая строка</t>
  </si>
  <si>
    <t>Должен быть как подъемное сооружение в строке 30 (критерии № недели=М1; непустые ячейки в столбце D листа ТУ; значение ячейки столбца F листа ТУ "пс")</t>
  </si>
  <si>
    <t>Критерий заполнения строк 44-50 (№ недели=М1; пустые ячейки в столбце D листа ТУ; значение ячейки столбца F листа ТУ "пс")</t>
  </si>
  <si>
    <t>Критерий заполнения строк 53-56 (№ недели=М1; пустые ячейки в столбце D листа ТУ; значение ячейки столбца F листа ТУ "орд")</t>
  </si>
  <si>
    <t>Эксплуатируются   с   нарушениями  требований  безопасности,  всего по причинам:</t>
  </si>
  <si>
    <t>Критерий заполнения строк 60-63 (№ недели=М1; пустые ячейки в столбце D листа ТУ; значение ячейки столбца F листа ТУ "ТУ пс")</t>
  </si>
  <si>
    <t>электроталь ТВ-0,5</t>
  </si>
  <si>
    <t>Критерий заполнения строк 66-69 (№ недели=М1; пустые ячейки в столбце D листа ТУ; значение ячейки столбца F листа ТУ "ТУ орд")</t>
  </si>
  <si>
    <t>(в отчетный период с</t>
  </si>
  <si>
    <t>Баллон ГОСТ</t>
  </si>
  <si>
    <t>баллон Баллон ГОСТ</t>
  </si>
  <si>
    <t>Всего с нарушениями</t>
  </si>
  <si>
    <t>нет финансов</t>
  </si>
  <si>
    <t>С начала года &gt;</t>
  </si>
  <si>
    <t>Должна быть пустая строка. Значения должны быть в строке 36 (критерии № недели=М1; непустые ячейки в столбце D листа ТУ; значение ячейки столбца F листа ТУ "орд")</t>
  </si>
  <si>
    <t>ТО нет по причине:</t>
  </si>
  <si>
    <t>ТД нет по причине:</t>
  </si>
  <si>
    <t>Необученность по причине:</t>
  </si>
  <si>
    <t>Сломан по причине:</t>
  </si>
  <si>
    <t>не включено в план</t>
  </si>
  <si>
    <t>Критерий заполнения строк 80-82 (№ недели=М1; непустые ячейки в столбце D листа ТУ; значение ячейки столбца F листа ТУ "орд"; значения объединенных ячеек H-L заполняется из ячеек Н-АВ - 2 и 7 строка листа ТУ для конкретного ТУ)</t>
  </si>
  <si>
    <t>Критерий заполнения строк 75-77 (№ недели=М1; непустые ячейки в столбце D листа ТУ; значение ячейки столбца F листа ТУ "пс"; значения объединенных ячеек H-L заполняется из ячеек Н-АВ - 2 и 6 строка листа ТУ для конкретного ТУ)</t>
  </si>
  <si>
    <t>автокран КС-35714-1 ТО нет по причине: 1 нет заявок, 1 неисполнительность, Сломан по причине: 1 дефекты металлоконстр.</t>
  </si>
  <si>
    <t>котел HW 0601 Необученность по причине: 1 нет аттестации</t>
  </si>
  <si>
    <t>План к проведению</t>
  </si>
  <si>
    <t>,   пров.</t>
  </si>
  <si>
    <t>Не провед.</t>
  </si>
  <si>
    <t>ТО нет по причине: 1 неуд. Результаты</t>
  </si>
  <si>
    <t>ТО нет по причине: 1 нет заявок</t>
  </si>
  <si>
    <t>Необученность по причине: 1 нет допуска к работе</t>
  </si>
  <si>
    <t>Критерий заполнения строк 87-89 (№ недели=М1; пустые ячейки в столбце D листа ТУ; значение ячейки столбца F листа ТУ "пс"; значения объединенных ячеек H-L заполняется из ячеек Н-АВ - 2 и 8 строка листа ТУ для конкретного ТУ)</t>
  </si>
  <si>
    <t>Критерий заполнения строк 92-94 (№ недели=М1; пустые ячейки в столбце D листа ТУ; значение ячейки столбца F листа ТУ "орд"; значения объединенных ячеек H-L заполняется из ячеек Н-АВ - 2 и 9,10 строки листа ТУ для конкретных ТУ)</t>
  </si>
  <si>
    <r>
      <t xml:space="preserve">Спасибо Boroda, Китин, Pelena за подсказки в заполнении. Но начиная с 30 строки требуется вывод информации по двум и более критериям. Пытался сам, но понял, что масла в голове не хватает. </t>
    </r>
    <r>
      <rPr>
        <b/>
        <u/>
        <sz val="12"/>
        <color rgb="FFFF0000"/>
        <rFont val="Times New Roman"/>
        <family val="1"/>
        <charset val="204"/>
      </rPr>
      <t>ЗАРАНЕЕ СПАСИБО!</t>
    </r>
  </si>
  <si>
    <t>Значения должны быть в строке 36, строка должна быть пустой</t>
  </si>
  <si>
    <r>
      <t xml:space="preserve">строкой выше и далее то что должно быть, заполнено </t>
    </r>
    <r>
      <rPr>
        <b/>
        <sz val="10"/>
        <color rgb="FF0070C0"/>
        <rFont val="Arial"/>
        <family val="2"/>
        <charset val="204"/>
      </rPr>
      <t>синим цветом</t>
    </r>
  </si>
  <si>
    <t>Критерий заполнения строк 98-100 (№ недели=М1; пустые ячейки в столбце D листа ТУ; значение ячейки столбца F листа ТУ "ТУ пс"; значения объединенных ячеек H-L заполняется из ячеек Н-АВ - 2 и 11 строки листа ТУ для конкретного ТУ)</t>
  </si>
  <si>
    <t>ТД нет по причине: 1 нет заявок</t>
  </si>
  <si>
    <t>Критерий заполнения строк 103-105 (№ недели=М1; пустые ячейки в столбце D листа ТУ; значение ячейки столбца F листа ТУ "ТУ орд"; значения объединенных ячеек H-L заполняется из ячеек Н-АВ - 2 и 12 строки листа ТУ для конкретного ТУ)</t>
  </si>
  <si>
    <t>ТД нет по причине: 1 неуд. Результаты, ТД нет по причине: 1 неуд. Результаты</t>
  </si>
  <si>
    <r>
      <t xml:space="preserve">Заполненное в таблице </t>
    </r>
    <r>
      <rPr>
        <b/>
        <sz val="11"/>
        <rFont val="Calibri"/>
        <family val="2"/>
        <charset val="204"/>
        <scheme val="minor"/>
      </rPr>
      <t>черным цветом</t>
    </r>
    <r>
      <rPr>
        <sz val="11"/>
        <color rgb="FF0070C0"/>
        <rFont val="Calibri"/>
        <family val="2"/>
        <scheme val="minor"/>
      </rPr>
      <t xml:space="preserve"> начиная с 30 строки соответствует искомым значениям. Заполненное </t>
    </r>
    <r>
      <rPr>
        <b/>
        <sz val="11"/>
        <color rgb="FFFF0000"/>
        <rFont val="Calibri"/>
        <family val="2"/>
        <charset val="204"/>
        <scheme val="minor"/>
      </rPr>
      <t>красным цветом</t>
    </r>
    <r>
      <rPr>
        <sz val="11"/>
        <color rgb="FF0070C0"/>
        <rFont val="Calibri"/>
        <family val="2"/>
        <scheme val="minor"/>
      </rPr>
      <t xml:space="preserve"> не соответствует искомым значениям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</si>
</sst>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5" formatCode="0.0"/>
  </numFmts>
  <fonts count="33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36"/>
      <color theme="0"/>
      <name val="Times New Roman"/>
      <family val="1"/>
      <charset val="204"/>
    </font>
    <font>
      <sz val="10"/>
      <name val="Arial"/>
      <family val="2"/>
      <charset val="204"/>
    </font>
    <font>
      <sz val="8"/>
      <color indexed="81"/>
      <name val="Tahoma"/>
      <family val="2"/>
      <charset val="204"/>
    </font>
    <font>
      <sz val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sz val="10"/>
      <color rgb="FFFF0000"/>
      <name val="Arial"/>
      <family val="2"/>
      <charset val="204"/>
    </font>
    <font>
      <sz val="11"/>
      <color rgb="FFFF0000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9"/>
      <color indexed="81"/>
      <name val="Tahoma"/>
      <family val="2"/>
      <charset val="204"/>
    </font>
    <font>
      <sz val="10"/>
      <color rgb="FF0070C0"/>
      <name val="Arial"/>
      <family val="2"/>
      <charset val="204"/>
    </font>
    <font>
      <sz val="11"/>
      <color rgb="FF0070C0"/>
      <name val="Calibri"/>
      <family val="2"/>
      <scheme val="minor"/>
    </font>
    <font>
      <sz val="11"/>
      <color rgb="FF0070C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b/>
      <u/>
      <sz val="12"/>
      <color rgb="FFFF0000"/>
      <name val="Times New Roman"/>
      <family val="1"/>
      <charset val="204"/>
    </font>
    <font>
      <b/>
      <sz val="10"/>
      <color rgb="FF0070C0"/>
      <name val="Arial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6337778862885"/>
        <bgColor auto="1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9" fillId="0" borderId="0"/>
  </cellStyleXfs>
  <cellXfs count="116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Border="1"/>
    <xf numFmtId="0" fontId="3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164" fontId="1" fillId="0" borderId="0" xfId="0" applyNumberFormat="1" applyFont="1"/>
    <xf numFmtId="14" fontId="1" fillId="0" borderId="0" xfId="0" applyNumberFormat="1" applyFont="1"/>
    <xf numFmtId="0" fontId="1" fillId="2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5" fillId="6" borderId="0" xfId="0" applyFont="1" applyFill="1" applyAlignment="1">
      <alignment horizontal="center" vertical="center"/>
    </xf>
    <xf numFmtId="0" fontId="5" fillId="7" borderId="0" xfId="0" applyFont="1" applyFill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5" borderId="0" xfId="0" applyFont="1" applyFill="1" applyAlignment="1">
      <alignment horizontal="center" vertical="center"/>
    </xf>
    <xf numFmtId="0" fontId="7" fillId="8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6" fillId="9" borderId="0" xfId="0" applyFont="1" applyFill="1" applyAlignment="1">
      <alignment horizontal="center" vertical="center"/>
    </xf>
    <xf numFmtId="164" fontId="1" fillId="2" borderId="0" xfId="0" applyNumberFormat="1" applyFont="1" applyFill="1" applyAlignment="1">
      <alignment horizontal="center" vertical="center"/>
    </xf>
    <xf numFmtId="1" fontId="4" fillId="0" borderId="0" xfId="0" applyNumberFormat="1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11" fillId="0" borderId="0" xfId="0" applyFont="1" applyBorder="1"/>
    <xf numFmtId="0" fontId="11" fillId="0" borderId="0" xfId="0" applyFont="1" applyBorder="1" applyAlignment="1">
      <alignment horizontal="center"/>
    </xf>
    <xf numFmtId="165" fontId="11" fillId="0" borderId="0" xfId="0" applyNumberFormat="1" applyFont="1" applyBorder="1"/>
    <xf numFmtId="0" fontId="6" fillId="10" borderId="0" xfId="0" applyFont="1" applyFill="1" applyBorder="1" applyAlignment="1">
      <alignment horizontal="center" vertical="center"/>
    </xf>
    <xf numFmtId="0" fontId="6" fillId="10" borderId="0" xfId="0" applyFont="1" applyFill="1" applyBorder="1" applyAlignment="1">
      <alignment horizontal="center" vertical="center" wrapText="1"/>
    </xf>
    <xf numFmtId="0" fontId="6" fillId="11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49" fontId="11" fillId="0" borderId="0" xfId="0" applyNumberFormat="1" applyFont="1" applyBorder="1" applyAlignment="1">
      <alignment horizontal="left"/>
    </xf>
    <xf numFmtId="0" fontId="11" fillId="11" borderId="0" xfId="0" applyFont="1" applyFill="1" applyBorder="1" applyAlignment="1">
      <alignment horizontal="center"/>
    </xf>
    <xf numFmtId="0" fontId="11" fillId="0" borderId="0" xfId="1" applyFont="1" applyAlignment="1" applyProtection="1">
      <protection locked="0"/>
    </xf>
    <xf numFmtId="49" fontId="11" fillId="0" borderId="0" xfId="0" applyNumberFormat="1" applyFont="1" applyFill="1" applyBorder="1" applyAlignment="1">
      <alignment horizontal="left"/>
    </xf>
    <xf numFmtId="165" fontId="11" fillId="0" borderId="0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3" fillId="8" borderId="0" xfId="0" applyFont="1" applyFill="1" applyAlignment="1">
      <alignment horizontal="center"/>
    </xf>
    <xf numFmtId="0" fontId="15" fillId="0" borderId="0" xfId="0" applyFont="1"/>
    <xf numFmtId="0" fontId="16" fillId="0" borderId="0" xfId="0" applyFont="1" applyAlignment="1"/>
    <xf numFmtId="0" fontId="0" fillId="0" borderId="0" xfId="0" applyAlignment="1">
      <alignment horizontal="left"/>
    </xf>
    <xf numFmtId="0" fontId="17" fillId="0" borderId="1" xfId="0" applyFont="1" applyBorder="1" applyAlignment="1">
      <alignment horizontal="center"/>
    </xf>
    <xf numFmtId="0" fontId="14" fillId="0" borderId="0" xfId="0" applyFont="1" applyFill="1" applyBorder="1"/>
    <xf numFmtId="0" fontId="9" fillId="0" borderId="0" xfId="0" applyFont="1" applyBorder="1"/>
    <xf numFmtId="0" fontId="18" fillId="0" borderId="0" xfId="0" applyFont="1" applyBorder="1"/>
    <xf numFmtId="0" fontId="19" fillId="0" borderId="0" xfId="0" applyFont="1" applyBorder="1" applyAlignment="1">
      <alignment horizontal="left"/>
    </xf>
    <xf numFmtId="0" fontId="19" fillId="0" borderId="0" xfId="0" applyFont="1"/>
    <xf numFmtId="0" fontId="18" fillId="0" borderId="2" xfId="0" applyFont="1" applyBorder="1" applyAlignment="1">
      <alignment vertical="top" wrapText="1"/>
    </xf>
    <xf numFmtId="0" fontId="18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vertical="top" wrapText="1"/>
    </xf>
    <xf numFmtId="0" fontId="12" fillId="0" borderId="0" xfId="0" applyFont="1" applyAlignment="1">
      <alignment horizontal="center"/>
    </xf>
    <xf numFmtId="0" fontId="18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20" fillId="0" borderId="2" xfId="0" applyFont="1" applyBorder="1" applyAlignment="1">
      <alignment horizontal="center"/>
    </xf>
    <xf numFmtId="0" fontId="18" fillId="0" borderId="2" xfId="0" applyFont="1" applyBorder="1"/>
    <xf numFmtId="0" fontId="12" fillId="0" borderId="0" xfId="0" applyFont="1" applyAlignment="1"/>
    <xf numFmtId="0" fontId="0" fillId="0" borderId="3" xfId="0" applyBorder="1" applyAlignment="1">
      <alignment horizontal="center"/>
    </xf>
    <xf numFmtId="0" fontId="20" fillId="0" borderId="3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right"/>
    </xf>
    <xf numFmtId="14" fontId="12" fillId="2" borderId="0" xfId="0" applyNumberFormat="1" applyFont="1" applyFill="1" applyBorder="1" applyAlignment="1"/>
    <xf numFmtId="0" fontId="21" fillId="0" borderId="0" xfId="0" applyFont="1" applyAlignment="1"/>
    <xf numFmtId="0" fontId="21" fillId="0" borderId="0" xfId="0" applyFont="1" applyAlignment="1">
      <alignment horizontal="center"/>
    </xf>
    <xf numFmtId="0" fontId="18" fillId="0" borderId="3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  <xf numFmtId="0" fontId="18" fillId="0" borderId="5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/>
    </xf>
    <xf numFmtId="0" fontId="20" fillId="0" borderId="4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24" fillId="0" borderId="0" xfId="0" applyFont="1" applyFill="1" applyBorder="1"/>
    <xf numFmtId="0" fontId="23" fillId="0" borderId="2" xfId="0" applyFont="1" applyBorder="1"/>
    <xf numFmtId="0" fontId="25" fillId="0" borderId="2" xfId="0" applyFont="1" applyBorder="1" applyAlignment="1">
      <alignment horizontal="center"/>
    </xf>
    <xf numFmtId="0" fontId="25" fillId="0" borderId="3" xfId="0" applyFont="1" applyBorder="1" applyAlignment="1">
      <alignment horizontal="center"/>
    </xf>
    <xf numFmtId="0" fontId="25" fillId="0" borderId="4" xfId="0" applyFont="1" applyBorder="1" applyAlignment="1">
      <alignment horizontal="center"/>
    </xf>
    <xf numFmtId="0" fontId="25" fillId="0" borderId="3" xfId="0" applyFont="1" applyBorder="1" applyAlignment="1">
      <alignment horizontal="center"/>
    </xf>
    <xf numFmtId="0" fontId="23" fillId="0" borderId="3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3" fillId="0" borderId="2" xfId="0" applyFont="1" applyBorder="1" applyAlignment="1">
      <alignment vertical="top" wrapText="1"/>
    </xf>
    <xf numFmtId="0" fontId="23" fillId="0" borderId="3" xfId="0" applyFont="1" applyBorder="1" applyAlignment="1">
      <alignment horizontal="center" vertical="center"/>
    </xf>
    <xf numFmtId="164" fontId="17" fillId="0" borderId="0" xfId="0" applyNumberFormat="1" applyFont="1"/>
    <xf numFmtId="164" fontId="21" fillId="0" borderId="0" xfId="0" applyNumberFormat="1" applyFont="1" applyAlignment="1">
      <alignment horizontal="right"/>
    </xf>
    <xf numFmtId="0" fontId="9" fillId="0" borderId="2" xfId="0" applyFont="1" applyBorder="1"/>
    <xf numFmtId="0" fontId="26" fillId="0" borderId="2" xfId="0" applyFont="1" applyBorder="1" applyAlignment="1">
      <alignment horizontal="center"/>
    </xf>
    <xf numFmtId="0" fontId="26" fillId="0" borderId="3" xfId="0" applyFont="1" applyBorder="1" applyAlignment="1">
      <alignment horizontal="center"/>
    </xf>
    <xf numFmtId="0" fontId="26" fillId="0" borderId="4" xfId="0" applyFont="1" applyBorder="1" applyAlignment="1">
      <alignment horizontal="center"/>
    </xf>
    <xf numFmtId="0" fontId="26" fillId="0" borderId="3" xfId="0" applyFont="1" applyBorder="1" applyAlignment="1">
      <alignment horizontal="center"/>
    </xf>
    <xf numFmtId="0" fontId="9" fillId="0" borderId="5" xfId="0" applyFont="1" applyBorder="1" applyAlignment="1">
      <alignment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 wrapText="1"/>
    </xf>
    <xf numFmtId="0" fontId="23" fillId="0" borderId="5" xfId="0" applyFont="1" applyBorder="1" applyAlignment="1">
      <alignment horizontal="left" vertical="center" wrapText="1"/>
    </xf>
    <xf numFmtId="0" fontId="23" fillId="0" borderId="4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24" fillId="0" borderId="6" xfId="0" applyFont="1" applyFill="1" applyBorder="1" applyAlignment="1">
      <alignment horizontal="left" vertical="top" wrapText="1"/>
    </xf>
    <xf numFmtId="0" fontId="24" fillId="0" borderId="0" xfId="0" applyFont="1" applyFill="1" applyBorder="1" applyAlignment="1">
      <alignment horizontal="left" vertical="top" wrapText="1"/>
    </xf>
    <xf numFmtId="0" fontId="24" fillId="0" borderId="6" xfId="0" applyFont="1" applyFill="1" applyBorder="1" applyAlignment="1">
      <alignment vertical="top" wrapText="1"/>
    </xf>
    <xf numFmtId="0" fontId="24" fillId="0" borderId="0" xfId="0" applyFont="1" applyFill="1" applyBorder="1" applyAlignment="1">
      <alignment vertical="top" wrapText="1"/>
    </xf>
    <xf numFmtId="0" fontId="23" fillId="0" borderId="2" xfId="0" applyFont="1" applyBorder="1" applyAlignment="1">
      <alignment vertical="center"/>
    </xf>
    <xf numFmtId="0" fontId="27" fillId="0" borderId="0" xfId="0" applyFont="1" applyBorder="1" applyAlignment="1">
      <alignment horizontal="left"/>
    </xf>
    <xf numFmtId="0" fontId="26" fillId="0" borderId="0" xfId="0" applyFont="1"/>
    <xf numFmtId="0" fontId="28" fillId="0" borderId="1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30" fillId="0" borderId="0" xfId="0" applyFont="1" applyFill="1" applyBorder="1" applyAlignment="1">
      <alignment horizontal="left" vertical="center" wrapText="1"/>
    </xf>
  </cellXfs>
  <cellStyles count="2">
    <cellStyle name="Обычный" xfId="0" builtinId="0"/>
    <cellStyle name="Обычный_Заключение" xfId="1"/>
  </cellStyles>
  <dxfs count="58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1"/>
  <sheetViews>
    <sheetView workbookViewId="0">
      <pane ySplit="9" topLeftCell="A10" activePane="bottomLeft" state="frozen"/>
      <selection pane="bottomLeft" activeCell="L10" sqref="L10"/>
    </sheetView>
    <sheetView workbookViewId="1">
      <selection activeCell="N11" sqref="N11"/>
    </sheetView>
  </sheetViews>
  <sheetFormatPr defaultRowHeight="12.75" x14ac:dyDescent="0.2"/>
  <cols>
    <col min="1" max="2" width="5.28515625" style="5" customWidth="1"/>
    <col min="3" max="3" width="6.28515625" style="5" customWidth="1"/>
    <col min="4" max="4" width="7.5703125" style="5" customWidth="1"/>
    <col min="5" max="5" width="10" style="5" customWidth="1"/>
    <col min="6" max="6" width="6.5703125" style="5" customWidth="1"/>
    <col min="7" max="7" width="12.28515625" style="5" customWidth="1"/>
    <col min="8" max="8" width="13.42578125" style="5" customWidth="1"/>
    <col min="9" max="9" width="29.5703125" style="5" customWidth="1"/>
    <col min="10" max="10" width="25.42578125" style="5" customWidth="1"/>
    <col min="11" max="11" width="7.85546875" style="7" customWidth="1"/>
    <col min="12" max="12" width="8.140625" style="5" customWidth="1"/>
    <col min="13" max="13" width="8" style="5" customWidth="1"/>
    <col min="14" max="14" width="8" style="7" customWidth="1"/>
    <col min="15" max="15" width="9.28515625" style="7" customWidth="1"/>
    <col min="16" max="16" width="7.28515625" style="7" customWidth="1"/>
    <col min="17" max="17" width="6.7109375" style="7" customWidth="1"/>
    <col min="18" max="18" width="6.28515625" style="7" customWidth="1"/>
    <col min="19" max="16384" width="9.140625" style="5"/>
  </cols>
  <sheetData>
    <row r="2" spans="1:18" ht="25.5" x14ac:dyDescent="0.2">
      <c r="H2" s="2" t="s">
        <v>146</v>
      </c>
      <c r="K2" s="6" t="s">
        <v>160</v>
      </c>
      <c r="L2" s="6" t="s">
        <v>161</v>
      </c>
      <c r="M2" s="6" t="s">
        <v>162</v>
      </c>
      <c r="N2" s="6" t="s">
        <v>163</v>
      </c>
      <c r="O2" s="6" t="s">
        <v>215</v>
      </c>
      <c r="P2" s="6" t="s">
        <v>164</v>
      </c>
      <c r="Q2" s="1" t="s">
        <v>165</v>
      </c>
      <c r="R2" s="6" t="s">
        <v>166</v>
      </c>
    </row>
    <row r="3" spans="1:18" x14ac:dyDescent="0.2">
      <c r="A3" s="5">
        <f>COUNTIF(C$11:C$204,C3)</f>
        <v>5</v>
      </c>
      <c r="C3" s="3" t="s">
        <v>4</v>
      </c>
      <c r="D3" s="4"/>
      <c r="H3" s="2" t="s">
        <v>147</v>
      </c>
      <c r="K3" s="10">
        <f t="shared" ref="K3:R3" si="0">COUNTIF($E$11:$E$204,K2)</f>
        <v>1</v>
      </c>
      <c r="L3" s="10">
        <f t="shared" si="0"/>
        <v>3</v>
      </c>
      <c r="M3" s="10">
        <f t="shared" si="0"/>
        <v>0</v>
      </c>
      <c r="N3" s="10">
        <f t="shared" si="0"/>
        <v>2</v>
      </c>
      <c r="O3" s="10">
        <f t="shared" si="0"/>
        <v>1</v>
      </c>
      <c r="P3" s="10">
        <f t="shared" si="0"/>
        <v>1</v>
      </c>
      <c r="Q3" s="10">
        <f t="shared" si="0"/>
        <v>1</v>
      </c>
      <c r="R3" s="10">
        <f t="shared" si="0"/>
        <v>2</v>
      </c>
    </row>
    <row r="4" spans="1:18" ht="14.25" customHeight="1" x14ac:dyDescent="0.2">
      <c r="A4" s="5">
        <f>COUNTIF(C$11:C$204,C4)</f>
        <v>1</v>
      </c>
      <c r="C4" s="3" t="s">
        <v>5</v>
      </c>
      <c r="D4" s="4"/>
      <c r="H4" s="2" t="s">
        <v>148</v>
      </c>
      <c r="K4" s="6"/>
      <c r="L4" s="6"/>
      <c r="M4" s="6"/>
      <c r="N4" s="6"/>
      <c r="O4" s="6"/>
      <c r="P4" s="6"/>
    </row>
    <row r="5" spans="1:18" ht="14.25" customHeight="1" x14ac:dyDescent="0.2">
      <c r="A5" s="5">
        <f>COUNTIF(C$11:C$204,C5)</f>
        <v>0</v>
      </c>
      <c r="C5" s="3" t="s">
        <v>6</v>
      </c>
      <c r="D5" s="4"/>
      <c r="H5" s="2"/>
      <c r="K5" s="6"/>
      <c r="L5" s="6"/>
      <c r="M5" s="6"/>
      <c r="N5" s="6"/>
      <c r="O5" s="6"/>
      <c r="P5" s="6"/>
    </row>
    <row r="6" spans="1:18" x14ac:dyDescent="0.2">
      <c r="A6" s="5">
        <f>COUNTIF(C$11:C$204,C6)</f>
        <v>2</v>
      </c>
      <c r="C6" s="3" t="s">
        <v>7</v>
      </c>
      <c r="D6" s="4"/>
      <c r="G6" s="5">
        <f>COUNTIFS(B9:B303,H6)</f>
        <v>4</v>
      </c>
      <c r="H6" s="5" t="s">
        <v>6</v>
      </c>
      <c r="I6" s="5" t="s">
        <v>217</v>
      </c>
      <c r="K6" s="16">
        <f t="shared" ref="K6:R6" si="1">K3</f>
        <v>1</v>
      </c>
      <c r="L6" s="12">
        <f t="shared" si="1"/>
        <v>3</v>
      </c>
      <c r="M6" s="13">
        <f t="shared" si="1"/>
        <v>0</v>
      </c>
      <c r="N6" s="15">
        <f t="shared" si="1"/>
        <v>2</v>
      </c>
      <c r="O6" s="19">
        <f t="shared" si="1"/>
        <v>1</v>
      </c>
      <c r="P6" s="14">
        <f t="shared" si="1"/>
        <v>1</v>
      </c>
      <c r="Q6" s="17">
        <f t="shared" si="1"/>
        <v>1</v>
      </c>
      <c r="R6" s="18">
        <f t="shared" si="1"/>
        <v>2</v>
      </c>
    </row>
    <row r="7" spans="1:18" x14ac:dyDescent="0.2">
      <c r="G7" s="5">
        <f>COUNTIFS(B11:B304,H7)</f>
        <v>4</v>
      </c>
      <c r="H7" s="5" t="s">
        <v>139</v>
      </c>
      <c r="I7" s="5" t="s">
        <v>218</v>
      </c>
      <c r="L7" s="21">
        <f>L8</f>
        <v>43101</v>
      </c>
    </row>
    <row r="8" spans="1:18" x14ac:dyDescent="0.2">
      <c r="G8" s="5">
        <f>COUNTIFS(B11:B10004,H8)</f>
        <v>3</v>
      </c>
      <c r="H8" s="5" t="s">
        <v>140</v>
      </c>
      <c r="I8" s="5" t="s">
        <v>219</v>
      </c>
      <c r="L8" s="20">
        <v>43101</v>
      </c>
      <c r="M8" s="9"/>
      <c r="N8" s="7">
        <f>SUM(N10:N61)</f>
        <v>8</v>
      </c>
      <c r="O8" s="7">
        <f ca="1">SUM(O10:O61)</f>
        <v>12</v>
      </c>
      <c r="P8" s="7">
        <f ca="1">SUM(P10:P61)</f>
        <v>4</v>
      </c>
      <c r="Q8" s="7">
        <f ca="1">SUM(Q10:Q61)</f>
        <v>4</v>
      </c>
      <c r="R8" s="18">
        <f t="shared" ref="R8" ca="1" si="2">O8+Q8-P8</f>
        <v>12</v>
      </c>
    </row>
    <row r="9" spans="1:18" s="1" customFormat="1" ht="39.75" customHeight="1" x14ac:dyDescent="0.25">
      <c r="A9" s="1" t="s">
        <v>0</v>
      </c>
      <c r="B9" s="1" t="s">
        <v>141</v>
      </c>
      <c r="C9" s="1" t="s">
        <v>149</v>
      </c>
      <c r="D9" s="1" t="s">
        <v>197</v>
      </c>
      <c r="E9" s="1" t="s">
        <v>213</v>
      </c>
      <c r="F9" s="1" t="s">
        <v>196</v>
      </c>
      <c r="G9" s="1" t="s">
        <v>214</v>
      </c>
      <c r="H9" s="1" t="s">
        <v>186</v>
      </c>
      <c r="I9" s="1" t="s">
        <v>187</v>
      </c>
      <c r="J9" s="1" t="s">
        <v>188</v>
      </c>
      <c r="K9" s="1" t="s">
        <v>1</v>
      </c>
      <c r="L9" s="1" t="s">
        <v>2</v>
      </c>
      <c r="M9" s="1" t="s">
        <v>3</v>
      </c>
      <c r="N9" s="1" t="s">
        <v>8</v>
      </c>
      <c r="O9" s="1" t="s">
        <v>9</v>
      </c>
      <c r="P9" s="1" t="s">
        <v>11</v>
      </c>
      <c r="Q9" s="1" t="s">
        <v>10</v>
      </c>
      <c r="R9" s="22" t="s">
        <v>12</v>
      </c>
    </row>
    <row r="10" spans="1:18" x14ac:dyDescent="0.2">
      <c r="A10" s="5">
        <v>1</v>
      </c>
      <c r="B10" s="5" t="s">
        <v>140</v>
      </c>
      <c r="C10" s="5" t="s">
        <v>7</v>
      </c>
      <c r="D10" s="5" t="s">
        <v>150</v>
      </c>
      <c r="E10" s="5" t="s">
        <v>160</v>
      </c>
      <c r="F10" s="5" t="s">
        <v>167</v>
      </c>
      <c r="G10" s="5" t="s">
        <v>216</v>
      </c>
      <c r="I10" s="5" t="s">
        <v>189</v>
      </c>
      <c r="K10" s="7">
        <v>1</v>
      </c>
      <c r="L10" s="8">
        <f>L$8+K10*7-IF(L7=42736,6,IF(L7=43101,7,IF(L7=43466,8)))</f>
        <v>43101</v>
      </c>
      <c r="M10" s="8">
        <f>L10+4</f>
        <v>43105</v>
      </c>
      <c r="N10" s="11">
        <v>1</v>
      </c>
      <c r="O10" s="7">
        <f ca="1">SUMPRODUCT(SUBTOTAL(103,OFFSET(D$1,ROW(C$10:C$204)-1,,1,1))*(A$10:A$204=K10))</f>
        <v>2</v>
      </c>
      <c r="P10" s="7">
        <f ca="1">SUMPRODUCT(SUBTOTAL(103,OFFSET(I$1,ROW(I$10:I$204)-1,,1,1))*(A$10:A$204=K10))</f>
        <v>1</v>
      </c>
      <c r="Q10" s="7">
        <f ca="1">SUMPRODUCT(SUBTOTAL(103,OFFSET(J$1,ROW(J$10:J$204)-1,,1,1))*(A$10:A$204=K10))</f>
        <v>1</v>
      </c>
      <c r="R10" s="11">
        <f ca="1">IF(Q10=0,P10,IF(P10=0,Q10+N10,O10+Q10-P10))</f>
        <v>2</v>
      </c>
    </row>
    <row r="11" spans="1:18" x14ac:dyDescent="0.2">
      <c r="A11" s="5">
        <v>1</v>
      </c>
      <c r="B11" s="5" t="s">
        <v>139</v>
      </c>
      <c r="C11" s="5" t="s">
        <v>4</v>
      </c>
      <c r="D11" s="5" t="s">
        <v>151</v>
      </c>
      <c r="E11" s="5" t="s">
        <v>166</v>
      </c>
      <c r="F11" s="5" t="s">
        <v>168</v>
      </c>
      <c r="G11" s="5" t="s">
        <v>176</v>
      </c>
      <c r="H11" s="5" t="s">
        <v>147</v>
      </c>
      <c r="J11" s="5" t="s">
        <v>195</v>
      </c>
      <c r="K11" s="7">
        <v>2</v>
      </c>
      <c r="L11" s="8">
        <f>L10+7</f>
        <v>43108</v>
      </c>
      <c r="M11" s="8">
        <f>L11+4</f>
        <v>43112</v>
      </c>
      <c r="N11" s="11"/>
      <c r="O11" s="7">
        <f t="shared" ref="O11:O61" ca="1" si="3">SUMPRODUCT(SUBTOTAL(103,OFFSET(D$1,ROW(C$10:C$204)-1,,1,1))*(A$10:A$204=K11))</f>
        <v>0</v>
      </c>
      <c r="P11" s="7">
        <f t="shared" ref="P11:P61" ca="1" si="4">SUMPRODUCT(SUBTOTAL(103,OFFSET(I$1,ROW(I$10:I$204)-1,,1,1))*(A$10:A$204=K11))</f>
        <v>0</v>
      </c>
      <c r="Q11" s="7">
        <f t="shared" ref="Q11:Q61" ca="1" si="5">SUMPRODUCT(SUBTOTAL(103,OFFSET(J$1,ROW(J$10:J$204)-1,,1,1))*(A$10:A$204=K11))</f>
        <v>0</v>
      </c>
      <c r="R11" s="11">
        <f t="shared" ref="R11:R61" ca="1" si="6">IF(Q11=0,P11,IF(P11=0,Q11+N11,O11+Q11-P11))</f>
        <v>0</v>
      </c>
    </row>
    <row r="12" spans="1:18" x14ac:dyDescent="0.2">
      <c r="A12" s="5">
        <v>3</v>
      </c>
      <c r="B12" s="5" t="s">
        <v>6</v>
      </c>
      <c r="C12" s="5" t="s">
        <v>5</v>
      </c>
      <c r="D12" s="5" t="s">
        <v>152</v>
      </c>
      <c r="E12" s="5" t="s">
        <v>161</v>
      </c>
      <c r="F12" s="5" t="s">
        <v>169</v>
      </c>
      <c r="G12" s="5" t="s">
        <v>177</v>
      </c>
      <c r="H12" s="5" t="s">
        <v>148</v>
      </c>
      <c r="K12" s="7">
        <v>3</v>
      </c>
      <c r="L12" s="8">
        <f t="shared" ref="L12:L61" si="7">L11+7</f>
        <v>43115</v>
      </c>
      <c r="M12" s="8">
        <f t="shared" ref="M12:M61" si="8">L12+4</f>
        <v>43119</v>
      </c>
      <c r="N12" s="11">
        <v>3</v>
      </c>
      <c r="O12" s="7">
        <f t="shared" ca="1" si="3"/>
        <v>4</v>
      </c>
      <c r="P12" s="7">
        <f t="shared" ca="1" si="4"/>
        <v>1</v>
      </c>
      <c r="Q12" s="7">
        <f t="shared" ca="1" si="5"/>
        <v>1</v>
      </c>
      <c r="R12" s="11">
        <f t="shared" ca="1" si="6"/>
        <v>4</v>
      </c>
    </row>
    <row r="13" spans="1:18" x14ac:dyDescent="0.2">
      <c r="A13" s="5">
        <v>3</v>
      </c>
      <c r="B13" s="5" t="s">
        <v>6</v>
      </c>
      <c r="C13" s="5" t="s">
        <v>4</v>
      </c>
      <c r="D13" s="5" t="s">
        <v>153</v>
      </c>
      <c r="E13" s="5" t="s">
        <v>163</v>
      </c>
      <c r="F13" s="5" t="s">
        <v>167</v>
      </c>
      <c r="G13" s="5" t="s">
        <v>178</v>
      </c>
      <c r="H13" s="5" t="s">
        <v>146</v>
      </c>
      <c r="K13" s="7">
        <v>4</v>
      </c>
      <c r="L13" s="8">
        <f t="shared" si="7"/>
        <v>43122</v>
      </c>
      <c r="M13" s="8">
        <f t="shared" si="8"/>
        <v>43126</v>
      </c>
      <c r="N13" s="11"/>
      <c r="O13" s="7">
        <f t="shared" ca="1" si="3"/>
        <v>0</v>
      </c>
      <c r="P13" s="7">
        <f t="shared" ca="1" si="4"/>
        <v>0</v>
      </c>
      <c r="Q13" s="7">
        <f t="shared" ca="1" si="5"/>
        <v>0</v>
      </c>
      <c r="R13" s="11">
        <f t="shared" ca="1" si="6"/>
        <v>0</v>
      </c>
    </row>
    <row r="14" spans="1:18" x14ac:dyDescent="0.2">
      <c r="A14" s="5">
        <v>3</v>
      </c>
      <c r="B14" s="5" t="s">
        <v>140</v>
      </c>
      <c r="D14" s="5" t="s">
        <v>231</v>
      </c>
      <c r="E14" s="5" t="s">
        <v>163</v>
      </c>
      <c r="F14" s="5" t="s">
        <v>170</v>
      </c>
      <c r="G14" s="5" t="s">
        <v>179</v>
      </c>
      <c r="I14" s="5" t="s">
        <v>190</v>
      </c>
      <c r="K14" s="7">
        <v>5</v>
      </c>
      <c r="L14" s="8">
        <f t="shared" si="7"/>
        <v>43129</v>
      </c>
      <c r="M14" s="8">
        <f t="shared" si="8"/>
        <v>43133</v>
      </c>
      <c r="N14" s="11"/>
      <c r="O14" s="7">
        <f t="shared" ca="1" si="3"/>
        <v>0</v>
      </c>
      <c r="P14" s="7">
        <f t="shared" ca="1" si="4"/>
        <v>0</v>
      </c>
      <c r="Q14" s="7">
        <f t="shared" ca="1" si="5"/>
        <v>0</v>
      </c>
      <c r="R14" s="11">
        <f t="shared" ca="1" si="6"/>
        <v>0</v>
      </c>
    </row>
    <row r="15" spans="1:18" x14ac:dyDescent="0.2">
      <c r="A15" s="5">
        <v>3</v>
      </c>
      <c r="B15" s="5" t="s">
        <v>139</v>
      </c>
      <c r="C15" s="5" t="s">
        <v>4</v>
      </c>
      <c r="D15" s="5" t="s">
        <v>154</v>
      </c>
      <c r="E15" s="5" t="s">
        <v>215</v>
      </c>
      <c r="F15" s="5" t="s">
        <v>171</v>
      </c>
      <c r="G15" s="5" t="s">
        <v>180</v>
      </c>
      <c r="H15" s="5" t="s">
        <v>147</v>
      </c>
      <c r="J15" s="5" t="s">
        <v>193</v>
      </c>
      <c r="K15" s="7">
        <v>6</v>
      </c>
      <c r="L15" s="8">
        <f t="shared" si="7"/>
        <v>43136</v>
      </c>
      <c r="M15" s="8">
        <f t="shared" si="8"/>
        <v>43140</v>
      </c>
      <c r="N15" s="11">
        <v>2</v>
      </c>
      <c r="O15" s="7">
        <f t="shared" ca="1" si="3"/>
        <v>3</v>
      </c>
      <c r="P15" s="7">
        <f t="shared" ca="1" si="4"/>
        <v>1</v>
      </c>
      <c r="Q15" s="7">
        <f t="shared" ca="1" si="5"/>
        <v>1</v>
      </c>
      <c r="R15" s="11">
        <f t="shared" ca="1" si="6"/>
        <v>3</v>
      </c>
    </row>
    <row r="16" spans="1:18" x14ac:dyDescent="0.2">
      <c r="A16" s="5">
        <v>6</v>
      </c>
      <c r="B16" s="5" t="s">
        <v>6</v>
      </c>
      <c r="C16" s="5" t="s">
        <v>4</v>
      </c>
      <c r="D16" s="5" t="s">
        <v>155</v>
      </c>
      <c r="E16" s="5" t="s">
        <v>164</v>
      </c>
      <c r="F16" s="5" t="s">
        <v>172</v>
      </c>
      <c r="G16" s="5" t="s">
        <v>181</v>
      </c>
      <c r="H16" s="5" t="s">
        <v>147</v>
      </c>
      <c r="K16" s="7">
        <v>7</v>
      </c>
      <c r="L16" s="8">
        <f t="shared" si="7"/>
        <v>43143</v>
      </c>
      <c r="M16" s="8">
        <f t="shared" si="8"/>
        <v>43147</v>
      </c>
      <c r="N16" s="11"/>
      <c r="O16" s="7">
        <f t="shared" ca="1" si="3"/>
        <v>0</v>
      </c>
      <c r="P16" s="7">
        <f t="shared" ca="1" si="4"/>
        <v>0</v>
      </c>
      <c r="Q16" s="7">
        <f t="shared" ca="1" si="5"/>
        <v>0</v>
      </c>
      <c r="R16" s="11">
        <f t="shared" ca="1" si="6"/>
        <v>0</v>
      </c>
    </row>
    <row r="17" spans="1:18" x14ac:dyDescent="0.2">
      <c r="A17" s="5">
        <v>6</v>
      </c>
      <c r="B17" s="5" t="s">
        <v>140</v>
      </c>
      <c r="D17" s="5" t="s">
        <v>156</v>
      </c>
      <c r="E17" s="5" t="s">
        <v>165</v>
      </c>
      <c r="F17" s="5" t="s">
        <v>173</v>
      </c>
      <c r="G17" s="5" t="s">
        <v>182</v>
      </c>
      <c r="I17" s="5" t="s">
        <v>191</v>
      </c>
      <c r="K17" s="7">
        <v>8</v>
      </c>
      <c r="L17" s="8">
        <f>L16+7</f>
        <v>43150</v>
      </c>
      <c r="M17" s="8">
        <f t="shared" si="8"/>
        <v>43154</v>
      </c>
      <c r="N17" s="11">
        <v>1</v>
      </c>
      <c r="O17" s="7">
        <f t="shared" ca="1" si="3"/>
        <v>1</v>
      </c>
      <c r="P17" s="7">
        <f t="shared" ca="1" si="4"/>
        <v>1</v>
      </c>
      <c r="Q17" s="7">
        <f t="shared" ca="1" si="5"/>
        <v>0</v>
      </c>
      <c r="R17" s="11">
        <f t="shared" ca="1" si="6"/>
        <v>1</v>
      </c>
    </row>
    <row r="18" spans="1:18" x14ac:dyDescent="0.2">
      <c r="A18" s="5">
        <v>6</v>
      </c>
      <c r="B18" s="5" t="s">
        <v>139</v>
      </c>
      <c r="C18" s="5" t="s">
        <v>7</v>
      </c>
      <c r="D18" s="5" t="s">
        <v>157</v>
      </c>
      <c r="E18" s="5" t="s">
        <v>166</v>
      </c>
      <c r="F18" s="5" t="s">
        <v>174</v>
      </c>
      <c r="G18" s="5" t="s">
        <v>183</v>
      </c>
      <c r="H18" s="5" t="s">
        <v>147</v>
      </c>
      <c r="J18" s="5" t="s">
        <v>195</v>
      </c>
      <c r="K18" s="7">
        <v>9</v>
      </c>
      <c r="L18" s="8">
        <f t="shared" si="7"/>
        <v>43157</v>
      </c>
      <c r="M18" s="8">
        <f t="shared" si="8"/>
        <v>43161</v>
      </c>
      <c r="N18" s="11">
        <v>1</v>
      </c>
      <c r="O18" s="7">
        <f t="shared" ca="1" si="3"/>
        <v>2</v>
      </c>
      <c r="P18" s="7">
        <f t="shared" ca="1" si="4"/>
        <v>0</v>
      </c>
      <c r="Q18" s="7">
        <f t="shared" ca="1" si="5"/>
        <v>1</v>
      </c>
      <c r="R18" s="11">
        <f t="shared" ca="1" si="6"/>
        <v>2</v>
      </c>
    </row>
    <row r="19" spans="1:18" x14ac:dyDescent="0.2">
      <c r="A19" s="5">
        <v>8</v>
      </c>
      <c r="B19" s="5" t="s">
        <v>140</v>
      </c>
      <c r="D19" s="5" t="s">
        <v>158</v>
      </c>
      <c r="E19" s="5" t="s">
        <v>161</v>
      </c>
      <c r="F19" s="5" t="s">
        <v>175</v>
      </c>
      <c r="G19" s="5" t="s">
        <v>184</v>
      </c>
      <c r="I19" s="5" t="s">
        <v>192</v>
      </c>
      <c r="K19" s="7">
        <v>10</v>
      </c>
      <c r="L19" s="8">
        <f t="shared" si="7"/>
        <v>43164</v>
      </c>
      <c r="M19" s="8">
        <f t="shared" si="8"/>
        <v>43168</v>
      </c>
      <c r="N19" s="11"/>
      <c r="O19" s="7">
        <f t="shared" ca="1" si="3"/>
        <v>0</v>
      </c>
      <c r="P19" s="7">
        <f t="shared" ca="1" si="4"/>
        <v>0</v>
      </c>
      <c r="Q19" s="7">
        <f t="shared" ca="1" si="5"/>
        <v>0</v>
      </c>
      <c r="R19" s="11">
        <f t="shared" ca="1" si="6"/>
        <v>0</v>
      </c>
    </row>
    <row r="20" spans="1:18" x14ac:dyDescent="0.2">
      <c r="A20" s="5">
        <v>9</v>
      </c>
      <c r="B20" s="5" t="s">
        <v>139</v>
      </c>
      <c r="C20" s="5" t="s">
        <v>7</v>
      </c>
      <c r="D20" s="5" t="s">
        <v>159</v>
      </c>
      <c r="E20" s="5" t="s">
        <v>160</v>
      </c>
      <c r="F20" s="5" t="s">
        <v>168</v>
      </c>
      <c r="G20" s="5" t="s">
        <v>185</v>
      </c>
      <c r="H20" s="5" t="s">
        <v>147</v>
      </c>
      <c r="J20" s="5" t="s">
        <v>194</v>
      </c>
      <c r="K20" s="7">
        <v>11</v>
      </c>
      <c r="L20" s="8">
        <f t="shared" si="7"/>
        <v>43171</v>
      </c>
      <c r="M20" s="8">
        <f t="shared" si="8"/>
        <v>43175</v>
      </c>
      <c r="N20" s="11"/>
      <c r="O20" s="7">
        <f t="shared" ca="1" si="3"/>
        <v>0</v>
      </c>
      <c r="P20" s="7">
        <f t="shared" ca="1" si="4"/>
        <v>0</v>
      </c>
      <c r="Q20" s="7">
        <f t="shared" ca="1" si="5"/>
        <v>0</v>
      </c>
      <c r="R20" s="11">
        <f t="shared" ca="1" si="6"/>
        <v>0</v>
      </c>
    </row>
    <row r="21" spans="1:18" x14ac:dyDescent="0.2">
      <c r="A21" s="5">
        <v>9</v>
      </c>
      <c r="B21" s="5" t="s">
        <v>6</v>
      </c>
      <c r="C21" s="5" t="s">
        <v>4</v>
      </c>
      <c r="D21" s="5" t="s">
        <v>152</v>
      </c>
      <c r="E21" s="5" t="s">
        <v>161</v>
      </c>
      <c r="F21" s="5" t="s">
        <v>169</v>
      </c>
      <c r="G21" s="5" t="s">
        <v>177</v>
      </c>
      <c r="H21" s="5" t="s">
        <v>146</v>
      </c>
      <c r="K21" s="7">
        <v>12</v>
      </c>
      <c r="L21" s="8">
        <f t="shared" si="7"/>
        <v>43178</v>
      </c>
      <c r="M21" s="8">
        <f t="shared" si="8"/>
        <v>43182</v>
      </c>
      <c r="N21" s="11"/>
      <c r="O21" s="7">
        <f t="shared" ca="1" si="3"/>
        <v>0</v>
      </c>
      <c r="P21" s="7">
        <f t="shared" ca="1" si="4"/>
        <v>0</v>
      </c>
      <c r="Q21" s="7">
        <f t="shared" ca="1" si="5"/>
        <v>0</v>
      </c>
      <c r="R21" s="11">
        <f t="shared" ca="1" si="6"/>
        <v>0</v>
      </c>
    </row>
    <row r="22" spans="1:18" x14ac:dyDescent="0.2">
      <c r="K22" s="7">
        <v>13</v>
      </c>
      <c r="L22" s="8">
        <f t="shared" si="7"/>
        <v>43185</v>
      </c>
      <c r="M22" s="8">
        <f t="shared" si="8"/>
        <v>43189</v>
      </c>
      <c r="N22" s="11"/>
      <c r="O22" s="7">
        <f t="shared" ca="1" si="3"/>
        <v>0</v>
      </c>
      <c r="P22" s="7">
        <f t="shared" ca="1" si="4"/>
        <v>0</v>
      </c>
      <c r="Q22" s="7">
        <f t="shared" ca="1" si="5"/>
        <v>0</v>
      </c>
      <c r="R22" s="11">
        <f t="shared" ca="1" si="6"/>
        <v>0</v>
      </c>
    </row>
    <row r="23" spans="1:18" x14ac:dyDescent="0.2">
      <c r="A23" s="7"/>
      <c r="K23" s="7">
        <v>14</v>
      </c>
      <c r="L23" s="8">
        <f t="shared" si="7"/>
        <v>43192</v>
      </c>
      <c r="M23" s="8">
        <f t="shared" si="8"/>
        <v>43196</v>
      </c>
      <c r="N23" s="11"/>
      <c r="O23" s="7">
        <f t="shared" ca="1" si="3"/>
        <v>0</v>
      </c>
      <c r="P23" s="7">
        <f t="shared" ca="1" si="4"/>
        <v>0</v>
      </c>
      <c r="Q23" s="7">
        <f t="shared" ca="1" si="5"/>
        <v>0</v>
      </c>
      <c r="R23" s="11">
        <f t="shared" ca="1" si="6"/>
        <v>0</v>
      </c>
    </row>
    <row r="24" spans="1:18" x14ac:dyDescent="0.2">
      <c r="K24" s="7">
        <v>15</v>
      </c>
      <c r="L24" s="8">
        <f t="shared" si="7"/>
        <v>43199</v>
      </c>
      <c r="M24" s="8">
        <f t="shared" si="8"/>
        <v>43203</v>
      </c>
      <c r="N24" s="11"/>
      <c r="O24" s="7">
        <f t="shared" ca="1" si="3"/>
        <v>0</v>
      </c>
      <c r="P24" s="7">
        <f t="shared" ca="1" si="4"/>
        <v>0</v>
      </c>
      <c r="Q24" s="7">
        <f t="shared" ca="1" si="5"/>
        <v>0</v>
      </c>
      <c r="R24" s="11">
        <f t="shared" ca="1" si="6"/>
        <v>0</v>
      </c>
    </row>
    <row r="25" spans="1:18" x14ac:dyDescent="0.2">
      <c r="K25" s="7">
        <v>16</v>
      </c>
      <c r="L25" s="8">
        <f t="shared" si="7"/>
        <v>43206</v>
      </c>
      <c r="M25" s="8">
        <f t="shared" si="8"/>
        <v>43210</v>
      </c>
      <c r="N25" s="11"/>
      <c r="O25" s="7">
        <f t="shared" ca="1" si="3"/>
        <v>0</v>
      </c>
      <c r="P25" s="7">
        <f t="shared" ca="1" si="4"/>
        <v>0</v>
      </c>
      <c r="Q25" s="7">
        <f t="shared" ca="1" si="5"/>
        <v>0</v>
      </c>
      <c r="R25" s="11">
        <f t="shared" ca="1" si="6"/>
        <v>0</v>
      </c>
    </row>
    <row r="26" spans="1:18" x14ac:dyDescent="0.2">
      <c r="K26" s="7">
        <v>17</v>
      </c>
      <c r="L26" s="8">
        <f t="shared" si="7"/>
        <v>43213</v>
      </c>
      <c r="M26" s="8">
        <f t="shared" si="8"/>
        <v>43217</v>
      </c>
      <c r="N26" s="11"/>
      <c r="O26" s="7">
        <f t="shared" ca="1" si="3"/>
        <v>0</v>
      </c>
      <c r="P26" s="7">
        <f t="shared" ca="1" si="4"/>
        <v>0</v>
      </c>
      <c r="Q26" s="7">
        <f t="shared" ca="1" si="5"/>
        <v>0</v>
      </c>
      <c r="R26" s="11">
        <f t="shared" ca="1" si="6"/>
        <v>0</v>
      </c>
    </row>
    <row r="27" spans="1:18" x14ac:dyDescent="0.2">
      <c r="K27" s="7">
        <v>18</v>
      </c>
      <c r="L27" s="8">
        <f t="shared" si="7"/>
        <v>43220</v>
      </c>
      <c r="M27" s="8">
        <f t="shared" si="8"/>
        <v>43224</v>
      </c>
      <c r="N27" s="11"/>
      <c r="O27" s="7">
        <f t="shared" ca="1" si="3"/>
        <v>0</v>
      </c>
      <c r="P27" s="7">
        <f t="shared" ca="1" si="4"/>
        <v>0</v>
      </c>
      <c r="Q27" s="7">
        <f t="shared" ca="1" si="5"/>
        <v>0</v>
      </c>
      <c r="R27" s="11">
        <f t="shared" ca="1" si="6"/>
        <v>0</v>
      </c>
    </row>
    <row r="28" spans="1:18" x14ac:dyDescent="0.2">
      <c r="K28" s="7">
        <v>19</v>
      </c>
      <c r="L28" s="8">
        <f t="shared" si="7"/>
        <v>43227</v>
      </c>
      <c r="M28" s="8">
        <f t="shared" si="8"/>
        <v>43231</v>
      </c>
      <c r="N28" s="11"/>
      <c r="O28" s="7">
        <f t="shared" ca="1" si="3"/>
        <v>0</v>
      </c>
      <c r="P28" s="7">
        <f t="shared" ca="1" si="4"/>
        <v>0</v>
      </c>
      <c r="Q28" s="7">
        <f t="shared" ca="1" si="5"/>
        <v>0</v>
      </c>
      <c r="R28" s="11">
        <f t="shared" ca="1" si="6"/>
        <v>0</v>
      </c>
    </row>
    <row r="29" spans="1:18" x14ac:dyDescent="0.2">
      <c r="K29" s="7">
        <v>20</v>
      </c>
      <c r="L29" s="8">
        <f t="shared" si="7"/>
        <v>43234</v>
      </c>
      <c r="M29" s="8">
        <f t="shared" si="8"/>
        <v>43238</v>
      </c>
      <c r="N29" s="11"/>
      <c r="O29" s="7">
        <f t="shared" ca="1" si="3"/>
        <v>0</v>
      </c>
      <c r="P29" s="7">
        <f t="shared" ca="1" si="4"/>
        <v>0</v>
      </c>
      <c r="Q29" s="7">
        <f t="shared" ca="1" si="5"/>
        <v>0</v>
      </c>
      <c r="R29" s="11">
        <f t="shared" ca="1" si="6"/>
        <v>0</v>
      </c>
    </row>
    <row r="30" spans="1:18" x14ac:dyDescent="0.2">
      <c r="K30" s="7">
        <v>21</v>
      </c>
      <c r="L30" s="8">
        <f t="shared" si="7"/>
        <v>43241</v>
      </c>
      <c r="M30" s="8">
        <f t="shared" si="8"/>
        <v>43245</v>
      </c>
      <c r="N30" s="11"/>
      <c r="O30" s="7">
        <f t="shared" ca="1" si="3"/>
        <v>0</v>
      </c>
      <c r="P30" s="7">
        <f t="shared" ca="1" si="4"/>
        <v>0</v>
      </c>
      <c r="Q30" s="7">
        <f t="shared" ca="1" si="5"/>
        <v>0</v>
      </c>
      <c r="R30" s="11">
        <f t="shared" ca="1" si="6"/>
        <v>0</v>
      </c>
    </row>
    <row r="31" spans="1:18" x14ac:dyDescent="0.2">
      <c r="K31" s="7">
        <v>22</v>
      </c>
      <c r="L31" s="8">
        <f t="shared" si="7"/>
        <v>43248</v>
      </c>
      <c r="M31" s="8">
        <f t="shared" si="8"/>
        <v>43252</v>
      </c>
      <c r="N31" s="11"/>
      <c r="O31" s="7">
        <f t="shared" ca="1" si="3"/>
        <v>0</v>
      </c>
      <c r="P31" s="7">
        <f t="shared" ca="1" si="4"/>
        <v>0</v>
      </c>
      <c r="Q31" s="7">
        <f t="shared" ca="1" si="5"/>
        <v>0</v>
      </c>
      <c r="R31" s="11">
        <f t="shared" ca="1" si="6"/>
        <v>0</v>
      </c>
    </row>
    <row r="32" spans="1:18" x14ac:dyDescent="0.2">
      <c r="K32" s="7">
        <v>23</v>
      </c>
      <c r="L32" s="8">
        <f t="shared" si="7"/>
        <v>43255</v>
      </c>
      <c r="M32" s="8">
        <f t="shared" si="8"/>
        <v>43259</v>
      </c>
      <c r="N32" s="11"/>
      <c r="O32" s="7">
        <f t="shared" ca="1" si="3"/>
        <v>0</v>
      </c>
      <c r="P32" s="7">
        <f t="shared" ca="1" si="4"/>
        <v>0</v>
      </c>
      <c r="Q32" s="7">
        <f t="shared" ca="1" si="5"/>
        <v>0</v>
      </c>
      <c r="R32" s="11">
        <f t="shared" ca="1" si="6"/>
        <v>0</v>
      </c>
    </row>
    <row r="33" spans="11:18" x14ac:dyDescent="0.2">
      <c r="K33" s="7">
        <v>24</v>
      </c>
      <c r="L33" s="8">
        <f t="shared" si="7"/>
        <v>43262</v>
      </c>
      <c r="M33" s="8">
        <f t="shared" si="8"/>
        <v>43266</v>
      </c>
      <c r="N33" s="11"/>
      <c r="O33" s="7">
        <f t="shared" ca="1" si="3"/>
        <v>0</v>
      </c>
      <c r="P33" s="7">
        <f t="shared" ca="1" si="4"/>
        <v>0</v>
      </c>
      <c r="Q33" s="7">
        <f t="shared" ca="1" si="5"/>
        <v>0</v>
      </c>
      <c r="R33" s="11">
        <f t="shared" ca="1" si="6"/>
        <v>0</v>
      </c>
    </row>
    <row r="34" spans="11:18" x14ac:dyDescent="0.2">
      <c r="K34" s="7">
        <v>25</v>
      </c>
      <c r="L34" s="8">
        <f t="shared" si="7"/>
        <v>43269</v>
      </c>
      <c r="M34" s="8">
        <f t="shared" si="8"/>
        <v>43273</v>
      </c>
      <c r="N34" s="11"/>
      <c r="O34" s="7">
        <f t="shared" ca="1" si="3"/>
        <v>0</v>
      </c>
      <c r="P34" s="7">
        <f t="shared" ca="1" si="4"/>
        <v>0</v>
      </c>
      <c r="Q34" s="7">
        <f t="shared" ca="1" si="5"/>
        <v>0</v>
      </c>
      <c r="R34" s="11">
        <f t="shared" ca="1" si="6"/>
        <v>0</v>
      </c>
    </row>
    <row r="35" spans="11:18" x14ac:dyDescent="0.2">
      <c r="K35" s="7">
        <v>26</v>
      </c>
      <c r="L35" s="8">
        <f t="shared" si="7"/>
        <v>43276</v>
      </c>
      <c r="M35" s="8">
        <f t="shared" si="8"/>
        <v>43280</v>
      </c>
      <c r="N35" s="11"/>
      <c r="O35" s="7">
        <f t="shared" ca="1" si="3"/>
        <v>0</v>
      </c>
      <c r="P35" s="7">
        <f t="shared" ca="1" si="4"/>
        <v>0</v>
      </c>
      <c r="Q35" s="7">
        <f t="shared" ca="1" si="5"/>
        <v>0</v>
      </c>
      <c r="R35" s="11">
        <f t="shared" ca="1" si="6"/>
        <v>0</v>
      </c>
    </row>
    <row r="36" spans="11:18" x14ac:dyDescent="0.2">
      <c r="K36" s="7">
        <v>27</v>
      </c>
      <c r="L36" s="8">
        <f t="shared" si="7"/>
        <v>43283</v>
      </c>
      <c r="M36" s="8">
        <f t="shared" si="8"/>
        <v>43287</v>
      </c>
      <c r="N36" s="11"/>
      <c r="O36" s="7">
        <f t="shared" ca="1" si="3"/>
        <v>0</v>
      </c>
      <c r="P36" s="7">
        <f t="shared" ca="1" si="4"/>
        <v>0</v>
      </c>
      <c r="Q36" s="7">
        <f t="shared" ca="1" si="5"/>
        <v>0</v>
      </c>
      <c r="R36" s="11">
        <f t="shared" ca="1" si="6"/>
        <v>0</v>
      </c>
    </row>
    <row r="37" spans="11:18" x14ac:dyDescent="0.2">
      <c r="K37" s="7">
        <v>28</v>
      </c>
      <c r="L37" s="8">
        <f t="shared" si="7"/>
        <v>43290</v>
      </c>
      <c r="M37" s="8">
        <f t="shared" si="8"/>
        <v>43294</v>
      </c>
      <c r="N37" s="11"/>
      <c r="O37" s="7">
        <f t="shared" ca="1" si="3"/>
        <v>0</v>
      </c>
      <c r="P37" s="7">
        <f t="shared" ca="1" si="4"/>
        <v>0</v>
      </c>
      <c r="Q37" s="7">
        <f t="shared" ca="1" si="5"/>
        <v>0</v>
      </c>
      <c r="R37" s="11">
        <f t="shared" ca="1" si="6"/>
        <v>0</v>
      </c>
    </row>
    <row r="38" spans="11:18" x14ac:dyDescent="0.2">
      <c r="K38" s="7">
        <v>29</v>
      </c>
      <c r="L38" s="8">
        <f t="shared" si="7"/>
        <v>43297</v>
      </c>
      <c r="M38" s="8">
        <f t="shared" si="8"/>
        <v>43301</v>
      </c>
      <c r="N38" s="11"/>
      <c r="O38" s="7">
        <f t="shared" ca="1" si="3"/>
        <v>0</v>
      </c>
      <c r="P38" s="7">
        <f t="shared" ca="1" si="4"/>
        <v>0</v>
      </c>
      <c r="Q38" s="7">
        <f t="shared" ca="1" si="5"/>
        <v>0</v>
      </c>
      <c r="R38" s="11">
        <f t="shared" ca="1" si="6"/>
        <v>0</v>
      </c>
    </row>
    <row r="39" spans="11:18" x14ac:dyDescent="0.2">
      <c r="K39" s="7">
        <v>30</v>
      </c>
      <c r="L39" s="8">
        <f t="shared" si="7"/>
        <v>43304</v>
      </c>
      <c r="M39" s="8">
        <f t="shared" si="8"/>
        <v>43308</v>
      </c>
      <c r="N39" s="11"/>
      <c r="O39" s="7">
        <f t="shared" ca="1" si="3"/>
        <v>0</v>
      </c>
      <c r="P39" s="7">
        <f t="shared" ca="1" si="4"/>
        <v>0</v>
      </c>
      <c r="Q39" s="7">
        <f t="shared" ca="1" si="5"/>
        <v>0</v>
      </c>
      <c r="R39" s="11">
        <f t="shared" ca="1" si="6"/>
        <v>0</v>
      </c>
    </row>
    <row r="40" spans="11:18" x14ac:dyDescent="0.2">
      <c r="K40" s="7">
        <v>31</v>
      </c>
      <c r="L40" s="8">
        <f t="shared" si="7"/>
        <v>43311</v>
      </c>
      <c r="M40" s="8">
        <f t="shared" si="8"/>
        <v>43315</v>
      </c>
      <c r="N40" s="11"/>
      <c r="O40" s="7">
        <f t="shared" ca="1" si="3"/>
        <v>0</v>
      </c>
      <c r="P40" s="7">
        <f t="shared" ca="1" si="4"/>
        <v>0</v>
      </c>
      <c r="Q40" s="7">
        <f t="shared" ca="1" si="5"/>
        <v>0</v>
      </c>
      <c r="R40" s="11">
        <f t="shared" ca="1" si="6"/>
        <v>0</v>
      </c>
    </row>
    <row r="41" spans="11:18" x14ac:dyDescent="0.2">
      <c r="K41" s="7">
        <v>32</v>
      </c>
      <c r="L41" s="8">
        <f t="shared" si="7"/>
        <v>43318</v>
      </c>
      <c r="M41" s="8">
        <f t="shared" si="8"/>
        <v>43322</v>
      </c>
      <c r="N41" s="11"/>
      <c r="O41" s="7">
        <f t="shared" ca="1" si="3"/>
        <v>0</v>
      </c>
      <c r="P41" s="7">
        <f t="shared" ca="1" si="4"/>
        <v>0</v>
      </c>
      <c r="Q41" s="7">
        <f t="shared" ca="1" si="5"/>
        <v>0</v>
      </c>
      <c r="R41" s="11">
        <f t="shared" ca="1" si="6"/>
        <v>0</v>
      </c>
    </row>
    <row r="42" spans="11:18" x14ac:dyDescent="0.2">
      <c r="K42" s="7">
        <v>33</v>
      </c>
      <c r="L42" s="8">
        <f t="shared" si="7"/>
        <v>43325</v>
      </c>
      <c r="M42" s="8">
        <f t="shared" si="8"/>
        <v>43329</v>
      </c>
      <c r="N42" s="11"/>
      <c r="O42" s="7">
        <f t="shared" ca="1" si="3"/>
        <v>0</v>
      </c>
      <c r="P42" s="7">
        <f t="shared" ca="1" si="4"/>
        <v>0</v>
      </c>
      <c r="Q42" s="7">
        <f t="shared" ca="1" si="5"/>
        <v>0</v>
      </c>
      <c r="R42" s="11">
        <f t="shared" ca="1" si="6"/>
        <v>0</v>
      </c>
    </row>
    <row r="43" spans="11:18" x14ac:dyDescent="0.2">
      <c r="K43" s="7">
        <v>34</v>
      </c>
      <c r="L43" s="8">
        <f t="shared" si="7"/>
        <v>43332</v>
      </c>
      <c r="M43" s="8">
        <f t="shared" si="8"/>
        <v>43336</v>
      </c>
      <c r="N43" s="11"/>
      <c r="O43" s="7">
        <f t="shared" ca="1" si="3"/>
        <v>0</v>
      </c>
      <c r="P43" s="7">
        <f t="shared" ca="1" si="4"/>
        <v>0</v>
      </c>
      <c r="Q43" s="7">
        <f t="shared" ca="1" si="5"/>
        <v>0</v>
      </c>
      <c r="R43" s="11">
        <f t="shared" ca="1" si="6"/>
        <v>0</v>
      </c>
    </row>
    <row r="44" spans="11:18" x14ac:dyDescent="0.2">
      <c r="K44" s="7">
        <v>35</v>
      </c>
      <c r="L44" s="8">
        <f t="shared" si="7"/>
        <v>43339</v>
      </c>
      <c r="M44" s="8">
        <f t="shared" si="8"/>
        <v>43343</v>
      </c>
      <c r="N44" s="11"/>
      <c r="O44" s="7">
        <f t="shared" ca="1" si="3"/>
        <v>0</v>
      </c>
      <c r="P44" s="7">
        <f t="shared" ca="1" si="4"/>
        <v>0</v>
      </c>
      <c r="Q44" s="7">
        <f t="shared" ca="1" si="5"/>
        <v>0</v>
      </c>
      <c r="R44" s="11">
        <f t="shared" ca="1" si="6"/>
        <v>0</v>
      </c>
    </row>
    <row r="45" spans="11:18" x14ac:dyDescent="0.2">
      <c r="K45" s="7">
        <v>36</v>
      </c>
      <c r="L45" s="8">
        <f t="shared" si="7"/>
        <v>43346</v>
      </c>
      <c r="M45" s="8">
        <f t="shared" si="8"/>
        <v>43350</v>
      </c>
      <c r="N45" s="11"/>
      <c r="O45" s="7">
        <f t="shared" ca="1" si="3"/>
        <v>0</v>
      </c>
      <c r="P45" s="7">
        <f t="shared" ca="1" si="4"/>
        <v>0</v>
      </c>
      <c r="Q45" s="7">
        <f t="shared" ca="1" si="5"/>
        <v>0</v>
      </c>
      <c r="R45" s="11">
        <f t="shared" ca="1" si="6"/>
        <v>0</v>
      </c>
    </row>
    <row r="46" spans="11:18" x14ac:dyDescent="0.2">
      <c r="K46" s="7">
        <v>37</v>
      </c>
      <c r="L46" s="8">
        <f t="shared" si="7"/>
        <v>43353</v>
      </c>
      <c r="M46" s="8">
        <f t="shared" si="8"/>
        <v>43357</v>
      </c>
      <c r="N46" s="11"/>
      <c r="O46" s="7">
        <f t="shared" ca="1" si="3"/>
        <v>0</v>
      </c>
      <c r="P46" s="7">
        <f t="shared" ca="1" si="4"/>
        <v>0</v>
      </c>
      <c r="Q46" s="7">
        <f t="shared" ca="1" si="5"/>
        <v>0</v>
      </c>
      <c r="R46" s="11">
        <f t="shared" ca="1" si="6"/>
        <v>0</v>
      </c>
    </row>
    <row r="47" spans="11:18" x14ac:dyDescent="0.2">
      <c r="K47" s="7">
        <v>38</v>
      </c>
      <c r="L47" s="8">
        <f t="shared" si="7"/>
        <v>43360</v>
      </c>
      <c r="M47" s="8">
        <f t="shared" si="8"/>
        <v>43364</v>
      </c>
      <c r="N47" s="11"/>
      <c r="O47" s="7">
        <f t="shared" ca="1" si="3"/>
        <v>0</v>
      </c>
      <c r="P47" s="7">
        <f t="shared" ca="1" si="4"/>
        <v>0</v>
      </c>
      <c r="Q47" s="7">
        <f t="shared" ca="1" si="5"/>
        <v>0</v>
      </c>
      <c r="R47" s="11">
        <f t="shared" ca="1" si="6"/>
        <v>0</v>
      </c>
    </row>
    <row r="48" spans="11:18" x14ac:dyDescent="0.2">
      <c r="K48" s="7">
        <v>39</v>
      </c>
      <c r="L48" s="8">
        <f t="shared" si="7"/>
        <v>43367</v>
      </c>
      <c r="M48" s="8">
        <f t="shared" si="8"/>
        <v>43371</v>
      </c>
      <c r="N48" s="11"/>
      <c r="O48" s="7">
        <f t="shared" ca="1" si="3"/>
        <v>0</v>
      </c>
      <c r="P48" s="7">
        <f t="shared" ca="1" si="4"/>
        <v>0</v>
      </c>
      <c r="Q48" s="7">
        <f t="shared" ca="1" si="5"/>
        <v>0</v>
      </c>
      <c r="R48" s="11">
        <f t="shared" ca="1" si="6"/>
        <v>0</v>
      </c>
    </row>
    <row r="49" spans="11:18" x14ac:dyDescent="0.2">
      <c r="K49" s="7">
        <v>40</v>
      </c>
      <c r="L49" s="8">
        <f t="shared" si="7"/>
        <v>43374</v>
      </c>
      <c r="M49" s="8">
        <f t="shared" si="8"/>
        <v>43378</v>
      </c>
      <c r="N49" s="11"/>
      <c r="O49" s="7">
        <f t="shared" ca="1" si="3"/>
        <v>0</v>
      </c>
      <c r="P49" s="7">
        <f t="shared" ca="1" si="4"/>
        <v>0</v>
      </c>
      <c r="Q49" s="7">
        <f t="shared" ca="1" si="5"/>
        <v>0</v>
      </c>
      <c r="R49" s="11">
        <f t="shared" ca="1" si="6"/>
        <v>0</v>
      </c>
    </row>
    <row r="50" spans="11:18" x14ac:dyDescent="0.2">
      <c r="K50" s="7">
        <v>41</v>
      </c>
      <c r="L50" s="8">
        <f t="shared" si="7"/>
        <v>43381</v>
      </c>
      <c r="M50" s="8">
        <f t="shared" si="8"/>
        <v>43385</v>
      </c>
      <c r="N50" s="11"/>
      <c r="O50" s="7">
        <f t="shared" ca="1" si="3"/>
        <v>0</v>
      </c>
      <c r="P50" s="7">
        <f t="shared" ca="1" si="4"/>
        <v>0</v>
      </c>
      <c r="Q50" s="7">
        <f t="shared" ca="1" si="5"/>
        <v>0</v>
      </c>
      <c r="R50" s="11">
        <f t="shared" ca="1" si="6"/>
        <v>0</v>
      </c>
    </row>
    <row r="51" spans="11:18" x14ac:dyDescent="0.2">
      <c r="K51" s="7">
        <v>42</v>
      </c>
      <c r="L51" s="8">
        <f t="shared" si="7"/>
        <v>43388</v>
      </c>
      <c r="M51" s="8">
        <f t="shared" si="8"/>
        <v>43392</v>
      </c>
      <c r="N51" s="11"/>
      <c r="O51" s="7">
        <f t="shared" ca="1" si="3"/>
        <v>0</v>
      </c>
      <c r="P51" s="7">
        <f t="shared" ca="1" si="4"/>
        <v>0</v>
      </c>
      <c r="Q51" s="7">
        <f t="shared" ca="1" si="5"/>
        <v>0</v>
      </c>
      <c r="R51" s="11">
        <f t="shared" ca="1" si="6"/>
        <v>0</v>
      </c>
    </row>
    <row r="52" spans="11:18" x14ac:dyDescent="0.2">
      <c r="K52" s="7">
        <v>43</v>
      </c>
      <c r="L52" s="8">
        <f t="shared" si="7"/>
        <v>43395</v>
      </c>
      <c r="M52" s="8">
        <f t="shared" si="8"/>
        <v>43399</v>
      </c>
      <c r="N52" s="11"/>
      <c r="O52" s="7">
        <f t="shared" ca="1" si="3"/>
        <v>0</v>
      </c>
      <c r="P52" s="7">
        <f t="shared" ca="1" si="4"/>
        <v>0</v>
      </c>
      <c r="Q52" s="7">
        <f t="shared" ca="1" si="5"/>
        <v>0</v>
      </c>
      <c r="R52" s="11">
        <f t="shared" ca="1" si="6"/>
        <v>0</v>
      </c>
    </row>
    <row r="53" spans="11:18" x14ac:dyDescent="0.2">
      <c r="K53" s="7">
        <v>44</v>
      </c>
      <c r="L53" s="8">
        <f t="shared" si="7"/>
        <v>43402</v>
      </c>
      <c r="M53" s="8">
        <f t="shared" si="8"/>
        <v>43406</v>
      </c>
      <c r="N53" s="11"/>
      <c r="O53" s="7">
        <f t="shared" ca="1" si="3"/>
        <v>0</v>
      </c>
      <c r="P53" s="7">
        <f t="shared" ca="1" si="4"/>
        <v>0</v>
      </c>
      <c r="Q53" s="7">
        <f t="shared" ca="1" si="5"/>
        <v>0</v>
      </c>
      <c r="R53" s="11">
        <f t="shared" ca="1" si="6"/>
        <v>0</v>
      </c>
    </row>
    <row r="54" spans="11:18" x14ac:dyDescent="0.2">
      <c r="K54" s="7">
        <v>45</v>
      </c>
      <c r="L54" s="8">
        <f t="shared" si="7"/>
        <v>43409</v>
      </c>
      <c r="M54" s="8">
        <f t="shared" si="8"/>
        <v>43413</v>
      </c>
      <c r="N54" s="11"/>
      <c r="O54" s="7">
        <f t="shared" ca="1" si="3"/>
        <v>0</v>
      </c>
      <c r="P54" s="7">
        <f t="shared" ca="1" si="4"/>
        <v>0</v>
      </c>
      <c r="Q54" s="7">
        <f t="shared" ca="1" si="5"/>
        <v>0</v>
      </c>
      <c r="R54" s="11">
        <f t="shared" ca="1" si="6"/>
        <v>0</v>
      </c>
    </row>
    <row r="55" spans="11:18" x14ac:dyDescent="0.2">
      <c r="K55" s="7">
        <v>46</v>
      </c>
      <c r="L55" s="8">
        <f t="shared" si="7"/>
        <v>43416</v>
      </c>
      <c r="M55" s="8">
        <f t="shared" si="8"/>
        <v>43420</v>
      </c>
      <c r="N55" s="11"/>
      <c r="O55" s="7">
        <f t="shared" ca="1" si="3"/>
        <v>0</v>
      </c>
      <c r="P55" s="7">
        <f t="shared" ca="1" si="4"/>
        <v>0</v>
      </c>
      <c r="Q55" s="7">
        <f t="shared" ca="1" si="5"/>
        <v>0</v>
      </c>
      <c r="R55" s="11">
        <f t="shared" ca="1" si="6"/>
        <v>0</v>
      </c>
    </row>
    <row r="56" spans="11:18" x14ac:dyDescent="0.2">
      <c r="K56" s="7">
        <v>47</v>
      </c>
      <c r="L56" s="8">
        <f t="shared" si="7"/>
        <v>43423</v>
      </c>
      <c r="M56" s="8">
        <f t="shared" si="8"/>
        <v>43427</v>
      </c>
      <c r="N56" s="11"/>
      <c r="O56" s="7">
        <f t="shared" ca="1" si="3"/>
        <v>0</v>
      </c>
      <c r="P56" s="7">
        <f t="shared" ca="1" si="4"/>
        <v>0</v>
      </c>
      <c r="Q56" s="7">
        <f t="shared" ca="1" si="5"/>
        <v>0</v>
      </c>
      <c r="R56" s="11">
        <f t="shared" ca="1" si="6"/>
        <v>0</v>
      </c>
    </row>
    <row r="57" spans="11:18" x14ac:dyDescent="0.2">
      <c r="K57" s="7">
        <v>48</v>
      </c>
      <c r="L57" s="8">
        <f t="shared" si="7"/>
        <v>43430</v>
      </c>
      <c r="M57" s="8">
        <f t="shared" si="8"/>
        <v>43434</v>
      </c>
      <c r="N57" s="11"/>
      <c r="O57" s="7">
        <f t="shared" ca="1" si="3"/>
        <v>0</v>
      </c>
      <c r="P57" s="7">
        <f t="shared" ca="1" si="4"/>
        <v>0</v>
      </c>
      <c r="Q57" s="7">
        <f t="shared" ca="1" si="5"/>
        <v>0</v>
      </c>
      <c r="R57" s="11">
        <f t="shared" ca="1" si="6"/>
        <v>0</v>
      </c>
    </row>
    <row r="58" spans="11:18" x14ac:dyDescent="0.2">
      <c r="K58" s="7">
        <v>49</v>
      </c>
      <c r="L58" s="8">
        <f t="shared" si="7"/>
        <v>43437</v>
      </c>
      <c r="M58" s="8">
        <f t="shared" si="8"/>
        <v>43441</v>
      </c>
      <c r="N58" s="11"/>
      <c r="O58" s="7">
        <f t="shared" ca="1" si="3"/>
        <v>0</v>
      </c>
      <c r="P58" s="7">
        <f t="shared" ca="1" si="4"/>
        <v>0</v>
      </c>
      <c r="Q58" s="7">
        <f t="shared" ca="1" si="5"/>
        <v>0</v>
      </c>
      <c r="R58" s="11">
        <f t="shared" ca="1" si="6"/>
        <v>0</v>
      </c>
    </row>
    <row r="59" spans="11:18" x14ac:dyDescent="0.2">
      <c r="K59" s="7">
        <v>50</v>
      </c>
      <c r="L59" s="8">
        <f t="shared" si="7"/>
        <v>43444</v>
      </c>
      <c r="M59" s="8">
        <f t="shared" si="8"/>
        <v>43448</v>
      </c>
      <c r="N59" s="11"/>
      <c r="O59" s="7">
        <f t="shared" ca="1" si="3"/>
        <v>0</v>
      </c>
      <c r="P59" s="7">
        <f t="shared" ca="1" si="4"/>
        <v>0</v>
      </c>
      <c r="Q59" s="7">
        <f t="shared" ca="1" si="5"/>
        <v>0</v>
      </c>
      <c r="R59" s="11">
        <f t="shared" ca="1" si="6"/>
        <v>0</v>
      </c>
    </row>
    <row r="60" spans="11:18" x14ac:dyDescent="0.2">
      <c r="K60" s="7">
        <v>51</v>
      </c>
      <c r="L60" s="8">
        <f t="shared" si="7"/>
        <v>43451</v>
      </c>
      <c r="M60" s="8">
        <f t="shared" si="8"/>
        <v>43455</v>
      </c>
      <c r="N60" s="11"/>
      <c r="O60" s="7">
        <f t="shared" ca="1" si="3"/>
        <v>0</v>
      </c>
      <c r="P60" s="7">
        <f t="shared" ca="1" si="4"/>
        <v>0</v>
      </c>
      <c r="Q60" s="7">
        <f t="shared" ca="1" si="5"/>
        <v>0</v>
      </c>
      <c r="R60" s="11">
        <f t="shared" ca="1" si="6"/>
        <v>0</v>
      </c>
    </row>
    <row r="61" spans="11:18" x14ac:dyDescent="0.2">
      <c r="K61" s="7">
        <v>52</v>
      </c>
      <c r="L61" s="8">
        <f t="shared" si="7"/>
        <v>43458</v>
      </c>
      <c r="M61" s="8">
        <f t="shared" si="8"/>
        <v>43462</v>
      </c>
      <c r="N61" s="11"/>
      <c r="O61" s="7">
        <f t="shared" ca="1" si="3"/>
        <v>0</v>
      </c>
      <c r="P61" s="7">
        <f t="shared" ca="1" si="4"/>
        <v>0</v>
      </c>
      <c r="Q61" s="7">
        <f t="shared" ca="1" si="5"/>
        <v>0</v>
      </c>
      <c r="R61" s="11">
        <f t="shared" ca="1" si="6"/>
        <v>0</v>
      </c>
    </row>
  </sheetData>
  <conditionalFormatting sqref="R9">
    <cfRule type="expression" dxfId="57" priority="7">
      <formula>$O$61&lt;&gt;$R$61</formula>
    </cfRule>
    <cfRule type="expression" dxfId="56" priority="8">
      <formula>$O$60&lt;&gt;$R$60</formula>
    </cfRule>
    <cfRule type="expression" dxfId="55" priority="9">
      <formula>$O$59&lt;&gt;$R$59</formula>
    </cfRule>
    <cfRule type="expression" dxfId="54" priority="10">
      <formula>$O$58&lt;&gt;$R$58</formula>
    </cfRule>
    <cfRule type="expression" dxfId="53" priority="11">
      <formula>$O$57&lt;&gt;$R$57</formula>
    </cfRule>
    <cfRule type="expression" dxfId="52" priority="12">
      <formula>$O$56&lt;&gt;$R$56</formula>
    </cfRule>
    <cfRule type="expression" dxfId="51" priority="13">
      <formula>$O$55&lt;&gt;$R$55</formula>
    </cfRule>
    <cfRule type="expression" dxfId="50" priority="14">
      <formula>$O$54&lt;&gt;$R$54</formula>
    </cfRule>
    <cfRule type="expression" dxfId="49" priority="15">
      <formula>$O$53&lt;&gt;$R$53</formula>
    </cfRule>
    <cfRule type="expression" dxfId="48" priority="16">
      <formula>$O$52&lt;&gt;$R$52</formula>
    </cfRule>
    <cfRule type="expression" dxfId="47" priority="17">
      <formula>$O$51&lt;&gt;$R$51</formula>
    </cfRule>
    <cfRule type="expression" dxfId="46" priority="18">
      <formula>$O$50&lt;&gt;$R$50</formula>
    </cfRule>
    <cfRule type="expression" dxfId="45" priority="19">
      <formula>$O$49&lt;&gt;$R$49</formula>
    </cfRule>
    <cfRule type="expression" dxfId="44" priority="20">
      <formula>$O$48&lt;&gt;$R$48</formula>
    </cfRule>
    <cfRule type="expression" dxfId="43" priority="21">
      <formula>$O$47&lt;&gt;$R$47</formula>
    </cfRule>
    <cfRule type="expression" dxfId="42" priority="22">
      <formula>$O$46&lt;&gt;$R$46</formula>
    </cfRule>
    <cfRule type="expression" dxfId="41" priority="23">
      <formula>$O$45&lt;&gt;$R$45</formula>
    </cfRule>
    <cfRule type="expression" dxfId="40" priority="24">
      <formula>$O$44&lt;&gt;$R$44</formula>
    </cfRule>
    <cfRule type="expression" dxfId="39" priority="25">
      <formula>$O$43&lt;&gt;$R$43</formula>
    </cfRule>
    <cfRule type="expression" dxfId="38" priority="26">
      <formula>$O$42&lt;&gt;$R$42</formula>
    </cfRule>
    <cfRule type="expression" dxfId="37" priority="27">
      <formula>$O$41&lt;&gt;$R$41</formula>
    </cfRule>
    <cfRule type="expression" dxfId="36" priority="28">
      <formula>$O$40&lt;&gt;$R$40</formula>
    </cfRule>
    <cfRule type="expression" dxfId="35" priority="29">
      <formula>$O$39&lt;&gt;$R$39</formula>
    </cfRule>
    <cfRule type="expression" dxfId="34" priority="30">
      <formula>$O$38&lt;&gt;$R$38</formula>
    </cfRule>
    <cfRule type="expression" dxfId="33" priority="31">
      <formula>$O$37&lt;&gt;$R$37</formula>
    </cfRule>
    <cfRule type="expression" dxfId="32" priority="32">
      <formula>$O$36&lt;&gt;$R$36</formula>
    </cfRule>
    <cfRule type="expression" dxfId="31" priority="33">
      <formula>$O$35&lt;&gt;$R$35</formula>
    </cfRule>
    <cfRule type="expression" dxfId="30" priority="34">
      <formula>$O$34&lt;&gt;$R$34</formula>
    </cfRule>
    <cfRule type="expression" dxfId="29" priority="35">
      <formula>$O$33&lt;&gt;$R$33</formula>
    </cfRule>
    <cfRule type="expression" dxfId="28" priority="36">
      <formula>$O$32&lt;&gt;$R$32</formula>
    </cfRule>
    <cfRule type="expression" dxfId="27" priority="37">
      <formula>$O$31&lt;&gt;$R$31</formula>
    </cfRule>
    <cfRule type="expression" dxfId="26" priority="38">
      <formula>$O$30&lt;&gt;$R$30</formula>
    </cfRule>
    <cfRule type="expression" dxfId="25" priority="39">
      <formula>$O$29&lt;&gt;$R$29</formula>
    </cfRule>
    <cfRule type="expression" dxfId="24" priority="40">
      <formula>$O$28&lt;&gt;$R$28</formula>
    </cfRule>
    <cfRule type="expression" dxfId="23" priority="41">
      <formula>$O$27&lt;&gt;$R$27</formula>
    </cfRule>
    <cfRule type="expression" dxfId="22" priority="42">
      <formula>$O$26&lt;&gt;$R$26</formula>
    </cfRule>
    <cfRule type="expression" dxfId="21" priority="43">
      <formula>$O$25&lt;&gt;$R$25</formula>
    </cfRule>
    <cfRule type="expression" dxfId="20" priority="44">
      <formula>$O$24&lt;&gt;$R$24</formula>
    </cfRule>
    <cfRule type="expression" dxfId="19" priority="45">
      <formula>$O$23&lt;&gt;$R$23</formula>
    </cfRule>
    <cfRule type="expression" dxfId="18" priority="46">
      <formula>$O$22&lt;&gt;$R$22</formula>
    </cfRule>
    <cfRule type="expression" dxfId="17" priority="47">
      <formula>$O$21&lt;&gt;$R$21</formula>
    </cfRule>
    <cfRule type="expression" dxfId="16" priority="51">
      <formula>$O$20&lt;&gt;$R$20</formula>
    </cfRule>
    <cfRule type="expression" dxfId="15" priority="52">
      <formula>$O$19&lt;&gt;$R$19</formula>
    </cfRule>
    <cfRule type="expression" dxfId="14" priority="53">
      <formula>$O$18&lt;&gt;$R$18</formula>
    </cfRule>
    <cfRule type="expression" dxfId="13" priority="54">
      <formula>$O$17&lt;&gt;$R$17</formula>
    </cfRule>
    <cfRule type="expression" dxfId="12" priority="55">
      <formula>$O$16&lt;&gt;$R$16</formula>
    </cfRule>
    <cfRule type="expression" dxfId="11" priority="56">
      <formula>$O$15&lt;&gt;$R$15</formula>
    </cfRule>
    <cfRule type="expression" dxfId="10" priority="57">
      <formula>$O$14&lt;&gt;$R$14</formula>
    </cfRule>
    <cfRule type="expression" dxfId="9" priority="58">
      <formula>$O$13&lt;&gt;$R$13</formula>
    </cfRule>
    <cfRule type="expression" dxfId="8" priority="59">
      <formula>$O$12&lt;&gt;$R$12</formula>
    </cfRule>
    <cfRule type="expression" dxfId="7" priority="62">
      <formula>$O$11&lt;&gt;$R$11</formula>
    </cfRule>
    <cfRule type="expression" dxfId="6" priority="63">
      <formula>$O$10&lt;&gt;$R$10</formula>
    </cfRule>
  </conditionalFormatting>
  <dataValidations count="5">
    <dataValidation type="list" allowBlank="1" showInputMessage="1" showErrorMessage="1" sqref="H130:H204">
      <formula1>$H$2:$H$7</formula1>
    </dataValidation>
    <dataValidation type="list" allowBlank="1" showInputMessage="1" showErrorMessage="1" sqref="B10:B329">
      <formula1>$H$6:$H$8</formula1>
    </dataValidation>
    <dataValidation type="list" allowBlank="1" showInputMessage="1" showErrorMessage="1" sqref="C10:C204">
      <formula1>$C$3:$C$6</formula1>
    </dataValidation>
    <dataValidation type="list" allowBlank="1" showInputMessage="1" showErrorMessage="1" sqref="H10:H129">
      <formula1>$H$2:$H$5</formula1>
    </dataValidation>
    <dataValidation type="list" allowBlank="1" showInputMessage="1" showErrorMessage="1" sqref="E10:E204">
      <formula1>$K$2:$R$2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L95"/>
  <sheetViews>
    <sheetView workbookViewId="0">
      <pane ySplit="3" topLeftCell="A4" activePane="bottomLeft" state="frozen"/>
      <selection pane="bottomLeft" activeCell="Q12" sqref="Q12"/>
    </sheetView>
    <sheetView workbookViewId="1">
      <selection activeCell="C6" sqref="C6"/>
    </sheetView>
  </sheetViews>
  <sheetFormatPr defaultRowHeight="12.75" x14ac:dyDescent="0.2"/>
  <cols>
    <col min="1" max="1" width="6.5703125" style="5" customWidth="1"/>
    <col min="2" max="3" width="9.140625" style="5"/>
    <col min="4" max="4" width="11.140625" style="5" customWidth="1"/>
    <col min="5" max="5" width="9.140625" style="5"/>
    <col min="6" max="6" width="11.42578125" style="5" customWidth="1"/>
    <col min="7" max="7" width="23.85546875" style="4" customWidth="1"/>
    <col min="8" max="9" width="9.140625" style="7"/>
    <col min="10" max="10" width="6.85546875" style="7" customWidth="1"/>
    <col min="11" max="11" width="8.7109375" style="7" customWidth="1"/>
    <col min="12" max="12" width="8" style="7" customWidth="1"/>
    <col min="13" max="13" width="9.140625" style="7"/>
    <col min="14" max="14" width="6.7109375" style="7" customWidth="1"/>
    <col min="15" max="15" width="8.42578125" style="7" customWidth="1"/>
    <col min="16" max="16" width="6" style="7" customWidth="1"/>
    <col min="17" max="17" width="6.85546875" style="7" customWidth="1"/>
    <col min="18" max="18" width="7.140625" style="7" customWidth="1"/>
    <col min="19" max="19" width="6.7109375" style="7" customWidth="1"/>
    <col min="20" max="20" width="9.140625" style="7"/>
    <col min="21" max="21" width="8.5703125" style="7" customWidth="1"/>
    <col min="22" max="22" width="6.85546875" style="7" customWidth="1"/>
    <col min="23" max="23" width="8.5703125" style="7" customWidth="1"/>
    <col min="24" max="24" width="8.140625" style="5" customWidth="1"/>
    <col min="25" max="25" width="7.5703125" style="5" customWidth="1"/>
    <col min="26" max="26" width="7.7109375" style="5" customWidth="1"/>
    <col min="27" max="27" width="10.7109375" style="5" customWidth="1"/>
    <col min="28" max="31" width="9.140625" style="5"/>
    <col min="32" max="32" width="16.28515625" style="23" customWidth="1"/>
    <col min="33" max="33" width="19.28515625" style="23" customWidth="1"/>
    <col min="34" max="34" width="10.42578125" style="23" customWidth="1"/>
    <col min="35" max="35" width="8.140625" style="23" customWidth="1"/>
    <col min="36" max="36" width="7.85546875" style="24" customWidth="1"/>
    <col min="37" max="37" width="5" style="25" customWidth="1"/>
    <col min="38" max="38" width="4.140625" style="23" customWidth="1"/>
    <col min="39" max="16384" width="9.140625" style="5"/>
  </cols>
  <sheetData>
    <row r="2" spans="1:38" s="1" customFormat="1" ht="54" customHeight="1" x14ac:dyDescent="0.25">
      <c r="A2" s="1" t="s">
        <v>13</v>
      </c>
      <c r="B2" s="1" t="s">
        <v>197</v>
      </c>
      <c r="C2" s="1" t="s">
        <v>196</v>
      </c>
      <c r="D2" s="1" t="s">
        <v>210</v>
      </c>
      <c r="E2" s="1" t="s">
        <v>118</v>
      </c>
      <c r="F2" s="1" t="s">
        <v>15</v>
      </c>
      <c r="G2" s="1" t="s">
        <v>14</v>
      </c>
      <c r="H2" s="1" t="s">
        <v>16</v>
      </c>
      <c r="I2" s="1" t="s">
        <v>246</v>
      </c>
      <c r="J2" s="1" t="s">
        <v>250</v>
      </c>
      <c r="K2" s="1" t="s">
        <v>254</v>
      </c>
      <c r="L2" s="1" t="s">
        <v>220</v>
      </c>
      <c r="M2" s="1" t="s">
        <v>206</v>
      </c>
      <c r="N2" s="1" t="s">
        <v>198</v>
      </c>
      <c r="O2" s="1" t="s">
        <v>221</v>
      </c>
      <c r="P2" s="1" t="s">
        <v>251</v>
      </c>
      <c r="Q2" s="1" t="s">
        <v>220</v>
      </c>
      <c r="R2" s="1" t="s">
        <v>247</v>
      </c>
      <c r="S2" s="1" t="s">
        <v>198</v>
      </c>
      <c r="T2" s="1" t="s">
        <v>252</v>
      </c>
      <c r="U2" s="1" t="s">
        <v>199</v>
      </c>
      <c r="V2" s="1" t="s">
        <v>200</v>
      </c>
      <c r="W2" s="1" t="s">
        <v>201</v>
      </c>
      <c r="X2" s="1" t="s">
        <v>253</v>
      </c>
      <c r="Y2" s="1" t="s">
        <v>202</v>
      </c>
      <c r="Z2" s="1" t="s">
        <v>203</v>
      </c>
      <c r="AA2" s="1" t="s">
        <v>204</v>
      </c>
      <c r="AB2" s="1" t="s">
        <v>205</v>
      </c>
      <c r="AF2" s="26" t="s">
        <v>143</v>
      </c>
      <c r="AG2" s="26" t="s">
        <v>144</v>
      </c>
      <c r="AH2" s="27" t="s">
        <v>18</v>
      </c>
      <c r="AI2" s="27" t="s">
        <v>145</v>
      </c>
      <c r="AJ2" s="28" t="s">
        <v>19</v>
      </c>
      <c r="AK2" s="35"/>
      <c r="AL2" s="36" t="s">
        <v>20</v>
      </c>
    </row>
    <row r="3" spans="1:38" ht="15" customHeight="1" x14ac:dyDescent="0.2">
      <c r="A3" s="1"/>
      <c r="B3" s="1"/>
      <c r="C3" s="1"/>
      <c r="D3" s="1"/>
      <c r="E3" s="1"/>
      <c r="F3" s="1"/>
      <c r="G3" s="99" t="s">
        <v>248</v>
      </c>
      <c r="H3" s="1">
        <f>SUBTOTAL(9,H4:H95)</f>
        <v>44</v>
      </c>
      <c r="I3" s="1">
        <f t="shared" ref="I3:AB3" si="0">SUBTOTAL(9,I4:I95)</f>
        <v>23</v>
      </c>
      <c r="J3" s="1">
        <f t="shared" si="0"/>
        <v>9</v>
      </c>
      <c r="K3" s="1">
        <f t="shared" si="0"/>
        <v>1</v>
      </c>
      <c r="L3" s="1">
        <f t="shared" si="0"/>
        <v>3</v>
      </c>
      <c r="M3" s="1">
        <f t="shared" si="0"/>
        <v>0</v>
      </c>
      <c r="N3" s="1">
        <f t="shared" si="0"/>
        <v>3</v>
      </c>
      <c r="O3" s="1">
        <f t="shared" si="0"/>
        <v>2</v>
      </c>
      <c r="P3" s="1">
        <f t="shared" si="0"/>
        <v>7</v>
      </c>
      <c r="Q3" s="1">
        <f t="shared" si="0"/>
        <v>1</v>
      </c>
      <c r="R3" s="1">
        <f t="shared" si="0"/>
        <v>2</v>
      </c>
      <c r="S3" s="1">
        <f t="shared" si="0"/>
        <v>4</v>
      </c>
      <c r="T3" s="1">
        <f t="shared" si="0"/>
        <v>5</v>
      </c>
      <c r="U3" s="1">
        <f t="shared" si="0"/>
        <v>1</v>
      </c>
      <c r="V3" s="1">
        <f t="shared" si="0"/>
        <v>2</v>
      </c>
      <c r="W3" s="1">
        <f t="shared" si="0"/>
        <v>2</v>
      </c>
      <c r="X3" s="1">
        <f t="shared" si="0"/>
        <v>2</v>
      </c>
      <c r="Y3" s="1">
        <f t="shared" si="0"/>
        <v>2</v>
      </c>
      <c r="Z3" s="1">
        <f t="shared" si="0"/>
        <v>0</v>
      </c>
      <c r="AA3" s="1">
        <f t="shared" si="0"/>
        <v>0</v>
      </c>
      <c r="AB3" s="1">
        <f t="shared" si="0"/>
        <v>0</v>
      </c>
      <c r="AC3" s="1"/>
      <c r="AD3" s="1"/>
      <c r="AE3" s="1"/>
      <c r="AF3" s="23" t="s">
        <v>97</v>
      </c>
      <c r="AG3" s="34" t="s">
        <v>90</v>
      </c>
      <c r="AH3" s="23" t="s">
        <v>96</v>
      </c>
      <c r="AI3" s="23" t="s">
        <v>227</v>
      </c>
      <c r="AJ3" s="32">
        <f t="shared" ref="AJ3:AJ4" si="1">365*AK3+AK3/4+1</f>
        <v>7306</v>
      </c>
      <c r="AK3" s="25">
        <v>20</v>
      </c>
      <c r="AL3" s="23" t="s">
        <v>23</v>
      </c>
    </row>
    <row r="4" spans="1:38" ht="15" customHeight="1" x14ac:dyDescent="0.2">
      <c r="A4" s="7">
        <v>1</v>
      </c>
      <c r="B4" s="5" t="s">
        <v>150</v>
      </c>
      <c r="C4" s="5" t="str">
        <f>INDEX(СМУ!E$10:E$304,MATCH(B4,СМУ!D$10:D$304,))</f>
        <v>город</v>
      </c>
      <c r="D4" s="5" t="s">
        <v>222</v>
      </c>
      <c r="E4" s="5" t="s">
        <v>37</v>
      </c>
      <c r="F4" s="29" t="str">
        <f>INDEX(AF$2:AJ$94,MATCH(E4,AF$2:AF$94,),4)</f>
        <v>пс</v>
      </c>
      <c r="G4" s="30" t="str">
        <f>INDEX(AF$2:AJ$94,MATCH(E4,AF$2:AF$94,),2)</f>
        <v>башенный кран</v>
      </c>
      <c r="H4" s="7">
        <v>2</v>
      </c>
      <c r="I4" s="7">
        <f>J4+P4+T4+X4</f>
        <v>1</v>
      </c>
      <c r="J4" s="7">
        <f>K4+L4+M4+N4+O4</f>
        <v>0</v>
      </c>
      <c r="P4" s="7">
        <f>Q4+R4+S4</f>
        <v>1</v>
      </c>
      <c r="R4" s="7">
        <v>1</v>
      </c>
      <c r="T4" s="7">
        <f>U4+V4+W4</f>
        <v>0</v>
      </c>
      <c r="X4" s="7">
        <f>Y4+Z4+AA4+AB4</f>
        <v>0</v>
      </c>
      <c r="Y4" s="29"/>
      <c r="Z4" s="29"/>
      <c r="AA4" s="29"/>
      <c r="AB4" s="29"/>
      <c r="AF4" s="23" t="s">
        <v>98</v>
      </c>
      <c r="AG4" s="34" t="s">
        <v>90</v>
      </c>
      <c r="AH4" s="23" t="s">
        <v>96</v>
      </c>
      <c r="AI4" s="23" t="s">
        <v>227</v>
      </c>
      <c r="AJ4" s="32">
        <f t="shared" si="1"/>
        <v>7306</v>
      </c>
      <c r="AK4" s="25">
        <v>20</v>
      </c>
      <c r="AL4" s="23" t="s">
        <v>23</v>
      </c>
    </row>
    <row r="5" spans="1:38" x14ac:dyDescent="0.2">
      <c r="A5" s="7">
        <v>1</v>
      </c>
      <c r="B5" s="5" t="s">
        <v>151</v>
      </c>
      <c r="C5" s="5" t="str">
        <f>INDEX(СМУ!E$10:E$304,MATCH(B5,СМУ!D$10:D$304,))</f>
        <v>лес</v>
      </c>
      <c r="D5" s="5" t="s">
        <v>225</v>
      </c>
      <c r="E5" s="5" t="s">
        <v>31</v>
      </c>
      <c r="F5" s="29" t="str">
        <f>INDEX(AF$2:AJ$94,MATCH(E5,AF$2:AF$94,),4)</f>
        <v>пс</v>
      </c>
      <c r="G5" s="30" t="str">
        <f>INDEX(AF$2:AJ$94,MATCH(E5,AF$2:AF$94,),2)</f>
        <v>башенный кран</v>
      </c>
      <c r="H5" s="7">
        <v>2</v>
      </c>
      <c r="I5" s="7">
        <f t="shared" ref="I5:I68" si="2">J5+P5+T5+X5</f>
        <v>1</v>
      </c>
      <c r="J5" s="7">
        <f>K5+L5+M5+N5+O5</f>
        <v>0</v>
      </c>
      <c r="P5" s="7">
        <f>Q5+R5+S5</f>
        <v>1</v>
      </c>
      <c r="R5" s="7">
        <v>1</v>
      </c>
      <c r="T5" s="7">
        <f>U5+V5+W5</f>
        <v>0</v>
      </c>
      <c r="X5" s="7">
        <f>Y5+Z5+AA5+AB5</f>
        <v>0</v>
      </c>
      <c r="Y5" s="29"/>
      <c r="Z5" s="29"/>
      <c r="AA5" s="29"/>
      <c r="AB5" s="29"/>
      <c r="AF5" s="23" t="s">
        <v>244</v>
      </c>
      <c r="AG5" s="34" t="s">
        <v>90</v>
      </c>
      <c r="AH5" s="23" t="s">
        <v>96</v>
      </c>
      <c r="AI5" s="23" t="s">
        <v>227</v>
      </c>
      <c r="AJ5" s="32">
        <f t="shared" ref="AJ5:AJ14" si="3">365*AK5+AK5/4+1</f>
        <v>7306</v>
      </c>
      <c r="AK5" s="25">
        <v>20</v>
      </c>
      <c r="AL5" s="23" t="s">
        <v>23</v>
      </c>
    </row>
    <row r="6" spans="1:38" x14ac:dyDescent="0.2">
      <c r="A6" s="7">
        <v>3</v>
      </c>
      <c r="B6" s="5" t="s">
        <v>152</v>
      </c>
      <c r="C6" s="5" t="str">
        <f>INDEX(СМУ!E$10:E$304,MATCH(B6,СМУ!D$10:D$304,))</f>
        <v>поселок</v>
      </c>
      <c r="D6" s="5" t="s">
        <v>223</v>
      </c>
      <c r="E6" s="5" t="s">
        <v>77</v>
      </c>
      <c r="F6" s="29" t="str">
        <f>INDEX(AF$2:AJ$94,MATCH(E6,AF$2:AF$94,),4)</f>
        <v>пс</v>
      </c>
      <c r="G6" s="30" t="str">
        <f>INDEX(AF$2:AJ$94,MATCH(E6,AF$2:AF$94,),2)</f>
        <v>автокран</v>
      </c>
      <c r="H6" s="7">
        <v>4</v>
      </c>
      <c r="I6" s="7">
        <f t="shared" si="2"/>
        <v>3</v>
      </c>
      <c r="J6" s="7">
        <f t="shared" ref="J6:J36" si="4">K6+L6+M6+N6+O6</f>
        <v>2</v>
      </c>
      <c r="N6" s="7">
        <v>1</v>
      </c>
      <c r="O6" s="7">
        <v>1</v>
      </c>
      <c r="P6" s="7">
        <f t="shared" ref="P6:P36" si="5">Q6+R6+S6</f>
        <v>0</v>
      </c>
      <c r="T6" s="7">
        <f t="shared" ref="T6:T36" si="6">U6+V6+W6</f>
        <v>0</v>
      </c>
      <c r="X6" s="7">
        <f t="shared" ref="X6:X36" si="7">Y6+Z6+AA6+AB6</f>
        <v>1</v>
      </c>
      <c r="Y6" s="29">
        <v>1</v>
      </c>
      <c r="Z6" s="29"/>
      <c r="AA6" s="29"/>
      <c r="AB6" s="29"/>
      <c r="AF6" s="23" t="s">
        <v>99</v>
      </c>
      <c r="AG6" s="34" t="s">
        <v>90</v>
      </c>
      <c r="AH6" s="23" t="s">
        <v>96</v>
      </c>
      <c r="AI6" s="23" t="s">
        <v>227</v>
      </c>
      <c r="AJ6" s="32">
        <f t="shared" si="3"/>
        <v>5479.75</v>
      </c>
      <c r="AK6" s="25">
        <v>15</v>
      </c>
      <c r="AL6" s="23" t="s">
        <v>23</v>
      </c>
    </row>
    <row r="7" spans="1:38" x14ac:dyDescent="0.2">
      <c r="A7" s="7">
        <v>3</v>
      </c>
      <c r="B7" s="5" t="s">
        <v>154</v>
      </c>
      <c r="C7" s="5" t="str">
        <f>INDEX(СМУ!E$10:E$304,MATCH(B7,СМУ!D$10:D$304,))</f>
        <v>санаторий</v>
      </c>
      <c r="D7" s="5" t="s">
        <v>224</v>
      </c>
      <c r="E7" s="5" t="s">
        <v>85</v>
      </c>
      <c r="F7" s="29" t="str">
        <f>INDEX(AF$2:AJ$94,MATCH(E7,AF$2:AF$94,),4)</f>
        <v>орд</v>
      </c>
      <c r="G7" s="30" t="str">
        <f>INDEX(AF$2:AJ$94,MATCH(E7,AF$2:AF$94,),2)</f>
        <v>котёл</v>
      </c>
      <c r="H7" s="7">
        <v>2</v>
      </c>
      <c r="I7" s="7">
        <f t="shared" si="2"/>
        <v>1</v>
      </c>
      <c r="J7" s="7">
        <f t="shared" si="4"/>
        <v>0</v>
      </c>
      <c r="P7" s="7">
        <f t="shared" si="5"/>
        <v>0</v>
      </c>
      <c r="T7" s="7">
        <f t="shared" si="6"/>
        <v>1</v>
      </c>
      <c r="V7" s="7">
        <v>1</v>
      </c>
      <c r="X7" s="7">
        <f t="shared" si="7"/>
        <v>0</v>
      </c>
      <c r="Y7" s="29"/>
      <c r="Z7" s="29"/>
      <c r="AA7" s="29"/>
      <c r="AB7" s="29"/>
      <c r="AF7" s="23" t="s">
        <v>100</v>
      </c>
      <c r="AG7" s="34" t="s">
        <v>90</v>
      </c>
      <c r="AH7" s="23" t="s">
        <v>96</v>
      </c>
      <c r="AI7" s="23" t="s">
        <v>227</v>
      </c>
      <c r="AJ7" s="32">
        <f t="shared" si="3"/>
        <v>7306</v>
      </c>
      <c r="AK7" s="25">
        <v>20</v>
      </c>
      <c r="AL7" s="23" t="s">
        <v>23</v>
      </c>
    </row>
    <row r="8" spans="1:38" x14ac:dyDescent="0.2">
      <c r="A8" s="7">
        <v>3</v>
      </c>
      <c r="B8" s="5" t="s">
        <v>153</v>
      </c>
      <c r="C8" s="5" t="str">
        <f>INDEX(СМУ!E$10:E$304,MATCH(B8,СМУ!D$10:D$304,))</f>
        <v>стройка</v>
      </c>
      <c r="E8" s="5" t="s">
        <v>79</v>
      </c>
      <c r="F8" s="29" t="str">
        <f>INDEX(AF$2:AJ$94,MATCH(E8,AF$2:AF$94,),4)</f>
        <v>пс</v>
      </c>
      <c r="G8" s="30" t="str">
        <f>INDEX(AF$2:AJ$94,MATCH(E8,AF$2:AF$94,),2)</f>
        <v>автокран</v>
      </c>
      <c r="H8" s="7">
        <v>2</v>
      </c>
      <c r="I8" s="7">
        <f t="shared" si="2"/>
        <v>1</v>
      </c>
      <c r="J8" s="7">
        <f t="shared" si="4"/>
        <v>1</v>
      </c>
      <c r="L8" s="7">
        <v>1</v>
      </c>
      <c r="P8" s="7">
        <f t="shared" si="5"/>
        <v>0</v>
      </c>
      <c r="T8" s="7">
        <f t="shared" si="6"/>
        <v>0</v>
      </c>
      <c r="X8" s="7">
        <f t="shared" si="7"/>
        <v>0</v>
      </c>
      <c r="Y8" s="29"/>
      <c r="Z8" s="29"/>
      <c r="AA8" s="29"/>
      <c r="AB8" s="29"/>
      <c r="AF8" s="23" t="s">
        <v>101</v>
      </c>
      <c r="AG8" s="23" t="s">
        <v>127</v>
      </c>
      <c r="AH8" s="23" t="s">
        <v>96</v>
      </c>
      <c r="AI8" s="23" t="s">
        <v>227</v>
      </c>
      <c r="AJ8" s="32">
        <f t="shared" si="3"/>
        <v>3653.5</v>
      </c>
      <c r="AK8" s="25">
        <v>10</v>
      </c>
      <c r="AL8" s="23" t="s">
        <v>23</v>
      </c>
    </row>
    <row r="9" spans="1:38" x14ac:dyDescent="0.2">
      <c r="A9" s="7">
        <v>3</v>
      </c>
      <c r="B9" s="5" t="s">
        <v>154</v>
      </c>
      <c r="C9" s="5" t="str">
        <f>INDEX(СМУ!E$10:E$304,MATCH(B9,СМУ!D$10:D$304,))</f>
        <v>санаторий</v>
      </c>
      <c r="E9" s="5" t="s">
        <v>87</v>
      </c>
      <c r="F9" s="29" t="str">
        <f>INDEX(AF$2:AJ$94,MATCH(E9,AF$2:AF$94,),4)</f>
        <v>орд</v>
      </c>
      <c r="G9" s="30" t="str">
        <f>INDEX(AF$2:AJ$94,MATCH(E9,AF$2:AF$94,),2)</f>
        <v>котёл</v>
      </c>
      <c r="H9" s="7">
        <v>2</v>
      </c>
      <c r="I9" s="7">
        <f t="shared" si="2"/>
        <v>1</v>
      </c>
      <c r="J9" s="7">
        <f t="shared" si="4"/>
        <v>1</v>
      </c>
      <c r="N9" s="7">
        <v>1</v>
      </c>
      <c r="P9" s="7">
        <f t="shared" si="5"/>
        <v>0</v>
      </c>
      <c r="T9" s="7">
        <f t="shared" si="6"/>
        <v>0</v>
      </c>
      <c r="X9" s="7">
        <f t="shared" si="7"/>
        <v>0</v>
      </c>
      <c r="Y9" s="29"/>
      <c r="Z9" s="29"/>
      <c r="AA9" s="29"/>
      <c r="AB9" s="29"/>
      <c r="AF9" s="23" t="s">
        <v>102</v>
      </c>
      <c r="AG9" s="23" t="s">
        <v>127</v>
      </c>
      <c r="AH9" s="23" t="s">
        <v>96</v>
      </c>
      <c r="AI9" s="23" t="s">
        <v>227</v>
      </c>
      <c r="AJ9" s="32">
        <f t="shared" si="3"/>
        <v>3653.5</v>
      </c>
      <c r="AK9" s="25">
        <v>10</v>
      </c>
      <c r="AL9" s="23" t="s">
        <v>23</v>
      </c>
    </row>
    <row r="10" spans="1:38" x14ac:dyDescent="0.2">
      <c r="A10" s="7">
        <v>3</v>
      </c>
      <c r="B10" s="5" t="s">
        <v>231</v>
      </c>
      <c r="C10" s="5" t="str">
        <f>INDEX(СМУ!E$10:E$304,MATCH(B10,СМУ!D$10:D$304,))</f>
        <v>стройка</v>
      </c>
      <c r="E10" s="5" t="s">
        <v>232</v>
      </c>
      <c r="F10" s="29" t="str">
        <f>INDEX(AF$2:AJ$94,MATCH(E10,AF$2:AF$94,),4)</f>
        <v>орд</v>
      </c>
      <c r="G10" s="30" t="str">
        <f>INDEX(AF$2:AJ$94,MATCH(E10,AF$2:AF$94,),2)</f>
        <v>баллон</v>
      </c>
      <c r="H10" s="7">
        <v>3</v>
      </c>
      <c r="I10" s="7">
        <f t="shared" si="2"/>
        <v>1</v>
      </c>
      <c r="J10" s="7">
        <f t="shared" si="4"/>
        <v>0</v>
      </c>
      <c r="P10" s="7">
        <f t="shared" si="5"/>
        <v>0</v>
      </c>
      <c r="T10" s="7">
        <f t="shared" si="6"/>
        <v>1</v>
      </c>
      <c r="W10" s="7">
        <v>1</v>
      </c>
      <c r="X10" s="7">
        <f t="shared" si="7"/>
        <v>0</v>
      </c>
      <c r="Y10" s="29"/>
      <c r="Z10" s="29"/>
      <c r="AA10" s="29"/>
      <c r="AB10" s="29"/>
      <c r="AF10" s="23" t="s">
        <v>103</v>
      </c>
      <c r="AG10" s="23" t="s">
        <v>127</v>
      </c>
      <c r="AH10" s="23" t="s">
        <v>96</v>
      </c>
      <c r="AI10" s="23" t="s">
        <v>227</v>
      </c>
      <c r="AJ10" s="32">
        <f t="shared" ref="AJ10" si="8">365*AK10+AK10/4+1</f>
        <v>3653.5</v>
      </c>
      <c r="AK10" s="25">
        <v>10</v>
      </c>
      <c r="AL10" s="23" t="s">
        <v>23</v>
      </c>
    </row>
    <row r="11" spans="1:38" x14ac:dyDescent="0.2">
      <c r="A11" s="7">
        <v>3</v>
      </c>
      <c r="B11" s="5" t="s">
        <v>231</v>
      </c>
      <c r="C11" s="5" t="str">
        <f>INDEX(СМУ!E$10:E$304,MATCH(B11,СМУ!D$10:D$304,))</f>
        <v>стройка</v>
      </c>
      <c r="E11" s="5" t="s">
        <v>115</v>
      </c>
      <c r="F11" s="29" t="str">
        <f>INDEX(AF$2:AJ$94,MATCH(E11,AF$2:AF$94,),4)</f>
        <v>ТУ пс</v>
      </c>
      <c r="G11" s="30" t="str">
        <f>INDEX(AF$2:AJ$94,MATCH(E11,AF$2:AF$94,),2)</f>
        <v>электроталь</v>
      </c>
      <c r="H11" s="7">
        <v>2</v>
      </c>
      <c r="I11" s="7">
        <f t="shared" si="2"/>
        <v>1</v>
      </c>
      <c r="J11" s="7">
        <f t="shared" ref="J11" si="9">K11+L11+M11+N11+O11</f>
        <v>0</v>
      </c>
      <c r="P11" s="7">
        <f t="shared" ref="P11" si="10">Q11+R11+S11</f>
        <v>1</v>
      </c>
      <c r="S11" s="7">
        <v>1</v>
      </c>
      <c r="T11" s="7">
        <f t="shared" ref="T11" si="11">U11+V11+W11</f>
        <v>0</v>
      </c>
      <c r="X11" s="7">
        <f t="shared" ref="X11" si="12">Y11+Z11+AA11+AB11</f>
        <v>0</v>
      </c>
      <c r="Y11" s="29"/>
      <c r="Z11" s="29"/>
      <c r="AA11" s="29"/>
      <c r="AB11" s="29"/>
      <c r="AF11" s="23" t="s">
        <v>103</v>
      </c>
      <c r="AG11" s="23" t="s">
        <v>127</v>
      </c>
      <c r="AH11" s="23" t="s">
        <v>96</v>
      </c>
      <c r="AI11" s="23" t="s">
        <v>227</v>
      </c>
      <c r="AJ11" s="32">
        <f t="shared" si="3"/>
        <v>3653.5</v>
      </c>
      <c r="AK11" s="25">
        <v>10</v>
      </c>
      <c r="AL11" s="23" t="s">
        <v>23</v>
      </c>
    </row>
    <row r="12" spans="1:38" x14ac:dyDescent="0.2">
      <c r="A12" s="7">
        <v>3</v>
      </c>
      <c r="B12" s="5" t="s">
        <v>231</v>
      </c>
      <c r="C12" s="5" t="str">
        <f>INDEX(СМУ!E$10:E$304,MATCH(B12,СМУ!D$10:D$304,))</f>
        <v>стройка</v>
      </c>
      <c r="E12" s="5" t="s">
        <v>244</v>
      </c>
      <c r="F12" s="29" t="str">
        <f>INDEX(AF$2:AJ$94,MATCH(E12,AF$2:AF$94,),4)</f>
        <v>ТУ орд</v>
      </c>
      <c r="G12" s="30" t="str">
        <f>INDEX(AF$2:AJ$94,MATCH(E12,AF$2:AF$94,),2)</f>
        <v>баллон</v>
      </c>
      <c r="H12" s="7">
        <v>4</v>
      </c>
      <c r="I12" s="7">
        <f t="shared" si="2"/>
        <v>2</v>
      </c>
      <c r="J12" s="7">
        <f t="shared" si="4"/>
        <v>1</v>
      </c>
      <c r="L12" s="7">
        <v>1</v>
      </c>
      <c r="P12" s="7">
        <f t="shared" si="5"/>
        <v>1</v>
      </c>
      <c r="Q12" s="7">
        <v>1</v>
      </c>
      <c r="T12" s="7">
        <f t="shared" si="6"/>
        <v>0</v>
      </c>
      <c r="X12" s="7">
        <f t="shared" si="7"/>
        <v>0</v>
      </c>
      <c r="Y12" s="29"/>
      <c r="Z12" s="29"/>
      <c r="AA12" s="29"/>
      <c r="AB12" s="29"/>
      <c r="AF12" s="23" t="s">
        <v>104</v>
      </c>
      <c r="AG12" s="23" t="s">
        <v>127</v>
      </c>
      <c r="AH12" s="23" t="s">
        <v>96</v>
      </c>
      <c r="AI12" s="23" t="s">
        <v>227</v>
      </c>
      <c r="AJ12" s="32">
        <f t="shared" si="3"/>
        <v>3653.5</v>
      </c>
      <c r="AK12" s="25">
        <v>10</v>
      </c>
      <c r="AL12" s="23" t="s">
        <v>23</v>
      </c>
    </row>
    <row r="13" spans="1:38" x14ac:dyDescent="0.2">
      <c r="A13" s="7">
        <v>6</v>
      </c>
      <c r="B13" s="5" t="s">
        <v>155</v>
      </c>
      <c r="C13" s="5" t="str">
        <f>INDEX(СМУ!E$10:E$304,MATCH(B13,СМУ!D$10:D$304,))</f>
        <v>вне города</v>
      </c>
      <c r="E13" s="5" t="s">
        <v>45</v>
      </c>
      <c r="F13" s="29" t="str">
        <f>INDEX(AF$2:AJ$94,MATCH(E13,AF$2:AF$94,),4)</f>
        <v>пс</v>
      </c>
      <c r="G13" s="30" t="str">
        <f>INDEX(AF$2:AJ$94,MATCH(E13,AF$2:AF$94,),2)</f>
        <v>козловой кран</v>
      </c>
      <c r="H13" s="7">
        <v>2</v>
      </c>
      <c r="I13" s="7">
        <f t="shared" si="2"/>
        <v>0</v>
      </c>
      <c r="J13" s="7">
        <f t="shared" si="4"/>
        <v>0</v>
      </c>
      <c r="P13" s="7">
        <f t="shared" si="5"/>
        <v>0</v>
      </c>
      <c r="T13" s="7">
        <f t="shared" si="6"/>
        <v>0</v>
      </c>
      <c r="X13" s="7">
        <f t="shared" si="7"/>
        <v>0</v>
      </c>
      <c r="Y13" s="29"/>
      <c r="Z13" s="29"/>
      <c r="AA13" s="29"/>
      <c r="AB13" s="29"/>
      <c r="AF13" s="23" t="s">
        <v>105</v>
      </c>
      <c r="AG13" s="23" t="s">
        <v>127</v>
      </c>
      <c r="AH13" s="23" t="s">
        <v>96</v>
      </c>
      <c r="AI13" s="23" t="s">
        <v>227</v>
      </c>
      <c r="AJ13" s="32">
        <f t="shared" si="3"/>
        <v>3653.5</v>
      </c>
      <c r="AK13" s="25">
        <v>10</v>
      </c>
      <c r="AL13" s="23" t="s">
        <v>23</v>
      </c>
    </row>
    <row r="14" spans="1:38" x14ac:dyDescent="0.2">
      <c r="A14" s="7">
        <v>6</v>
      </c>
      <c r="B14" s="5" t="s">
        <v>155</v>
      </c>
      <c r="C14" s="5" t="str">
        <f>INDEX(СМУ!E$10:E$304,MATCH(B14,СМУ!D$10:D$304,))</f>
        <v>вне города</v>
      </c>
      <c r="E14" s="5" t="s">
        <v>54</v>
      </c>
      <c r="F14" s="29" t="str">
        <f>INDEX(AF$2:AJ$94,MATCH(E14,AF$2:AF$94,),4)</f>
        <v>пс</v>
      </c>
      <c r="G14" s="30" t="str">
        <f>INDEX(AF$2:AJ$94,MATCH(E14,AF$2:AF$94,),2)</f>
        <v>кран дизель электрический</v>
      </c>
      <c r="H14" s="7">
        <v>1</v>
      </c>
      <c r="I14" s="7">
        <f t="shared" si="2"/>
        <v>0</v>
      </c>
      <c r="J14" s="7">
        <f t="shared" si="4"/>
        <v>0</v>
      </c>
      <c r="P14" s="7">
        <f t="shared" si="5"/>
        <v>0</v>
      </c>
      <c r="T14" s="7">
        <f t="shared" si="6"/>
        <v>0</v>
      </c>
      <c r="X14" s="7">
        <f t="shared" si="7"/>
        <v>0</v>
      </c>
      <c r="Y14" s="29"/>
      <c r="Z14" s="29"/>
      <c r="AA14" s="29"/>
      <c r="AB14" s="29"/>
      <c r="AF14" s="23" t="s">
        <v>106</v>
      </c>
      <c r="AG14" s="23" t="s">
        <v>127</v>
      </c>
      <c r="AH14" s="23" t="s">
        <v>96</v>
      </c>
      <c r="AI14" s="23" t="s">
        <v>227</v>
      </c>
      <c r="AJ14" s="32">
        <f t="shared" si="3"/>
        <v>3653.5</v>
      </c>
      <c r="AK14" s="25">
        <v>10</v>
      </c>
      <c r="AL14" s="23" t="s">
        <v>23</v>
      </c>
    </row>
    <row r="15" spans="1:38" x14ac:dyDescent="0.2">
      <c r="A15" s="7">
        <v>6</v>
      </c>
      <c r="B15" s="5" t="s">
        <v>155</v>
      </c>
      <c r="C15" s="5" t="str">
        <f>INDEX(СМУ!E$10:E$304,MATCH(B15,СМУ!D$10:D$304,))</f>
        <v>вне города</v>
      </c>
      <c r="E15" s="5" t="s">
        <v>100</v>
      </c>
      <c r="F15" s="29" t="str">
        <f>INDEX(AF$2:AJ$94,MATCH(E15,AF$2:AF$94,),4)</f>
        <v>ТУ орд</v>
      </c>
      <c r="G15" s="30" t="str">
        <f>INDEX(AF$2:AJ$94,MATCH(E15,AF$2:AF$94,),2)</f>
        <v>баллон</v>
      </c>
      <c r="H15" s="7">
        <v>1</v>
      </c>
      <c r="I15" s="7">
        <f t="shared" si="2"/>
        <v>1</v>
      </c>
      <c r="J15" s="7">
        <f t="shared" si="4"/>
        <v>0</v>
      </c>
      <c r="P15" s="7">
        <f t="shared" si="5"/>
        <v>0</v>
      </c>
      <c r="T15" s="7">
        <f t="shared" si="6"/>
        <v>1</v>
      </c>
      <c r="U15" s="7">
        <v>1</v>
      </c>
      <c r="X15" s="7">
        <f t="shared" si="7"/>
        <v>0</v>
      </c>
      <c r="Y15" s="29"/>
      <c r="Z15" s="29"/>
      <c r="AA15" s="29"/>
      <c r="AB15" s="29"/>
      <c r="AF15" s="23" t="s">
        <v>108</v>
      </c>
      <c r="AG15" s="23" t="s">
        <v>126</v>
      </c>
      <c r="AH15" s="34" t="s">
        <v>96</v>
      </c>
      <c r="AI15" s="23" t="s">
        <v>227</v>
      </c>
      <c r="AJ15" s="32">
        <f t="shared" ref="AJ15:AJ18" si="13">365*AK15+AK15/4+1</f>
        <v>4384</v>
      </c>
      <c r="AK15" s="25">
        <v>12</v>
      </c>
      <c r="AL15" s="23" t="s">
        <v>23</v>
      </c>
    </row>
    <row r="16" spans="1:38" x14ac:dyDescent="0.2">
      <c r="A16" s="7">
        <v>6</v>
      </c>
      <c r="B16" s="5" t="s">
        <v>156</v>
      </c>
      <c r="C16" s="5" t="str">
        <f>INDEX(СМУ!E$10:E$304,MATCH(B16,СМУ!D$10:D$304,))</f>
        <v>за рекой</v>
      </c>
      <c r="E16" s="5" t="s">
        <v>117</v>
      </c>
      <c r="F16" s="29" t="str">
        <f>INDEX(AF$2:AJ$94,MATCH(E16,AF$2:AF$94,),4)</f>
        <v>ТУ пс</v>
      </c>
      <c r="G16" s="30" t="str">
        <f>INDEX(AF$2:AJ$94,MATCH(E16,AF$2:AF$94,),2)</f>
        <v>электроталь</v>
      </c>
      <c r="H16" s="7">
        <v>2</v>
      </c>
      <c r="I16" s="7">
        <f t="shared" si="2"/>
        <v>1</v>
      </c>
      <c r="J16" s="7">
        <f t="shared" si="4"/>
        <v>1</v>
      </c>
      <c r="K16" s="7">
        <v>1</v>
      </c>
      <c r="P16" s="7">
        <f t="shared" si="5"/>
        <v>0</v>
      </c>
      <c r="T16" s="7">
        <f t="shared" si="6"/>
        <v>0</v>
      </c>
      <c r="X16" s="7">
        <f t="shared" si="7"/>
        <v>0</v>
      </c>
      <c r="Y16" s="29"/>
      <c r="Z16" s="29"/>
      <c r="AA16" s="29"/>
      <c r="AB16" s="29"/>
      <c r="AF16" s="23" t="s">
        <v>109</v>
      </c>
      <c r="AG16" s="23" t="s">
        <v>126</v>
      </c>
      <c r="AH16" s="34" t="s">
        <v>96</v>
      </c>
      <c r="AI16" s="23" t="s">
        <v>227</v>
      </c>
      <c r="AJ16" s="32">
        <f t="shared" si="13"/>
        <v>5479.75</v>
      </c>
      <c r="AK16" s="25">
        <v>15</v>
      </c>
      <c r="AL16" s="23" t="s">
        <v>23</v>
      </c>
    </row>
    <row r="17" spans="1:38" x14ac:dyDescent="0.2">
      <c r="A17" s="7">
        <v>6</v>
      </c>
      <c r="B17" s="5" t="s">
        <v>156</v>
      </c>
      <c r="C17" s="5" t="str">
        <f>INDEX(СМУ!E$10:E$304,MATCH(B17,СМУ!D$10:D$304,))</f>
        <v>за рекой</v>
      </c>
      <c r="E17" s="5" t="s">
        <v>112</v>
      </c>
      <c r="F17" s="29" t="str">
        <f>INDEX(AF$2:AJ$94,MATCH(E17,AF$2:AF$94,),4)</f>
        <v>ТУ пс</v>
      </c>
      <c r="G17" s="30" t="str">
        <f>INDEX(AF$2:AJ$94,MATCH(E17,AF$2:AF$94,),2)</f>
        <v>Таль</v>
      </c>
      <c r="H17" s="7">
        <v>2</v>
      </c>
      <c r="I17" s="7">
        <f t="shared" si="2"/>
        <v>0</v>
      </c>
      <c r="J17" s="7">
        <f t="shared" si="4"/>
        <v>0</v>
      </c>
      <c r="P17" s="7">
        <f t="shared" si="5"/>
        <v>0</v>
      </c>
      <c r="T17" s="7">
        <f t="shared" si="6"/>
        <v>0</v>
      </c>
      <c r="X17" s="7">
        <f t="shared" si="7"/>
        <v>0</v>
      </c>
      <c r="Y17" s="29"/>
      <c r="Z17" s="29"/>
      <c r="AA17" s="29"/>
      <c r="AB17" s="29"/>
      <c r="AF17" s="23" t="s">
        <v>110</v>
      </c>
      <c r="AG17" s="23" t="s">
        <v>126</v>
      </c>
      <c r="AH17" s="34" t="s">
        <v>96</v>
      </c>
      <c r="AI17" s="23" t="s">
        <v>227</v>
      </c>
      <c r="AJ17" s="32">
        <f t="shared" si="13"/>
        <v>10958.5</v>
      </c>
      <c r="AK17" s="25">
        <v>30</v>
      </c>
      <c r="AL17" s="23" t="s">
        <v>23</v>
      </c>
    </row>
    <row r="18" spans="1:38" x14ac:dyDescent="0.2">
      <c r="A18" s="7">
        <v>6</v>
      </c>
      <c r="B18" s="5" t="s">
        <v>157</v>
      </c>
      <c r="C18" s="5" t="str">
        <f>INDEX(СМУ!E$10:E$304,MATCH(B18,СМУ!D$10:D$304,))</f>
        <v>лес</v>
      </c>
      <c r="E18" s="5" t="s">
        <v>77</v>
      </c>
      <c r="F18" s="29" t="str">
        <f>INDEX(AF$2:AJ$94,MATCH(E18,AF$2:AF$94,),4)</f>
        <v>пс</v>
      </c>
      <c r="G18" s="30" t="str">
        <f>INDEX(AF$2:AJ$94,MATCH(E18,AF$2:AF$94,),2)</f>
        <v>автокран</v>
      </c>
      <c r="H18" s="7">
        <v>4</v>
      </c>
      <c r="I18" s="7">
        <f t="shared" si="2"/>
        <v>3</v>
      </c>
      <c r="J18" s="7">
        <f t="shared" si="4"/>
        <v>2</v>
      </c>
      <c r="L18" s="7">
        <v>1</v>
      </c>
      <c r="N18" s="7">
        <v>1</v>
      </c>
      <c r="P18" s="7">
        <f t="shared" si="5"/>
        <v>1</v>
      </c>
      <c r="S18" s="7">
        <v>1</v>
      </c>
      <c r="T18" s="7">
        <f t="shared" si="6"/>
        <v>0</v>
      </c>
      <c r="X18" s="7">
        <f t="shared" si="7"/>
        <v>0</v>
      </c>
      <c r="Y18" s="29"/>
      <c r="Z18" s="29"/>
      <c r="AA18" s="29"/>
      <c r="AB18" s="29"/>
      <c r="AF18" s="23" t="s">
        <v>111</v>
      </c>
      <c r="AG18" s="23" t="s">
        <v>126</v>
      </c>
      <c r="AH18" s="34" t="s">
        <v>96</v>
      </c>
      <c r="AI18" s="23" t="s">
        <v>227</v>
      </c>
      <c r="AJ18" s="32">
        <f t="shared" si="13"/>
        <v>5479.75</v>
      </c>
      <c r="AK18" s="25">
        <v>15</v>
      </c>
      <c r="AL18" s="23" t="s">
        <v>23</v>
      </c>
    </row>
    <row r="19" spans="1:38" x14ac:dyDescent="0.2">
      <c r="A19" s="7">
        <v>6</v>
      </c>
      <c r="B19" s="5" t="s">
        <v>157</v>
      </c>
      <c r="C19" s="5" t="str">
        <f>INDEX(СМУ!E$10:E$304,MATCH(B19,СМУ!D$10:D$304,))</f>
        <v>лес</v>
      </c>
      <c r="D19" s="5" t="s">
        <v>226</v>
      </c>
      <c r="E19" s="5" t="s">
        <v>44</v>
      </c>
      <c r="F19" s="29" t="str">
        <f>INDEX(AF$2:AJ$94,MATCH(E19,AF$2:AF$94,),4)</f>
        <v>пс</v>
      </c>
      <c r="G19" s="30" t="str">
        <f>INDEX(AF$2:AJ$94,MATCH(E19,AF$2:AF$94,),2)</f>
        <v>козловой кран</v>
      </c>
      <c r="H19" s="7">
        <v>2</v>
      </c>
      <c r="I19" s="7">
        <f t="shared" si="2"/>
        <v>2</v>
      </c>
      <c r="J19" s="7">
        <f t="shared" ref="J19" si="14">K19+L19+M19+N19+O19</f>
        <v>0</v>
      </c>
      <c r="P19" s="7">
        <f t="shared" ref="P19" si="15">Q19+R19+S19</f>
        <v>1</v>
      </c>
      <c r="S19" s="7">
        <v>1</v>
      </c>
      <c r="T19" s="7">
        <f t="shared" ref="T19" si="16">U19+V19+W19</f>
        <v>0</v>
      </c>
      <c r="X19" s="7">
        <f t="shared" ref="X19" si="17">Y19+Z19+AA19+AB19</f>
        <v>1</v>
      </c>
      <c r="Y19" s="29">
        <v>1</v>
      </c>
      <c r="Z19" s="29"/>
      <c r="AA19" s="29"/>
      <c r="AB19" s="29"/>
      <c r="AF19" s="23" t="s">
        <v>107</v>
      </c>
      <c r="AG19" s="23" t="s">
        <v>107</v>
      </c>
      <c r="AH19" s="23" t="s">
        <v>39</v>
      </c>
      <c r="AI19" s="23" t="s">
        <v>228</v>
      </c>
      <c r="AJ19" s="32">
        <f t="shared" ref="AJ19:AJ25" si="18">365*AK19+AK19/4+1</f>
        <v>10958.5</v>
      </c>
      <c r="AK19" s="25">
        <v>30</v>
      </c>
      <c r="AL19" s="23" t="s">
        <v>23</v>
      </c>
    </row>
    <row r="20" spans="1:38" x14ac:dyDescent="0.2">
      <c r="A20" s="7">
        <v>8</v>
      </c>
      <c r="B20" s="5" t="s">
        <v>158</v>
      </c>
      <c r="C20" s="5" t="str">
        <f>INDEX(СМУ!E$10:E$304,MATCH(B20,СМУ!D$10:D$304,))</f>
        <v>поселок</v>
      </c>
      <c r="D20" s="5" t="s">
        <v>211</v>
      </c>
      <c r="E20" s="5" t="s">
        <v>115</v>
      </c>
      <c r="F20" s="29" t="str">
        <f>INDEX(AF$2:AJ$94,MATCH(E20,AF$2:AF$94,),4)</f>
        <v>ТУ пс</v>
      </c>
      <c r="G20" s="30" t="str">
        <f>INDEX(AF$2:AJ$94,MATCH(E20,AF$2:AF$94,),2)</f>
        <v>электроталь</v>
      </c>
      <c r="H20" s="7">
        <v>2</v>
      </c>
      <c r="I20" s="7">
        <f t="shared" si="2"/>
        <v>1</v>
      </c>
      <c r="J20" s="7">
        <f t="shared" si="4"/>
        <v>0</v>
      </c>
      <c r="P20" s="7">
        <f t="shared" si="5"/>
        <v>0</v>
      </c>
      <c r="T20" s="7">
        <f t="shared" si="6"/>
        <v>1</v>
      </c>
      <c r="W20" s="7">
        <v>1</v>
      </c>
      <c r="X20" s="7">
        <f t="shared" si="7"/>
        <v>0</v>
      </c>
      <c r="Y20" s="29"/>
      <c r="Z20" s="29"/>
      <c r="AA20" s="29"/>
      <c r="AB20" s="29"/>
      <c r="AF20" s="23" t="s">
        <v>112</v>
      </c>
      <c r="AG20" s="23" t="s">
        <v>112</v>
      </c>
      <c r="AH20" s="23" t="s">
        <v>39</v>
      </c>
      <c r="AI20" s="23" t="s">
        <v>228</v>
      </c>
      <c r="AJ20" s="32">
        <f t="shared" si="18"/>
        <v>7306</v>
      </c>
      <c r="AK20" s="25">
        <v>20</v>
      </c>
      <c r="AL20" s="23" t="s">
        <v>23</v>
      </c>
    </row>
    <row r="21" spans="1:38" x14ac:dyDescent="0.2">
      <c r="A21" s="7">
        <v>9</v>
      </c>
      <c r="B21" s="5" t="s">
        <v>159</v>
      </c>
      <c r="C21" s="5" t="str">
        <f>INDEX(СМУ!E$10:E$304,MATCH(B21,СМУ!D$10:D$304,))</f>
        <v>город</v>
      </c>
      <c r="E21" s="5" t="s">
        <v>79</v>
      </c>
      <c r="F21" s="29" t="str">
        <f>INDEX(AF$2:AJ$94,MATCH(E21,AF$2:AF$94,),4)</f>
        <v>пс</v>
      </c>
      <c r="G21" s="30" t="str">
        <f>INDEX(AF$2:AJ$94,MATCH(E21,AF$2:AF$94,),2)</f>
        <v>автокран</v>
      </c>
      <c r="H21" s="7">
        <v>2</v>
      </c>
      <c r="I21" s="7">
        <f t="shared" si="2"/>
        <v>1</v>
      </c>
      <c r="J21" s="7">
        <f t="shared" si="4"/>
        <v>0</v>
      </c>
      <c r="P21" s="7">
        <f t="shared" si="5"/>
        <v>0</v>
      </c>
      <c r="T21" s="7">
        <f t="shared" si="6"/>
        <v>1</v>
      </c>
      <c r="V21" s="7">
        <v>1</v>
      </c>
      <c r="X21" s="7">
        <f t="shared" si="7"/>
        <v>0</v>
      </c>
      <c r="Y21" s="29"/>
      <c r="Z21" s="29"/>
      <c r="AA21" s="29"/>
      <c r="AB21" s="29"/>
      <c r="AF21" s="23" t="s">
        <v>113</v>
      </c>
      <c r="AG21" s="23" t="s">
        <v>113</v>
      </c>
      <c r="AH21" s="23" t="s">
        <v>39</v>
      </c>
      <c r="AI21" s="23" t="s">
        <v>228</v>
      </c>
      <c r="AJ21" s="32">
        <f t="shared" si="18"/>
        <v>10958.5</v>
      </c>
      <c r="AK21" s="25">
        <v>30</v>
      </c>
      <c r="AL21" s="23" t="s">
        <v>23</v>
      </c>
    </row>
    <row r="22" spans="1:38" x14ac:dyDescent="0.2">
      <c r="A22" s="7">
        <v>9</v>
      </c>
      <c r="B22" s="5" t="s">
        <v>159</v>
      </c>
      <c r="C22" s="5" t="str">
        <f>INDEX(СМУ!E$10:E$304,MATCH(B22,СМУ!D$10:D$304,))</f>
        <v>город</v>
      </c>
      <c r="E22" s="5" t="s">
        <v>232</v>
      </c>
      <c r="F22" s="29" t="str">
        <f>INDEX(AF$2:AJ$94,MATCH(E22,AF$2:AF$94,),4)</f>
        <v>орд</v>
      </c>
      <c r="G22" s="30" t="str">
        <f>INDEX(AF$2:AJ$94,MATCH(E22,AF$2:AF$94,),2)</f>
        <v>баллон</v>
      </c>
      <c r="H22" s="7">
        <v>3</v>
      </c>
      <c r="I22" s="7">
        <f t="shared" si="2"/>
        <v>2</v>
      </c>
      <c r="J22" s="7">
        <f t="shared" si="4"/>
        <v>1</v>
      </c>
      <c r="O22" s="7">
        <v>1</v>
      </c>
      <c r="P22" s="7">
        <f t="shared" si="5"/>
        <v>1</v>
      </c>
      <c r="S22" s="7">
        <v>1</v>
      </c>
      <c r="T22" s="7">
        <f t="shared" si="6"/>
        <v>0</v>
      </c>
      <c r="X22" s="7">
        <f t="shared" si="7"/>
        <v>0</v>
      </c>
      <c r="Y22" s="29"/>
      <c r="Z22" s="29"/>
      <c r="AA22" s="29"/>
      <c r="AB22" s="29"/>
      <c r="AF22" s="23" t="s">
        <v>114</v>
      </c>
      <c r="AG22" s="23" t="s">
        <v>114</v>
      </c>
      <c r="AH22" s="23" t="s">
        <v>39</v>
      </c>
      <c r="AI22" s="23" t="s">
        <v>228</v>
      </c>
      <c r="AJ22" s="32">
        <f t="shared" si="18"/>
        <v>7306</v>
      </c>
      <c r="AK22" s="25">
        <v>20</v>
      </c>
      <c r="AL22" s="23" t="s">
        <v>23</v>
      </c>
    </row>
    <row r="23" spans="1:38" x14ac:dyDescent="0.2">
      <c r="C23" s="5" t="e">
        <f>INDEX(СМУ!E$10:E$304,MATCH(B23,СМУ!D$10:D$304,))</f>
        <v>#N/A</v>
      </c>
      <c r="F23" s="29" t="e">
        <f>INDEX(AF$2:AJ$94,MATCH(E23,AF$2:AF$94,),4)</f>
        <v>#N/A</v>
      </c>
      <c r="G23" s="30" t="e">
        <f>INDEX(AF$2:AJ$94,MATCH(E23,AF$2:AF$94,),2)</f>
        <v>#N/A</v>
      </c>
      <c r="I23" s="7">
        <f t="shared" si="2"/>
        <v>0</v>
      </c>
      <c r="J23" s="7">
        <f t="shared" si="4"/>
        <v>0</v>
      </c>
      <c r="P23" s="7">
        <f t="shared" si="5"/>
        <v>0</v>
      </c>
      <c r="T23" s="7">
        <f t="shared" si="6"/>
        <v>0</v>
      </c>
      <c r="X23" s="7">
        <f t="shared" si="7"/>
        <v>0</v>
      </c>
      <c r="Y23" s="29"/>
      <c r="Z23" s="29"/>
      <c r="AA23" s="29"/>
      <c r="AB23" s="29"/>
      <c r="AF23" s="23" t="s">
        <v>115</v>
      </c>
      <c r="AG23" s="23" t="s">
        <v>124</v>
      </c>
      <c r="AH23" s="23" t="s">
        <v>39</v>
      </c>
      <c r="AI23" s="23" t="s">
        <v>228</v>
      </c>
      <c r="AJ23" s="32">
        <f t="shared" si="18"/>
        <v>7306</v>
      </c>
      <c r="AK23" s="25">
        <v>20</v>
      </c>
      <c r="AL23" s="23" t="s">
        <v>23</v>
      </c>
    </row>
    <row r="24" spans="1:38" x14ac:dyDescent="0.2">
      <c r="C24" s="5" t="e">
        <f>INDEX(СМУ!E$10:E$304,MATCH(B24,СМУ!D$10:D$304,))</f>
        <v>#N/A</v>
      </c>
      <c r="F24" s="29" t="e">
        <f>INDEX(AF$2:AJ$94,MATCH(E24,AF$2:AF$94,),4)</f>
        <v>#N/A</v>
      </c>
      <c r="G24" s="30" t="e">
        <f>INDEX(AF$2:AJ$94,MATCH(E24,AF$2:AF$94,),2)</f>
        <v>#N/A</v>
      </c>
      <c r="I24" s="7">
        <f t="shared" si="2"/>
        <v>0</v>
      </c>
      <c r="J24" s="7">
        <f t="shared" si="4"/>
        <v>0</v>
      </c>
      <c r="P24" s="7">
        <f t="shared" si="5"/>
        <v>0</v>
      </c>
      <c r="T24" s="7">
        <f t="shared" si="6"/>
        <v>0</v>
      </c>
      <c r="X24" s="7">
        <f t="shared" si="7"/>
        <v>0</v>
      </c>
      <c r="Y24" s="29"/>
      <c r="Z24" s="29"/>
      <c r="AA24" s="29"/>
      <c r="AB24" s="29"/>
      <c r="AF24" s="23" t="s">
        <v>116</v>
      </c>
      <c r="AG24" s="23" t="s">
        <v>124</v>
      </c>
      <c r="AH24" s="23" t="s">
        <v>39</v>
      </c>
      <c r="AI24" s="23" t="s">
        <v>228</v>
      </c>
      <c r="AJ24" s="32">
        <f t="shared" si="18"/>
        <v>7306</v>
      </c>
      <c r="AK24" s="25">
        <v>20</v>
      </c>
      <c r="AL24" s="23" t="s">
        <v>23</v>
      </c>
    </row>
    <row r="25" spans="1:38" x14ac:dyDescent="0.2">
      <c r="C25" s="5" t="e">
        <f>INDEX(СМУ!E$10:E$304,MATCH(B25,СМУ!D$10:D$304,))</f>
        <v>#N/A</v>
      </c>
      <c r="F25" s="29" t="e">
        <f>INDEX(AF$2:AJ$94,MATCH(E25,AF$2:AF$94,),4)</f>
        <v>#N/A</v>
      </c>
      <c r="G25" s="30" t="e">
        <f>INDEX(AF$2:AJ$94,MATCH(E25,AF$2:AF$94,),2)</f>
        <v>#N/A</v>
      </c>
      <c r="I25" s="7">
        <f t="shared" si="2"/>
        <v>0</v>
      </c>
      <c r="J25" s="7">
        <f t="shared" si="4"/>
        <v>0</v>
      </c>
      <c r="P25" s="7">
        <f t="shared" si="5"/>
        <v>0</v>
      </c>
      <c r="T25" s="7">
        <f t="shared" si="6"/>
        <v>0</v>
      </c>
      <c r="X25" s="7">
        <f t="shared" si="7"/>
        <v>0</v>
      </c>
      <c r="Y25" s="29"/>
      <c r="Z25" s="29"/>
      <c r="AA25" s="29"/>
      <c r="AB25" s="29"/>
      <c r="AF25" s="23" t="s">
        <v>117</v>
      </c>
      <c r="AG25" s="23" t="s">
        <v>124</v>
      </c>
      <c r="AH25" s="23" t="s">
        <v>39</v>
      </c>
      <c r="AI25" s="23" t="s">
        <v>228</v>
      </c>
      <c r="AJ25" s="32">
        <f t="shared" si="18"/>
        <v>7306</v>
      </c>
      <c r="AK25" s="25">
        <v>20</v>
      </c>
      <c r="AL25" s="23" t="s">
        <v>23</v>
      </c>
    </row>
    <row r="26" spans="1:38" x14ac:dyDescent="0.2">
      <c r="C26" s="5" t="e">
        <f>INDEX(СМУ!E$10:E$304,MATCH(B26,СМУ!D$10:D$304,))</f>
        <v>#N/A</v>
      </c>
      <c r="F26" s="29" t="e">
        <f>INDEX(AF$2:AJ$94,MATCH(E26,AF$2:AF$94,),4)</f>
        <v>#N/A</v>
      </c>
      <c r="G26" s="30" t="e">
        <f>INDEX(AF$2:AJ$94,MATCH(E26,AF$2:AF$94,),2)</f>
        <v>#N/A</v>
      </c>
      <c r="I26" s="7">
        <f t="shared" si="2"/>
        <v>0</v>
      </c>
      <c r="J26" s="7">
        <f t="shared" si="4"/>
        <v>0</v>
      </c>
      <c r="P26" s="7">
        <f t="shared" si="5"/>
        <v>0</v>
      </c>
      <c r="T26" s="7">
        <f t="shared" si="6"/>
        <v>0</v>
      </c>
      <c r="X26" s="7">
        <f t="shared" si="7"/>
        <v>0</v>
      </c>
      <c r="Y26" s="29"/>
      <c r="Z26" s="29"/>
      <c r="AA26" s="29"/>
      <c r="AB26" s="29"/>
      <c r="AF26" s="23" t="s">
        <v>85</v>
      </c>
      <c r="AG26" s="23" t="s">
        <v>125</v>
      </c>
      <c r="AH26" s="34" t="s">
        <v>84</v>
      </c>
      <c r="AI26" s="34" t="s">
        <v>17</v>
      </c>
      <c r="AJ26" s="32">
        <f t="shared" ref="AJ26:AJ30" si="19">365*AK26+AK26/4+1</f>
        <v>7306</v>
      </c>
      <c r="AK26" s="25">
        <v>20</v>
      </c>
      <c r="AL26" s="23" t="s">
        <v>23</v>
      </c>
    </row>
    <row r="27" spans="1:38" x14ac:dyDescent="0.2">
      <c r="C27" s="5" t="e">
        <f>INDEX(СМУ!E$10:E$304,MATCH(B27,СМУ!D$10:D$304,))</f>
        <v>#N/A</v>
      </c>
      <c r="F27" s="29" t="e">
        <f>INDEX(AF$2:AJ$94,MATCH(E27,AF$2:AF$94,),4)</f>
        <v>#N/A</v>
      </c>
      <c r="G27" s="30" t="e">
        <f>INDEX(AF$2:AJ$94,MATCH(E27,AF$2:AF$94,),2)</f>
        <v>#N/A</v>
      </c>
      <c r="I27" s="7">
        <f t="shared" si="2"/>
        <v>0</v>
      </c>
      <c r="J27" s="7">
        <f t="shared" si="4"/>
        <v>0</v>
      </c>
      <c r="P27" s="7">
        <f t="shared" si="5"/>
        <v>0</v>
      </c>
      <c r="T27" s="7">
        <f t="shared" si="6"/>
        <v>0</v>
      </c>
      <c r="X27" s="7">
        <f t="shared" si="7"/>
        <v>0</v>
      </c>
      <c r="Y27" s="29"/>
      <c r="Z27" s="29"/>
      <c r="AA27" s="29"/>
      <c r="AB27" s="29"/>
      <c r="AF27" s="23" t="s">
        <v>86</v>
      </c>
      <c r="AG27" s="23" t="s">
        <v>125</v>
      </c>
      <c r="AH27" s="34" t="s">
        <v>84</v>
      </c>
      <c r="AI27" s="34" t="s">
        <v>17</v>
      </c>
      <c r="AJ27" s="32">
        <f t="shared" si="19"/>
        <v>7306</v>
      </c>
      <c r="AK27" s="25">
        <v>20</v>
      </c>
      <c r="AL27" s="23" t="s">
        <v>23</v>
      </c>
    </row>
    <row r="28" spans="1:38" x14ac:dyDescent="0.2">
      <c r="C28" s="5" t="e">
        <f>INDEX(СМУ!E$10:E$304,MATCH(B28,СМУ!D$10:D$304,))</f>
        <v>#N/A</v>
      </c>
      <c r="F28" s="29" t="e">
        <f>INDEX(AF$2:AJ$94,MATCH(E28,AF$2:AF$94,),4)</f>
        <v>#N/A</v>
      </c>
      <c r="G28" s="30" t="e">
        <f>INDEX(AF$2:AJ$94,MATCH(E28,AF$2:AF$94,),2)</f>
        <v>#N/A</v>
      </c>
      <c r="I28" s="7">
        <f t="shared" si="2"/>
        <v>0</v>
      </c>
      <c r="J28" s="7">
        <f t="shared" si="4"/>
        <v>0</v>
      </c>
      <c r="P28" s="7">
        <f t="shared" si="5"/>
        <v>0</v>
      </c>
      <c r="T28" s="7">
        <f t="shared" si="6"/>
        <v>0</v>
      </c>
      <c r="X28" s="7">
        <f t="shared" si="7"/>
        <v>0</v>
      </c>
      <c r="Y28" s="29"/>
      <c r="Z28" s="29"/>
      <c r="AA28" s="29"/>
      <c r="AB28" s="29"/>
      <c r="AF28" s="23" t="s">
        <v>87</v>
      </c>
      <c r="AG28" s="23" t="s">
        <v>125</v>
      </c>
      <c r="AH28" s="34" t="s">
        <v>84</v>
      </c>
      <c r="AI28" s="34" t="s">
        <v>17</v>
      </c>
      <c r="AJ28" s="32">
        <f t="shared" si="19"/>
        <v>7306</v>
      </c>
      <c r="AK28" s="25">
        <v>20</v>
      </c>
      <c r="AL28" s="23" t="s">
        <v>23</v>
      </c>
    </row>
    <row r="29" spans="1:38" x14ac:dyDescent="0.2">
      <c r="C29" s="5" t="e">
        <f>INDEX(СМУ!E$10:E$304,MATCH(B29,СМУ!D$10:D$304,))</f>
        <v>#N/A</v>
      </c>
      <c r="F29" s="29" t="e">
        <f>INDEX(AF$2:AJ$94,MATCH(E29,AF$2:AF$94,),4)</f>
        <v>#N/A</v>
      </c>
      <c r="G29" s="30" t="e">
        <f>INDEX(AF$2:AJ$94,MATCH(E29,AF$2:AF$94,),2)</f>
        <v>#N/A</v>
      </c>
      <c r="I29" s="7">
        <f t="shared" si="2"/>
        <v>0</v>
      </c>
      <c r="J29" s="7">
        <f t="shared" si="4"/>
        <v>0</v>
      </c>
      <c r="P29" s="7">
        <f t="shared" si="5"/>
        <v>0</v>
      </c>
      <c r="T29" s="7">
        <f t="shared" si="6"/>
        <v>0</v>
      </c>
      <c r="X29" s="7">
        <f t="shared" si="7"/>
        <v>0</v>
      </c>
      <c r="Y29" s="29"/>
      <c r="Z29" s="29"/>
      <c r="AA29" s="29"/>
      <c r="AB29" s="29"/>
      <c r="AF29" s="23" t="s">
        <v>88</v>
      </c>
      <c r="AG29" s="23" t="s">
        <v>125</v>
      </c>
      <c r="AH29" s="34" t="s">
        <v>84</v>
      </c>
      <c r="AI29" s="34" t="s">
        <v>17</v>
      </c>
      <c r="AJ29" s="32">
        <f t="shared" si="19"/>
        <v>7306</v>
      </c>
      <c r="AK29" s="25">
        <v>20</v>
      </c>
      <c r="AL29" s="23" t="s">
        <v>23</v>
      </c>
    </row>
    <row r="30" spans="1:38" x14ac:dyDescent="0.2">
      <c r="C30" s="5" t="e">
        <f>INDEX(СМУ!E$10:E$304,MATCH(B30,СМУ!D$10:D$304,))</f>
        <v>#N/A</v>
      </c>
      <c r="F30" s="29" t="e">
        <f>INDEX(AF$2:AJ$94,MATCH(E30,AF$2:AF$94,),4)</f>
        <v>#N/A</v>
      </c>
      <c r="G30" s="30" t="e">
        <f>INDEX(AF$2:AJ$94,MATCH(E30,AF$2:AF$94,),2)</f>
        <v>#N/A</v>
      </c>
      <c r="I30" s="7">
        <f t="shared" si="2"/>
        <v>0</v>
      </c>
      <c r="J30" s="7">
        <f t="shared" si="4"/>
        <v>0</v>
      </c>
      <c r="P30" s="7">
        <f t="shared" si="5"/>
        <v>0</v>
      </c>
      <c r="T30" s="7">
        <f t="shared" si="6"/>
        <v>0</v>
      </c>
      <c r="X30" s="7">
        <f t="shared" si="7"/>
        <v>0</v>
      </c>
      <c r="Y30" s="29"/>
      <c r="Z30" s="29"/>
      <c r="AA30" s="29"/>
      <c r="AB30" s="29"/>
      <c r="AF30" s="23" t="s">
        <v>89</v>
      </c>
      <c r="AG30" s="23" t="s">
        <v>125</v>
      </c>
      <c r="AH30" s="34" t="s">
        <v>84</v>
      </c>
      <c r="AI30" s="34" t="s">
        <v>17</v>
      </c>
      <c r="AJ30" s="32">
        <f t="shared" si="19"/>
        <v>7306</v>
      </c>
      <c r="AK30" s="25">
        <v>20</v>
      </c>
      <c r="AL30" s="23" t="s">
        <v>23</v>
      </c>
    </row>
    <row r="31" spans="1:38" x14ac:dyDescent="0.2">
      <c r="C31" s="5" t="e">
        <f>INDEX(СМУ!E$10:E$304,MATCH(B31,СМУ!D$10:D$304,))</f>
        <v>#N/A</v>
      </c>
      <c r="F31" s="29" t="e">
        <f>INDEX(AF$2:AJ$94,MATCH(E31,AF$2:AF$94,),4)</f>
        <v>#N/A</v>
      </c>
      <c r="G31" s="30" t="e">
        <f>INDEX(AF$2:AJ$94,MATCH(E31,AF$2:AF$94,),2)</f>
        <v>#N/A</v>
      </c>
      <c r="I31" s="7">
        <f t="shared" si="2"/>
        <v>0</v>
      </c>
      <c r="J31" s="7">
        <f t="shared" si="4"/>
        <v>0</v>
      </c>
      <c r="P31" s="7">
        <f t="shared" si="5"/>
        <v>0</v>
      </c>
      <c r="T31" s="7">
        <f t="shared" si="6"/>
        <v>0</v>
      </c>
      <c r="X31" s="7">
        <f t="shared" si="7"/>
        <v>0</v>
      </c>
      <c r="Y31" s="29"/>
      <c r="Z31" s="29"/>
      <c r="AA31" s="29"/>
      <c r="AB31" s="29"/>
      <c r="AF31" s="23" t="s">
        <v>232</v>
      </c>
      <c r="AG31" s="34" t="s">
        <v>90</v>
      </c>
      <c r="AH31" s="34" t="s">
        <v>90</v>
      </c>
      <c r="AI31" s="34" t="s">
        <v>17</v>
      </c>
      <c r="AJ31" s="32">
        <f t="shared" ref="AJ31" si="20">365*AK31+AK31/4+1</f>
        <v>7306</v>
      </c>
      <c r="AK31" s="25">
        <v>20</v>
      </c>
      <c r="AL31" s="23" t="s">
        <v>23</v>
      </c>
    </row>
    <row r="32" spans="1:38" x14ac:dyDescent="0.2">
      <c r="C32" s="5" t="e">
        <f>INDEX(СМУ!E$10:E$304,MATCH(B32,СМУ!D$10:D$304,))</f>
        <v>#N/A</v>
      </c>
      <c r="F32" s="29" t="e">
        <f>INDEX(AF$2:AJ$94,MATCH(E32,AF$2:AF$94,),4)</f>
        <v>#N/A</v>
      </c>
      <c r="G32" s="30" t="e">
        <f>INDEX(AF$2:AJ$94,MATCH(E32,AF$2:AF$94,),2)</f>
        <v>#N/A</v>
      </c>
      <c r="I32" s="7">
        <f t="shared" si="2"/>
        <v>0</v>
      </c>
      <c r="J32" s="7">
        <f t="shared" si="4"/>
        <v>0</v>
      </c>
      <c r="P32" s="7">
        <f t="shared" si="5"/>
        <v>0</v>
      </c>
      <c r="T32" s="7">
        <f t="shared" si="6"/>
        <v>0</v>
      </c>
      <c r="X32" s="7">
        <f t="shared" si="7"/>
        <v>0</v>
      </c>
      <c r="Y32" s="29"/>
      <c r="Z32" s="29"/>
      <c r="AA32" s="29"/>
      <c r="AB32" s="29"/>
      <c r="AF32" s="23" t="s">
        <v>92</v>
      </c>
      <c r="AG32" s="23" t="s">
        <v>94</v>
      </c>
      <c r="AH32" s="34" t="s">
        <v>91</v>
      </c>
      <c r="AI32" s="34" t="s">
        <v>17</v>
      </c>
      <c r="AJ32" s="32">
        <f t="shared" ref="AJ32:AJ35" si="21">365*AK32+AK32/4+1</f>
        <v>7306</v>
      </c>
      <c r="AK32" s="25">
        <v>20</v>
      </c>
      <c r="AL32" s="23" t="s">
        <v>23</v>
      </c>
    </row>
    <row r="33" spans="3:38" x14ac:dyDescent="0.2">
      <c r="C33" s="5" t="e">
        <f>INDEX(СМУ!E$10:E$304,MATCH(B33,СМУ!D$10:D$304,))</f>
        <v>#N/A</v>
      </c>
      <c r="F33" s="29" t="e">
        <f>INDEX(AF$2:AJ$94,MATCH(E33,AF$2:AF$94,),4)</f>
        <v>#N/A</v>
      </c>
      <c r="G33" s="30" t="e">
        <f>INDEX(AF$2:AJ$94,MATCH(E33,AF$2:AF$94,),2)</f>
        <v>#N/A</v>
      </c>
      <c r="I33" s="7">
        <f t="shared" si="2"/>
        <v>0</v>
      </c>
      <c r="J33" s="7">
        <f t="shared" si="4"/>
        <v>0</v>
      </c>
      <c r="P33" s="7">
        <f t="shared" si="5"/>
        <v>0</v>
      </c>
      <c r="T33" s="7">
        <f t="shared" si="6"/>
        <v>0</v>
      </c>
      <c r="X33" s="7">
        <f t="shared" si="7"/>
        <v>0</v>
      </c>
      <c r="Y33" s="29"/>
      <c r="Z33" s="29"/>
      <c r="AA33" s="29"/>
      <c r="AB33" s="29"/>
      <c r="AF33" s="23" t="s">
        <v>93</v>
      </c>
      <c r="AG33" s="23" t="s">
        <v>94</v>
      </c>
      <c r="AH33" s="34" t="s">
        <v>91</v>
      </c>
      <c r="AI33" s="34" t="s">
        <v>17</v>
      </c>
      <c r="AJ33" s="32">
        <f t="shared" si="21"/>
        <v>7306</v>
      </c>
      <c r="AK33" s="25">
        <v>20</v>
      </c>
      <c r="AL33" s="23" t="s">
        <v>23</v>
      </c>
    </row>
    <row r="34" spans="3:38" x14ac:dyDescent="0.2">
      <c r="C34" s="5" t="e">
        <f>INDEX(СМУ!E$10:E$304,MATCH(B34,СМУ!D$10:D$304,))</f>
        <v>#N/A</v>
      </c>
      <c r="F34" s="29" t="e">
        <f>INDEX(AF$2:AJ$94,MATCH(E34,AF$2:AF$94,),4)</f>
        <v>#N/A</v>
      </c>
      <c r="G34" s="30" t="e">
        <f>INDEX(AF$2:AJ$94,MATCH(E34,AF$2:AF$94,),2)</f>
        <v>#N/A</v>
      </c>
      <c r="I34" s="7">
        <f t="shared" si="2"/>
        <v>0</v>
      </c>
      <c r="J34" s="7">
        <f t="shared" si="4"/>
        <v>0</v>
      </c>
      <c r="P34" s="7">
        <f t="shared" si="5"/>
        <v>0</v>
      </c>
      <c r="T34" s="7">
        <f t="shared" si="6"/>
        <v>0</v>
      </c>
      <c r="X34" s="7">
        <f t="shared" si="7"/>
        <v>0</v>
      </c>
      <c r="Y34" s="29"/>
      <c r="Z34" s="29"/>
      <c r="AA34" s="29"/>
      <c r="AB34" s="29"/>
      <c r="AF34" s="23" t="s">
        <v>94</v>
      </c>
      <c r="AG34" s="23" t="s">
        <v>94</v>
      </c>
      <c r="AH34" s="34" t="s">
        <v>91</v>
      </c>
      <c r="AI34" s="34" t="s">
        <v>17</v>
      </c>
      <c r="AJ34" s="32">
        <f t="shared" si="21"/>
        <v>7306</v>
      </c>
      <c r="AK34" s="25">
        <v>20</v>
      </c>
      <c r="AL34" s="23" t="s">
        <v>23</v>
      </c>
    </row>
    <row r="35" spans="3:38" x14ac:dyDescent="0.2">
      <c r="C35" s="5" t="e">
        <f>INDEX(СМУ!E$10:E$304,MATCH(B35,СМУ!D$10:D$304,))</f>
        <v>#N/A</v>
      </c>
      <c r="F35" s="29" t="e">
        <f>INDEX(AF$2:AJ$94,MATCH(E35,AF$2:AF$94,),4)</f>
        <v>#N/A</v>
      </c>
      <c r="G35" s="30" t="e">
        <f>INDEX(AF$2:AJ$94,MATCH(E35,AF$2:AF$94,),2)</f>
        <v>#N/A</v>
      </c>
      <c r="I35" s="7">
        <f t="shared" si="2"/>
        <v>0</v>
      </c>
      <c r="J35" s="7">
        <f t="shared" si="4"/>
        <v>0</v>
      </c>
      <c r="P35" s="7">
        <f t="shared" si="5"/>
        <v>0</v>
      </c>
      <c r="T35" s="7">
        <f t="shared" si="6"/>
        <v>0</v>
      </c>
      <c r="X35" s="7">
        <f t="shared" si="7"/>
        <v>0</v>
      </c>
      <c r="Y35" s="29"/>
      <c r="Z35" s="29"/>
      <c r="AA35" s="29"/>
      <c r="AB35" s="29"/>
      <c r="AF35" s="23" t="s">
        <v>95</v>
      </c>
      <c r="AG35" s="23" t="s">
        <v>94</v>
      </c>
      <c r="AH35" s="34" t="s">
        <v>91</v>
      </c>
      <c r="AI35" s="34" t="s">
        <v>17</v>
      </c>
      <c r="AJ35" s="32">
        <f t="shared" si="21"/>
        <v>7306</v>
      </c>
      <c r="AK35" s="25">
        <v>20</v>
      </c>
      <c r="AL35" s="23" t="s">
        <v>23</v>
      </c>
    </row>
    <row r="36" spans="3:38" x14ac:dyDescent="0.2">
      <c r="C36" s="5" t="e">
        <f>INDEX(СМУ!E$10:E$304,MATCH(B36,СМУ!D$10:D$304,))</f>
        <v>#N/A</v>
      </c>
      <c r="F36" s="29" t="e">
        <f>INDEX(AF$2:AJ$94,MATCH(E36,AF$2:AF$94,),4)</f>
        <v>#N/A</v>
      </c>
      <c r="G36" s="30" t="e">
        <f>INDEX(AF$2:AJ$94,MATCH(E36,AF$2:AF$94,),2)</f>
        <v>#N/A</v>
      </c>
      <c r="I36" s="7">
        <f t="shared" si="2"/>
        <v>0</v>
      </c>
      <c r="J36" s="7">
        <f t="shared" si="4"/>
        <v>0</v>
      </c>
      <c r="P36" s="7">
        <f t="shared" si="5"/>
        <v>0</v>
      </c>
      <c r="T36" s="7">
        <f t="shared" si="6"/>
        <v>0</v>
      </c>
      <c r="X36" s="7">
        <f t="shared" si="7"/>
        <v>0</v>
      </c>
      <c r="Y36" s="29"/>
      <c r="Z36" s="29"/>
      <c r="AA36" s="29"/>
      <c r="AB36" s="29"/>
      <c r="AF36" s="23" t="s">
        <v>24</v>
      </c>
      <c r="AG36" s="23" t="s">
        <v>119</v>
      </c>
      <c r="AH36" s="31" t="s">
        <v>21</v>
      </c>
      <c r="AI36" s="31" t="s">
        <v>22</v>
      </c>
      <c r="AJ36" s="32">
        <f t="shared" ref="AJ36:AJ56" si="22">365*AK36+AK36/4+1</f>
        <v>3653.5</v>
      </c>
      <c r="AK36" s="25">
        <v>10</v>
      </c>
      <c r="AL36" s="23" t="s">
        <v>23</v>
      </c>
    </row>
    <row r="37" spans="3:38" x14ac:dyDescent="0.2">
      <c r="C37" s="5" t="e">
        <f>INDEX(СМУ!E$10:E$304,MATCH(B37,СМУ!D$10:D$304,))</f>
        <v>#N/A</v>
      </c>
      <c r="F37" s="29" t="e">
        <f>INDEX(AF$2:AJ$94,MATCH(E37,AF$2:AF$94,),4)</f>
        <v>#N/A</v>
      </c>
      <c r="G37" s="30" t="e">
        <f>INDEX(AF$2:AJ$94,MATCH(E37,AF$2:AF$94,),2)</f>
        <v>#N/A</v>
      </c>
      <c r="I37" s="7">
        <f t="shared" si="2"/>
        <v>0</v>
      </c>
      <c r="J37" s="7">
        <f t="shared" ref="J37" si="23">K37+L37+M37+N37+O37</f>
        <v>0</v>
      </c>
      <c r="P37" s="7">
        <f t="shared" ref="P37" si="24">Q37+R37+S37</f>
        <v>0</v>
      </c>
      <c r="T37" s="7">
        <f t="shared" ref="T37" si="25">U37+V37+W37</f>
        <v>0</v>
      </c>
      <c r="X37" s="7">
        <f t="shared" ref="X37" si="26">Y37+Z37+AA37+AB37</f>
        <v>0</v>
      </c>
      <c r="Y37" s="29"/>
      <c r="Z37" s="29"/>
      <c r="AA37" s="29"/>
      <c r="AB37" s="29"/>
      <c r="AF37" s="23" t="s">
        <v>25</v>
      </c>
      <c r="AG37" s="23" t="s">
        <v>119</v>
      </c>
      <c r="AH37" s="31" t="s">
        <v>21</v>
      </c>
      <c r="AI37" s="31" t="s">
        <v>22</v>
      </c>
      <c r="AJ37" s="32">
        <f t="shared" si="22"/>
        <v>3653.5</v>
      </c>
      <c r="AK37" s="25">
        <v>10</v>
      </c>
      <c r="AL37" s="23" t="s">
        <v>23</v>
      </c>
    </row>
    <row r="38" spans="3:38" x14ac:dyDescent="0.2">
      <c r="C38" s="5" t="e">
        <f>INDEX(СМУ!E$10:E$304,MATCH(B38,СМУ!D$10:D$304,))</f>
        <v>#N/A</v>
      </c>
      <c r="F38" s="29" t="e">
        <f>INDEX(AF$2:AJ$94,MATCH(E38,AF$2:AF$94,),4)</f>
        <v>#N/A</v>
      </c>
      <c r="G38" s="30" t="e">
        <f>INDEX(AF$2:AJ$94,MATCH(E38,AF$2:AF$94,),2)</f>
        <v>#N/A</v>
      </c>
      <c r="I38" s="7">
        <f t="shared" si="2"/>
        <v>0</v>
      </c>
      <c r="J38" s="7">
        <f t="shared" ref="J38:J41" si="27">K38+L38+M38+N38+O38</f>
        <v>0</v>
      </c>
      <c r="P38" s="7">
        <f t="shared" ref="P38:P41" si="28">Q38+R38+S38</f>
        <v>0</v>
      </c>
      <c r="T38" s="7">
        <f t="shared" ref="T38:T41" si="29">U38+V38+W38</f>
        <v>0</v>
      </c>
      <c r="X38" s="7">
        <f t="shared" ref="X38:X41" si="30">Y38+Z38+AA38+AB38</f>
        <v>0</v>
      </c>
      <c r="Y38" s="29"/>
      <c r="Z38" s="29"/>
      <c r="AA38" s="29"/>
      <c r="AB38" s="29"/>
      <c r="AF38" s="23" t="s">
        <v>26</v>
      </c>
      <c r="AG38" s="23" t="s">
        <v>119</v>
      </c>
      <c r="AH38" s="31" t="s">
        <v>21</v>
      </c>
      <c r="AI38" s="31" t="s">
        <v>22</v>
      </c>
      <c r="AJ38" s="32">
        <f t="shared" si="22"/>
        <v>3653.5</v>
      </c>
      <c r="AK38" s="25">
        <v>10</v>
      </c>
      <c r="AL38" s="23" t="s">
        <v>23</v>
      </c>
    </row>
    <row r="39" spans="3:38" x14ac:dyDescent="0.2">
      <c r="C39" s="5" t="e">
        <f>INDEX(СМУ!E$10:E$304,MATCH(B39,СМУ!D$10:D$304,))</f>
        <v>#N/A</v>
      </c>
      <c r="F39" s="29" t="e">
        <f>INDEX(AF$2:AJ$94,MATCH(E39,AF$2:AF$94,),4)</f>
        <v>#N/A</v>
      </c>
      <c r="G39" s="30" t="e">
        <f>INDEX(AF$2:AJ$94,MATCH(E39,AF$2:AF$94,),2)</f>
        <v>#N/A</v>
      </c>
      <c r="I39" s="7">
        <f t="shared" si="2"/>
        <v>0</v>
      </c>
      <c r="J39" s="7">
        <f t="shared" si="27"/>
        <v>0</v>
      </c>
      <c r="P39" s="7">
        <f t="shared" si="28"/>
        <v>0</v>
      </c>
      <c r="T39" s="7">
        <f t="shared" si="29"/>
        <v>0</v>
      </c>
      <c r="X39" s="7">
        <f t="shared" si="30"/>
        <v>0</v>
      </c>
      <c r="Y39" s="29"/>
      <c r="Z39" s="29"/>
      <c r="AA39" s="29"/>
      <c r="AB39" s="29"/>
      <c r="AF39" s="23" t="s">
        <v>27</v>
      </c>
      <c r="AG39" s="23" t="s">
        <v>119</v>
      </c>
      <c r="AH39" s="31" t="s">
        <v>21</v>
      </c>
      <c r="AI39" s="31" t="s">
        <v>22</v>
      </c>
      <c r="AJ39" s="32">
        <f t="shared" si="22"/>
        <v>3653.5</v>
      </c>
      <c r="AK39" s="25">
        <v>10</v>
      </c>
      <c r="AL39" s="23" t="s">
        <v>23</v>
      </c>
    </row>
    <row r="40" spans="3:38" x14ac:dyDescent="0.2">
      <c r="C40" s="5" t="e">
        <f>INDEX(СМУ!E$10:E$304,MATCH(B40,СМУ!D$10:D$304,))</f>
        <v>#N/A</v>
      </c>
      <c r="F40" s="29" t="e">
        <f>INDEX(AF$2:AJ$94,MATCH(E40,AF$2:AF$94,),4)</f>
        <v>#N/A</v>
      </c>
      <c r="G40" s="30" t="e">
        <f>INDEX(AF$2:AJ$94,MATCH(E40,AF$2:AF$94,),2)</f>
        <v>#N/A</v>
      </c>
      <c r="I40" s="7">
        <f t="shared" si="2"/>
        <v>0</v>
      </c>
      <c r="J40" s="7">
        <f t="shared" si="27"/>
        <v>0</v>
      </c>
      <c r="P40" s="7">
        <f t="shared" si="28"/>
        <v>0</v>
      </c>
      <c r="T40" s="7">
        <f t="shared" si="29"/>
        <v>0</v>
      </c>
      <c r="X40" s="7">
        <f t="shared" si="30"/>
        <v>0</v>
      </c>
      <c r="Y40" s="29"/>
      <c r="Z40" s="29"/>
      <c r="AA40" s="29"/>
      <c r="AB40" s="29"/>
      <c r="AF40" s="23" t="s">
        <v>28</v>
      </c>
      <c r="AG40" s="23" t="s">
        <v>119</v>
      </c>
      <c r="AH40" s="31" t="s">
        <v>21</v>
      </c>
      <c r="AI40" s="31" t="s">
        <v>22</v>
      </c>
      <c r="AJ40" s="32">
        <f t="shared" si="22"/>
        <v>3653.5</v>
      </c>
      <c r="AK40" s="25">
        <v>10</v>
      </c>
      <c r="AL40" s="23" t="s">
        <v>23</v>
      </c>
    </row>
    <row r="41" spans="3:38" x14ac:dyDescent="0.2">
      <c r="C41" s="5" t="e">
        <f>INDEX(СМУ!E$10:E$304,MATCH(B41,СМУ!D$10:D$304,))</f>
        <v>#N/A</v>
      </c>
      <c r="F41" s="29" t="e">
        <f>INDEX(AF$2:AJ$94,MATCH(E41,AF$2:AF$94,),4)</f>
        <v>#N/A</v>
      </c>
      <c r="G41" s="30" t="e">
        <f>INDEX(AF$2:AJ$94,MATCH(E41,AF$2:AF$94,),2)</f>
        <v>#N/A</v>
      </c>
      <c r="I41" s="7">
        <f t="shared" si="2"/>
        <v>0</v>
      </c>
      <c r="J41" s="7">
        <f t="shared" si="27"/>
        <v>0</v>
      </c>
      <c r="P41" s="7">
        <f t="shared" si="28"/>
        <v>0</v>
      </c>
      <c r="T41" s="7">
        <f t="shared" si="29"/>
        <v>0</v>
      </c>
      <c r="X41" s="7">
        <f t="shared" si="30"/>
        <v>0</v>
      </c>
      <c r="Y41" s="29"/>
      <c r="Z41" s="29"/>
      <c r="AA41" s="29"/>
      <c r="AB41" s="29"/>
      <c r="AF41" s="23" t="s">
        <v>29</v>
      </c>
      <c r="AG41" s="23" t="s">
        <v>119</v>
      </c>
      <c r="AH41" s="31" t="s">
        <v>21</v>
      </c>
      <c r="AI41" s="31" t="s">
        <v>22</v>
      </c>
      <c r="AJ41" s="32">
        <f t="shared" si="22"/>
        <v>3653.5</v>
      </c>
      <c r="AK41" s="25">
        <v>10</v>
      </c>
      <c r="AL41" s="23" t="s">
        <v>23</v>
      </c>
    </row>
    <row r="42" spans="3:38" x14ac:dyDescent="0.2">
      <c r="C42" s="5" t="e">
        <f>INDEX(СМУ!E$10:E$304,MATCH(B42,СМУ!D$10:D$304,))</f>
        <v>#N/A</v>
      </c>
      <c r="F42" s="29" t="e">
        <f>INDEX(AF$2:AJ$94,MATCH(E42,AF$2:AF$94,),4)</f>
        <v>#N/A</v>
      </c>
      <c r="G42" s="30" t="e">
        <f>INDEX(AF$2:AJ$94,MATCH(E42,AF$2:AF$94,),2)</f>
        <v>#N/A</v>
      </c>
      <c r="I42" s="7">
        <f t="shared" si="2"/>
        <v>0</v>
      </c>
      <c r="J42" s="7">
        <f t="shared" ref="J42:J62" si="31">K42+L42+M42+N42+O42</f>
        <v>0</v>
      </c>
      <c r="P42" s="7">
        <f t="shared" ref="P42:P62" si="32">Q42+R42+S42</f>
        <v>0</v>
      </c>
      <c r="T42" s="7">
        <f t="shared" ref="T42:T62" si="33">U42+V42+W42</f>
        <v>0</v>
      </c>
      <c r="X42" s="7">
        <f t="shared" ref="X42:X62" si="34">Y42+Z42+AA42+AB42</f>
        <v>0</v>
      </c>
      <c r="Y42" s="29"/>
      <c r="Z42" s="29"/>
      <c r="AA42" s="29"/>
      <c r="AB42" s="29"/>
      <c r="AF42" s="23" t="s">
        <v>30</v>
      </c>
      <c r="AG42" s="23" t="s">
        <v>119</v>
      </c>
      <c r="AH42" s="31" t="s">
        <v>21</v>
      </c>
      <c r="AI42" s="31" t="s">
        <v>22</v>
      </c>
      <c r="AJ42" s="32">
        <f t="shared" si="22"/>
        <v>3653.5</v>
      </c>
      <c r="AK42" s="25">
        <v>10</v>
      </c>
      <c r="AL42" s="23" t="s">
        <v>23</v>
      </c>
    </row>
    <row r="43" spans="3:38" x14ac:dyDescent="0.2">
      <c r="C43" s="5" t="e">
        <f>INDEX(СМУ!E$10:E$304,MATCH(B43,СМУ!D$10:D$304,))</f>
        <v>#N/A</v>
      </c>
      <c r="F43" s="29" t="e">
        <f>INDEX(AF$2:AJ$94,MATCH(E43,AF$2:AF$94,),4)</f>
        <v>#N/A</v>
      </c>
      <c r="G43" s="30" t="e">
        <f>INDEX(AF$2:AJ$94,MATCH(E43,AF$2:AF$94,),2)</f>
        <v>#N/A</v>
      </c>
      <c r="I43" s="7">
        <f t="shared" si="2"/>
        <v>0</v>
      </c>
      <c r="J43" s="7">
        <f t="shared" si="31"/>
        <v>0</v>
      </c>
      <c r="P43" s="7">
        <f t="shared" si="32"/>
        <v>0</v>
      </c>
      <c r="T43" s="7">
        <f t="shared" si="33"/>
        <v>0</v>
      </c>
      <c r="X43" s="7">
        <f t="shared" si="34"/>
        <v>0</v>
      </c>
      <c r="Y43" s="29"/>
      <c r="Z43" s="29"/>
      <c r="AA43" s="29"/>
      <c r="AB43" s="29"/>
      <c r="AF43" s="23" t="s">
        <v>31</v>
      </c>
      <c r="AG43" s="23" t="s">
        <v>119</v>
      </c>
      <c r="AH43" s="31" t="s">
        <v>21</v>
      </c>
      <c r="AI43" s="31" t="s">
        <v>22</v>
      </c>
      <c r="AJ43" s="32">
        <f t="shared" si="22"/>
        <v>3653.5</v>
      </c>
      <c r="AK43" s="25">
        <v>10</v>
      </c>
      <c r="AL43" s="23" t="s">
        <v>23</v>
      </c>
    </row>
    <row r="44" spans="3:38" x14ac:dyDescent="0.2">
      <c r="C44" s="5" t="e">
        <f>INDEX(СМУ!E$10:E$304,MATCH(B44,СМУ!D$10:D$304,))</f>
        <v>#N/A</v>
      </c>
      <c r="F44" s="29" t="e">
        <f>INDEX(AF$2:AJ$94,MATCH(E44,AF$2:AF$94,),4)</f>
        <v>#N/A</v>
      </c>
      <c r="G44" s="30" t="e">
        <f>INDEX(AF$2:AJ$94,MATCH(E44,AF$2:AF$94,),2)</f>
        <v>#N/A</v>
      </c>
      <c r="I44" s="7">
        <f t="shared" si="2"/>
        <v>0</v>
      </c>
      <c r="J44" s="7">
        <f t="shared" si="31"/>
        <v>0</v>
      </c>
      <c r="P44" s="7">
        <f t="shared" si="32"/>
        <v>0</v>
      </c>
      <c r="T44" s="7">
        <f t="shared" si="33"/>
        <v>0</v>
      </c>
      <c r="X44" s="7">
        <f t="shared" si="34"/>
        <v>0</v>
      </c>
      <c r="Y44" s="29"/>
      <c r="Z44" s="29"/>
      <c r="AA44" s="29"/>
      <c r="AB44" s="29"/>
      <c r="AF44" s="23" t="s">
        <v>32</v>
      </c>
      <c r="AG44" s="23" t="s">
        <v>119</v>
      </c>
      <c r="AH44" s="31" t="s">
        <v>21</v>
      </c>
      <c r="AI44" s="31" t="s">
        <v>22</v>
      </c>
      <c r="AJ44" s="32">
        <f t="shared" si="22"/>
        <v>3653.5</v>
      </c>
      <c r="AK44" s="25">
        <v>10</v>
      </c>
      <c r="AL44" s="23" t="s">
        <v>23</v>
      </c>
    </row>
    <row r="45" spans="3:38" x14ac:dyDescent="0.2">
      <c r="C45" s="5" t="e">
        <f>INDEX(СМУ!E$10:E$304,MATCH(B45,СМУ!D$10:D$304,))</f>
        <v>#N/A</v>
      </c>
      <c r="F45" s="29" t="e">
        <f>INDEX(AF$2:AJ$94,MATCH(E45,AF$2:AF$94,),4)</f>
        <v>#N/A</v>
      </c>
      <c r="G45" s="30" t="e">
        <f>INDEX(AF$2:AJ$94,MATCH(E45,AF$2:AF$94,),2)</f>
        <v>#N/A</v>
      </c>
      <c r="I45" s="7">
        <f t="shared" si="2"/>
        <v>0</v>
      </c>
      <c r="J45" s="7">
        <f t="shared" si="31"/>
        <v>0</v>
      </c>
      <c r="P45" s="7">
        <f t="shared" si="32"/>
        <v>0</v>
      </c>
      <c r="T45" s="7">
        <f t="shared" si="33"/>
        <v>0</v>
      </c>
      <c r="X45" s="7">
        <f t="shared" si="34"/>
        <v>0</v>
      </c>
      <c r="Y45" s="29"/>
      <c r="Z45" s="29"/>
      <c r="AA45" s="29"/>
      <c r="AB45" s="29"/>
      <c r="AF45" s="23" t="s">
        <v>33</v>
      </c>
      <c r="AG45" s="23" t="s">
        <v>119</v>
      </c>
      <c r="AH45" s="31" t="s">
        <v>21</v>
      </c>
      <c r="AI45" s="31" t="s">
        <v>22</v>
      </c>
      <c r="AJ45" s="32">
        <f t="shared" si="22"/>
        <v>3653.5</v>
      </c>
      <c r="AK45" s="25">
        <v>10</v>
      </c>
      <c r="AL45" s="23" t="s">
        <v>23</v>
      </c>
    </row>
    <row r="46" spans="3:38" x14ac:dyDescent="0.2">
      <c r="C46" s="5" t="e">
        <f>INDEX(СМУ!E$10:E$304,MATCH(B46,СМУ!D$10:D$304,))</f>
        <v>#N/A</v>
      </c>
      <c r="F46" s="29" t="e">
        <f>INDEX(AF$2:AJ$94,MATCH(E46,AF$2:AF$94,),4)</f>
        <v>#N/A</v>
      </c>
      <c r="G46" s="30" t="e">
        <f>INDEX(AF$2:AJ$94,MATCH(E46,AF$2:AF$94,),2)</f>
        <v>#N/A</v>
      </c>
      <c r="I46" s="7">
        <f t="shared" si="2"/>
        <v>0</v>
      </c>
      <c r="J46" s="7">
        <f t="shared" si="31"/>
        <v>0</v>
      </c>
      <c r="P46" s="7">
        <f t="shared" si="32"/>
        <v>0</v>
      </c>
      <c r="T46" s="7">
        <f t="shared" si="33"/>
        <v>0</v>
      </c>
      <c r="X46" s="7">
        <f t="shared" si="34"/>
        <v>0</v>
      </c>
      <c r="Y46" s="29"/>
      <c r="Z46" s="29"/>
      <c r="AA46" s="29"/>
      <c r="AB46" s="29"/>
      <c r="AF46" s="23" t="s">
        <v>34</v>
      </c>
      <c r="AG46" s="23" t="s">
        <v>119</v>
      </c>
      <c r="AH46" s="31" t="s">
        <v>21</v>
      </c>
      <c r="AI46" s="31" t="s">
        <v>22</v>
      </c>
      <c r="AJ46" s="32">
        <f t="shared" si="22"/>
        <v>3653.5</v>
      </c>
      <c r="AK46" s="25">
        <v>10</v>
      </c>
      <c r="AL46" s="23" t="s">
        <v>23</v>
      </c>
    </row>
    <row r="47" spans="3:38" x14ac:dyDescent="0.2">
      <c r="C47" s="5" t="e">
        <f>INDEX(СМУ!E$10:E$304,MATCH(B47,СМУ!D$10:D$304,))</f>
        <v>#N/A</v>
      </c>
      <c r="F47" s="29" t="e">
        <f>INDEX(AF$2:AJ$94,MATCH(E47,AF$2:AF$94,),4)</f>
        <v>#N/A</v>
      </c>
      <c r="G47" s="30" t="e">
        <f>INDEX(AF$2:AJ$94,MATCH(E47,AF$2:AF$94,),2)</f>
        <v>#N/A</v>
      </c>
      <c r="I47" s="7">
        <f t="shared" si="2"/>
        <v>0</v>
      </c>
      <c r="J47" s="7">
        <f t="shared" si="31"/>
        <v>0</v>
      </c>
      <c r="P47" s="7">
        <f t="shared" si="32"/>
        <v>0</v>
      </c>
      <c r="T47" s="7">
        <f t="shared" si="33"/>
        <v>0</v>
      </c>
      <c r="X47" s="7">
        <f t="shared" si="34"/>
        <v>0</v>
      </c>
      <c r="Y47" s="29"/>
      <c r="Z47" s="29"/>
      <c r="AA47" s="29"/>
      <c r="AB47" s="29"/>
      <c r="AF47" s="23" t="s">
        <v>35</v>
      </c>
      <c r="AG47" s="23" t="s">
        <v>119</v>
      </c>
      <c r="AH47" s="31" t="s">
        <v>21</v>
      </c>
      <c r="AI47" s="31" t="s">
        <v>22</v>
      </c>
      <c r="AJ47" s="32">
        <f t="shared" si="22"/>
        <v>3653.5</v>
      </c>
      <c r="AK47" s="25">
        <v>10</v>
      </c>
      <c r="AL47" s="23" t="s">
        <v>23</v>
      </c>
    </row>
    <row r="48" spans="3:38" x14ac:dyDescent="0.2">
      <c r="C48" s="5" t="e">
        <f>INDEX(СМУ!E$10:E$304,MATCH(B48,СМУ!D$10:D$304,))</f>
        <v>#N/A</v>
      </c>
      <c r="F48" s="29" t="e">
        <f>INDEX(AF$2:AJ$94,MATCH(E48,AF$2:AF$94,),4)</f>
        <v>#N/A</v>
      </c>
      <c r="G48" s="30" t="e">
        <f>INDEX(AF$2:AJ$94,MATCH(E48,AF$2:AF$94,),2)</f>
        <v>#N/A</v>
      </c>
      <c r="I48" s="7">
        <f t="shared" si="2"/>
        <v>0</v>
      </c>
      <c r="J48" s="7">
        <f t="shared" si="31"/>
        <v>0</v>
      </c>
      <c r="P48" s="7">
        <f t="shared" si="32"/>
        <v>0</v>
      </c>
      <c r="T48" s="7">
        <f t="shared" si="33"/>
        <v>0</v>
      </c>
      <c r="X48" s="7">
        <f t="shared" si="34"/>
        <v>0</v>
      </c>
      <c r="Y48" s="29"/>
      <c r="Z48" s="29"/>
      <c r="AA48" s="29"/>
      <c r="AB48" s="29"/>
      <c r="AF48" s="23" t="s">
        <v>36</v>
      </c>
      <c r="AG48" s="23" t="s">
        <v>119</v>
      </c>
      <c r="AH48" s="31" t="s">
        <v>21</v>
      </c>
      <c r="AI48" s="31" t="s">
        <v>22</v>
      </c>
      <c r="AJ48" s="32">
        <f t="shared" si="22"/>
        <v>3653.5</v>
      </c>
      <c r="AK48" s="25">
        <v>10</v>
      </c>
      <c r="AL48" s="23" t="s">
        <v>23</v>
      </c>
    </row>
    <row r="49" spans="3:38" x14ac:dyDescent="0.2">
      <c r="C49" s="5" t="e">
        <f>INDEX(СМУ!E$10:E$304,MATCH(B49,СМУ!D$10:D$304,))</f>
        <v>#N/A</v>
      </c>
      <c r="F49" s="29" t="e">
        <f>INDEX(AF$2:AJ$94,MATCH(E49,AF$2:AF$94,),4)</f>
        <v>#N/A</v>
      </c>
      <c r="G49" s="30" t="e">
        <f>INDEX(AF$2:AJ$94,MATCH(E49,AF$2:AF$94,),2)</f>
        <v>#N/A</v>
      </c>
      <c r="I49" s="7">
        <f t="shared" si="2"/>
        <v>0</v>
      </c>
      <c r="J49" s="7">
        <f t="shared" si="31"/>
        <v>0</v>
      </c>
      <c r="P49" s="7">
        <f t="shared" si="32"/>
        <v>0</v>
      </c>
      <c r="T49" s="7">
        <f t="shared" si="33"/>
        <v>0</v>
      </c>
      <c r="X49" s="7">
        <f t="shared" si="34"/>
        <v>0</v>
      </c>
      <c r="Y49" s="29"/>
      <c r="Z49" s="29"/>
      <c r="AA49" s="29"/>
      <c r="AB49" s="29"/>
      <c r="AF49" s="23" t="s">
        <v>37</v>
      </c>
      <c r="AG49" s="23" t="s">
        <v>119</v>
      </c>
      <c r="AH49" s="31" t="s">
        <v>21</v>
      </c>
      <c r="AI49" s="31" t="s">
        <v>22</v>
      </c>
      <c r="AJ49" s="32">
        <f t="shared" si="22"/>
        <v>3653.5</v>
      </c>
      <c r="AK49" s="25">
        <v>10</v>
      </c>
      <c r="AL49" s="23" t="s">
        <v>23</v>
      </c>
    </row>
    <row r="50" spans="3:38" x14ac:dyDescent="0.2">
      <c r="C50" s="5" t="e">
        <f>INDEX(СМУ!E$10:E$304,MATCH(B50,СМУ!D$10:D$304,))</f>
        <v>#N/A</v>
      </c>
      <c r="F50" s="29" t="e">
        <f>INDEX(AF$2:AJ$94,MATCH(E50,AF$2:AF$94,),4)</f>
        <v>#N/A</v>
      </c>
      <c r="G50" s="30" t="e">
        <f>INDEX(AF$2:AJ$94,MATCH(E50,AF$2:AF$94,),2)</f>
        <v>#N/A</v>
      </c>
      <c r="I50" s="7">
        <f t="shared" si="2"/>
        <v>0</v>
      </c>
      <c r="J50" s="7">
        <f t="shared" si="31"/>
        <v>0</v>
      </c>
      <c r="P50" s="7">
        <f t="shared" si="32"/>
        <v>0</v>
      </c>
      <c r="T50" s="7">
        <f t="shared" si="33"/>
        <v>0</v>
      </c>
      <c r="X50" s="7">
        <f t="shared" si="34"/>
        <v>0</v>
      </c>
      <c r="Y50" s="29"/>
      <c r="Z50" s="29"/>
      <c r="AA50" s="29"/>
      <c r="AB50" s="29"/>
      <c r="AF50" s="23" t="s">
        <v>38</v>
      </c>
      <c r="AG50" s="23" t="s">
        <v>119</v>
      </c>
      <c r="AH50" s="31" t="s">
        <v>21</v>
      </c>
      <c r="AI50" s="31" t="s">
        <v>22</v>
      </c>
      <c r="AJ50" s="32">
        <f t="shared" si="22"/>
        <v>3653.5</v>
      </c>
      <c r="AK50" s="25">
        <v>10</v>
      </c>
      <c r="AL50" s="23" t="s">
        <v>23</v>
      </c>
    </row>
    <row r="51" spans="3:38" x14ac:dyDescent="0.2">
      <c r="C51" s="5" t="e">
        <f>INDEX(СМУ!E$10:E$304,MATCH(B51,СМУ!D$10:D$304,))</f>
        <v>#N/A</v>
      </c>
      <c r="F51" s="29" t="e">
        <f>INDEX(AF$2:AJ$94,MATCH(E51,AF$2:AF$94,),4)</f>
        <v>#N/A</v>
      </c>
      <c r="G51" s="30" t="e">
        <f>INDEX(AF$2:AJ$94,MATCH(E51,AF$2:AF$94,),2)</f>
        <v>#N/A</v>
      </c>
      <c r="I51" s="7">
        <f t="shared" si="2"/>
        <v>0</v>
      </c>
      <c r="J51" s="7">
        <f t="shared" si="31"/>
        <v>0</v>
      </c>
      <c r="P51" s="7">
        <f t="shared" si="32"/>
        <v>0</v>
      </c>
      <c r="T51" s="7">
        <f t="shared" si="33"/>
        <v>0</v>
      </c>
      <c r="X51" s="7">
        <f t="shared" si="34"/>
        <v>0</v>
      </c>
      <c r="Y51" s="29"/>
      <c r="Z51" s="29"/>
      <c r="AA51" s="29"/>
      <c r="AB51" s="29"/>
      <c r="AF51" s="23" t="s">
        <v>40</v>
      </c>
      <c r="AG51" s="23" t="s">
        <v>120</v>
      </c>
      <c r="AH51" s="31" t="s">
        <v>21</v>
      </c>
      <c r="AI51" s="31" t="s">
        <v>22</v>
      </c>
      <c r="AJ51" s="32">
        <f t="shared" si="22"/>
        <v>7306</v>
      </c>
      <c r="AK51" s="25">
        <v>20</v>
      </c>
      <c r="AL51" s="23" t="s">
        <v>23</v>
      </c>
    </row>
    <row r="52" spans="3:38" x14ac:dyDescent="0.2">
      <c r="C52" s="5" t="e">
        <f>INDEX(СМУ!E$10:E$304,MATCH(B52,СМУ!D$10:D$304,))</f>
        <v>#N/A</v>
      </c>
      <c r="F52" s="29" t="e">
        <f>INDEX(AF$2:AJ$94,MATCH(E52,AF$2:AF$94,),4)</f>
        <v>#N/A</v>
      </c>
      <c r="G52" s="30" t="e">
        <f>INDEX(AF$2:AJ$94,MATCH(E52,AF$2:AF$94,),2)</f>
        <v>#N/A</v>
      </c>
      <c r="I52" s="7">
        <f t="shared" si="2"/>
        <v>0</v>
      </c>
      <c r="J52" s="7">
        <f t="shared" si="31"/>
        <v>0</v>
      </c>
      <c r="P52" s="7">
        <f t="shared" si="32"/>
        <v>0</v>
      </c>
      <c r="T52" s="7">
        <f t="shared" si="33"/>
        <v>0</v>
      </c>
      <c r="X52" s="7">
        <f t="shared" si="34"/>
        <v>0</v>
      </c>
      <c r="Y52" s="29"/>
      <c r="Z52" s="29"/>
      <c r="AA52" s="29"/>
      <c r="AB52" s="29"/>
      <c r="AF52" s="23" t="s">
        <v>41</v>
      </c>
      <c r="AG52" s="23" t="s">
        <v>120</v>
      </c>
      <c r="AH52" s="31" t="s">
        <v>21</v>
      </c>
      <c r="AI52" s="31" t="s">
        <v>22</v>
      </c>
      <c r="AJ52" s="32">
        <f t="shared" si="22"/>
        <v>7306</v>
      </c>
      <c r="AK52" s="25">
        <v>20</v>
      </c>
      <c r="AL52" s="23" t="s">
        <v>23</v>
      </c>
    </row>
    <row r="53" spans="3:38" x14ac:dyDescent="0.2">
      <c r="C53" s="5" t="e">
        <f>INDEX(СМУ!E$10:E$304,MATCH(B53,СМУ!D$10:D$304,))</f>
        <v>#N/A</v>
      </c>
      <c r="F53" s="29" t="e">
        <f>INDEX(AF$2:AJ$94,MATCH(E53,AF$2:AF$94,),4)</f>
        <v>#N/A</v>
      </c>
      <c r="G53" s="30" t="e">
        <f>INDEX(AF$2:AJ$94,MATCH(E53,AF$2:AF$94,),2)</f>
        <v>#N/A</v>
      </c>
      <c r="I53" s="7">
        <f t="shared" si="2"/>
        <v>0</v>
      </c>
      <c r="J53" s="7">
        <f t="shared" si="31"/>
        <v>0</v>
      </c>
      <c r="P53" s="7">
        <f t="shared" si="32"/>
        <v>0</v>
      </c>
      <c r="T53" s="7">
        <f t="shared" si="33"/>
        <v>0</v>
      </c>
      <c r="X53" s="7">
        <f t="shared" si="34"/>
        <v>0</v>
      </c>
      <c r="Y53" s="29"/>
      <c r="Z53" s="29"/>
      <c r="AA53" s="29"/>
      <c r="AB53" s="29"/>
      <c r="AF53" s="23" t="s">
        <v>42</v>
      </c>
      <c r="AG53" s="23" t="s">
        <v>120</v>
      </c>
      <c r="AH53" s="31" t="s">
        <v>21</v>
      </c>
      <c r="AI53" s="31" t="s">
        <v>22</v>
      </c>
      <c r="AJ53" s="32">
        <f t="shared" si="22"/>
        <v>7306</v>
      </c>
      <c r="AK53" s="25">
        <v>20</v>
      </c>
      <c r="AL53" s="23" t="s">
        <v>23</v>
      </c>
    </row>
    <row r="54" spans="3:38" x14ac:dyDescent="0.2">
      <c r="C54" s="5" t="e">
        <f>INDEX(СМУ!E$10:E$304,MATCH(B54,СМУ!D$10:D$304,))</f>
        <v>#N/A</v>
      </c>
      <c r="F54" s="29" t="e">
        <f>INDEX(AF$2:AJ$94,MATCH(E54,AF$2:AF$94,),4)</f>
        <v>#N/A</v>
      </c>
      <c r="G54" s="30" t="e">
        <f>INDEX(AF$2:AJ$94,MATCH(E54,AF$2:AF$94,),2)</f>
        <v>#N/A</v>
      </c>
      <c r="I54" s="7">
        <f t="shared" si="2"/>
        <v>0</v>
      </c>
      <c r="J54" s="7">
        <f t="shared" si="31"/>
        <v>0</v>
      </c>
      <c r="P54" s="7">
        <f t="shared" si="32"/>
        <v>0</v>
      </c>
      <c r="T54" s="7">
        <f t="shared" si="33"/>
        <v>0</v>
      </c>
      <c r="X54" s="7">
        <f t="shared" si="34"/>
        <v>0</v>
      </c>
      <c r="Y54" s="29"/>
      <c r="Z54" s="29"/>
      <c r="AA54" s="29"/>
      <c r="AB54" s="29"/>
      <c r="AF54" s="23" t="s">
        <v>43</v>
      </c>
      <c r="AG54" s="23" t="s">
        <v>120</v>
      </c>
      <c r="AH54" s="31" t="s">
        <v>21</v>
      </c>
      <c r="AI54" s="31" t="s">
        <v>22</v>
      </c>
      <c r="AJ54" s="32">
        <f t="shared" si="22"/>
        <v>7306</v>
      </c>
      <c r="AK54" s="25">
        <v>20</v>
      </c>
      <c r="AL54" s="23" t="s">
        <v>23</v>
      </c>
    </row>
    <row r="55" spans="3:38" x14ac:dyDescent="0.2">
      <c r="C55" s="5" t="e">
        <f>INDEX(СМУ!E$10:E$304,MATCH(B55,СМУ!D$10:D$304,))</f>
        <v>#N/A</v>
      </c>
      <c r="F55" s="29" t="e">
        <f>INDEX(AF$2:AJ$94,MATCH(E55,AF$2:AF$94,),4)</f>
        <v>#N/A</v>
      </c>
      <c r="G55" s="30" t="e">
        <f>INDEX(AF$2:AJ$94,MATCH(E55,AF$2:AF$94,),2)</f>
        <v>#N/A</v>
      </c>
      <c r="I55" s="7">
        <f t="shared" si="2"/>
        <v>0</v>
      </c>
      <c r="J55" s="7">
        <f t="shared" si="31"/>
        <v>0</v>
      </c>
      <c r="P55" s="7">
        <f t="shared" si="32"/>
        <v>0</v>
      </c>
      <c r="T55" s="7">
        <f t="shared" si="33"/>
        <v>0</v>
      </c>
      <c r="X55" s="7">
        <f t="shared" si="34"/>
        <v>0</v>
      </c>
      <c r="Y55" s="29"/>
      <c r="Z55" s="29"/>
      <c r="AA55" s="29"/>
      <c r="AB55" s="29"/>
      <c r="AF55" s="23" t="s">
        <v>44</v>
      </c>
      <c r="AG55" s="23" t="s">
        <v>120</v>
      </c>
      <c r="AH55" s="31" t="s">
        <v>21</v>
      </c>
      <c r="AI55" s="31" t="s">
        <v>22</v>
      </c>
      <c r="AJ55" s="32">
        <f t="shared" si="22"/>
        <v>7306</v>
      </c>
      <c r="AK55" s="25">
        <v>20</v>
      </c>
      <c r="AL55" s="23" t="s">
        <v>23</v>
      </c>
    </row>
    <row r="56" spans="3:38" x14ac:dyDescent="0.2">
      <c r="C56" s="5" t="e">
        <f>INDEX(СМУ!E$10:E$304,MATCH(B56,СМУ!D$10:D$304,))</f>
        <v>#N/A</v>
      </c>
      <c r="F56" s="29" t="e">
        <f>INDEX(AF$2:AJ$94,MATCH(E56,AF$2:AF$94,),4)</f>
        <v>#N/A</v>
      </c>
      <c r="G56" s="30" t="e">
        <f>INDEX(AF$2:AJ$94,MATCH(E56,AF$2:AF$94,),2)</f>
        <v>#N/A</v>
      </c>
      <c r="I56" s="7">
        <f t="shared" si="2"/>
        <v>0</v>
      </c>
      <c r="J56" s="7">
        <f t="shared" si="31"/>
        <v>0</v>
      </c>
      <c r="P56" s="7">
        <f t="shared" si="32"/>
        <v>0</v>
      </c>
      <c r="T56" s="7">
        <f t="shared" si="33"/>
        <v>0</v>
      </c>
      <c r="X56" s="7">
        <f t="shared" si="34"/>
        <v>0</v>
      </c>
      <c r="Y56" s="29"/>
      <c r="Z56" s="29"/>
      <c r="AA56" s="29"/>
      <c r="AB56" s="29"/>
      <c r="AF56" s="23" t="s">
        <v>45</v>
      </c>
      <c r="AG56" s="23" t="s">
        <v>120</v>
      </c>
      <c r="AH56" s="31" t="s">
        <v>21</v>
      </c>
      <c r="AI56" s="31" t="s">
        <v>22</v>
      </c>
      <c r="AJ56" s="32">
        <f t="shared" si="22"/>
        <v>7306</v>
      </c>
      <c r="AK56" s="25">
        <v>20</v>
      </c>
      <c r="AL56" s="23" t="s">
        <v>23</v>
      </c>
    </row>
    <row r="57" spans="3:38" x14ac:dyDescent="0.2">
      <c r="C57" s="5" t="e">
        <f>INDEX(СМУ!E$10:E$304,MATCH(B57,СМУ!D$10:D$304,))</f>
        <v>#N/A</v>
      </c>
      <c r="F57" s="29" t="e">
        <f>INDEX(AF$2:AJ$94,MATCH(E57,AF$2:AF$94,),4)</f>
        <v>#N/A</v>
      </c>
      <c r="G57" s="30" t="e">
        <f>INDEX(AF$2:AJ$94,MATCH(E57,AF$2:AF$94,),2)</f>
        <v>#N/A</v>
      </c>
      <c r="I57" s="7">
        <f t="shared" si="2"/>
        <v>0</v>
      </c>
      <c r="J57" s="7">
        <f t="shared" si="31"/>
        <v>0</v>
      </c>
      <c r="P57" s="7">
        <f t="shared" si="32"/>
        <v>0</v>
      </c>
      <c r="T57" s="7">
        <f t="shared" si="33"/>
        <v>0</v>
      </c>
      <c r="X57" s="7">
        <f t="shared" si="34"/>
        <v>0</v>
      </c>
      <c r="Y57" s="29"/>
      <c r="Z57" s="29"/>
      <c r="AA57" s="29"/>
      <c r="AB57" s="29"/>
      <c r="AF57" s="23" t="s">
        <v>46</v>
      </c>
      <c r="AG57" s="23" t="s">
        <v>120</v>
      </c>
      <c r="AH57" s="31" t="s">
        <v>21</v>
      </c>
      <c r="AI57" s="31" t="s">
        <v>22</v>
      </c>
      <c r="AJ57" s="32">
        <f t="shared" ref="AJ57:AJ61" si="35">365*AK57+AK57/4+1</f>
        <v>7306</v>
      </c>
      <c r="AK57" s="25">
        <v>20</v>
      </c>
      <c r="AL57" s="23" t="s">
        <v>23</v>
      </c>
    </row>
    <row r="58" spans="3:38" x14ac:dyDescent="0.2">
      <c r="C58" s="5" t="e">
        <f>INDEX(СМУ!E$10:E$304,MATCH(B58,СМУ!D$10:D$304,))</f>
        <v>#N/A</v>
      </c>
      <c r="F58" s="29" t="e">
        <f>INDEX(AF$2:AJ$94,MATCH(E58,AF$2:AF$94,),4)</f>
        <v>#N/A</v>
      </c>
      <c r="G58" s="30" t="e">
        <f>INDEX(AF$2:AJ$94,MATCH(E58,AF$2:AF$94,),2)</f>
        <v>#N/A</v>
      </c>
      <c r="I58" s="7">
        <f t="shared" si="2"/>
        <v>0</v>
      </c>
      <c r="J58" s="7">
        <f t="shared" si="31"/>
        <v>0</v>
      </c>
      <c r="P58" s="7">
        <f t="shared" si="32"/>
        <v>0</v>
      </c>
      <c r="T58" s="7">
        <f t="shared" si="33"/>
        <v>0</v>
      </c>
      <c r="X58" s="7">
        <f t="shared" si="34"/>
        <v>0</v>
      </c>
      <c r="Y58" s="29"/>
      <c r="Z58" s="29"/>
      <c r="AA58" s="29"/>
      <c r="AB58" s="29"/>
      <c r="AF58" s="23" t="s">
        <v>47</v>
      </c>
      <c r="AG58" s="23" t="s">
        <v>120</v>
      </c>
      <c r="AH58" s="31" t="s">
        <v>21</v>
      </c>
      <c r="AI58" s="31" t="s">
        <v>22</v>
      </c>
      <c r="AJ58" s="32">
        <f t="shared" si="35"/>
        <v>7306</v>
      </c>
      <c r="AK58" s="25">
        <v>20</v>
      </c>
      <c r="AL58" s="23" t="s">
        <v>23</v>
      </c>
    </row>
    <row r="59" spans="3:38" x14ac:dyDescent="0.2">
      <c r="C59" s="5" t="e">
        <f>INDEX(СМУ!E$10:E$304,MATCH(B59,СМУ!D$10:D$304,))</f>
        <v>#N/A</v>
      </c>
      <c r="F59" s="29" t="e">
        <f>INDEX(AF$2:AJ$94,MATCH(E59,AF$2:AF$94,),4)</f>
        <v>#N/A</v>
      </c>
      <c r="G59" s="30" t="e">
        <f>INDEX(AF$2:AJ$94,MATCH(E59,AF$2:AF$94,),2)</f>
        <v>#N/A</v>
      </c>
      <c r="I59" s="7">
        <f t="shared" si="2"/>
        <v>0</v>
      </c>
      <c r="J59" s="7">
        <f t="shared" si="31"/>
        <v>0</v>
      </c>
      <c r="P59" s="7">
        <f t="shared" si="32"/>
        <v>0</v>
      </c>
      <c r="T59" s="7">
        <f t="shared" si="33"/>
        <v>0</v>
      </c>
      <c r="X59" s="7">
        <f t="shared" si="34"/>
        <v>0</v>
      </c>
      <c r="Y59" s="29"/>
      <c r="Z59" s="29"/>
      <c r="AA59" s="29"/>
      <c r="AB59" s="29"/>
      <c r="AF59" s="23" t="s">
        <v>48</v>
      </c>
      <c r="AG59" s="23" t="s">
        <v>120</v>
      </c>
      <c r="AH59" s="31" t="s">
        <v>21</v>
      </c>
      <c r="AI59" s="31" t="s">
        <v>22</v>
      </c>
      <c r="AJ59" s="32">
        <f t="shared" si="35"/>
        <v>7306</v>
      </c>
      <c r="AK59" s="25">
        <v>20</v>
      </c>
      <c r="AL59" s="23" t="s">
        <v>23</v>
      </c>
    </row>
    <row r="60" spans="3:38" x14ac:dyDescent="0.2">
      <c r="C60" s="5" t="e">
        <f>INDEX(СМУ!E$10:E$304,MATCH(B60,СМУ!D$10:D$304,))</f>
        <v>#N/A</v>
      </c>
      <c r="F60" s="29" t="e">
        <f>INDEX(AF$2:AJ$94,MATCH(E60,AF$2:AF$94,),4)</f>
        <v>#N/A</v>
      </c>
      <c r="G60" s="30" t="e">
        <f>INDEX(AF$2:AJ$94,MATCH(E60,AF$2:AF$94,),2)</f>
        <v>#N/A</v>
      </c>
      <c r="I60" s="7">
        <f t="shared" si="2"/>
        <v>0</v>
      </c>
      <c r="J60" s="7">
        <f t="shared" si="31"/>
        <v>0</v>
      </c>
      <c r="P60" s="7">
        <f t="shared" si="32"/>
        <v>0</v>
      </c>
      <c r="T60" s="7">
        <f t="shared" si="33"/>
        <v>0</v>
      </c>
      <c r="X60" s="7">
        <f t="shared" si="34"/>
        <v>0</v>
      </c>
      <c r="Y60" s="29"/>
      <c r="Z60" s="29"/>
      <c r="AA60" s="29"/>
      <c r="AB60" s="29"/>
      <c r="AF60" s="23" t="s">
        <v>49</v>
      </c>
      <c r="AG60" s="23" t="s">
        <v>120</v>
      </c>
      <c r="AH60" s="31" t="s">
        <v>21</v>
      </c>
      <c r="AI60" s="31" t="s">
        <v>22</v>
      </c>
      <c r="AJ60" s="32">
        <f t="shared" si="35"/>
        <v>7306</v>
      </c>
      <c r="AK60" s="25">
        <v>20</v>
      </c>
      <c r="AL60" s="23" t="s">
        <v>23</v>
      </c>
    </row>
    <row r="61" spans="3:38" x14ac:dyDescent="0.2">
      <c r="C61" s="5" t="e">
        <f>INDEX(СМУ!E$10:E$304,MATCH(B61,СМУ!D$10:D$304,))</f>
        <v>#N/A</v>
      </c>
      <c r="F61" s="29" t="e">
        <f>INDEX(AF$2:AJ$94,MATCH(E61,AF$2:AF$94,),4)</f>
        <v>#N/A</v>
      </c>
      <c r="G61" s="30" t="e">
        <f>INDEX(AF$2:AJ$94,MATCH(E61,AF$2:AF$94,),2)</f>
        <v>#N/A</v>
      </c>
      <c r="I61" s="7">
        <f t="shared" si="2"/>
        <v>0</v>
      </c>
      <c r="J61" s="7">
        <f t="shared" si="31"/>
        <v>0</v>
      </c>
      <c r="P61" s="7">
        <f t="shared" si="32"/>
        <v>0</v>
      </c>
      <c r="T61" s="7">
        <f t="shared" si="33"/>
        <v>0</v>
      </c>
      <c r="X61" s="7">
        <f t="shared" si="34"/>
        <v>0</v>
      </c>
      <c r="Y61" s="29"/>
      <c r="Z61" s="29"/>
      <c r="AA61" s="29"/>
      <c r="AB61" s="29"/>
      <c r="AF61" s="33" t="s">
        <v>50</v>
      </c>
      <c r="AG61" s="23" t="s">
        <v>120</v>
      </c>
      <c r="AH61" s="31" t="s">
        <v>21</v>
      </c>
      <c r="AI61" s="31" t="s">
        <v>22</v>
      </c>
      <c r="AJ61" s="32">
        <f t="shared" si="35"/>
        <v>7306</v>
      </c>
      <c r="AK61" s="25">
        <v>20</v>
      </c>
      <c r="AL61" s="23" t="s">
        <v>23</v>
      </c>
    </row>
    <row r="62" spans="3:38" x14ac:dyDescent="0.2">
      <c r="C62" s="5" t="e">
        <f>INDEX(СМУ!E$10:E$304,MATCH(B62,СМУ!D$10:D$304,))</f>
        <v>#N/A</v>
      </c>
      <c r="F62" s="29" t="e">
        <f>INDEX(AF$2:AJ$94,MATCH(E62,AF$2:AF$94,),4)</f>
        <v>#N/A</v>
      </c>
      <c r="G62" s="30" t="e">
        <f>INDEX(AF$2:AJ$94,MATCH(E62,AF$2:AF$94,),2)</f>
        <v>#N/A</v>
      </c>
      <c r="I62" s="7">
        <f t="shared" si="2"/>
        <v>0</v>
      </c>
      <c r="J62" s="7">
        <f t="shared" si="31"/>
        <v>0</v>
      </c>
      <c r="P62" s="7">
        <f t="shared" si="32"/>
        <v>0</v>
      </c>
      <c r="T62" s="7">
        <f t="shared" si="33"/>
        <v>0</v>
      </c>
      <c r="X62" s="7">
        <f t="shared" si="34"/>
        <v>0</v>
      </c>
      <c r="Y62" s="29"/>
      <c r="Z62" s="29"/>
      <c r="AA62" s="29"/>
      <c r="AB62" s="29"/>
      <c r="AF62" s="23" t="s">
        <v>51</v>
      </c>
      <c r="AG62" s="23" t="s">
        <v>122</v>
      </c>
      <c r="AH62" s="31" t="s">
        <v>21</v>
      </c>
      <c r="AI62" s="31" t="s">
        <v>22</v>
      </c>
      <c r="AJ62" s="32">
        <f t="shared" ref="AJ62:AJ90" si="36">365*AK62+AK62/4+1</f>
        <v>3653.5</v>
      </c>
      <c r="AK62" s="25">
        <v>10</v>
      </c>
      <c r="AL62" s="23" t="s">
        <v>23</v>
      </c>
    </row>
    <row r="63" spans="3:38" x14ac:dyDescent="0.2">
      <c r="C63" s="5" t="e">
        <f>INDEX(СМУ!E$10:E$304,MATCH(B63,СМУ!D$10:D$304,))</f>
        <v>#N/A</v>
      </c>
      <c r="F63" s="29" t="e">
        <f>INDEX(AF$2:AJ$94,MATCH(E63,AF$2:AF$94,),4)</f>
        <v>#N/A</v>
      </c>
      <c r="G63" s="30" t="e">
        <f>INDEX(AF$2:AJ$94,MATCH(E63,AF$2:AF$94,),2)</f>
        <v>#N/A</v>
      </c>
      <c r="I63" s="7">
        <f t="shared" si="2"/>
        <v>0</v>
      </c>
      <c r="J63" s="7">
        <f t="shared" ref="J63:J67" si="37">K63+L63+M63+N63+O63</f>
        <v>0</v>
      </c>
      <c r="P63" s="7">
        <f t="shared" ref="P63:P67" si="38">Q63+R63+S63</f>
        <v>0</v>
      </c>
      <c r="T63" s="7">
        <f t="shared" ref="T63:T67" si="39">U63+V63+W63</f>
        <v>0</v>
      </c>
      <c r="X63" s="7">
        <f t="shared" ref="X63:X67" si="40">Y63+Z63+AA63+AB63</f>
        <v>0</v>
      </c>
      <c r="Y63" s="29"/>
      <c r="Z63" s="29"/>
      <c r="AA63" s="29"/>
      <c r="AB63" s="29"/>
      <c r="AF63" s="23" t="s">
        <v>52</v>
      </c>
      <c r="AG63" s="23" t="s">
        <v>122</v>
      </c>
      <c r="AH63" s="31" t="s">
        <v>21</v>
      </c>
      <c r="AI63" s="31" t="s">
        <v>22</v>
      </c>
      <c r="AJ63" s="32">
        <f t="shared" si="36"/>
        <v>3653.5</v>
      </c>
      <c r="AK63" s="25">
        <v>10</v>
      </c>
      <c r="AL63" s="23" t="s">
        <v>23</v>
      </c>
    </row>
    <row r="64" spans="3:38" x14ac:dyDescent="0.2">
      <c r="C64" s="5" t="e">
        <f>INDEX(СМУ!E$10:E$304,MATCH(B64,СМУ!D$10:D$304,))</f>
        <v>#N/A</v>
      </c>
      <c r="F64" s="29" t="e">
        <f>INDEX(AF$2:AJ$94,MATCH(E64,AF$2:AF$94,),4)</f>
        <v>#N/A</v>
      </c>
      <c r="G64" s="30" t="e">
        <f>INDEX(AF$2:AJ$94,MATCH(E64,AF$2:AF$94,),2)</f>
        <v>#N/A</v>
      </c>
      <c r="I64" s="7">
        <f t="shared" si="2"/>
        <v>0</v>
      </c>
      <c r="J64" s="7">
        <f t="shared" si="37"/>
        <v>0</v>
      </c>
      <c r="P64" s="7">
        <f t="shared" si="38"/>
        <v>0</v>
      </c>
      <c r="T64" s="7">
        <f t="shared" si="39"/>
        <v>0</v>
      </c>
      <c r="X64" s="7">
        <f t="shared" si="40"/>
        <v>0</v>
      </c>
      <c r="Y64" s="29"/>
      <c r="Z64" s="29"/>
      <c r="AA64" s="29"/>
      <c r="AB64" s="29"/>
      <c r="AF64" s="23" t="s">
        <v>53</v>
      </c>
      <c r="AG64" s="23" t="s">
        <v>121</v>
      </c>
      <c r="AH64" s="31" t="s">
        <v>21</v>
      </c>
      <c r="AI64" s="31" t="s">
        <v>22</v>
      </c>
      <c r="AJ64" s="32">
        <f t="shared" si="36"/>
        <v>3653.5</v>
      </c>
      <c r="AK64" s="25">
        <v>10</v>
      </c>
      <c r="AL64" s="23" t="s">
        <v>23</v>
      </c>
    </row>
    <row r="65" spans="3:38" x14ac:dyDescent="0.2">
      <c r="C65" s="5" t="e">
        <f>INDEX(СМУ!E$10:E$304,MATCH(B65,СМУ!D$10:D$304,))</f>
        <v>#N/A</v>
      </c>
      <c r="F65" s="29" t="e">
        <f>INDEX(AF$2:AJ$94,MATCH(E65,AF$2:AF$94,),4)</f>
        <v>#N/A</v>
      </c>
      <c r="G65" s="30" t="e">
        <f>INDEX(AF$2:AJ$94,MATCH(E65,AF$2:AF$94,),2)</f>
        <v>#N/A</v>
      </c>
      <c r="I65" s="7">
        <f t="shared" si="2"/>
        <v>0</v>
      </c>
      <c r="J65" s="7">
        <f t="shared" si="37"/>
        <v>0</v>
      </c>
      <c r="P65" s="7">
        <f t="shared" si="38"/>
        <v>0</v>
      </c>
      <c r="T65" s="7">
        <f t="shared" si="39"/>
        <v>0</v>
      </c>
      <c r="X65" s="7">
        <f t="shared" si="40"/>
        <v>0</v>
      </c>
      <c r="Y65" s="29"/>
      <c r="Z65" s="29"/>
      <c r="AA65" s="29"/>
      <c r="AB65" s="29"/>
      <c r="AF65" s="23" t="s">
        <v>54</v>
      </c>
      <c r="AG65" s="23" t="s">
        <v>121</v>
      </c>
      <c r="AH65" s="31" t="s">
        <v>21</v>
      </c>
      <c r="AI65" s="31" t="s">
        <v>22</v>
      </c>
      <c r="AJ65" s="32">
        <f t="shared" si="36"/>
        <v>3653.5</v>
      </c>
      <c r="AK65" s="25">
        <v>10</v>
      </c>
      <c r="AL65" s="23" t="s">
        <v>23</v>
      </c>
    </row>
    <row r="66" spans="3:38" x14ac:dyDescent="0.2">
      <c r="C66" s="5" t="e">
        <f>INDEX(СМУ!E$10:E$304,MATCH(B66,СМУ!D$10:D$304,))</f>
        <v>#N/A</v>
      </c>
      <c r="F66" s="29" t="e">
        <f>INDEX(AF$2:AJ$94,MATCH(E66,AF$2:AF$94,),4)</f>
        <v>#N/A</v>
      </c>
      <c r="G66" s="30" t="e">
        <f>INDEX(AF$2:AJ$94,MATCH(E66,AF$2:AF$94,),2)</f>
        <v>#N/A</v>
      </c>
      <c r="I66" s="7">
        <f t="shared" si="2"/>
        <v>0</v>
      </c>
      <c r="J66" s="7">
        <f t="shared" si="37"/>
        <v>0</v>
      </c>
      <c r="P66" s="7">
        <f t="shared" si="38"/>
        <v>0</v>
      </c>
      <c r="T66" s="7">
        <f t="shared" si="39"/>
        <v>0</v>
      </c>
      <c r="X66" s="7">
        <f t="shared" si="40"/>
        <v>0</v>
      </c>
      <c r="Y66" s="29"/>
      <c r="Z66" s="29"/>
      <c r="AA66" s="29"/>
      <c r="AB66" s="29"/>
      <c r="AF66" s="23" t="s">
        <v>55</v>
      </c>
      <c r="AG66" s="23" t="s">
        <v>123</v>
      </c>
      <c r="AH66" s="31" t="s">
        <v>21</v>
      </c>
      <c r="AI66" s="31" t="s">
        <v>22</v>
      </c>
      <c r="AJ66" s="32">
        <f t="shared" si="36"/>
        <v>3653.5</v>
      </c>
      <c r="AK66" s="25">
        <v>10</v>
      </c>
      <c r="AL66" s="23" t="s">
        <v>23</v>
      </c>
    </row>
    <row r="67" spans="3:38" x14ac:dyDescent="0.2">
      <c r="C67" s="5" t="e">
        <f>INDEX(СМУ!E$10:E$304,MATCH(B67,СМУ!D$10:D$304,))</f>
        <v>#N/A</v>
      </c>
      <c r="F67" s="29" t="e">
        <f>INDEX(AF$2:AJ$94,MATCH(E67,AF$2:AF$94,),4)</f>
        <v>#N/A</v>
      </c>
      <c r="G67" s="30" t="e">
        <f>INDEX(AF$2:AJ$94,MATCH(E67,AF$2:AF$94,),2)</f>
        <v>#N/A</v>
      </c>
      <c r="I67" s="7">
        <f t="shared" si="2"/>
        <v>0</v>
      </c>
      <c r="J67" s="7">
        <f t="shared" si="37"/>
        <v>0</v>
      </c>
      <c r="P67" s="7">
        <f t="shared" si="38"/>
        <v>0</v>
      </c>
      <c r="T67" s="7">
        <f t="shared" si="39"/>
        <v>0</v>
      </c>
      <c r="X67" s="7">
        <f t="shared" si="40"/>
        <v>0</v>
      </c>
      <c r="Y67" s="29"/>
      <c r="Z67" s="29"/>
      <c r="AA67" s="29"/>
      <c r="AB67" s="29"/>
      <c r="AF67" s="23" t="s">
        <v>56</v>
      </c>
      <c r="AG67" s="23" t="s">
        <v>122</v>
      </c>
      <c r="AH67" s="31" t="s">
        <v>21</v>
      </c>
      <c r="AI67" s="31" t="s">
        <v>22</v>
      </c>
      <c r="AJ67" s="32">
        <f t="shared" si="36"/>
        <v>3653.5</v>
      </c>
      <c r="AK67" s="25">
        <v>10</v>
      </c>
      <c r="AL67" s="23" t="s">
        <v>23</v>
      </c>
    </row>
    <row r="68" spans="3:38" x14ac:dyDescent="0.2">
      <c r="C68" s="5" t="e">
        <f>INDEX(СМУ!E$10:E$304,MATCH(B68,СМУ!D$10:D$304,))</f>
        <v>#N/A</v>
      </c>
      <c r="F68" s="29" t="e">
        <f>INDEX(AF$2:AJ$94,MATCH(E68,AF$2:AF$94,),4)</f>
        <v>#N/A</v>
      </c>
      <c r="G68" s="30" t="e">
        <f>INDEX(AF$2:AJ$94,MATCH(E68,AF$2:AF$94,),2)</f>
        <v>#N/A</v>
      </c>
      <c r="I68" s="7">
        <f t="shared" si="2"/>
        <v>0</v>
      </c>
      <c r="J68" s="7">
        <f t="shared" ref="J68:J95" si="41">K68+L68+M68+N68+O68</f>
        <v>0</v>
      </c>
      <c r="P68" s="7">
        <f t="shared" ref="P68:P95" si="42">Q68+R68+S68</f>
        <v>0</v>
      </c>
      <c r="T68" s="7">
        <f t="shared" ref="T68:T95" si="43">U68+V68+W68</f>
        <v>0</v>
      </c>
      <c r="X68" s="7">
        <f t="shared" ref="X68:X95" si="44">Y68+Z68+AA68+AB68</f>
        <v>0</v>
      </c>
      <c r="Y68" s="29"/>
      <c r="Z68" s="29"/>
      <c r="AA68" s="29"/>
      <c r="AB68" s="29"/>
      <c r="AF68" s="23" t="s">
        <v>57</v>
      </c>
      <c r="AG68" s="23" t="s">
        <v>122</v>
      </c>
      <c r="AH68" s="31" t="s">
        <v>21</v>
      </c>
      <c r="AI68" s="31" t="s">
        <v>22</v>
      </c>
      <c r="AJ68" s="32">
        <f t="shared" si="36"/>
        <v>3653.5</v>
      </c>
      <c r="AK68" s="25">
        <v>10</v>
      </c>
      <c r="AL68" s="23" t="s">
        <v>23</v>
      </c>
    </row>
    <row r="69" spans="3:38" x14ac:dyDescent="0.2">
      <c r="C69" s="5" t="e">
        <f>INDEX(СМУ!E$10:E$304,MATCH(B69,СМУ!D$10:D$304,))</f>
        <v>#N/A</v>
      </c>
      <c r="F69" s="29" t="e">
        <f>INDEX(AF$2:AJ$94,MATCH(E69,AF$2:AF$94,),4)</f>
        <v>#N/A</v>
      </c>
      <c r="G69" s="30" t="e">
        <f>INDEX(AF$2:AJ$94,MATCH(E69,AF$2:AF$94,),2)</f>
        <v>#N/A</v>
      </c>
      <c r="I69" s="7">
        <f t="shared" ref="I69:I95" si="45">J69+P69+T69+X69</f>
        <v>0</v>
      </c>
      <c r="J69" s="7">
        <f t="shared" si="41"/>
        <v>0</v>
      </c>
      <c r="P69" s="7">
        <f t="shared" si="42"/>
        <v>0</v>
      </c>
      <c r="T69" s="7">
        <f t="shared" si="43"/>
        <v>0</v>
      </c>
      <c r="X69" s="7">
        <f t="shared" si="44"/>
        <v>0</v>
      </c>
      <c r="Y69" s="29"/>
      <c r="Z69" s="29"/>
      <c r="AA69" s="29"/>
      <c r="AB69" s="29"/>
      <c r="AF69" s="23" t="s">
        <v>58</v>
      </c>
      <c r="AG69" s="23" t="s">
        <v>122</v>
      </c>
      <c r="AH69" s="31" t="s">
        <v>21</v>
      </c>
      <c r="AI69" s="31" t="s">
        <v>22</v>
      </c>
      <c r="AJ69" s="32">
        <f t="shared" si="36"/>
        <v>3653.5</v>
      </c>
      <c r="AK69" s="25">
        <v>10</v>
      </c>
      <c r="AL69" s="23" t="s">
        <v>23</v>
      </c>
    </row>
    <row r="70" spans="3:38" x14ac:dyDescent="0.2">
      <c r="C70" s="5" t="e">
        <f>INDEX(СМУ!E$10:E$304,MATCH(B70,СМУ!D$10:D$304,))</f>
        <v>#N/A</v>
      </c>
      <c r="F70" s="29" t="e">
        <f>INDEX(AF$2:AJ$94,MATCH(E70,AF$2:AF$94,),4)</f>
        <v>#N/A</v>
      </c>
      <c r="G70" s="30" t="e">
        <f>INDEX(AF$2:AJ$94,MATCH(E70,AF$2:AF$94,),2)</f>
        <v>#N/A</v>
      </c>
      <c r="I70" s="7">
        <f t="shared" si="45"/>
        <v>0</v>
      </c>
      <c r="J70" s="7">
        <f t="shared" si="41"/>
        <v>0</v>
      </c>
      <c r="P70" s="7">
        <f t="shared" si="42"/>
        <v>0</v>
      </c>
      <c r="T70" s="7">
        <f t="shared" si="43"/>
        <v>0</v>
      </c>
      <c r="X70" s="7">
        <f t="shared" si="44"/>
        <v>0</v>
      </c>
      <c r="Y70" s="29"/>
      <c r="Z70" s="29"/>
      <c r="AA70" s="29"/>
      <c r="AB70" s="29"/>
      <c r="AF70" s="23" t="s">
        <v>59</v>
      </c>
      <c r="AG70" s="23" t="s">
        <v>122</v>
      </c>
      <c r="AH70" s="31" t="s">
        <v>21</v>
      </c>
      <c r="AI70" s="31" t="s">
        <v>22</v>
      </c>
      <c r="AJ70" s="32">
        <f t="shared" si="36"/>
        <v>3653.5</v>
      </c>
      <c r="AK70" s="25">
        <v>10</v>
      </c>
      <c r="AL70" s="23" t="s">
        <v>23</v>
      </c>
    </row>
    <row r="71" spans="3:38" x14ac:dyDescent="0.2">
      <c r="C71" s="5" t="e">
        <f>INDEX(СМУ!E$10:E$304,MATCH(B71,СМУ!D$10:D$304,))</f>
        <v>#N/A</v>
      </c>
      <c r="F71" s="29" t="e">
        <f>INDEX(AF$2:AJ$94,MATCH(E71,AF$2:AF$94,),4)</f>
        <v>#N/A</v>
      </c>
      <c r="G71" s="30" t="e">
        <f>INDEX(AF$2:AJ$94,MATCH(E71,AF$2:AF$94,),2)</f>
        <v>#N/A</v>
      </c>
      <c r="I71" s="7">
        <f t="shared" si="45"/>
        <v>0</v>
      </c>
      <c r="J71" s="7">
        <f t="shared" si="41"/>
        <v>0</v>
      </c>
      <c r="P71" s="7">
        <f t="shared" si="42"/>
        <v>0</v>
      </c>
      <c r="T71" s="7">
        <f t="shared" si="43"/>
        <v>0</v>
      </c>
      <c r="X71" s="7">
        <f t="shared" si="44"/>
        <v>0</v>
      </c>
      <c r="Y71" s="29"/>
      <c r="Z71" s="29"/>
      <c r="AA71" s="29"/>
      <c r="AB71" s="29"/>
      <c r="AF71" s="23" t="s">
        <v>60</v>
      </c>
      <c r="AG71" s="23" t="s">
        <v>122</v>
      </c>
      <c r="AH71" s="31" t="s">
        <v>21</v>
      </c>
      <c r="AI71" s="31" t="s">
        <v>22</v>
      </c>
      <c r="AJ71" s="32">
        <f t="shared" si="36"/>
        <v>3653.5</v>
      </c>
      <c r="AK71" s="25">
        <v>10</v>
      </c>
      <c r="AL71" s="23" t="s">
        <v>23</v>
      </c>
    </row>
    <row r="72" spans="3:38" x14ac:dyDescent="0.2">
      <c r="C72" s="5" t="e">
        <f>INDEX(СМУ!E$10:E$304,MATCH(B72,СМУ!D$10:D$304,))</f>
        <v>#N/A</v>
      </c>
      <c r="F72" s="29" t="e">
        <f>INDEX(AF$2:AJ$94,MATCH(E72,AF$2:AF$94,),4)</f>
        <v>#N/A</v>
      </c>
      <c r="G72" s="30" t="e">
        <f>INDEX(AF$2:AJ$94,MATCH(E72,AF$2:AF$94,),2)</f>
        <v>#N/A</v>
      </c>
      <c r="I72" s="7">
        <f t="shared" si="45"/>
        <v>0</v>
      </c>
      <c r="J72" s="7">
        <f t="shared" si="41"/>
        <v>0</v>
      </c>
      <c r="P72" s="7">
        <f t="shared" si="42"/>
        <v>0</v>
      </c>
      <c r="T72" s="7">
        <f t="shared" si="43"/>
        <v>0</v>
      </c>
      <c r="X72" s="7">
        <f t="shared" si="44"/>
        <v>0</v>
      </c>
      <c r="Y72" s="29"/>
      <c r="Z72" s="29"/>
      <c r="AA72" s="29"/>
      <c r="AB72" s="29"/>
      <c r="AF72" s="23" t="s">
        <v>61</v>
      </c>
      <c r="AG72" s="23" t="s">
        <v>122</v>
      </c>
      <c r="AH72" s="31" t="s">
        <v>21</v>
      </c>
      <c r="AI72" s="31" t="s">
        <v>22</v>
      </c>
      <c r="AJ72" s="32">
        <f t="shared" si="36"/>
        <v>3653.5</v>
      </c>
      <c r="AK72" s="25">
        <v>10</v>
      </c>
      <c r="AL72" s="23" t="s">
        <v>23</v>
      </c>
    </row>
    <row r="73" spans="3:38" x14ac:dyDescent="0.2">
      <c r="C73" s="5" t="e">
        <f>INDEX(СМУ!E$10:E$304,MATCH(B73,СМУ!D$10:D$304,))</f>
        <v>#N/A</v>
      </c>
      <c r="F73" s="29" t="e">
        <f>INDEX(AF$2:AJ$94,MATCH(E73,AF$2:AF$94,),4)</f>
        <v>#N/A</v>
      </c>
      <c r="G73" s="30" t="e">
        <f>INDEX(AF$2:AJ$94,MATCH(E73,AF$2:AF$94,),2)</f>
        <v>#N/A</v>
      </c>
      <c r="I73" s="7">
        <f t="shared" si="45"/>
        <v>0</v>
      </c>
      <c r="J73" s="7">
        <f t="shared" si="41"/>
        <v>0</v>
      </c>
      <c r="P73" s="7">
        <f t="shared" si="42"/>
        <v>0</v>
      </c>
      <c r="T73" s="7">
        <f t="shared" si="43"/>
        <v>0</v>
      </c>
      <c r="X73" s="7">
        <f t="shared" si="44"/>
        <v>0</v>
      </c>
      <c r="Y73" s="29"/>
      <c r="Z73" s="29"/>
      <c r="AA73" s="29"/>
      <c r="AB73" s="29"/>
      <c r="AF73" s="23" t="s">
        <v>62</v>
      </c>
      <c r="AG73" s="23" t="s">
        <v>122</v>
      </c>
      <c r="AH73" s="31" t="s">
        <v>21</v>
      </c>
      <c r="AI73" s="31" t="s">
        <v>22</v>
      </c>
      <c r="AJ73" s="32">
        <f t="shared" si="36"/>
        <v>3653.5</v>
      </c>
      <c r="AK73" s="25">
        <v>10</v>
      </c>
      <c r="AL73" s="23" t="s">
        <v>23</v>
      </c>
    </row>
    <row r="74" spans="3:38" x14ac:dyDescent="0.2">
      <c r="C74" s="5" t="e">
        <f>INDEX(СМУ!E$10:E$304,MATCH(B74,СМУ!D$10:D$304,))</f>
        <v>#N/A</v>
      </c>
      <c r="F74" s="29" t="e">
        <f>INDEX(AF$2:AJ$94,MATCH(E74,AF$2:AF$94,),4)</f>
        <v>#N/A</v>
      </c>
      <c r="G74" s="30" t="e">
        <f>INDEX(AF$2:AJ$94,MATCH(E74,AF$2:AF$94,),2)</f>
        <v>#N/A</v>
      </c>
      <c r="I74" s="7">
        <f t="shared" si="45"/>
        <v>0</v>
      </c>
      <c r="J74" s="7">
        <f t="shared" si="41"/>
        <v>0</v>
      </c>
      <c r="P74" s="7">
        <f t="shared" si="42"/>
        <v>0</v>
      </c>
      <c r="T74" s="7">
        <f t="shared" si="43"/>
        <v>0</v>
      </c>
      <c r="X74" s="7">
        <f t="shared" si="44"/>
        <v>0</v>
      </c>
      <c r="Y74" s="29"/>
      <c r="Z74" s="29"/>
      <c r="AA74" s="29"/>
      <c r="AB74" s="29"/>
      <c r="AF74" s="23" t="s">
        <v>63</v>
      </c>
      <c r="AG74" s="23" t="s">
        <v>122</v>
      </c>
      <c r="AH74" s="31" t="s">
        <v>21</v>
      </c>
      <c r="AI74" s="31" t="s">
        <v>22</v>
      </c>
      <c r="AJ74" s="32">
        <f t="shared" si="36"/>
        <v>3653.5</v>
      </c>
      <c r="AK74" s="25">
        <v>10</v>
      </c>
      <c r="AL74" s="23" t="s">
        <v>23</v>
      </c>
    </row>
    <row r="75" spans="3:38" x14ac:dyDescent="0.2">
      <c r="C75" s="5" t="e">
        <f>INDEX(СМУ!E$10:E$304,MATCH(B75,СМУ!D$10:D$304,))</f>
        <v>#N/A</v>
      </c>
      <c r="F75" s="29" t="e">
        <f>INDEX(AF$2:AJ$94,MATCH(E75,AF$2:AF$94,),4)</f>
        <v>#N/A</v>
      </c>
      <c r="G75" s="30" t="e">
        <f>INDEX(AF$2:AJ$94,MATCH(E75,AF$2:AF$94,),2)</f>
        <v>#N/A</v>
      </c>
      <c r="I75" s="7">
        <f t="shared" si="45"/>
        <v>0</v>
      </c>
      <c r="J75" s="7">
        <f t="shared" si="41"/>
        <v>0</v>
      </c>
      <c r="P75" s="7">
        <f t="shared" si="42"/>
        <v>0</v>
      </c>
      <c r="T75" s="7">
        <f t="shared" si="43"/>
        <v>0</v>
      </c>
      <c r="X75" s="7">
        <f t="shared" si="44"/>
        <v>0</v>
      </c>
      <c r="Y75" s="29"/>
      <c r="Z75" s="29"/>
      <c r="AA75" s="29"/>
      <c r="AB75" s="29"/>
      <c r="AF75" s="23" t="s">
        <v>64</v>
      </c>
      <c r="AG75" s="23" t="s">
        <v>122</v>
      </c>
      <c r="AH75" s="31" t="s">
        <v>21</v>
      </c>
      <c r="AI75" s="31" t="s">
        <v>22</v>
      </c>
      <c r="AJ75" s="32">
        <f t="shared" si="36"/>
        <v>3653.5</v>
      </c>
      <c r="AK75" s="25">
        <v>10</v>
      </c>
      <c r="AL75" s="23" t="s">
        <v>23</v>
      </c>
    </row>
    <row r="76" spans="3:38" x14ac:dyDescent="0.2">
      <c r="C76" s="5" t="e">
        <f>INDEX(СМУ!E$10:E$304,MATCH(B76,СМУ!D$10:D$304,))</f>
        <v>#N/A</v>
      </c>
      <c r="F76" s="29" t="e">
        <f>INDEX(AF$2:AJ$94,MATCH(E76,AF$2:AF$94,),4)</f>
        <v>#N/A</v>
      </c>
      <c r="G76" s="30" t="e">
        <f>INDEX(AF$2:AJ$94,MATCH(E76,AF$2:AF$94,),2)</f>
        <v>#N/A</v>
      </c>
      <c r="I76" s="7">
        <f t="shared" si="45"/>
        <v>0</v>
      </c>
      <c r="J76" s="7">
        <f t="shared" si="41"/>
        <v>0</v>
      </c>
      <c r="P76" s="7">
        <f t="shared" si="42"/>
        <v>0</v>
      </c>
      <c r="T76" s="7">
        <f t="shared" si="43"/>
        <v>0</v>
      </c>
      <c r="X76" s="7">
        <f t="shared" si="44"/>
        <v>0</v>
      </c>
      <c r="Y76" s="29"/>
      <c r="Z76" s="29"/>
      <c r="AA76" s="29"/>
      <c r="AB76" s="29"/>
      <c r="AF76" s="23" t="s">
        <v>65</v>
      </c>
      <c r="AG76" s="23" t="s">
        <v>122</v>
      </c>
      <c r="AH76" s="31" t="s">
        <v>21</v>
      </c>
      <c r="AI76" s="31" t="s">
        <v>22</v>
      </c>
      <c r="AJ76" s="32">
        <f t="shared" si="36"/>
        <v>3653.5</v>
      </c>
      <c r="AK76" s="25">
        <v>10</v>
      </c>
      <c r="AL76" s="23" t="s">
        <v>23</v>
      </c>
    </row>
    <row r="77" spans="3:38" x14ac:dyDescent="0.2">
      <c r="C77" s="5" t="e">
        <f>INDEX(СМУ!E$10:E$304,MATCH(B77,СМУ!D$10:D$304,))</f>
        <v>#N/A</v>
      </c>
      <c r="F77" s="29" t="e">
        <f>INDEX(AF$2:AJ$94,MATCH(E77,AF$2:AF$94,),4)</f>
        <v>#N/A</v>
      </c>
      <c r="G77" s="30" t="e">
        <f>INDEX(AF$2:AJ$94,MATCH(E77,AF$2:AF$94,),2)</f>
        <v>#N/A</v>
      </c>
      <c r="I77" s="7">
        <f t="shared" si="45"/>
        <v>0</v>
      </c>
      <c r="J77" s="7">
        <f t="shared" si="41"/>
        <v>0</v>
      </c>
      <c r="P77" s="7">
        <f t="shared" si="42"/>
        <v>0</v>
      </c>
      <c r="T77" s="7">
        <f t="shared" si="43"/>
        <v>0</v>
      </c>
      <c r="X77" s="7">
        <f t="shared" si="44"/>
        <v>0</v>
      </c>
      <c r="Y77" s="29"/>
      <c r="Z77" s="29"/>
      <c r="AA77" s="29"/>
      <c r="AB77" s="29"/>
      <c r="AF77" s="23" t="s">
        <v>66</v>
      </c>
      <c r="AG77" s="23" t="s">
        <v>122</v>
      </c>
      <c r="AH77" s="31" t="s">
        <v>21</v>
      </c>
      <c r="AI77" s="31" t="s">
        <v>22</v>
      </c>
      <c r="AJ77" s="32">
        <f t="shared" si="36"/>
        <v>3653.5</v>
      </c>
      <c r="AK77" s="25">
        <v>10</v>
      </c>
      <c r="AL77" s="23" t="s">
        <v>23</v>
      </c>
    </row>
    <row r="78" spans="3:38" x14ac:dyDescent="0.2">
      <c r="C78" s="5" t="e">
        <f>INDEX(СМУ!E$10:E$304,MATCH(B78,СМУ!D$10:D$304,))</f>
        <v>#N/A</v>
      </c>
      <c r="F78" s="29" t="e">
        <f>INDEX(AF$2:AJ$94,MATCH(E78,AF$2:AF$94,),4)</f>
        <v>#N/A</v>
      </c>
      <c r="G78" s="30" t="e">
        <f>INDEX(AF$2:AJ$94,MATCH(E78,AF$2:AF$94,),2)</f>
        <v>#N/A</v>
      </c>
      <c r="I78" s="7">
        <f t="shared" si="45"/>
        <v>0</v>
      </c>
      <c r="J78" s="7">
        <f t="shared" si="41"/>
        <v>0</v>
      </c>
      <c r="P78" s="7">
        <f t="shared" si="42"/>
        <v>0</v>
      </c>
      <c r="T78" s="7">
        <f t="shared" si="43"/>
        <v>0</v>
      </c>
      <c r="X78" s="7">
        <f t="shared" si="44"/>
        <v>0</v>
      </c>
      <c r="Y78" s="29"/>
      <c r="Z78" s="29"/>
      <c r="AA78" s="29"/>
      <c r="AB78" s="29"/>
      <c r="AF78" s="23" t="s">
        <v>67</v>
      </c>
      <c r="AG78" s="23" t="s">
        <v>122</v>
      </c>
      <c r="AH78" s="31" t="s">
        <v>21</v>
      </c>
      <c r="AI78" s="31" t="s">
        <v>22</v>
      </c>
      <c r="AJ78" s="32">
        <f t="shared" si="36"/>
        <v>3653.5</v>
      </c>
      <c r="AK78" s="25">
        <v>10</v>
      </c>
      <c r="AL78" s="23" t="s">
        <v>23</v>
      </c>
    </row>
    <row r="79" spans="3:38" x14ac:dyDescent="0.2">
      <c r="C79" s="5" t="e">
        <f>INDEX(СМУ!E$10:E$304,MATCH(B79,СМУ!D$10:D$304,))</f>
        <v>#N/A</v>
      </c>
      <c r="F79" s="29" t="e">
        <f>INDEX(AF$2:AJ$94,MATCH(E79,AF$2:AF$94,),4)</f>
        <v>#N/A</v>
      </c>
      <c r="G79" s="30" t="e">
        <f>INDEX(AF$2:AJ$94,MATCH(E79,AF$2:AF$94,),2)</f>
        <v>#N/A</v>
      </c>
      <c r="I79" s="7">
        <f t="shared" si="45"/>
        <v>0</v>
      </c>
      <c r="J79" s="7">
        <f t="shared" si="41"/>
        <v>0</v>
      </c>
      <c r="P79" s="7">
        <f t="shared" si="42"/>
        <v>0</v>
      </c>
      <c r="T79" s="7">
        <f t="shared" si="43"/>
        <v>0</v>
      </c>
      <c r="X79" s="7">
        <f t="shared" si="44"/>
        <v>0</v>
      </c>
      <c r="Y79" s="29"/>
      <c r="Z79" s="29"/>
      <c r="AA79" s="29"/>
      <c r="AB79" s="29"/>
      <c r="AF79" s="23" t="s">
        <v>68</v>
      </c>
      <c r="AG79" s="23" t="s">
        <v>122</v>
      </c>
      <c r="AH79" s="31" t="s">
        <v>21</v>
      </c>
      <c r="AI79" s="31" t="s">
        <v>22</v>
      </c>
      <c r="AJ79" s="32">
        <f t="shared" si="36"/>
        <v>3653.5</v>
      </c>
      <c r="AK79" s="25">
        <v>10</v>
      </c>
      <c r="AL79" s="23" t="s">
        <v>23</v>
      </c>
    </row>
    <row r="80" spans="3:38" x14ac:dyDescent="0.2">
      <c r="C80" s="5" t="e">
        <f>INDEX(СМУ!E$10:E$304,MATCH(B80,СМУ!D$10:D$304,))</f>
        <v>#N/A</v>
      </c>
      <c r="F80" s="29" t="e">
        <f>INDEX(AF$2:AJ$94,MATCH(E80,AF$2:AF$94,),4)</f>
        <v>#N/A</v>
      </c>
      <c r="G80" s="30" t="e">
        <f>INDEX(AF$2:AJ$94,MATCH(E80,AF$2:AF$94,),2)</f>
        <v>#N/A</v>
      </c>
      <c r="I80" s="7">
        <f t="shared" si="45"/>
        <v>0</v>
      </c>
      <c r="J80" s="7">
        <f t="shared" si="41"/>
        <v>0</v>
      </c>
      <c r="P80" s="7">
        <f t="shared" si="42"/>
        <v>0</v>
      </c>
      <c r="T80" s="7">
        <f t="shared" si="43"/>
        <v>0</v>
      </c>
      <c r="X80" s="7">
        <f t="shared" si="44"/>
        <v>0</v>
      </c>
      <c r="Y80" s="29"/>
      <c r="Z80" s="29"/>
      <c r="AA80" s="29"/>
      <c r="AB80" s="29"/>
      <c r="AF80" s="23" t="s">
        <v>69</v>
      </c>
      <c r="AG80" s="23" t="s">
        <v>122</v>
      </c>
      <c r="AH80" s="31" t="s">
        <v>21</v>
      </c>
      <c r="AI80" s="31" t="s">
        <v>22</v>
      </c>
      <c r="AJ80" s="32">
        <f t="shared" si="36"/>
        <v>3653.5</v>
      </c>
      <c r="AK80" s="25">
        <v>10</v>
      </c>
      <c r="AL80" s="23" t="s">
        <v>23</v>
      </c>
    </row>
    <row r="81" spans="3:38" x14ac:dyDescent="0.2">
      <c r="C81" s="5" t="e">
        <f>INDEX(СМУ!E$10:E$304,MATCH(B81,СМУ!D$10:D$304,))</f>
        <v>#N/A</v>
      </c>
      <c r="F81" s="29" t="e">
        <f>INDEX(AF$2:AJ$94,MATCH(E81,AF$2:AF$94,),4)</f>
        <v>#N/A</v>
      </c>
      <c r="G81" s="30" t="e">
        <f>INDEX(AF$2:AJ$94,MATCH(E81,AF$2:AF$94,),2)</f>
        <v>#N/A</v>
      </c>
      <c r="I81" s="7">
        <f t="shared" si="45"/>
        <v>0</v>
      </c>
      <c r="J81" s="7">
        <f t="shared" si="41"/>
        <v>0</v>
      </c>
      <c r="P81" s="7">
        <f t="shared" si="42"/>
        <v>0</v>
      </c>
      <c r="T81" s="7">
        <f t="shared" si="43"/>
        <v>0</v>
      </c>
      <c r="X81" s="7">
        <f t="shared" si="44"/>
        <v>0</v>
      </c>
      <c r="Y81" s="29"/>
      <c r="Z81" s="29"/>
      <c r="AA81" s="29"/>
      <c r="AB81" s="29"/>
      <c r="AF81" s="23" t="s">
        <v>70</v>
      </c>
      <c r="AG81" s="23" t="s">
        <v>122</v>
      </c>
      <c r="AH81" s="31" t="s">
        <v>21</v>
      </c>
      <c r="AI81" s="31" t="s">
        <v>22</v>
      </c>
      <c r="AJ81" s="32">
        <f t="shared" si="36"/>
        <v>3653.5</v>
      </c>
      <c r="AK81" s="25">
        <v>10</v>
      </c>
      <c r="AL81" s="23" t="s">
        <v>23</v>
      </c>
    </row>
    <row r="82" spans="3:38" x14ac:dyDescent="0.2">
      <c r="C82" s="5" t="e">
        <f>INDEX(СМУ!E$10:E$304,MATCH(B82,СМУ!D$10:D$304,))</f>
        <v>#N/A</v>
      </c>
      <c r="F82" s="29" t="e">
        <f>INDEX(AF$2:AJ$94,MATCH(E82,AF$2:AF$94,),4)</f>
        <v>#N/A</v>
      </c>
      <c r="G82" s="30" t="e">
        <f>INDEX(AF$2:AJ$94,MATCH(E82,AF$2:AF$94,),2)</f>
        <v>#N/A</v>
      </c>
      <c r="I82" s="7">
        <f t="shared" si="45"/>
        <v>0</v>
      </c>
      <c r="J82" s="7">
        <f t="shared" si="41"/>
        <v>0</v>
      </c>
      <c r="P82" s="7">
        <f t="shared" si="42"/>
        <v>0</v>
      </c>
      <c r="T82" s="7">
        <f t="shared" si="43"/>
        <v>0</v>
      </c>
      <c r="X82" s="7">
        <f t="shared" si="44"/>
        <v>0</v>
      </c>
      <c r="Y82" s="29"/>
      <c r="Z82" s="29"/>
      <c r="AA82" s="29"/>
      <c r="AB82" s="29"/>
      <c r="AF82" s="23" t="s">
        <v>71</v>
      </c>
      <c r="AG82" s="23" t="s">
        <v>122</v>
      </c>
      <c r="AH82" s="31" t="s">
        <v>21</v>
      </c>
      <c r="AI82" s="31" t="s">
        <v>22</v>
      </c>
      <c r="AJ82" s="32">
        <f t="shared" si="36"/>
        <v>3653.5</v>
      </c>
      <c r="AK82" s="25">
        <v>10</v>
      </c>
      <c r="AL82" s="23" t="s">
        <v>23</v>
      </c>
    </row>
    <row r="83" spans="3:38" x14ac:dyDescent="0.2">
      <c r="C83" s="5" t="e">
        <f>INDEX(СМУ!E$10:E$304,MATCH(B83,СМУ!D$10:D$304,))</f>
        <v>#N/A</v>
      </c>
      <c r="F83" s="29" t="e">
        <f>INDEX(AF$2:AJ$94,MATCH(E83,AF$2:AF$94,),4)</f>
        <v>#N/A</v>
      </c>
      <c r="G83" s="30" t="e">
        <f>INDEX(AF$2:AJ$94,MATCH(E83,AF$2:AF$94,),2)</f>
        <v>#N/A</v>
      </c>
      <c r="I83" s="7">
        <f t="shared" si="45"/>
        <v>0</v>
      </c>
      <c r="J83" s="7">
        <f t="shared" si="41"/>
        <v>0</v>
      </c>
      <c r="P83" s="7">
        <f t="shared" si="42"/>
        <v>0</v>
      </c>
      <c r="T83" s="7">
        <f t="shared" si="43"/>
        <v>0</v>
      </c>
      <c r="X83" s="7">
        <f t="shared" si="44"/>
        <v>0</v>
      </c>
      <c r="Y83" s="29"/>
      <c r="Z83" s="29"/>
      <c r="AA83" s="29"/>
      <c r="AB83" s="29"/>
      <c r="AF83" s="23" t="s">
        <v>72</v>
      </c>
      <c r="AG83" s="23" t="s">
        <v>122</v>
      </c>
      <c r="AH83" s="31" t="s">
        <v>21</v>
      </c>
      <c r="AI83" s="31" t="s">
        <v>22</v>
      </c>
      <c r="AJ83" s="32">
        <f t="shared" si="36"/>
        <v>3653.5</v>
      </c>
      <c r="AK83" s="25">
        <v>10</v>
      </c>
      <c r="AL83" s="23" t="s">
        <v>23</v>
      </c>
    </row>
    <row r="84" spans="3:38" x14ac:dyDescent="0.2">
      <c r="C84" s="5" t="e">
        <f>INDEX(СМУ!E$10:E$304,MATCH(B84,СМУ!D$10:D$304,))</f>
        <v>#N/A</v>
      </c>
      <c r="F84" s="29" t="e">
        <f>INDEX(AF$2:AJ$94,MATCH(E84,AF$2:AF$94,),4)</f>
        <v>#N/A</v>
      </c>
      <c r="G84" s="30" t="e">
        <f>INDEX(AF$2:AJ$94,MATCH(E84,AF$2:AF$94,),2)</f>
        <v>#N/A</v>
      </c>
      <c r="I84" s="7">
        <f t="shared" si="45"/>
        <v>0</v>
      </c>
      <c r="J84" s="7">
        <f t="shared" si="41"/>
        <v>0</v>
      </c>
      <c r="P84" s="7">
        <f t="shared" si="42"/>
        <v>0</v>
      </c>
      <c r="T84" s="7">
        <f t="shared" si="43"/>
        <v>0</v>
      </c>
      <c r="X84" s="7">
        <f t="shared" si="44"/>
        <v>0</v>
      </c>
      <c r="Y84" s="29"/>
      <c r="Z84" s="29"/>
      <c r="AA84" s="29"/>
      <c r="AB84" s="29"/>
      <c r="AF84" s="23" t="s">
        <v>73</v>
      </c>
      <c r="AG84" s="23" t="s">
        <v>122</v>
      </c>
      <c r="AH84" s="31" t="s">
        <v>21</v>
      </c>
      <c r="AI84" s="31" t="s">
        <v>22</v>
      </c>
      <c r="AJ84" s="32">
        <f t="shared" si="36"/>
        <v>3653.5</v>
      </c>
      <c r="AK84" s="25">
        <v>10</v>
      </c>
      <c r="AL84" s="23" t="s">
        <v>23</v>
      </c>
    </row>
    <row r="85" spans="3:38" x14ac:dyDescent="0.2">
      <c r="C85" s="5" t="e">
        <f>INDEX(СМУ!E$10:E$304,MATCH(B85,СМУ!D$10:D$304,))</f>
        <v>#N/A</v>
      </c>
      <c r="F85" s="29" t="e">
        <f>INDEX(AF$2:AJ$94,MATCH(E85,AF$2:AF$94,),4)</f>
        <v>#N/A</v>
      </c>
      <c r="G85" s="30" t="e">
        <f>INDEX(AF$2:AJ$94,MATCH(E85,AF$2:AF$94,),2)</f>
        <v>#N/A</v>
      </c>
      <c r="I85" s="7">
        <f t="shared" si="45"/>
        <v>0</v>
      </c>
      <c r="J85" s="7">
        <f t="shared" si="41"/>
        <v>0</v>
      </c>
      <c r="P85" s="7">
        <f t="shared" si="42"/>
        <v>0</v>
      </c>
      <c r="T85" s="7">
        <f t="shared" si="43"/>
        <v>0</v>
      </c>
      <c r="X85" s="7">
        <f t="shared" si="44"/>
        <v>0</v>
      </c>
      <c r="Y85" s="29"/>
      <c r="Z85" s="29"/>
      <c r="AA85" s="29"/>
      <c r="AB85" s="29"/>
      <c r="AF85" s="23" t="s">
        <v>74</v>
      </c>
      <c r="AG85" s="23" t="s">
        <v>122</v>
      </c>
      <c r="AH85" s="31" t="s">
        <v>21</v>
      </c>
      <c r="AI85" s="31" t="s">
        <v>22</v>
      </c>
      <c r="AJ85" s="32">
        <f t="shared" si="36"/>
        <v>3653.5</v>
      </c>
      <c r="AK85" s="25">
        <v>10</v>
      </c>
      <c r="AL85" s="23" t="s">
        <v>23</v>
      </c>
    </row>
    <row r="86" spans="3:38" x14ac:dyDescent="0.2">
      <c r="C86" s="5" t="e">
        <f>INDEX(СМУ!E$10:E$304,MATCH(B86,СМУ!D$10:D$304,))</f>
        <v>#N/A</v>
      </c>
      <c r="F86" s="29" t="e">
        <f>INDEX(AF$2:AJ$94,MATCH(E86,AF$2:AF$94,),4)</f>
        <v>#N/A</v>
      </c>
      <c r="G86" s="30" t="e">
        <f>INDEX(AF$2:AJ$94,MATCH(E86,AF$2:AF$94,),2)</f>
        <v>#N/A</v>
      </c>
      <c r="I86" s="7">
        <f t="shared" si="45"/>
        <v>0</v>
      </c>
      <c r="J86" s="7">
        <f t="shared" si="41"/>
        <v>0</v>
      </c>
      <c r="P86" s="7">
        <f t="shared" si="42"/>
        <v>0</v>
      </c>
      <c r="T86" s="7">
        <f t="shared" si="43"/>
        <v>0</v>
      </c>
      <c r="X86" s="7">
        <f t="shared" si="44"/>
        <v>0</v>
      </c>
      <c r="Y86" s="29"/>
      <c r="Z86" s="29"/>
      <c r="AA86" s="29"/>
      <c r="AB86" s="29"/>
      <c r="AF86" s="23" t="s">
        <v>75</v>
      </c>
      <c r="AG86" s="23" t="s">
        <v>122</v>
      </c>
      <c r="AH86" s="31" t="s">
        <v>21</v>
      </c>
      <c r="AI86" s="31" t="s">
        <v>22</v>
      </c>
      <c r="AJ86" s="32">
        <f t="shared" si="36"/>
        <v>3653.5</v>
      </c>
      <c r="AK86" s="25">
        <v>10</v>
      </c>
      <c r="AL86" s="23" t="s">
        <v>23</v>
      </c>
    </row>
    <row r="87" spans="3:38" x14ac:dyDescent="0.2">
      <c r="C87" s="5" t="e">
        <f>INDEX(СМУ!E$10:E$304,MATCH(B87,СМУ!D$10:D$304,))</f>
        <v>#N/A</v>
      </c>
      <c r="F87" s="29" t="e">
        <f>INDEX(AF$2:AJ$94,MATCH(E87,AF$2:AF$94,),4)</f>
        <v>#N/A</v>
      </c>
      <c r="G87" s="30" t="e">
        <f>INDEX(AF$2:AJ$94,MATCH(E87,AF$2:AF$94,),2)</f>
        <v>#N/A</v>
      </c>
      <c r="I87" s="7">
        <f t="shared" si="45"/>
        <v>0</v>
      </c>
      <c r="J87" s="7">
        <f t="shared" si="41"/>
        <v>0</v>
      </c>
      <c r="P87" s="7">
        <f t="shared" si="42"/>
        <v>0</v>
      </c>
      <c r="T87" s="7">
        <f t="shared" si="43"/>
        <v>0</v>
      </c>
      <c r="X87" s="7">
        <f t="shared" si="44"/>
        <v>0</v>
      </c>
      <c r="Y87" s="29"/>
      <c r="Z87" s="29"/>
      <c r="AA87" s="29"/>
      <c r="AB87" s="29"/>
      <c r="AF87" s="23" t="s">
        <v>76</v>
      </c>
      <c r="AG87" s="23" t="s">
        <v>122</v>
      </c>
      <c r="AH87" s="31" t="s">
        <v>21</v>
      </c>
      <c r="AI87" s="31" t="s">
        <v>22</v>
      </c>
      <c r="AJ87" s="32">
        <f t="shared" si="36"/>
        <v>3653.5</v>
      </c>
      <c r="AK87" s="25">
        <v>10</v>
      </c>
      <c r="AL87" s="23" t="s">
        <v>23</v>
      </c>
    </row>
    <row r="88" spans="3:38" x14ac:dyDescent="0.2">
      <c r="C88" s="5" t="e">
        <f>INDEX(СМУ!E$10:E$304,MATCH(B88,СМУ!D$10:D$304,))</f>
        <v>#N/A</v>
      </c>
      <c r="F88" s="29" t="e">
        <f>INDEX(AF$2:AJ$94,MATCH(E88,AF$2:AF$94,),4)</f>
        <v>#N/A</v>
      </c>
      <c r="G88" s="30" t="e">
        <f>INDEX(AF$2:AJ$94,MATCH(E88,AF$2:AF$94,),2)</f>
        <v>#N/A</v>
      </c>
      <c r="I88" s="7">
        <f t="shared" si="45"/>
        <v>0</v>
      </c>
      <c r="J88" s="7">
        <f t="shared" si="41"/>
        <v>0</v>
      </c>
      <c r="P88" s="7">
        <f t="shared" si="42"/>
        <v>0</v>
      </c>
      <c r="T88" s="7">
        <f t="shared" si="43"/>
        <v>0</v>
      </c>
      <c r="X88" s="7">
        <f t="shared" si="44"/>
        <v>0</v>
      </c>
      <c r="Y88" s="29"/>
      <c r="Z88" s="29"/>
      <c r="AA88" s="29"/>
      <c r="AB88" s="29"/>
      <c r="AF88" s="23" t="s">
        <v>77</v>
      </c>
      <c r="AG88" s="23" t="s">
        <v>122</v>
      </c>
      <c r="AH88" s="31" t="s">
        <v>21</v>
      </c>
      <c r="AI88" s="31" t="s">
        <v>22</v>
      </c>
      <c r="AJ88" s="32">
        <f t="shared" si="36"/>
        <v>3653.5</v>
      </c>
      <c r="AK88" s="25">
        <v>10</v>
      </c>
      <c r="AL88" s="23" t="s">
        <v>23</v>
      </c>
    </row>
    <row r="89" spans="3:38" x14ac:dyDescent="0.2">
      <c r="C89" s="5" t="e">
        <f>INDEX(СМУ!E$10:E$304,MATCH(B89,СМУ!D$10:D$304,))</f>
        <v>#N/A</v>
      </c>
      <c r="F89" s="29" t="e">
        <f>INDEX(AF$2:AJ$94,MATCH(E89,AF$2:AF$94,),4)</f>
        <v>#N/A</v>
      </c>
      <c r="G89" s="30" t="e">
        <f>INDEX(AF$2:AJ$94,MATCH(E89,AF$2:AF$94,),2)</f>
        <v>#N/A</v>
      </c>
      <c r="I89" s="7">
        <f t="shared" si="45"/>
        <v>0</v>
      </c>
      <c r="J89" s="7">
        <f t="shared" si="41"/>
        <v>0</v>
      </c>
      <c r="P89" s="7">
        <f t="shared" si="42"/>
        <v>0</v>
      </c>
      <c r="T89" s="7">
        <f t="shared" si="43"/>
        <v>0</v>
      </c>
      <c r="X89" s="7">
        <f t="shared" si="44"/>
        <v>0</v>
      </c>
      <c r="Y89" s="29"/>
      <c r="Z89" s="29"/>
      <c r="AA89" s="29"/>
      <c r="AB89" s="29"/>
      <c r="AF89" s="23" t="s">
        <v>78</v>
      </c>
      <c r="AG89" s="23" t="s">
        <v>122</v>
      </c>
      <c r="AH89" s="31" t="s">
        <v>21</v>
      </c>
      <c r="AI89" s="31" t="s">
        <v>22</v>
      </c>
      <c r="AJ89" s="32">
        <f t="shared" si="36"/>
        <v>3653.5</v>
      </c>
      <c r="AK89" s="25">
        <v>10</v>
      </c>
      <c r="AL89" s="23" t="s">
        <v>23</v>
      </c>
    </row>
    <row r="90" spans="3:38" x14ac:dyDescent="0.2">
      <c r="C90" s="5" t="e">
        <f>INDEX(СМУ!E$10:E$304,MATCH(B90,СМУ!D$10:D$304,))</f>
        <v>#N/A</v>
      </c>
      <c r="F90" s="29" t="e">
        <f>INDEX(AF$2:AJ$94,MATCH(E90,AF$2:AF$94,),4)</f>
        <v>#N/A</v>
      </c>
      <c r="G90" s="30" t="e">
        <f>INDEX(AF$2:AJ$94,MATCH(E90,AF$2:AF$94,),2)</f>
        <v>#N/A</v>
      </c>
      <c r="I90" s="7">
        <f t="shared" si="45"/>
        <v>0</v>
      </c>
      <c r="J90" s="7">
        <f t="shared" si="41"/>
        <v>0</v>
      </c>
      <c r="P90" s="7">
        <f t="shared" si="42"/>
        <v>0</v>
      </c>
      <c r="T90" s="7">
        <f t="shared" si="43"/>
        <v>0</v>
      </c>
      <c r="X90" s="7">
        <f t="shared" si="44"/>
        <v>0</v>
      </c>
      <c r="Y90" s="29"/>
      <c r="Z90" s="29"/>
      <c r="AA90" s="29"/>
      <c r="AB90" s="29"/>
      <c r="AF90" s="23" t="s">
        <v>79</v>
      </c>
      <c r="AG90" s="23" t="s">
        <v>122</v>
      </c>
      <c r="AH90" s="31" t="s">
        <v>21</v>
      </c>
      <c r="AI90" s="31" t="s">
        <v>22</v>
      </c>
      <c r="AJ90" s="32">
        <f t="shared" si="36"/>
        <v>3653.5</v>
      </c>
      <c r="AK90" s="25">
        <v>10</v>
      </c>
      <c r="AL90" s="23" t="s">
        <v>23</v>
      </c>
    </row>
    <row r="91" spans="3:38" x14ac:dyDescent="0.2">
      <c r="C91" s="5" t="e">
        <f>INDEX(СМУ!E$10:E$304,MATCH(B91,СМУ!D$10:D$304,))</f>
        <v>#N/A</v>
      </c>
      <c r="F91" s="29" t="e">
        <f>INDEX(AF$2:AJ$94,MATCH(E91,AF$2:AF$94,),4)</f>
        <v>#N/A</v>
      </c>
      <c r="G91" s="30" t="e">
        <f>INDEX(AF$2:AJ$94,MATCH(E91,AF$2:AF$94,),2)</f>
        <v>#N/A</v>
      </c>
      <c r="I91" s="7">
        <f t="shared" si="45"/>
        <v>0</v>
      </c>
      <c r="J91" s="7">
        <f t="shared" si="41"/>
        <v>0</v>
      </c>
      <c r="P91" s="7">
        <f t="shared" si="42"/>
        <v>0</v>
      </c>
      <c r="T91" s="7">
        <f t="shared" si="43"/>
        <v>0</v>
      </c>
      <c r="X91" s="7">
        <f t="shared" si="44"/>
        <v>0</v>
      </c>
      <c r="Y91" s="29"/>
      <c r="Z91" s="29"/>
      <c r="AA91" s="29"/>
      <c r="AB91" s="29"/>
      <c r="AF91" s="23" t="s">
        <v>80</v>
      </c>
      <c r="AG91" s="23" t="s">
        <v>122</v>
      </c>
      <c r="AH91" s="31" t="s">
        <v>21</v>
      </c>
      <c r="AI91" s="31" t="s">
        <v>22</v>
      </c>
      <c r="AJ91" s="32">
        <f t="shared" ref="AJ91:AJ94" si="46">365*AK91+AK91/4+1</f>
        <v>3653.5</v>
      </c>
      <c r="AK91" s="25">
        <v>10</v>
      </c>
      <c r="AL91" s="23" t="s">
        <v>23</v>
      </c>
    </row>
    <row r="92" spans="3:38" x14ac:dyDescent="0.2">
      <c r="C92" s="5" t="e">
        <f>INDEX(СМУ!E$10:E$304,MATCH(B92,СМУ!D$10:D$304,))</f>
        <v>#N/A</v>
      </c>
      <c r="F92" s="29" t="e">
        <f>INDEX(AF$2:AJ$94,MATCH(E92,AF$2:AF$94,),4)</f>
        <v>#N/A</v>
      </c>
      <c r="G92" s="30" t="e">
        <f>INDEX(AF$2:AJ$94,MATCH(E92,AF$2:AF$94,),2)</f>
        <v>#N/A</v>
      </c>
      <c r="I92" s="7">
        <f t="shared" si="45"/>
        <v>0</v>
      </c>
      <c r="J92" s="7">
        <f t="shared" si="41"/>
        <v>0</v>
      </c>
      <c r="P92" s="7">
        <f t="shared" si="42"/>
        <v>0</v>
      </c>
      <c r="T92" s="7">
        <f t="shared" si="43"/>
        <v>0</v>
      </c>
      <c r="X92" s="7">
        <f t="shared" si="44"/>
        <v>0</v>
      </c>
      <c r="Y92" s="29"/>
      <c r="Z92" s="29"/>
      <c r="AA92" s="29"/>
      <c r="AB92" s="29"/>
      <c r="AF92" s="23" t="s">
        <v>81</v>
      </c>
      <c r="AG92" s="23" t="s">
        <v>122</v>
      </c>
      <c r="AH92" s="31" t="s">
        <v>21</v>
      </c>
      <c r="AI92" s="31" t="s">
        <v>22</v>
      </c>
      <c r="AJ92" s="32">
        <f t="shared" si="46"/>
        <v>3653.5</v>
      </c>
      <c r="AK92" s="25">
        <v>10</v>
      </c>
      <c r="AL92" s="23" t="s">
        <v>23</v>
      </c>
    </row>
    <row r="93" spans="3:38" x14ac:dyDescent="0.2">
      <c r="C93" s="5" t="e">
        <f>INDEX(СМУ!E$10:E$304,MATCH(B93,СМУ!D$10:D$304,))</f>
        <v>#N/A</v>
      </c>
      <c r="F93" s="29" t="e">
        <f>INDEX(AF$2:AJ$94,MATCH(E93,AF$2:AF$94,),4)</f>
        <v>#N/A</v>
      </c>
      <c r="G93" s="30" t="e">
        <f>INDEX(AF$2:AJ$94,MATCH(E93,AF$2:AF$94,),2)</f>
        <v>#N/A</v>
      </c>
      <c r="I93" s="7">
        <f t="shared" si="45"/>
        <v>0</v>
      </c>
      <c r="J93" s="7">
        <f t="shared" si="41"/>
        <v>0</v>
      </c>
      <c r="P93" s="7">
        <f t="shared" si="42"/>
        <v>0</v>
      </c>
      <c r="T93" s="7">
        <f t="shared" si="43"/>
        <v>0</v>
      </c>
      <c r="X93" s="7">
        <f t="shared" si="44"/>
        <v>0</v>
      </c>
      <c r="Y93" s="29"/>
      <c r="Z93" s="29"/>
      <c r="AA93" s="29"/>
      <c r="AB93" s="29"/>
      <c r="AF93" s="23" t="s">
        <v>82</v>
      </c>
      <c r="AG93" s="23" t="s">
        <v>121</v>
      </c>
      <c r="AH93" s="31" t="s">
        <v>21</v>
      </c>
      <c r="AI93" s="31" t="s">
        <v>22</v>
      </c>
      <c r="AJ93" s="32">
        <f t="shared" si="46"/>
        <v>3653.5</v>
      </c>
      <c r="AK93" s="25">
        <v>10</v>
      </c>
      <c r="AL93" s="23" t="s">
        <v>23</v>
      </c>
    </row>
    <row r="94" spans="3:38" x14ac:dyDescent="0.2">
      <c r="C94" s="5" t="e">
        <f>INDEX(СМУ!E$10:E$304,MATCH(B94,СМУ!D$10:D$304,))</f>
        <v>#N/A</v>
      </c>
      <c r="F94" s="29" t="e">
        <f>INDEX(AF$2:AJ$94,MATCH(E94,AF$2:AF$94,),4)</f>
        <v>#N/A</v>
      </c>
      <c r="G94" s="30" t="e">
        <f>INDEX(AF$2:AJ$94,MATCH(E94,AF$2:AF$94,),2)</f>
        <v>#N/A</v>
      </c>
      <c r="I94" s="7">
        <f t="shared" si="45"/>
        <v>0</v>
      </c>
      <c r="J94" s="7">
        <f t="shared" si="41"/>
        <v>0</v>
      </c>
      <c r="P94" s="7">
        <f t="shared" si="42"/>
        <v>0</v>
      </c>
      <c r="T94" s="7">
        <f t="shared" si="43"/>
        <v>0</v>
      </c>
      <c r="X94" s="7">
        <f t="shared" si="44"/>
        <v>0</v>
      </c>
      <c r="Y94" s="29"/>
      <c r="Z94" s="29"/>
      <c r="AA94" s="29"/>
      <c r="AB94" s="29"/>
      <c r="AF94" s="23" t="s">
        <v>83</v>
      </c>
      <c r="AG94" s="23" t="s">
        <v>121</v>
      </c>
      <c r="AH94" s="31" t="s">
        <v>21</v>
      </c>
      <c r="AI94" s="31" t="s">
        <v>22</v>
      </c>
      <c r="AJ94" s="32">
        <f t="shared" si="46"/>
        <v>3653.5</v>
      </c>
      <c r="AK94" s="25">
        <v>10</v>
      </c>
      <c r="AL94" s="23" t="s">
        <v>23</v>
      </c>
    </row>
    <row r="95" spans="3:38" x14ac:dyDescent="0.2">
      <c r="C95" s="5" t="e">
        <f>INDEX(СМУ!E$10:E$304,MATCH(B95,СМУ!D$10:D$304,))</f>
        <v>#N/A</v>
      </c>
      <c r="F95" s="29" t="e">
        <f>INDEX(AF$2:AJ$94,MATCH(E95,AF$2:AF$94,),4)</f>
        <v>#N/A</v>
      </c>
      <c r="G95" s="30" t="e">
        <f>INDEX(AF$2:AJ$94,MATCH(E95,AF$2:AF$94,),2)</f>
        <v>#N/A</v>
      </c>
      <c r="I95" s="7">
        <f t="shared" si="45"/>
        <v>0</v>
      </c>
      <c r="J95" s="7">
        <f t="shared" si="41"/>
        <v>0</v>
      </c>
      <c r="P95" s="7">
        <f t="shared" si="42"/>
        <v>0</v>
      </c>
      <c r="T95" s="7">
        <f t="shared" si="43"/>
        <v>0</v>
      </c>
      <c r="X95" s="7">
        <f t="shared" si="44"/>
        <v>0</v>
      </c>
      <c r="Y95" s="29"/>
      <c r="Z95" s="29"/>
      <c r="AA95" s="29"/>
      <c r="AB95" s="29"/>
    </row>
  </sheetData>
  <autoFilter ref="A2:AK94"/>
  <sortState ref="AF6:AM892">
    <sortCondition ref="AI6:AI892"/>
  </sortState>
  <conditionalFormatting sqref="H5:H10 H12:H18 H20:H95 I5:I95">
    <cfRule type="expression" dxfId="5" priority="10">
      <formula>($J5+$P5+$T5+$X5)&gt;$H5</formula>
    </cfRule>
  </conditionalFormatting>
  <conditionalFormatting sqref="H20:H24 H16:H18">
    <cfRule type="expression" dxfId="4" priority="9">
      <formula>($J$5+$P$5+$T$5+$X$5)&gt;$H$5</formula>
    </cfRule>
  </conditionalFormatting>
  <conditionalFormatting sqref="H4:I4">
    <cfRule type="expression" dxfId="3" priority="8">
      <formula>($J4+$P4+$T4+$X4)&gt;$H4</formula>
    </cfRule>
  </conditionalFormatting>
  <conditionalFormatting sqref="H19">
    <cfRule type="expression" dxfId="2" priority="7">
      <formula>($J19+$P19+$T19+$X19)&gt;$H19</formula>
    </cfRule>
  </conditionalFormatting>
  <conditionalFormatting sqref="H19">
    <cfRule type="expression" dxfId="1" priority="6">
      <formula>($J$5+$P$5+$T$5+$X$5)&gt;$H$5</formula>
    </cfRule>
  </conditionalFormatting>
  <conditionalFormatting sqref="H11">
    <cfRule type="expression" dxfId="0" priority="1">
      <formula>($J11+$P11+$T11+$X11)&gt;$H11</formula>
    </cfRule>
  </conditionalFormatting>
  <dataValidations count="18">
    <dataValidation type="list" errorStyle="warning" allowBlank="1" showInputMessage="1" showErrorMessage="1" sqref="E8 E13:E21">
      <formula1>$AE128:$AE2</formula1>
    </dataValidation>
    <dataValidation type="list" errorStyle="warning" allowBlank="1" showInputMessage="1" showErrorMessage="1" sqref="E37">
      <formula1>$AF30:$AF94</formula1>
    </dataValidation>
    <dataValidation type="list" errorStyle="warning" allowBlank="1" showInputMessage="1" showErrorMessage="1" sqref="E38:E41">
      <formula1>$AF28:$AF94</formula1>
    </dataValidation>
    <dataValidation type="list" errorStyle="warning" allowBlank="1" showInputMessage="1" showErrorMessage="1" sqref="E34">
      <formula1>$AF8:$AF94</formula1>
    </dataValidation>
    <dataValidation type="list" errorStyle="warning" allowBlank="1" showInputMessage="1" showErrorMessage="1" sqref="E36">
      <formula1>$AF15:$AF94</formula1>
    </dataValidation>
    <dataValidation type="list" errorStyle="warning" allowBlank="1" showInputMessage="1" showErrorMessage="1" sqref="E35">
      <formula1>$AF5:$AF94</formula1>
    </dataValidation>
    <dataValidation type="list" errorStyle="warning" allowBlank="1" showInputMessage="1" showErrorMessage="1" sqref="E24">
      <formula1>$AF6:$AF94</formula1>
    </dataValidation>
    <dataValidation type="list" errorStyle="warning" allowBlank="1" showInputMessage="1" showErrorMessage="1" sqref="E25">
      <formula1>$AF6:$AF94</formula1>
    </dataValidation>
    <dataValidation type="list" errorStyle="warning" allowBlank="1" showInputMessage="1" showErrorMessage="1" sqref="E26">
      <formula1>$AF6:$AF94</formula1>
    </dataValidation>
    <dataValidation type="list" errorStyle="warning" allowBlank="1" showInputMessage="1" showErrorMessage="1" sqref="E32">
      <formula1>$AF6:$AF94</formula1>
    </dataValidation>
    <dataValidation type="list" errorStyle="warning" allowBlank="1" showInputMessage="1" showErrorMessage="1" sqref="E33">
      <formula1>$AF6:$AF94</formula1>
    </dataValidation>
    <dataValidation type="list" errorStyle="warning" allowBlank="1" showInputMessage="1" showErrorMessage="1" sqref="E23">
      <formula1>$AF6:$AF96</formula1>
    </dataValidation>
    <dataValidation type="list" errorStyle="warning" allowBlank="1" showInputMessage="1" showErrorMessage="1" sqref="E7 E4:E5 E9">
      <formula1>$AF3:$AF94</formula1>
    </dataValidation>
    <dataValidation type="list" errorStyle="warning" allowBlank="1" showInputMessage="1" showErrorMessage="1" sqref="E10 E22">
      <formula1>$AF4:$AF95</formula1>
    </dataValidation>
    <dataValidation type="list" errorStyle="warning" allowBlank="1" showInputMessage="1" showErrorMessage="1" sqref="E11:E12">
      <formula1>$AF4:$AF95</formula1>
    </dataValidation>
    <dataValidation type="list" errorStyle="warning" allowBlank="1" showInputMessage="1" showErrorMessage="1" sqref="E27:E29">
      <formula1>$AF6:$AF94</formula1>
    </dataValidation>
    <dataValidation type="list" errorStyle="warning" allowBlank="1" showInputMessage="1" showErrorMessage="1" sqref="E30:E31">
      <formula1>$AF5:$AF94</formula1>
    </dataValidation>
    <dataValidation type="list" errorStyle="warning" allowBlank="1" showInputMessage="1" showErrorMessage="1" sqref="E6">
      <formula1>$AF95:$AF1048576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Y105"/>
  <sheetViews>
    <sheetView tabSelected="1" workbookViewId="0">
      <pane ySplit="4" topLeftCell="A5" activePane="bottomLeft" state="frozen"/>
      <selection pane="bottomLeft" activeCell="J12" sqref="J12"/>
    </sheetView>
    <sheetView tabSelected="1" workbookViewId="1">
      <pane ySplit="4" topLeftCell="A21" activePane="bottomLeft" state="frozen"/>
      <selection pane="bottomLeft" activeCell="M32" sqref="M32"/>
    </sheetView>
  </sheetViews>
  <sheetFormatPr defaultRowHeight="15" x14ac:dyDescent="0.25"/>
  <cols>
    <col min="1" max="1" width="3.5703125" customWidth="1"/>
    <col min="2" max="2" width="9.5703125" customWidth="1"/>
    <col min="3" max="3" width="11.140625" customWidth="1"/>
    <col min="4" max="4" width="12.28515625" customWidth="1"/>
    <col min="5" max="5" width="12.140625" customWidth="1"/>
    <col min="6" max="6" width="12.85546875" customWidth="1"/>
    <col min="7" max="7" width="7.85546875" customWidth="1"/>
    <col min="8" max="8" width="14.140625" customWidth="1"/>
    <col min="9" max="9" width="14.5703125" customWidth="1"/>
    <col min="10" max="11" width="14.42578125" customWidth="1"/>
    <col min="12" max="12" width="13.28515625" customWidth="1"/>
    <col min="13" max="13" width="11.42578125" customWidth="1"/>
  </cols>
  <sheetData>
    <row r="1" spans="1:17" s="38" customFormat="1" ht="15.75" customHeight="1" x14ac:dyDescent="0.25">
      <c r="A1" s="57"/>
      <c r="B1" s="57"/>
      <c r="C1" s="57"/>
      <c r="D1" s="57"/>
      <c r="F1" s="54" t="s">
        <v>128</v>
      </c>
      <c r="G1" s="57"/>
      <c r="H1" s="57"/>
      <c r="I1" s="57"/>
      <c r="J1" s="57"/>
      <c r="K1" s="57"/>
      <c r="M1" s="37">
        <v>3</v>
      </c>
    </row>
    <row r="2" spans="1:17" s="38" customFormat="1" ht="15" customHeight="1" x14ac:dyDescent="0.25">
      <c r="A2" s="78" t="s">
        <v>142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51"/>
    </row>
    <row r="3" spans="1:17" s="38" customFormat="1" ht="15" customHeight="1" x14ac:dyDescent="0.25">
      <c r="A3" s="57"/>
      <c r="B3" s="57"/>
      <c r="C3" s="57"/>
      <c r="D3" s="57"/>
      <c r="E3" s="57"/>
      <c r="F3" s="57"/>
      <c r="G3" s="57"/>
      <c r="H3" s="57"/>
      <c r="I3" s="57"/>
      <c r="K3"/>
      <c r="L3"/>
      <c r="M3" s="63">
        <v>43101</v>
      </c>
    </row>
    <row r="4" spans="1:17" s="38" customFormat="1" ht="15" customHeight="1" x14ac:dyDescent="0.25">
      <c r="B4" s="39"/>
      <c r="C4" s="39"/>
      <c r="D4" s="90" t="s">
        <v>243</v>
      </c>
      <c r="E4" s="89">
        <f>$M$3+M1*7-7</f>
        <v>43115</v>
      </c>
      <c r="F4" s="65" t="s">
        <v>129</v>
      </c>
      <c r="G4" s="89">
        <f>E4+4</f>
        <v>43119</v>
      </c>
      <c r="H4" s="64" t="s">
        <v>130</v>
      </c>
      <c r="K4" s="39"/>
    </row>
    <row r="5" spans="1:17" ht="6.75" customHeight="1" x14ac:dyDescent="0.25">
      <c r="A5" s="40"/>
      <c r="B5" s="40"/>
      <c r="C5" s="40"/>
      <c r="D5" s="40"/>
    </row>
    <row r="6" spans="1:17" x14ac:dyDescent="0.25">
      <c r="A6" s="40" t="s">
        <v>131</v>
      </c>
      <c r="B6" s="40" t="s">
        <v>259</v>
      </c>
      <c r="C6" s="40"/>
      <c r="D6" s="110">
        <f>INDEX(СМУ!K10:N61,MATCH(M1,СМУ!K10:K61,),4)</f>
        <v>3</v>
      </c>
      <c r="E6" t="s">
        <v>260</v>
      </c>
      <c r="F6" s="110">
        <f>COUNTIF(B7:B11,"?*")-J1+COUNTIF(B20:B25,"?*")-J1</f>
        <v>3</v>
      </c>
      <c r="G6" t="s">
        <v>208</v>
      </c>
      <c r="H6" t="s">
        <v>132</v>
      </c>
      <c r="L6" s="42"/>
      <c r="M6" s="42"/>
    </row>
    <row r="7" spans="1:17" ht="15.75" customHeight="1" x14ac:dyDescent="0.25">
      <c r="A7" s="43"/>
      <c r="B7" s="43" t="str">
        <f t="array" ref="B7">INDEX(СМУ!D$1:D$304,SMALL(IF(СМУ!B$3:B$304&amp;СМУ!A$3:A$304="п"&amp;$M$1,ROW(СМУ!B$3:B$304),98),ROW(A1)))&amp;""</f>
        <v>СУ1</v>
      </c>
      <c r="C7" s="43" t="str">
        <f>IFERROR(INDEX(СМУ!D$10:H$304,MATCH(B7,СМУ!D$10:D$304,),2),"")</f>
        <v>поселок</v>
      </c>
      <c r="D7" s="43" t="str">
        <f>IFERROR(INDEX(СМУ!D$10:H$304,MATCH(B7,СМУ!D$10:D$304,),3),"")</f>
        <v>г. 3</v>
      </c>
      <c r="E7" s="43" t="str">
        <f>IFERROR(INDEX(СМУ!D$10:H$304,MATCH(B7,СМУ!D$10:D$304,),4),"")</f>
        <v>Петров П.П.</v>
      </c>
      <c r="F7" s="108" t="str">
        <f>IFERROR(INDEX(СМУ!D$10:H$304,MATCH(B7,СМУ!D$10:D$304,),5),"")</f>
        <v>документы</v>
      </c>
      <c r="G7" s="43"/>
      <c r="H7" s="43"/>
      <c r="I7" s="109"/>
      <c r="J7" s="115" t="s">
        <v>267</v>
      </c>
      <c r="K7" s="115"/>
      <c r="L7" s="115"/>
      <c r="M7" s="115"/>
      <c r="N7" s="115"/>
      <c r="O7" s="115"/>
      <c r="P7" s="115"/>
      <c r="Q7" s="115"/>
    </row>
    <row r="8" spans="1:17" x14ac:dyDescent="0.25">
      <c r="A8" s="43"/>
      <c r="B8" s="43" t="str">
        <f t="array" ref="B8">INDEX(СМУ!D$1:D$304,SMALL(IF(СМУ!B$3:B$304&amp;СМУ!A$3:A$304="п"&amp;$M$1,ROW(СМУ!B$3:B$304),98),ROW(A2)))&amp;""</f>
        <v>СУ2</v>
      </c>
      <c r="C8" s="43" t="str">
        <f>IFERROR(INDEX(СМУ!D$10:H$304,MATCH(B8,СМУ!D$10:D$304,),2),"")</f>
        <v>стройка</v>
      </c>
      <c r="D8" s="43" t="str">
        <f>IFERROR(INDEX(СМУ!D$10:H$304,MATCH(B8,СМУ!D$10:D$304,),3),"")</f>
        <v>г. 1</v>
      </c>
      <c r="E8" s="43" t="str">
        <f>IFERROR(INDEX(СМУ!D$10:H$304,MATCH(B8,СМУ!D$10:D$304,),4),"")</f>
        <v>Серов П.П.</v>
      </c>
      <c r="F8" s="108" t="str">
        <f>IFERROR(INDEX(СМУ!D$10:H$304,MATCH(B8,СМУ!D$10:D$304,),5),"")</f>
        <v>плановая</v>
      </c>
      <c r="G8" s="43"/>
      <c r="H8" s="43"/>
      <c r="I8" s="109"/>
      <c r="J8" s="115"/>
      <c r="K8" s="115"/>
      <c r="L8" s="115"/>
      <c r="M8" s="115"/>
      <c r="N8" s="115"/>
      <c r="O8" s="115"/>
      <c r="P8" s="115"/>
      <c r="Q8" s="115"/>
    </row>
    <row r="9" spans="1:17" x14ac:dyDescent="0.25">
      <c r="A9" s="43"/>
      <c r="B9" s="43" t="str">
        <f t="array" ref="B9">INDEX(СМУ!D$1:D$304,SMALL(IF(СМУ!B$3:B$304&amp;СМУ!A$3:A$304="п"&amp;$M$1,ROW(СМУ!B$3:B$304),98),ROW(A3)))&amp;""</f>
        <v/>
      </c>
      <c r="C9" s="43" t="str">
        <f>IFERROR(INDEX(СМУ!D$10:H$304,MATCH(B9,СМУ!D$10:D$304,),2),"")</f>
        <v/>
      </c>
      <c r="D9" s="43" t="str">
        <f>IFERROR(INDEX(СМУ!D$10:H$304,MATCH(B9,СМУ!D$10:D$304,),3),"")</f>
        <v/>
      </c>
      <c r="E9" s="43" t="str">
        <f>IFERROR(INDEX(СМУ!D$10:H$304,MATCH(B9,СМУ!D$10:D$304,),4),"")</f>
        <v/>
      </c>
      <c r="F9" s="108" t="str">
        <f>IFERROR(INDEX(СМУ!D$10:H$304,MATCH(B9,СМУ!D$10:D$304,),5),"")</f>
        <v/>
      </c>
      <c r="G9" s="43"/>
      <c r="H9" s="43"/>
      <c r="I9" s="109"/>
      <c r="J9" s="115"/>
      <c r="K9" s="115"/>
      <c r="L9" s="115"/>
      <c r="M9" s="115"/>
      <c r="N9" s="115"/>
      <c r="O9" s="115"/>
      <c r="P9" s="115"/>
      <c r="Q9" s="115"/>
    </row>
    <row r="10" spans="1:17" x14ac:dyDescent="0.25">
      <c r="A10" s="43"/>
      <c r="B10" s="43" t="str">
        <f t="array" ref="B10">INDEX(СМУ!D$1:D$304,SMALL(IF(СМУ!B$3:B$304&amp;СМУ!A$3:A$304="п"&amp;$M$1,ROW(СМУ!B$3:B$304),98),ROW(A4)))&amp;""</f>
        <v/>
      </c>
      <c r="C10" s="43" t="str">
        <f>IFERROR(INDEX(СМУ!D$10:H$304,MATCH(B10,СМУ!D$10:D$304,),2),"")</f>
        <v/>
      </c>
      <c r="D10" s="43" t="str">
        <f>IFERROR(INDEX(СМУ!D$10:H$304,MATCH(B10,СМУ!D$10:D$304,),3),"")</f>
        <v/>
      </c>
      <c r="E10" s="43" t="str">
        <f>IFERROR(INDEX(СМУ!D$10:H$304,MATCH(B10,СМУ!D$10:D$304,),4),"")</f>
        <v/>
      </c>
      <c r="F10" s="108" t="str">
        <f>IFERROR(INDEX(СМУ!D$10:H$304,MATCH(B10,СМУ!D$10:D$304,),5),"")</f>
        <v/>
      </c>
      <c r="G10" s="43"/>
      <c r="H10" s="43"/>
      <c r="I10" s="109"/>
      <c r="J10" s="115"/>
      <c r="K10" s="115"/>
      <c r="L10" s="115"/>
      <c r="M10" s="115"/>
      <c r="N10" s="115"/>
      <c r="O10" s="115"/>
      <c r="P10" s="115"/>
      <c r="Q10" s="115"/>
    </row>
    <row r="11" spans="1:17" x14ac:dyDescent="0.25">
      <c r="A11" s="43"/>
      <c r="B11" s="43" t="str">
        <f t="array" ref="B11">INDEX(СМУ!D$1:D$304,SMALL(IF(СМУ!B$3:B$304&amp;СМУ!A$3:A$304="п"&amp;$M$1,ROW(СМУ!B$3:B$304),98),ROW(A9)))&amp;""</f>
        <v/>
      </c>
      <c r="C11" s="43" t="str">
        <f>IFERROR(INDEX(СМУ!D$10:H$304,MATCH(B11,СМУ!D$10:D$304,),2),"")</f>
        <v/>
      </c>
      <c r="D11" s="43" t="str">
        <f>IFERROR(INDEX(СМУ!D$10:H$304,MATCH(B11,СМУ!D$10:D$304,),3),"")</f>
        <v/>
      </c>
      <c r="E11" s="43" t="str">
        <f>IFERROR(INDEX(СМУ!D$10:H$304,MATCH(B11,СМУ!D$10:D$304,),4),"")</f>
        <v/>
      </c>
      <c r="F11" s="108" t="str">
        <f>IFERROR(INDEX(СМУ!D$10:H$304,MATCH(B11,СМУ!D$10:D$304,),5),"")</f>
        <v/>
      </c>
      <c r="G11" s="43"/>
      <c r="H11" s="43"/>
      <c r="I11" s="43"/>
      <c r="J11" s="79" t="s">
        <v>274</v>
      </c>
      <c r="K11" s="46"/>
      <c r="M11" s="42"/>
    </row>
    <row r="12" spans="1:17" x14ac:dyDescent="0.25">
      <c r="A12" s="43"/>
      <c r="B12" s="43" t="s">
        <v>261</v>
      </c>
      <c r="C12" s="111">
        <f>COUNTIF(B13:B18,"?*")-J1</f>
        <v>1</v>
      </c>
      <c r="D12" s="43" t="s">
        <v>207</v>
      </c>
      <c r="E12" s="43"/>
      <c r="F12" s="43"/>
      <c r="G12" s="43"/>
      <c r="H12" s="43"/>
      <c r="I12" s="43"/>
      <c r="J12" s="44"/>
      <c r="K12" s="46"/>
      <c r="M12" s="42"/>
    </row>
    <row r="13" spans="1:17" x14ac:dyDescent="0.25">
      <c r="A13" s="43"/>
      <c r="B13" s="43" t="str">
        <f t="array" ref="B13">INDEX(СМУ!D$1:D$304,SMALL(IF(СМУ!B$3:B$304&amp;СМУ!A$3:A$304="н"&amp;$M$1,ROW(СМУ!B$3:B$304),98),ROW(A1)))&amp;""</f>
        <v>СМУ-10</v>
      </c>
      <c r="C13" s="43" t="str">
        <f>IFERROR(INDEX(СМУ!D$10:H$304,MATCH(B13,СМУ!D$10:D$304,),2),"")</f>
        <v>стройка</v>
      </c>
      <c r="D13" s="43" t="str">
        <f>IFERROR(INDEX(СМУ!D$11:H$303,MATCH(B13,СМУ!D$11:D$303,),3),"")</f>
        <v>п. 2</v>
      </c>
      <c r="E13" s="43" t="str">
        <f>IFERROR(INDEX(СМУ!D$11:H$303,MATCH(B13,СМУ!D$11:D$303,),4),"")</f>
        <v>Седов А.А.</v>
      </c>
      <c r="F13" s="108" t="str">
        <f>IFERROR(INDEX(СМУ!D$11:I$303,MATCH(B13,СМУ!D$11:D$303,),6),"")</f>
        <v>перенос на 26 неделю болен мастер</v>
      </c>
      <c r="G13" s="112"/>
      <c r="H13" s="112"/>
      <c r="I13" s="112"/>
      <c r="J13" s="53"/>
      <c r="K13" s="53"/>
      <c r="L13" s="53"/>
      <c r="M13" s="42"/>
    </row>
    <row r="14" spans="1:17" x14ac:dyDescent="0.25">
      <c r="A14" s="43"/>
      <c r="B14" s="43" t="str">
        <f t="array" ref="B14">INDEX(СМУ!D$1:D$304,SMALL(IF(СМУ!B$3:B$304&amp;СМУ!A$3:A$304="н"&amp;$M$1,ROW(СМУ!B$3:B$304),98),ROW(A2)))&amp;""</f>
        <v/>
      </c>
      <c r="C14" s="43" t="str">
        <f>IFERROR(INDEX(СМУ!D$10:H$304,MATCH(B14,СМУ!D$10:D$304,),2),"")</f>
        <v/>
      </c>
      <c r="D14" s="43" t="str">
        <f>IFERROR(INDEX(СМУ!D$11:H$303,MATCH(B14,СМУ!D$11:D$303,),3),"")</f>
        <v/>
      </c>
      <c r="E14" s="43" t="str">
        <f>IFERROR(INDEX(СМУ!D$11:H$303,MATCH(B14,СМУ!D$11:D$303,),4),"")</f>
        <v/>
      </c>
      <c r="F14" s="108" t="str">
        <f>IFERROR(INDEX(СМУ!D$11:I$303,MATCH(B14,СМУ!D$11:D$303,),6),"")</f>
        <v/>
      </c>
      <c r="G14" s="112"/>
      <c r="H14" s="112"/>
      <c r="I14" s="112"/>
      <c r="J14" s="53"/>
      <c r="K14" s="53"/>
      <c r="L14" s="53"/>
      <c r="M14" s="42"/>
    </row>
    <row r="15" spans="1:17" x14ac:dyDescent="0.25">
      <c r="A15" s="43"/>
      <c r="B15" s="43" t="str">
        <f t="array" ref="B15">INDEX(СМУ!D$1:D$304,SMALL(IF(СМУ!B$3:B$304&amp;СМУ!A$3:A$304="н"&amp;$M$1,ROW(СМУ!B$3:B$304),98),ROW(A3)))&amp;""</f>
        <v/>
      </c>
      <c r="C15" s="43" t="str">
        <f>IFERROR(INDEX(СМУ!D$10:H$304,MATCH(B15,СМУ!D$10:D$304,),2),"")</f>
        <v/>
      </c>
      <c r="D15" s="43" t="str">
        <f>IFERROR(INDEX(СМУ!D$11:H$303,MATCH(B15,СМУ!D$11:D$303,),3),"")</f>
        <v/>
      </c>
      <c r="E15" s="43" t="str">
        <f>IFERROR(INDEX(СМУ!D$11:H$303,MATCH(B15,СМУ!D$11:D$303,),4),"")</f>
        <v/>
      </c>
      <c r="F15" s="108" t="str">
        <f>IFERROR(INDEX(СМУ!D$11:I$303,MATCH(B15,СМУ!D$11:D$303,),6),"")</f>
        <v/>
      </c>
      <c r="G15" s="112"/>
      <c r="H15" s="112"/>
      <c r="I15" s="112"/>
      <c r="J15" s="53"/>
      <c r="K15" s="53"/>
      <c r="L15" s="53"/>
      <c r="M15" s="42"/>
    </row>
    <row r="16" spans="1:17" x14ac:dyDescent="0.25">
      <c r="A16" s="43"/>
      <c r="B16" s="43" t="str">
        <f t="array" ref="B16">INDEX(СМУ!D$1:D$304,SMALL(IF(СМУ!B$3:B$304&amp;СМУ!A$3:A$304="н"&amp;$M$1,ROW(СМУ!B$3:B$304),98),ROW(A7)))&amp;""</f>
        <v/>
      </c>
      <c r="C16" s="43" t="str">
        <f>IFERROR(INDEX(СМУ!D$10:H$304,MATCH(B16,СМУ!D$10:D$304,),2),"")</f>
        <v/>
      </c>
      <c r="D16" s="43" t="str">
        <f>IFERROR(INDEX(СМУ!D$11:H$303,MATCH(B16,СМУ!D$11:D$303,),3),"")</f>
        <v/>
      </c>
      <c r="E16" s="43" t="str">
        <f>IFERROR(INDEX(СМУ!D$11:H$303,MATCH(B16,СМУ!D$11:D$303,),4),"")</f>
        <v/>
      </c>
      <c r="F16" s="108" t="str">
        <f>IFERROR(INDEX(СМУ!D$11:I$303,MATCH(B16,СМУ!D$11:D$303,),6),"")</f>
        <v/>
      </c>
      <c r="G16" s="112"/>
      <c r="H16" s="112"/>
      <c r="I16" s="112"/>
      <c r="J16" s="53"/>
      <c r="K16" s="53"/>
      <c r="L16" s="53"/>
      <c r="M16" s="42"/>
    </row>
    <row r="17" spans="1:13" x14ac:dyDescent="0.25">
      <c r="A17" s="43"/>
      <c r="B17" s="43" t="str">
        <f t="array" ref="B17">INDEX(СМУ!D$1:D$304,SMALL(IF(СМУ!B$3:B$304&amp;СМУ!A$3:A$304="н"&amp;$M$1,ROW(СМУ!B$3:B$304),98),ROW(A8)))&amp;""</f>
        <v/>
      </c>
      <c r="C17" s="43" t="str">
        <f>IFERROR(INDEX(СМУ!D$10:H$304,MATCH(B17,СМУ!D$10:D$304,),2),"")</f>
        <v/>
      </c>
      <c r="D17" s="43" t="str">
        <f>IFERROR(INDEX(СМУ!D$11:H$303,MATCH(B17,СМУ!D$11:D$303,),3),"")</f>
        <v/>
      </c>
      <c r="E17" s="43" t="str">
        <f>IFERROR(INDEX(СМУ!D$11:H$303,MATCH(B17,СМУ!D$11:D$303,),4),"")</f>
        <v/>
      </c>
      <c r="F17" s="108" t="str">
        <f>IFERROR(INDEX(СМУ!D$11:I$303,MATCH(B17,СМУ!D$11:D$303,),6),"")</f>
        <v/>
      </c>
      <c r="G17" s="112"/>
      <c r="H17" s="112"/>
      <c r="I17" s="112"/>
      <c r="J17" s="53"/>
      <c r="K17" s="53"/>
      <c r="L17" s="53"/>
      <c r="M17" s="42"/>
    </row>
    <row r="18" spans="1:13" x14ac:dyDescent="0.25">
      <c r="A18" s="43"/>
      <c r="B18" s="43" t="str">
        <f t="array" ref="B18">INDEX(СМУ!D$1:D$304,SMALL(IF(СМУ!B$3:B$304&amp;СМУ!A$3:A$304="н"&amp;$M$1,ROW(СМУ!B$3:B$304),98),ROW(A9)))&amp;""</f>
        <v/>
      </c>
      <c r="C18" s="43" t="str">
        <f>IFERROR(INDEX(СМУ!D$10:H$304,MATCH(B18,СМУ!D$10:D$304,),2),"")</f>
        <v/>
      </c>
      <c r="D18" s="43" t="str">
        <f>IFERROR(INDEX(СМУ!D$11:H$303,MATCH(B18,СМУ!D$11:D$303,),3),"")</f>
        <v/>
      </c>
      <c r="E18" s="43" t="str">
        <f>IFERROR(INDEX(СМУ!D$11:H$303,MATCH(B18,СМУ!D$11:D$303,),4),"")</f>
        <v/>
      </c>
      <c r="F18" s="108" t="str">
        <f>IFERROR(INDEX(СМУ!D$11:I$303,MATCH(B18,СМУ!D$11:D$303,),6),"")</f>
        <v/>
      </c>
      <c r="G18" s="112"/>
      <c r="H18" s="112"/>
      <c r="I18" s="112"/>
      <c r="J18" s="53"/>
      <c r="K18" s="53"/>
      <c r="L18" s="53"/>
      <c r="M18" s="42"/>
    </row>
    <row r="19" spans="1:13" x14ac:dyDescent="0.25">
      <c r="A19" s="43" t="s">
        <v>133</v>
      </c>
      <c r="B19" s="43" t="s">
        <v>209</v>
      </c>
      <c r="C19" s="43"/>
      <c r="D19" s="111">
        <f>COUNTIF(B20:B25,"?*")-J1</f>
        <v>1</v>
      </c>
      <c r="E19" s="43" t="s">
        <v>207</v>
      </c>
      <c r="F19" s="43"/>
      <c r="G19" s="43"/>
      <c r="H19" s="43"/>
      <c r="I19" s="43"/>
      <c r="J19" s="44"/>
      <c r="K19" s="46"/>
      <c r="M19" s="42"/>
    </row>
    <row r="20" spans="1:13" x14ac:dyDescent="0.25">
      <c r="A20" s="43"/>
      <c r="B20" s="43" t="str">
        <f t="array" ref="B20">INDEX(СМУ!D$1:D$304,SMALL(IF(СМУ!B$3:B$304&amp;СМУ!A$3:A$304="в"&amp;$M$1,ROW(СМУ!B$3:B$304),98),ROW(A1)))&amp;""</f>
        <v>СМУ3</v>
      </c>
      <c r="C20" s="43" t="str">
        <f>IFERROR(INDEX(СМУ!D$10:H$304,MATCH(B20,СМУ!D$10:D$304,),2),"")</f>
        <v>санаторий</v>
      </c>
      <c r="D20" s="43" t="str">
        <f>IFERROR(INDEX(СМУ!D$10:H$304,MATCH(B20,СМУ!D$10:D$304,),3),"")</f>
        <v>п. 1</v>
      </c>
      <c r="E20" s="43" t="str">
        <f>IFERROR(INDEX(СМУ!D$10:H$304,MATCH(B20,СМУ!D$10:D$304,),4),"")</f>
        <v>Светлов А.А.</v>
      </c>
      <c r="F20" s="108" t="str">
        <f>IFERROR(INDEX(СМУ!D$10:H$304,MATCH(B20,СМУ!D$10:D$304,),5),"")</f>
        <v>внеплановая</v>
      </c>
      <c r="G20" s="43" t="str">
        <f>IFERROR(INDEX(СМУ!D$11:J$303,MATCH(B20,СМУ!D$11:D$303,),7),"")</f>
        <v>перенос из 16 недели</v>
      </c>
      <c r="H20" s="109"/>
      <c r="J20" s="44"/>
      <c r="K20" s="46"/>
      <c r="M20" s="42"/>
    </row>
    <row r="21" spans="1:13" x14ac:dyDescent="0.25">
      <c r="A21" s="43"/>
      <c r="B21" s="44" t="str">
        <f t="array" ref="B21">INDEX(СМУ!D$1:D$304,SMALL(IF(СМУ!B$3:B$304&amp;СМУ!A$3:A$304="в"&amp;$M$1,ROW(СМУ!B$3:B$304),98),ROW(A2)))&amp;""</f>
        <v/>
      </c>
      <c r="C21" s="44" t="str">
        <f>IFERROR(INDEX(СМУ!D$10:H$304,MATCH(B21,СМУ!D$10:D$304,),2),"")</f>
        <v/>
      </c>
      <c r="D21" s="44" t="str">
        <f>IFERROR(INDEX(СМУ!D$10:H$304,MATCH(B21,СМУ!D$10:D$304,),3),"")</f>
        <v/>
      </c>
      <c r="E21" s="44" t="str">
        <f>IFERROR(INDEX(СМУ!D$10:H$304,MATCH(B21,СМУ!D$10:D$304,),4),"")</f>
        <v/>
      </c>
      <c r="F21" s="45" t="str">
        <f>IFERROR(INDEX(СМУ!D$10:H$304,MATCH(B21,СМУ!D$10:D$304,),5),"")</f>
        <v/>
      </c>
      <c r="G21" s="44"/>
      <c r="H21" s="44"/>
      <c r="I21" s="44"/>
      <c r="J21" s="44"/>
      <c r="K21" s="46"/>
      <c r="M21" s="42"/>
    </row>
    <row r="22" spans="1:13" x14ac:dyDescent="0.25">
      <c r="A22" s="43"/>
      <c r="B22" s="44" t="str">
        <f t="array" ref="B22">INDEX(СМУ!D$1:D$304,SMALL(IF(СМУ!B$3:B$304&amp;СМУ!A$3:A$304="в"&amp;$M$1,ROW(СМУ!B$3:B$304),98),ROW(A3)))&amp;""</f>
        <v/>
      </c>
      <c r="C22" s="44" t="str">
        <f>IFERROR(INDEX(СМУ!D$10:H$304,MATCH(B22,СМУ!D$10:D$304,),2),"")</f>
        <v/>
      </c>
      <c r="D22" s="44" t="str">
        <f>IFERROR(INDEX(СМУ!D$10:H$304,MATCH(B22,СМУ!D$10:D$304,),3),"")</f>
        <v/>
      </c>
      <c r="E22" s="44" t="str">
        <f>IFERROR(INDEX(СМУ!D$10:H$304,MATCH(B22,СМУ!D$10:D$304,),4),"")</f>
        <v/>
      </c>
      <c r="F22" s="45" t="str">
        <f>IFERROR(INDEX(СМУ!D$10:H$304,MATCH(B22,СМУ!D$10:D$304,),5),"")</f>
        <v/>
      </c>
      <c r="G22" s="44"/>
      <c r="H22" s="44"/>
      <c r="I22" s="44"/>
      <c r="J22" s="44"/>
      <c r="K22" s="46"/>
      <c r="M22" s="42"/>
    </row>
    <row r="23" spans="1:13" x14ac:dyDescent="0.25">
      <c r="A23" s="43"/>
      <c r="B23" s="44" t="str">
        <f t="array" ref="B23">INDEX(СМУ!D$1:D$304,SMALL(IF(СМУ!B$3:B$304&amp;СМУ!A$3:A$304="в"&amp;$M$1,ROW(СМУ!B$3:B$304),98),ROW(A4)))&amp;""</f>
        <v/>
      </c>
      <c r="C23" s="44" t="str">
        <f>IFERROR(INDEX(СМУ!D$10:H$304,MATCH(B23,СМУ!D$10:D$304,),2),"")</f>
        <v/>
      </c>
      <c r="D23" s="44" t="str">
        <f>IFERROR(INDEX(СМУ!D$10:H$304,MATCH(B23,СМУ!D$10:D$304,),3),"")</f>
        <v/>
      </c>
      <c r="E23" s="44" t="str">
        <f>IFERROR(INDEX(СМУ!D$10:H$304,MATCH(B23,СМУ!D$10:D$304,),4),"")</f>
        <v/>
      </c>
      <c r="F23" s="45" t="str">
        <f>IFERROR(INDEX(СМУ!D$10:H$304,MATCH(B23,СМУ!D$10:D$304,),5),"")</f>
        <v/>
      </c>
      <c r="G23" s="44"/>
      <c r="H23" s="44"/>
      <c r="I23" s="44"/>
      <c r="J23" s="44"/>
      <c r="K23" s="46"/>
      <c r="M23" s="42"/>
    </row>
    <row r="24" spans="1:13" x14ac:dyDescent="0.25">
      <c r="A24" s="43"/>
      <c r="B24" s="44" t="str">
        <f t="array" ref="B24">INDEX(СМУ!D$1:D$304,SMALL(IF(СМУ!B$3:B$304&amp;СМУ!A$3:A$304="в"&amp;$M$1,ROW(СМУ!B$3:B$304),98),ROW(A8)))&amp;""</f>
        <v/>
      </c>
      <c r="C24" s="44" t="str">
        <f>IFERROR(INDEX(СМУ!D$10:H$304,MATCH(B24,СМУ!D$10:D$304,),2),"")</f>
        <v/>
      </c>
      <c r="D24" s="44" t="str">
        <f>IFERROR(INDEX(СМУ!D$10:H$304,MATCH(B24,СМУ!D$10:D$304,),3),"")</f>
        <v/>
      </c>
      <c r="E24" s="44" t="str">
        <f>IFERROR(INDEX(СМУ!D$10:H$304,MATCH(B24,СМУ!D$10:D$304,),4),"")</f>
        <v/>
      </c>
      <c r="F24" s="45" t="str">
        <f>IFERROR(INDEX(СМУ!D$10:H$304,MATCH(B24,СМУ!D$10:D$304,),5),"")</f>
        <v/>
      </c>
      <c r="G24" s="44"/>
      <c r="H24" s="44"/>
      <c r="I24" s="44"/>
      <c r="J24" s="44"/>
      <c r="K24" s="46"/>
      <c r="M24" s="42"/>
    </row>
    <row r="25" spans="1:13" x14ac:dyDescent="0.25">
      <c r="A25" s="43"/>
      <c r="B25" s="44" t="str">
        <f t="array" ref="B25">INDEX(СМУ!D$1:D$304,SMALL(IF(СМУ!B$3:B$304&amp;СМУ!A$3:A$304="в"&amp;$M$1,ROW(СМУ!B$3:B$304),98),ROW(A9)))&amp;""</f>
        <v/>
      </c>
      <c r="C25" s="44" t="str">
        <f>IFERROR(INDEX(СМУ!D$10:H$304,MATCH(B25,СМУ!D$10:D$304,),2),"")</f>
        <v/>
      </c>
      <c r="D25" s="44" t="str">
        <f>IFERROR(INDEX(СМУ!D$10:H$304,MATCH(B25,СМУ!D$10:D$304,),3),"")</f>
        <v/>
      </c>
      <c r="E25" s="44" t="str">
        <f>IFERROR(INDEX(СМУ!D$10:H$304,MATCH(B25,СМУ!D$10:D$304,),4),"")</f>
        <v/>
      </c>
      <c r="F25" s="45" t="str">
        <f>IFERROR(INDEX(СМУ!D$10:H$304,MATCH(B25,СМУ!D$10:D$304,),5),"")</f>
        <v/>
      </c>
      <c r="G25" s="44"/>
      <c r="H25" s="44"/>
      <c r="I25" s="44"/>
      <c r="J25" s="44"/>
      <c r="K25" s="46"/>
      <c r="M25" s="42"/>
    </row>
    <row r="26" spans="1:13" x14ac:dyDescent="0.25">
      <c r="A26" s="40" t="s">
        <v>134</v>
      </c>
      <c r="B26" s="40" t="s">
        <v>230</v>
      </c>
      <c r="C26" s="41">
        <f>SUBTOTAL(9,F30:F69)</f>
        <v>33</v>
      </c>
      <c r="D26" t="s">
        <v>229</v>
      </c>
      <c r="M26" s="42"/>
    </row>
    <row r="27" spans="1:13" x14ac:dyDescent="0.25">
      <c r="A27" s="40"/>
      <c r="B27" s="40" t="str">
        <f>"а) ТУ на участке, всего  "&amp; SUBTOTAL(9,F30:F39)&amp;"  единиц, в том числе:"</f>
        <v>а) ТУ на участке, всего  12  единиц, в том числе:</v>
      </c>
      <c r="C27" s="40"/>
      <c r="D27" s="40"/>
      <c r="F27" s="40"/>
      <c r="M27" s="42"/>
    </row>
    <row r="28" spans="1:13" x14ac:dyDescent="0.25">
      <c r="B28" s="40" t="str">
        <f>"- подъемные сооружения  "&amp;SUBTOTAL(9,F30:F33)&amp;"  единиц;"</f>
        <v>- подъемные сооружения  6  единиц;</v>
      </c>
      <c r="C28" s="40"/>
      <c r="D28" s="40"/>
      <c r="L28" s="62"/>
      <c r="M28" s="42"/>
    </row>
    <row r="29" spans="1:13" x14ac:dyDescent="0.25">
      <c r="B29" s="73" t="s">
        <v>212</v>
      </c>
      <c r="C29" s="73"/>
      <c r="D29" s="73"/>
      <c r="E29" s="73"/>
      <c r="F29" s="73" t="s">
        <v>135</v>
      </c>
      <c r="G29" s="73"/>
      <c r="H29" s="73"/>
      <c r="I29" s="73"/>
      <c r="J29" s="73"/>
      <c r="K29" s="73"/>
      <c r="L29" s="73"/>
    </row>
    <row r="30" spans="1:13" x14ac:dyDescent="0.25">
      <c r="B30" s="91" t="str">
        <f t="array" ref="B30">IFERROR(INDEX(ТУ!$B$2:$B$7256,SMALL(IF((ТУ!$D$4:$D$7256&lt;&gt;"")*(ТУ!$A$4:$A$7256=$M$1),ROW(ТУ!$D$4:$D$7256)-1),ROW(A1))),"")</f>
        <v>СУ1</v>
      </c>
      <c r="C30" s="92" t="str">
        <f>IF(B30=0,"",INDEX($C$7:$C$25,MATCH(B30,$B$7:$B$25,)))</f>
        <v>поселок</v>
      </c>
      <c r="D30" s="93" t="str">
        <f>IFERROR(INDEX(ТУ!D$4:H$269,MATCH(B30,ТУ!B$4:B$269,),1),"")</f>
        <v>0002  База</v>
      </c>
      <c r="E30" s="94"/>
      <c r="F30" s="95">
        <f>IFERROR(INDEX(ТУ!D$4:H$269,MATCH(B30,ТУ!B$4:B$269,),5),"")</f>
        <v>4</v>
      </c>
      <c r="G30" s="96" t="s">
        <v>136</v>
      </c>
      <c r="H30" s="97" t="str">
        <f>IFERROR(INDEX(ТУ!D$4:H$269,MATCH(B30,ТУ!B$4:B$269,),4),"")&amp;" "&amp;IFERROR(INDEX(ТУ!D$4:H$269,MATCH(B30,ТУ!B$4:B$269,),2),"")</f>
        <v>автокран КС-35714-1</v>
      </c>
      <c r="I30" s="97"/>
      <c r="J30" s="97"/>
      <c r="K30" s="97"/>
      <c r="L30" s="98"/>
      <c r="M30" s="79" t="s">
        <v>233</v>
      </c>
    </row>
    <row r="31" spans="1:13" x14ac:dyDescent="0.25">
      <c r="B31" s="56" t="str">
        <f t="array" ref="B31">IFERROR(INDEX(ТУ!$B$2:$B$7256,SMALL(IF((ТУ!$D$4:$D$7256&lt;&gt;"")*(ТУ!$A$4:$A$7256=$M$1),ROW(ТУ!$D$4:$D$7256)-1),ROW(A2))),"")</f>
        <v>СМУ3</v>
      </c>
      <c r="C31" s="55" t="str">
        <f>IF(B31=0,"",INDEX($C$7:$C$25,MATCH(B31,$B$7:$B$25,)))</f>
        <v>санаторий</v>
      </c>
      <c r="D31" s="76" t="str">
        <f>IFERROR(INDEX(ТУ!D$4:H$269,MATCH(B31,ТУ!B$4:B$269,),1),"")</f>
        <v>0003  Санаторий</v>
      </c>
      <c r="E31" s="77"/>
      <c r="F31" s="59">
        <f>IFERROR(INDEX(ТУ!D$4:H$269,MATCH(B31,ТУ!B$4:B$269,),5),"")</f>
        <v>2</v>
      </c>
      <c r="G31" s="96" t="s">
        <v>136</v>
      </c>
      <c r="H31" s="74" t="str">
        <f>IFERROR(INDEX(ТУ!D$4:H$269,MATCH(B31,ТУ!B$4:B$269,),4),"")&amp;" "&amp;IFERROR(INDEX(ТУ!D$4:H$269,MATCH(B31,ТУ!B$4:B$269,),2),"")</f>
        <v>котёл HW 0601</v>
      </c>
      <c r="I31" s="74"/>
      <c r="J31" s="74"/>
      <c r="K31" s="74"/>
      <c r="L31" s="75"/>
      <c r="M31" s="79" t="s">
        <v>249</v>
      </c>
    </row>
    <row r="32" spans="1:13" x14ac:dyDescent="0.25">
      <c r="B32" s="56" t="str">
        <f t="array" ref="B32">IFERROR(INDEX(ТУ!$B$2:$B$7256,SMALL(IF((ТУ!$D$4:$D$7256&lt;&gt;"")*(ТУ!$A$4:$A$7256=$M$1),ROW(ТУ!$D$4:$D$7256)-1),ROW(A3))),"")</f>
        <v/>
      </c>
      <c r="C32" s="55" t="str">
        <f>IF(B32=0,"",INDEX($C$7:$C$25,MATCH(B32,$B$7:$B$25,)))</f>
        <v/>
      </c>
      <c r="D32" s="76" t="str">
        <f>IFERROR(INDEX(ТУ!D$4:H$269,MATCH(B32,ТУ!B$4:B$269,),1),"")</f>
        <v/>
      </c>
      <c r="E32" s="77"/>
      <c r="F32" s="59" t="str">
        <f>IFERROR(INDEX(ТУ!D$4:H$269,MATCH(B32,ТУ!B$4:B$269,),5),"")</f>
        <v/>
      </c>
      <c r="G32" s="96" t="s">
        <v>136</v>
      </c>
      <c r="H32" s="74" t="str">
        <f>IFERROR(INDEX(ТУ!D$4:H$269,MATCH(B32,ТУ!B$4:B$269,),4),"")&amp;" "&amp;IFERROR(INDEX(ТУ!D$4:H$269,MATCH(B32,ТУ!B$4:B$269,),2),"")</f>
        <v xml:space="preserve"> </v>
      </c>
      <c r="I32" s="74"/>
      <c r="J32" s="74"/>
      <c r="K32" s="74"/>
      <c r="L32" s="75"/>
      <c r="M32" s="79" t="s">
        <v>235</v>
      </c>
    </row>
    <row r="33" spans="1:13" x14ac:dyDescent="0.25">
      <c r="B33" s="56" t="str">
        <f t="array" ref="B33">IFERROR(INDEX(ТУ!$B$2:$B$7256,SMALL(IF((ТУ!$D$4:$D$7256&lt;&gt;"")*(ТУ!$A$4:$A$7256=$M$1),ROW(ТУ!$D$4:$D$7256)-1),ROW(A4))),"")</f>
        <v/>
      </c>
      <c r="C33" s="55" t="str">
        <f>IF(B33=0,"",INDEX($C$7:$C$25,MATCH(B33,$B$7:$B$25,)))</f>
        <v/>
      </c>
      <c r="D33" s="76" t="str">
        <f>IFERROR(INDEX(ТУ!D$4:H$269,MATCH(B33,ТУ!B$4:B$269,),1),"")</f>
        <v/>
      </c>
      <c r="E33" s="77"/>
      <c r="F33" s="59" t="str">
        <f>IFERROR(INDEX(ТУ!D$4:H$269,MATCH(B33,ТУ!B$4:B$269,),5),"")</f>
        <v/>
      </c>
      <c r="G33" s="96" t="s">
        <v>136</v>
      </c>
      <c r="H33" s="74" t="str">
        <f>IFERROR(INDEX(ТУ!D$4:H$269,MATCH(B33,ТУ!B$4:B$269,),4),"")&amp;" "&amp;IFERROR(INDEX(ТУ!D$4:H$269,MATCH(B33,ТУ!B$4:B$269,),2),"")</f>
        <v xml:space="preserve"> </v>
      </c>
      <c r="I33" s="74"/>
      <c r="J33" s="74"/>
      <c r="K33" s="74"/>
      <c r="L33" s="75"/>
      <c r="M33" s="79" t="s">
        <v>235</v>
      </c>
    </row>
    <row r="34" spans="1:13" x14ac:dyDescent="0.25">
      <c r="B34" s="40" t="str">
        <f>"- оборудование, работающее под давлением  "&amp;SUBTOTAL(9,F36:F39)&amp;"  единиц;"</f>
        <v>- оборудование, работающее под давлением  6  единиц;</v>
      </c>
      <c r="C34" s="40"/>
      <c r="D34" s="40"/>
      <c r="F34" s="59"/>
      <c r="L34" s="62"/>
      <c r="M34" s="42"/>
    </row>
    <row r="35" spans="1:13" x14ac:dyDescent="0.25">
      <c r="B35" s="73" t="s">
        <v>212</v>
      </c>
      <c r="C35" s="73"/>
      <c r="D35" s="73"/>
      <c r="E35" s="73"/>
      <c r="F35" s="73" t="s">
        <v>135</v>
      </c>
      <c r="G35" s="73"/>
      <c r="H35" s="73"/>
      <c r="I35" s="73"/>
      <c r="J35" s="73"/>
      <c r="K35" s="73"/>
      <c r="L35" s="70"/>
      <c r="M35" s="42"/>
    </row>
    <row r="36" spans="1:13" x14ac:dyDescent="0.25">
      <c r="B36" s="56" t="str">
        <f t="array" ref="B36">IFERROR(INDEX(ТУ!$B$2:$B$7256,SMALL(IF((ТУ!$D$2:$D$7256&lt;&gt;"")*(ТУ!$A$2:$A$7256=$M$1),ROW(ТУ!$D$2:$D$7256)-1),ROW(A1))),"")</f>
        <v>СУ1</v>
      </c>
      <c r="C36" s="55" t="str">
        <f>IF(B36=0,"",INDEX($C$7:$C$25,MATCH(B36,$B$7:$B$25,)))</f>
        <v>поселок</v>
      </c>
      <c r="D36" s="76" t="str">
        <f>IFERROR(INDEX(ТУ!D$4:H$269,MATCH(B36,ТУ!B$4:B$269,),1),"")</f>
        <v>0002  База</v>
      </c>
      <c r="E36" s="77"/>
      <c r="F36" s="59">
        <f>IFERROR(INDEX(ТУ!D$4:H$269,MATCH(B36,ТУ!B$4:B$269,),5),"")</f>
        <v>4</v>
      </c>
      <c r="G36" s="96" t="s">
        <v>136</v>
      </c>
      <c r="H36" s="74" t="str">
        <f>IFERROR(INDEX(ТУ!D$4:H$269,MATCH(B36,ТУ!B$4:B$269,),4),"")&amp;" "&amp;IFERROR(INDEX(ТУ!D$4:H$269,MATCH(B36,ТУ!B$4:B$269,),2),"")</f>
        <v>автокран КС-35714-1</v>
      </c>
      <c r="I36" s="74"/>
      <c r="J36" s="74"/>
      <c r="K36" s="74"/>
      <c r="L36" s="75"/>
      <c r="M36" s="79" t="s">
        <v>236</v>
      </c>
    </row>
    <row r="37" spans="1:13" x14ac:dyDescent="0.25">
      <c r="B37" s="91" t="str">
        <f t="array" ref="B37">IFERROR(INDEX(ТУ!$B$2:$B$7256,SMALL(IF((ТУ!$D$2:$D$7256&lt;&gt;"")*(ТУ!$A$2:$A$7256=$M$1),ROW(ТУ!$D$2:$D$7256)-1),ROW(A2))),"")</f>
        <v>СМУ3</v>
      </c>
      <c r="C37" s="92" t="str">
        <f>IF(B37=0,"",INDEX($C$7:$C$25,MATCH(B37,$B$7:$B$25,)))</f>
        <v>санаторий</v>
      </c>
      <c r="D37" s="93" t="str">
        <f>IFERROR(INDEX(ТУ!D$4:H$269,MATCH(B37,ТУ!B$4:B$269,),1),"")</f>
        <v>0003  Санаторий</v>
      </c>
      <c r="E37" s="94"/>
      <c r="F37" s="95">
        <f>IFERROR(INDEX(ТУ!D$4:H$269,MATCH(B37,ТУ!B$4:B$269,),5),"")</f>
        <v>2</v>
      </c>
      <c r="G37" s="96" t="s">
        <v>136</v>
      </c>
      <c r="H37" s="97" t="str">
        <f>IFERROR(INDEX(ТУ!D$4:H$269,MATCH(B37,ТУ!B$4:B$269,),4),"")&amp;" "&amp;IFERROR(INDEX(ТУ!D$4:H$269,MATCH(B37,ТУ!B$4:B$269,),2),"")</f>
        <v>котёл HW 0601</v>
      </c>
      <c r="I37" s="97"/>
      <c r="J37" s="97"/>
      <c r="K37" s="97"/>
      <c r="L37" s="98"/>
      <c r="M37" s="79" t="s">
        <v>268</v>
      </c>
    </row>
    <row r="38" spans="1:13" x14ac:dyDescent="0.25">
      <c r="B38" s="56" t="str">
        <f t="array" ref="B38">IFERROR(INDEX(ТУ!$B$2:$B$7256,SMALL(IF((ТУ!$D$2:$D$7256&lt;&gt;"")*(ТУ!$A$2:$A$7256=$M$1),ROW(ТУ!$D$2:$D$7256)-1),ROW(A9))),"")</f>
        <v/>
      </c>
      <c r="C38" s="55" t="str">
        <f>IF(B38=0,"",INDEX($C$7:$C$25,MATCH(B38,$B$7:$B$25,)))</f>
        <v/>
      </c>
      <c r="D38" s="76" t="str">
        <f>IFERROR(INDEX(ТУ!D$4:H$269,MATCH(B38,ТУ!B$4:B$269,),1),"")</f>
        <v/>
      </c>
      <c r="E38" s="77"/>
      <c r="F38" s="59" t="str">
        <f>IFERROR(INDEX(ТУ!D$4:H$269,MATCH(B38,ТУ!B$4:B$269,),5),"")</f>
        <v/>
      </c>
      <c r="G38" s="96" t="s">
        <v>136</v>
      </c>
      <c r="H38" s="74" t="str">
        <f>IFERROR(INDEX(ТУ!D$4:H$269,MATCH(B38,ТУ!B$4:B$269,),4),"")&amp;" "&amp;IFERROR(INDEX(ТУ!D$4:H$269,MATCH(B38,ТУ!B$4:B$269,),2),"")</f>
        <v xml:space="preserve"> </v>
      </c>
      <c r="I38" s="74"/>
      <c r="J38" s="74"/>
      <c r="K38" s="74"/>
      <c r="L38" s="75"/>
      <c r="M38" s="79" t="s">
        <v>235</v>
      </c>
    </row>
    <row r="39" spans="1:13" x14ac:dyDescent="0.25">
      <c r="B39" s="56" t="str">
        <f t="array" ref="B39">IFERROR(INDEX(ТУ!$B$2:$B$7256,SMALL(IF((ТУ!$D$2:$D$7256&lt;&gt;"")*(ТУ!$A$2:$A$7256=$M$1),ROW(ТУ!$D$2:$D$7256)-1),ROW(A10))),"")</f>
        <v/>
      </c>
      <c r="C39" s="55" t="str">
        <f>IF(B39=0,"",INDEX($C$7:$C$25,MATCH(B39,$B$7:$B$25,)))</f>
        <v/>
      </c>
      <c r="D39" s="76" t="str">
        <f>IFERROR(INDEX(ТУ!D$4:H$269,MATCH(B39,ТУ!B$4:B$269,),1),"")</f>
        <v/>
      </c>
      <c r="E39" s="77"/>
      <c r="F39" s="59" t="str">
        <f>IFERROR(INDEX(ТУ!D$4:H$269,MATCH(B39,ТУ!B$4:B$269,),5),"")</f>
        <v/>
      </c>
      <c r="G39" s="96" t="s">
        <v>136</v>
      </c>
      <c r="H39" s="74" t="str">
        <f>IFERROR(INDEX(ТУ!D$4:H$269,MATCH(B39,ТУ!B$4:B$269,),4),"")&amp;" "&amp;IFERROR(INDEX(ТУ!D$4:H$269,MATCH(B39,ТУ!B$4:B$269,),2),"")</f>
        <v xml:space="preserve"> </v>
      </c>
      <c r="I39" s="74"/>
      <c r="J39" s="74"/>
      <c r="K39" s="74"/>
      <c r="L39" s="75"/>
      <c r="M39" s="79" t="s">
        <v>235</v>
      </c>
    </row>
    <row r="40" spans="1:13" x14ac:dyDescent="0.25">
      <c r="A40" s="40"/>
      <c r="B40" s="40" t="str">
        <f>"б) ТУ вне участка, всего "&amp;SUBTOTAL(9,F44:F69)&amp;"  единиц, в том числе:"</f>
        <v>б) ТУ вне участка, всего 21  единиц, в том числе:</v>
      </c>
      <c r="C40" s="40"/>
      <c r="D40" s="40"/>
      <c r="M40" s="42"/>
    </row>
    <row r="41" spans="1:13" x14ac:dyDescent="0.25">
      <c r="B41" s="40" t="str">
        <f>"регистрируемые  "&amp;SUBTOTAL(9,F44:F56)&amp;"  единиц, в том числе:"</f>
        <v>регистрируемые  18  единиц, в том числе:</v>
      </c>
      <c r="C41" s="40"/>
      <c r="D41" s="40"/>
      <c r="M41" s="42"/>
    </row>
    <row r="42" spans="1:13" x14ac:dyDescent="0.25">
      <c r="B42" s="40" t="str">
        <f>"- подъемные сооружения  "&amp;SUBTOTAL(9,F44:F50)&amp;"  единиц;"</f>
        <v>- подъемные сооружения  13  единиц;</v>
      </c>
      <c r="C42" s="40"/>
      <c r="D42" s="40"/>
      <c r="L42" s="62"/>
    </row>
    <row r="43" spans="1:13" x14ac:dyDescent="0.25">
      <c r="B43" s="58" t="s">
        <v>197</v>
      </c>
      <c r="C43" s="60" t="s">
        <v>196</v>
      </c>
      <c r="D43" s="70" t="s">
        <v>14</v>
      </c>
      <c r="E43" s="71"/>
      <c r="F43" s="71"/>
      <c r="G43" s="71"/>
      <c r="H43" s="71"/>
      <c r="I43" s="71"/>
      <c r="J43" s="71"/>
      <c r="K43" s="71"/>
      <c r="L43" s="72"/>
    </row>
    <row r="44" spans="1:13" x14ac:dyDescent="0.25">
      <c r="B44" s="91" t="str">
        <f t="array" ref="B44">IFERROR(INDEX(ТУ!$B$2:$B$7256,SMALL(IF((ТУ!$D$2:$D$7256="")*(ТУ!$A$2:$A$7256=$M$1),ROW(ТУ!$D$2:$D$7256)-1),ROW(A1))),"")</f>
        <v>СУ2</v>
      </c>
      <c r="C44" s="92" t="str">
        <f t="shared" ref="C44:C50" si="0">IF(B44=0,"",INDEX($C$7:$C$25,MATCH(B44,$B$7:$B$25,)))</f>
        <v>стройка</v>
      </c>
      <c r="D44" s="93" t="str">
        <f>IFERROR(INDEX(ТУ!D$4:H$269,MATCH(B44,ТУ!B$4:B$269,),4),"")&amp;" "&amp;IFERROR(INDEX(ТУ!D$4:H$269,MATCH(B44,ТУ!B$4:B$269,),2),"")</f>
        <v>автокран КС-35715-2</v>
      </c>
      <c r="E44" s="94"/>
      <c r="F44" s="95">
        <f>IFERROR(INDEX(ТУ!D$4:H$269,MATCH(B44,ТУ!B$4:B$269,),5),"")</f>
        <v>2</v>
      </c>
      <c r="G44" s="96" t="s">
        <v>136</v>
      </c>
      <c r="H44" s="97"/>
      <c r="I44" s="97"/>
      <c r="J44" s="97"/>
      <c r="K44" s="97"/>
      <c r="L44" s="98"/>
      <c r="M44" s="79" t="s">
        <v>237</v>
      </c>
    </row>
    <row r="45" spans="1:13" x14ac:dyDescent="0.25">
      <c r="B45" s="56" t="str">
        <f t="array" ref="B45">IFERROR(INDEX(ТУ!$B$2:$B$7256,SMALL(IF((ТУ!$D$2:$D$7256="")*(ТУ!$A$2:$A$7256=$M$1),ROW(ТУ!$D$2:$D$7256)-1),ROW(A2))),"")</f>
        <v>СМУ3</v>
      </c>
      <c r="C45" s="55" t="str">
        <f t="shared" si="0"/>
        <v>санаторий</v>
      </c>
      <c r="D45" s="76" t="str">
        <f>IFERROR(INDEX(ТУ!D$4:H$269,MATCH(B45,ТУ!B$4:B$269,),4),"")&amp;" "&amp;IFERROR(INDEX(ТУ!D$4:H$269,MATCH(B45,ТУ!B$4:B$269,),2),"")</f>
        <v>котёл HW 0601</v>
      </c>
      <c r="E45" s="77"/>
      <c r="F45" s="59">
        <f>IFERROR(INDEX(ТУ!D$4:H$269,MATCH(B45,ТУ!B$4:B$269,),5),"")</f>
        <v>2</v>
      </c>
      <c r="G45" s="96" t="s">
        <v>136</v>
      </c>
      <c r="H45" s="74"/>
      <c r="I45" s="74"/>
      <c r="J45" s="74"/>
      <c r="K45" s="74"/>
      <c r="L45" s="75"/>
      <c r="M45" s="79" t="s">
        <v>235</v>
      </c>
    </row>
    <row r="46" spans="1:13" x14ac:dyDescent="0.25">
      <c r="B46" s="56" t="str">
        <f t="array" ref="B46">IFERROR(INDEX(ТУ!$B$2:$B$7256,SMALL(IF((ТУ!$D$2:$D$7256="")*(ТУ!$A$2:$A$7256=$M$1),ROW(ТУ!$D$2:$D$7256)-1),ROW(A3))),"")</f>
        <v>СМУ-10</v>
      </c>
      <c r="C46" s="55" t="str">
        <f t="shared" si="0"/>
        <v>стройка</v>
      </c>
      <c r="D46" s="76" t="str">
        <f>IFERROR(INDEX(ТУ!D$4:H$269,MATCH(B46,ТУ!B$4:B$269,),4),"")&amp;" "&amp;IFERROR(INDEX(ТУ!D$4:H$269,MATCH(B46,ТУ!B$4:B$269,),2),"")</f>
        <v>баллон Баллон SF</v>
      </c>
      <c r="E46" s="77"/>
      <c r="F46" s="59">
        <f>IFERROR(INDEX(ТУ!D$4:H$269,MATCH(B46,ТУ!B$4:B$269,),5),"")</f>
        <v>3</v>
      </c>
      <c r="G46" s="96" t="s">
        <v>136</v>
      </c>
      <c r="H46" s="74"/>
      <c r="I46" s="74"/>
      <c r="J46" s="74"/>
      <c r="K46" s="74"/>
      <c r="L46" s="75"/>
      <c r="M46" s="79" t="s">
        <v>235</v>
      </c>
    </row>
    <row r="47" spans="1:13" x14ac:dyDescent="0.25">
      <c r="B47" s="56" t="str">
        <f t="array" ref="B47">IFERROR(INDEX(ТУ!$B$2:$B$7256,SMALL(IF((ТУ!$D$2:$D$7256="")*(ТУ!$A$2:$A$7256=$M$1),ROW(ТУ!$D$2:$D$7256)-1),ROW(A4))),"")</f>
        <v>СМУ-10</v>
      </c>
      <c r="C47" s="55" t="str">
        <f t="shared" si="0"/>
        <v>стройка</v>
      </c>
      <c r="D47" s="76" t="str">
        <f>IFERROR(INDEX(ТУ!D$4:H$269,MATCH(B47,ТУ!B$4:B$269,),4),"")&amp;" "&amp;IFERROR(INDEX(ТУ!D$4:H$269,MATCH(B47,ТУ!B$4:B$269,),2),"")</f>
        <v>баллон Баллон SF</v>
      </c>
      <c r="E47" s="77"/>
      <c r="F47" s="59">
        <f>IFERROR(INDEX(ТУ!D$4:H$269,MATCH(B47,ТУ!B$4:B$269,),5),"")</f>
        <v>3</v>
      </c>
      <c r="G47" s="96" t="s">
        <v>136</v>
      </c>
      <c r="H47" s="74"/>
      <c r="I47" s="74"/>
      <c r="J47" s="74"/>
      <c r="K47" s="74"/>
      <c r="L47" s="75"/>
      <c r="M47" s="79" t="s">
        <v>235</v>
      </c>
    </row>
    <row r="48" spans="1:13" x14ac:dyDescent="0.25">
      <c r="B48" s="56" t="str">
        <f t="array" ref="B48">IFERROR(INDEX(ТУ!$B$2:$B$7256,SMALL(IF((ТУ!$D$2:$D$7256="")*(ТУ!$A$2:$A$7256=$M$1),ROW(ТУ!$D$2:$D$7256)-1),ROW(A5))),"")</f>
        <v>СМУ-10</v>
      </c>
      <c r="C48" s="55" t="str">
        <f t="shared" si="0"/>
        <v>стройка</v>
      </c>
      <c r="D48" s="76" t="str">
        <f>IFERROR(INDEX(ТУ!D$4:H$269,MATCH(B48,ТУ!B$4:B$269,),4),"")&amp;" "&amp;IFERROR(INDEX(ТУ!D$4:H$269,MATCH(B48,ТУ!B$4:B$269,),2),"")</f>
        <v>баллон Баллон SF</v>
      </c>
      <c r="E48" s="77"/>
      <c r="F48" s="59">
        <f>IFERROR(INDEX(ТУ!D$4:H$269,MATCH(B48,ТУ!B$4:B$269,),5),"")</f>
        <v>3</v>
      </c>
      <c r="G48" s="96" t="s">
        <v>136</v>
      </c>
      <c r="H48" s="74"/>
      <c r="I48" s="74"/>
      <c r="J48" s="74"/>
      <c r="K48" s="74"/>
      <c r="L48" s="75"/>
      <c r="M48" s="79" t="s">
        <v>235</v>
      </c>
    </row>
    <row r="49" spans="1:13" s="46" customFormat="1" x14ac:dyDescent="0.25">
      <c r="A49"/>
      <c r="B49" s="56" t="str">
        <f t="array" ref="B49">IFERROR(INDEX(ТУ!$B$2:$B$7256,SMALL(IF((ТУ!$D$2:$D$7256="")*(ТУ!$A$2:$A$7256=$M$1),ROW(ТУ!$D$2:$D$7256)-1),ROW(A6))),"")</f>
        <v/>
      </c>
      <c r="C49" s="55" t="str">
        <f t="shared" si="0"/>
        <v/>
      </c>
      <c r="D49" s="76" t="str">
        <f>IFERROR(INDEX(ТУ!D$4:H$269,MATCH(B49,ТУ!B$4:B$269,),4),"")&amp;" "&amp;IFERROR(INDEX(ТУ!D$4:H$269,MATCH(B49,ТУ!B$4:B$269,),2),"")</f>
        <v xml:space="preserve"> </v>
      </c>
      <c r="E49" s="77"/>
      <c r="F49" s="59" t="str">
        <f>IFERROR(INDEX(ТУ!D$4:H$269,MATCH(B49,ТУ!B$4:B$269,),5),"")</f>
        <v/>
      </c>
      <c r="G49" s="96" t="s">
        <v>136</v>
      </c>
      <c r="H49" s="74"/>
      <c r="I49" s="74"/>
      <c r="J49" s="74"/>
      <c r="K49" s="74"/>
      <c r="L49" s="75"/>
      <c r="M49" s="52"/>
    </row>
    <row r="50" spans="1:13" s="46" customFormat="1" x14ac:dyDescent="0.25">
      <c r="B50" s="56" t="str">
        <f t="array" ref="B50">IFERROR(INDEX(ТУ!$B$2:$B$7256,SMALL(IF((ТУ!$D$2:$D$7256="")*(ТУ!$A$2:$A$7256=$M$1),ROW(ТУ!$D$2:$D$7256)-1),ROW(A7))),"")</f>
        <v/>
      </c>
      <c r="C50" s="55" t="str">
        <f t="shared" si="0"/>
        <v/>
      </c>
      <c r="D50" s="76" t="str">
        <f>IFERROR(INDEX(ТУ!D$4:H$269,MATCH(B50,ТУ!B$4:B$269,),4),"")&amp;" "&amp;IFERROR(INDEX(ТУ!D$4:H$269,MATCH(B50,ТУ!B$4:B$269,),2),"")</f>
        <v xml:space="preserve"> </v>
      </c>
      <c r="E50" s="77"/>
      <c r="F50" s="59" t="str">
        <f>IFERROR(INDEX(ТУ!D$4:H$269,MATCH(B50,ТУ!B$4:B$269,),5),"")</f>
        <v/>
      </c>
      <c r="G50" s="96" t="s">
        <v>136</v>
      </c>
      <c r="H50" s="74"/>
      <c r="I50" s="74"/>
      <c r="J50" s="74"/>
      <c r="K50" s="74"/>
      <c r="L50" s="75"/>
      <c r="M50" s="52"/>
    </row>
    <row r="51" spans="1:13" s="46" customFormat="1" x14ac:dyDescent="0.25">
      <c r="A51"/>
      <c r="B51" s="40" t="str">
        <f>"- оборудование, работающее под давлением  "&amp;SUBTOTAL(9,F53:F56)&amp;"  единиц;"</f>
        <v>- оборудование, работающее под давлением  5  единиц;</v>
      </c>
      <c r="C51" s="40"/>
      <c r="D51" s="40"/>
      <c r="E51"/>
      <c r="F51"/>
      <c r="G51"/>
      <c r="H51"/>
      <c r="I51"/>
      <c r="J51"/>
      <c r="K51"/>
      <c r="L51"/>
      <c r="M51"/>
    </row>
    <row r="52" spans="1:13" x14ac:dyDescent="0.25">
      <c r="B52" s="61" t="s">
        <v>197</v>
      </c>
      <c r="C52" s="60" t="s">
        <v>196</v>
      </c>
      <c r="D52" s="70" t="s">
        <v>14</v>
      </c>
      <c r="E52" s="71"/>
      <c r="F52" s="71"/>
      <c r="G52" s="71"/>
      <c r="H52" s="71"/>
      <c r="I52" s="71"/>
      <c r="J52" s="71"/>
      <c r="K52" s="71"/>
      <c r="L52" s="72"/>
    </row>
    <row r="53" spans="1:13" s="46" customFormat="1" x14ac:dyDescent="0.25">
      <c r="B53" s="80" t="s">
        <v>154</v>
      </c>
      <c r="C53" s="92" t="str">
        <f>IF(B53=0,"",INDEX($C$7:$C$25,MATCH(B53,$B$7:$B$25,)))</f>
        <v>санаторий</v>
      </c>
      <c r="D53" s="82" t="s">
        <v>234</v>
      </c>
      <c r="E53" s="83"/>
      <c r="F53" s="84">
        <v>2</v>
      </c>
      <c r="G53" s="96" t="s">
        <v>136</v>
      </c>
      <c r="H53" s="97"/>
      <c r="I53" s="97"/>
      <c r="J53" s="97"/>
      <c r="K53" s="97"/>
      <c r="L53" s="98"/>
      <c r="M53" s="79" t="s">
        <v>238</v>
      </c>
    </row>
    <row r="54" spans="1:13" s="46" customFormat="1" x14ac:dyDescent="0.25">
      <c r="B54" s="80" t="s">
        <v>231</v>
      </c>
      <c r="C54" s="92" t="str">
        <f>IF(B54=0,"",INDEX($C$7:$C$25,MATCH(B54,$B$7:$B$25,)))</f>
        <v>стройка</v>
      </c>
      <c r="D54" s="82" t="str">
        <f>IFERROR(INDEX(ТУ!D$4:H$269,MATCH(B54,ТУ!B$4:B$269,),4),"")&amp;" "&amp;IFERROR(INDEX(ТУ!D$4:H$269,MATCH(B54,ТУ!B$4:B$269,),2),"")</f>
        <v>баллон Баллон SF</v>
      </c>
      <c r="E54" s="83"/>
      <c r="F54" s="84">
        <v>3</v>
      </c>
      <c r="G54" s="96" t="s">
        <v>136</v>
      </c>
      <c r="H54" s="97"/>
      <c r="I54" s="97"/>
      <c r="J54" s="97"/>
      <c r="K54" s="97"/>
      <c r="L54" s="98"/>
      <c r="M54" s="52" t="s">
        <v>269</v>
      </c>
    </row>
    <row r="55" spans="1:13" s="46" customFormat="1" x14ac:dyDescent="0.25">
      <c r="B55" s="80"/>
      <c r="C55" s="81"/>
      <c r="D55" s="82"/>
      <c r="E55" s="83"/>
      <c r="F55" s="84"/>
      <c r="G55" s="96" t="s">
        <v>136</v>
      </c>
      <c r="H55" s="97"/>
      <c r="I55" s="97"/>
      <c r="J55" s="97"/>
      <c r="K55" s="97"/>
      <c r="L55" s="98"/>
      <c r="M55" s="52"/>
    </row>
    <row r="56" spans="1:13" s="46" customFormat="1" x14ac:dyDescent="0.25">
      <c r="B56" s="80"/>
      <c r="C56" s="81"/>
      <c r="D56" s="82"/>
      <c r="E56" s="83"/>
      <c r="F56" s="84"/>
      <c r="G56" s="96" t="s">
        <v>136</v>
      </c>
      <c r="H56" s="97"/>
      <c r="I56" s="97"/>
      <c r="J56" s="97"/>
      <c r="K56" s="97"/>
      <c r="L56" s="98"/>
      <c r="M56" s="52"/>
    </row>
    <row r="57" spans="1:13" s="46" customFormat="1" x14ac:dyDescent="0.25">
      <c r="A57"/>
      <c r="B57" s="40" t="str">
        <f>"учитываемые ТУ, всего  "&amp;SUBTOTAL(9,F60:F69)&amp;"  единиц, в том числе:"</f>
        <v>учитываемые ТУ, всего  3  единиц, в том числе:</v>
      </c>
      <c r="C57" s="40"/>
      <c r="D57" s="40"/>
      <c r="E57"/>
      <c r="F57"/>
      <c r="G57"/>
      <c r="H57"/>
      <c r="I57"/>
      <c r="J57"/>
      <c r="K57"/>
      <c r="L57"/>
      <c r="M57"/>
    </row>
    <row r="58" spans="1:13" x14ac:dyDescent="0.25">
      <c r="B58" s="40" t="str">
        <f>"- подъемные сооружения  "&amp;SUBTOTAL(9,F60:F63)&amp;"  единиц;"</f>
        <v>- подъемные сооружения  2  единиц;</v>
      </c>
      <c r="C58" s="40"/>
      <c r="D58" s="40"/>
    </row>
    <row r="59" spans="1:13" x14ac:dyDescent="0.25">
      <c r="B59" s="61" t="s">
        <v>197</v>
      </c>
      <c r="C59" s="60" t="s">
        <v>196</v>
      </c>
      <c r="D59" s="70" t="s">
        <v>14</v>
      </c>
      <c r="E59" s="71"/>
      <c r="F59" s="71"/>
      <c r="G59" s="71"/>
      <c r="H59" s="71"/>
      <c r="I59" s="71"/>
      <c r="J59" s="71"/>
      <c r="K59" s="71"/>
      <c r="L59" s="72"/>
    </row>
    <row r="60" spans="1:13" x14ac:dyDescent="0.25">
      <c r="A60" s="46"/>
      <c r="B60" s="80" t="s">
        <v>231</v>
      </c>
      <c r="C60" s="92" t="str">
        <f>IF(B60=0,"",INDEX($C$7:$C$25,MATCH(B60,$B$7:$B$25,)))</f>
        <v>стройка</v>
      </c>
      <c r="D60" s="85" t="s">
        <v>241</v>
      </c>
      <c r="E60" s="86"/>
      <c r="F60" s="84">
        <v>2</v>
      </c>
      <c r="G60" s="96" t="s">
        <v>136</v>
      </c>
      <c r="H60" s="97"/>
      <c r="I60" s="97"/>
      <c r="J60" s="97"/>
      <c r="K60" s="97"/>
      <c r="L60" s="98"/>
      <c r="M60" s="79" t="s">
        <v>240</v>
      </c>
    </row>
    <row r="61" spans="1:13" s="46" customFormat="1" x14ac:dyDescent="0.25">
      <c r="B61" s="47"/>
      <c r="C61" s="55" t="str">
        <f>IF(B61=0,"",INDEX($C$7:$C$25,MATCH(B61,$B$7:$B$25,)))</f>
        <v/>
      </c>
      <c r="D61" s="66"/>
      <c r="E61" s="67"/>
      <c r="F61" s="48"/>
      <c r="G61" s="96" t="s">
        <v>136</v>
      </c>
      <c r="H61" s="97"/>
      <c r="I61" s="97"/>
      <c r="J61" s="97"/>
      <c r="K61" s="97"/>
      <c r="L61" s="98"/>
      <c r="M61" s="52"/>
    </row>
    <row r="62" spans="1:13" s="46" customFormat="1" x14ac:dyDescent="0.25">
      <c r="B62" s="47"/>
      <c r="C62" s="55" t="str">
        <f>IF(B62=0,"",INDEX($C$7:$C$25,MATCH(B62,$B$7:$B$25,)))</f>
        <v/>
      </c>
      <c r="D62" s="66"/>
      <c r="E62" s="67"/>
      <c r="F62" s="48"/>
      <c r="G62" s="96" t="s">
        <v>136</v>
      </c>
      <c r="H62" s="97"/>
      <c r="I62" s="97"/>
      <c r="J62" s="97"/>
      <c r="K62" s="97"/>
      <c r="L62" s="98"/>
      <c r="M62" s="52"/>
    </row>
    <row r="63" spans="1:13" x14ac:dyDescent="0.25">
      <c r="B63" s="47"/>
      <c r="C63" s="55" t="str">
        <f>IF(B63=0,"",INDEX($C$7:$C$25,MATCH(B63,$B$7:$B$25,)))</f>
        <v/>
      </c>
      <c r="D63" s="66"/>
      <c r="E63" s="67"/>
      <c r="F63" s="48"/>
      <c r="G63" s="96" t="s">
        <v>136</v>
      </c>
      <c r="H63" s="97"/>
      <c r="I63" s="97"/>
      <c r="J63" s="97"/>
      <c r="K63" s="97"/>
      <c r="L63" s="98"/>
      <c r="M63" s="52"/>
    </row>
    <row r="64" spans="1:13" x14ac:dyDescent="0.25">
      <c r="B64" s="40" t="str">
        <f>"- оборудование, работающее под давлением  "&amp;SUBTOTAL(9,F66:F69)&amp;"  единиц;"</f>
        <v>- оборудование, работающее под давлением  1  единиц;</v>
      </c>
      <c r="C64" s="40"/>
      <c r="D64" s="40"/>
    </row>
    <row r="65" spans="1:25" x14ac:dyDescent="0.25">
      <c r="B65" s="61" t="s">
        <v>197</v>
      </c>
      <c r="C65" s="60" t="s">
        <v>196</v>
      </c>
      <c r="D65" s="70" t="s">
        <v>14</v>
      </c>
      <c r="E65" s="71"/>
      <c r="F65" s="71"/>
      <c r="G65" s="71"/>
      <c r="H65" s="71"/>
      <c r="I65" s="71"/>
      <c r="J65" s="71"/>
      <c r="K65" s="71"/>
      <c r="L65" s="72"/>
    </row>
    <row r="66" spans="1:25" x14ac:dyDescent="0.25">
      <c r="A66" s="46"/>
      <c r="B66" s="87" t="s">
        <v>231</v>
      </c>
      <c r="C66" s="92" t="str">
        <f>IF(B66=0,"",INDEX($C$7:$C$25,MATCH(B66,$B$7:$B$25,)))</f>
        <v>стройка</v>
      </c>
      <c r="D66" s="85" t="s">
        <v>245</v>
      </c>
      <c r="E66" s="86"/>
      <c r="F66" s="88">
        <v>1</v>
      </c>
      <c r="G66" s="96" t="s">
        <v>136</v>
      </c>
      <c r="H66" s="97"/>
      <c r="I66" s="97"/>
      <c r="J66" s="97"/>
      <c r="K66" s="97"/>
      <c r="L66" s="98"/>
      <c r="M66" s="79" t="s">
        <v>242</v>
      </c>
    </row>
    <row r="67" spans="1:25" x14ac:dyDescent="0.25">
      <c r="A67" s="46"/>
      <c r="B67" s="87"/>
      <c r="C67" s="81" t="str">
        <f>IF(B67=0,"",INDEX($C$7:$C$25,MATCH(B67,$B$7:$B$25,)))</f>
        <v/>
      </c>
      <c r="D67" s="85"/>
      <c r="E67" s="86"/>
      <c r="F67" s="88"/>
      <c r="G67" s="96" t="s">
        <v>136</v>
      </c>
      <c r="H67" s="97"/>
      <c r="I67" s="97"/>
      <c r="J67" s="97"/>
      <c r="K67" s="97"/>
      <c r="L67" s="98"/>
      <c r="M67" s="52"/>
    </row>
    <row r="68" spans="1:25" x14ac:dyDescent="0.25">
      <c r="A68" s="46"/>
      <c r="B68" s="47"/>
      <c r="C68" s="55" t="str">
        <f>IF(B68=0,"",INDEX($C$7:$C$25,MATCH(B68,$B$7:$B$25,)))</f>
        <v/>
      </c>
      <c r="D68" s="66"/>
      <c r="E68" s="67"/>
      <c r="F68" s="48"/>
      <c r="G68" s="96" t="s">
        <v>136</v>
      </c>
      <c r="H68" s="97"/>
      <c r="I68" s="97"/>
      <c r="J68" s="97"/>
      <c r="K68" s="97"/>
      <c r="L68" s="98"/>
      <c r="M68" s="52"/>
    </row>
    <row r="69" spans="1:25" x14ac:dyDescent="0.25">
      <c r="A69" s="46"/>
      <c r="B69" s="47"/>
      <c r="C69" s="55" t="str">
        <f>IF(B69=0,"",INDEX($C$7:$C$25,MATCH(B69,$B$7:$B$25,)))</f>
        <v/>
      </c>
      <c r="D69" s="66"/>
      <c r="E69" s="67"/>
      <c r="F69" s="48"/>
      <c r="G69" s="96" t="s">
        <v>136</v>
      </c>
      <c r="H69" s="97"/>
      <c r="I69" s="97"/>
      <c r="J69" s="97"/>
      <c r="K69" s="97"/>
      <c r="L69" s="98"/>
      <c r="M69" s="52"/>
    </row>
    <row r="70" spans="1:25" x14ac:dyDescent="0.25">
      <c r="A70" s="40"/>
      <c r="B70" s="40"/>
      <c r="C70" s="40"/>
      <c r="D70" s="40"/>
    </row>
    <row r="71" spans="1:25" x14ac:dyDescent="0.25">
      <c r="A71" t="s">
        <v>137</v>
      </c>
      <c r="B71" s="40" t="s">
        <v>239</v>
      </c>
      <c r="D71" s="40"/>
      <c r="J71" s="110">
        <f>SUBTOTAL(9,F75:F105)</f>
        <v>10</v>
      </c>
      <c r="K71" t="s">
        <v>138</v>
      </c>
    </row>
    <row r="72" spans="1:25" x14ac:dyDescent="0.25">
      <c r="A72" s="40"/>
      <c r="B72" s="40" t="str">
        <f>"а) ТУ, применяемые на участке, всего  "&amp;SUBTOTAL(9,F75:F82)&amp;"  единиц, в том числе:"</f>
        <v>а) ТУ, применяемые на участке, всего  4  единиц, в том числе:</v>
      </c>
      <c r="C72" s="40"/>
      <c r="D72" s="40"/>
      <c r="F72" s="40"/>
    </row>
    <row r="73" spans="1:25" x14ac:dyDescent="0.25">
      <c r="B73" s="40" t="str">
        <f>"- подъемные сооружения  "&amp;SUBTOTAL(9,F75:F77)&amp;"  единиц;"</f>
        <v>- подъемные сооружения  3  единиц;</v>
      </c>
      <c r="C73" s="40"/>
      <c r="D73" s="40"/>
    </row>
    <row r="74" spans="1:25" x14ac:dyDescent="0.25">
      <c r="B74" s="73" t="s">
        <v>212</v>
      </c>
      <c r="C74" s="73"/>
      <c r="D74" s="73"/>
      <c r="E74" s="73"/>
      <c r="F74" s="73" t="s">
        <v>135</v>
      </c>
      <c r="G74" s="73"/>
      <c r="H74" s="73"/>
      <c r="I74" s="73"/>
      <c r="J74" s="73"/>
      <c r="K74" s="73"/>
      <c r="L74" s="73"/>
      <c r="M74" s="42"/>
    </row>
    <row r="75" spans="1:25" s="102" customFormat="1" ht="28.5" customHeight="1" x14ac:dyDescent="0.25">
      <c r="B75" s="107" t="str">
        <f t="array" ref="B75">IFERROR(INDEX(ТУ!$B$2:$B$7256,SMALL(IF((ТУ!$D$2:$D$7256&lt;&gt;"")*(ТУ!$A$2:$A$7256=$M$1),ROW(ТУ!$D$2:$D$7256)-1),ROW(A1))),"")</f>
        <v>СУ1</v>
      </c>
      <c r="C75" s="113" t="str">
        <f t="shared" ref="C75" si="1">IF(B75=0,"",INDEX($C$7:$C$25,MATCH(B75,$B$7:$B$25,)))</f>
        <v>поселок</v>
      </c>
      <c r="D75" s="114" t="str">
        <f>IFERROR(INDEX(ТУ!D$4:H$269,MATCH(B75,ТУ!B$4:B$269,),1),"")</f>
        <v>0002  База</v>
      </c>
      <c r="E75" s="98"/>
      <c r="F75" s="88">
        <v>3</v>
      </c>
      <c r="G75" s="96" t="s">
        <v>136</v>
      </c>
      <c r="H75" s="100" t="s">
        <v>257</v>
      </c>
      <c r="I75" s="100"/>
      <c r="J75" s="100"/>
      <c r="K75" s="100"/>
      <c r="L75" s="101"/>
      <c r="M75" s="103" t="s">
        <v>256</v>
      </c>
      <c r="N75" s="104"/>
      <c r="O75" s="104"/>
      <c r="P75" s="104"/>
      <c r="Q75" s="104"/>
      <c r="R75" s="104"/>
      <c r="S75" s="104"/>
      <c r="T75" s="104"/>
      <c r="U75" s="104"/>
      <c r="V75" s="104"/>
      <c r="W75" s="104"/>
      <c r="X75" s="104"/>
      <c r="Y75" s="104"/>
    </row>
    <row r="76" spans="1:25" x14ac:dyDescent="0.25">
      <c r="B76" s="50"/>
      <c r="C76" s="55" t="str">
        <f>IF(B76=0,"",INDEX($C$7:$C$25,MATCH(B76,$B$7:$B$25,)))</f>
        <v/>
      </c>
      <c r="D76" s="68"/>
      <c r="E76" s="69"/>
      <c r="F76" s="49"/>
      <c r="G76" s="96" t="s">
        <v>136</v>
      </c>
      <c r="H76" s="74"/>
      <c r="I76" s="74"/>
      <c r="J76" s="74"/>
      <c r="K76" s="74"/>
      <c r="L76" s="75"/>
      <c r="M76" s="105"/>
      <c r="N76" s="106"/>
      <c r="O76" s="106"/>
      <c r="P76" s="106"/>
      <c r="Q76" s="106"/>
      <c r="R76" s="106"/>
      <c r="S76" s="106"/>
      <c r="T76" s="106"/>
      <c r="U76" s="106"/>
      <c r="V76" s="106"/>
      <c r="W76" s="106"/>
      <c r="X76" s="106"/>
      <c r="Y76" s="106"/>
    </row>
    <row r="77" spans="1:25" x14ac:dyDescent="0.25">
      <c r="B77" s="50"/>
      <c r="C77" s="55" t="str">
        <f>IF(B77=0,"",INDEX($C$7:$C$25,MATCH(B77,$B$7:$B$25,)))</f>
        <v/>
      </c>
      <c r="D77" s="68"/>
      <c r="E77" s="69"/>
      <c r="F77" s="49"/>
      <c r="G77" s="96" t="s">
        <v>136</v>
      </c>
      <c r="H77" s="74"/>
      <c r="I77" s="74"/>
      <c r="J77" s="74"/>
      <c r="K77" s="74"/>
      <c r="L77" s="75"/>
      <c r="M77" s="105"/>
      <c r="N77" s="106"/>
      <c r="O77" s="106"/>
      <c r="P77" s="106"/>
      <c r="Q77" s="106"/>
      <c r="R77" s="106"/>
      <c r="S77" s="106"/>
      <c r="T77" s="106"/>
      <c r="U77" s="106"/>
      <c r="V77" s="106"/>
      <c r="W77" s="106"/>
      <c r="X77" s="106"/>
      <c r="Y77" s="106"/>
    </row>
    <row r="78" spans="1:25" x14ac:dyDescent="0.25">
      <c r="B78" s="40" t="str">
        <f>"- оборудование, работающее под давлением  "&amp;SUBTOTAL(9,F80:F82)&amp;"  единиц;"</f>
        <v>- оборудование, работающее под давлением  1  единиц;</v>
      </c>
      <c r="C78" s="40"/>
      <c r="D78" s="40"/>
    </row>
    <row r="79" spans="1:25" ht="15" customHeight="1" x14ac:dyDescent="0.25">
      <c r="B79" s="73" t="s">
        <v>212</v>
      </c>
      <c r="C79" s="73"/>
      <c r="D79" s="73"/>
      <c r="E79" s="73"/>
      <c r="F79" s="73" t="s">
        <v>135</v>
      </c>
      <c r="G79" s="73"/>
      <c r="H79" s="73"/>
      <c r="I79" s="73"/>
      <c r="J79" s="73"/>
      <c r="K79" s="73"/>
      <c r="L79" s="73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6"/>
    </row>
    <row r="80" spans="1:25" ht="30" customHeight="1" x14ac:dyDescent="0.25">
      <c r="B80" s="107" t="s">
        <v>154</v>
      </c>
      <c r="C80" s="113" t="str">
        <f t="shared" ref="C80" si="2">IF(B80=0,"",INDEX($C$7:$C$25,MATCH(B80,$B$7:$B$25,)))</f>
        <v>санаторий</v>
      </c>
      <c r="D80" s="114" t="str">
        <f>IFERROR(INDEX(ТУ!D$4:H$269,MATCH(B80,ТУ!B$4:B$269,),1),"")</f>
        <v>0003  Санаторий</v>
      </c>
      <c r="E80" s="98"/>
      <c r="F80" s="88">
        <v>1</v>
      </c>
      <c r="G80" s="96" t="s">
        <v>136</v>
      </c>
      <c r="H80" s="100" t="s">
        <v>258</v>
      </c>
      <c r="I80" s="100"/>
      <c r="J80" s="100"/>
      <c r="K80" s="100"/>
      <c r="L80" s="101"/>
      <c r="M80" s="103" t="s">
        <v>255</v>
      </c>
      <c r="N80" s="104"/>
      <c r="O80" s="104"/>
      <c r="P80" s="104"/>
      <c r="Q80" s="104"/>
      <c r="R80" s="104"/>
      <c r="S80" s="104"/>
      <c r="T80" s="104"/>
      <c r="U80" s="104"/>
      <c r="V80" s="104"/>
      <c r="W80" s="104"/>
      <c r="X80" s="104"/>
      <c r="Y80" s="104"/>
    </row>
    <row r="81" spans="1:25" x14ac:dyDescent="0.25">
      <c r="B81" s="47"/>
      <c r="C81" s="55" t="str">
        <f>IF(B81=0,"",INDEX($C$7:$C$25,MATCH(B81,$B$7:$B$25,)))</f>
        <v/>
      </c>
      <c r="D81" s="66"/>
      <c r="E81" s="67"/>
      <c r="F81" s="48"/>
      <c r="G81" s="96" t="s">
        <v>136</v>
      </c>
      <c r="H81" s="74"/>
      <c r="I81" s="74"/>
      <c r="J81" s="74"/>
      <c r="K81" s="74"/>
      <c r="L81" s="75"/>
      <c r="M81" s="52"/>
    </row>
    <row r="82" spans="1:25" x14ac:dyDescent="0.25">
      <c r="B82" s="47"/>
      <c r="C82" s="55" t="str">
        <f>IF(B82=0,"",INDEX($C$7:$C$25,MATCH(B82,$B$7:$B$25,)))</f>
        <v/>
      </c>
      <c r="D82" s="66"/>
      <c r="E82" s="67"/>
      <c r="F82" s="48"/>
      <c r="G82" s="96" t="s">
        <v>136</v>
      </c>
      <c r="H82" s="74"/>
      <c r="I82" s="74"/>
      <c r="J82" s="74"/>
      <c r="K82" s="74"/>
      <c r="L82" s="75"/>
      <c r="M82" s="52"/>
    </row>
    <row r="83" spans="1:25" x14ac:dyDescent="0.25">
      <c r="A83" s="40"/>
      <c r="B83" s="40" t="str">
        <f>"б) ТУ вне участка, всего "&amp;SUBTOTAL(9,F87:F105)&amp;"  единиц, в том числе:"</f>
        <v>б) ТУ вне участка, всего 6  единиц, в том числе:</v>
      </c>
      <c r="C83" s="40"/>
      <c r="D83" s="40"/>
    </row>
    <row r="84" spans="1:25" x14ac:dyDescent="0.25">
      <c r="B84" s="40" t="str">
        <f>"регистрируемые  "&amp;SUBTOTAL(9,F87:F94)&amp;"  единиц, в том числе:"</f>
        <v>регистрируемые  3  единиц, в том числе:</v>
      </c>
      <c r="C84" s="40"/>
      <c r="D84" s="40"/>
    </row>
    <row r="85" spans="1:25" x14ac:dyDescent="0.25">
      <c r="B85" s="40" t="str">
        <f>"- подъемные сооружения  "&amp;SUBTOTAL(9,F87:F89)&amp;"  единиц;"</f>
        <v>- подъемные сооружения  1  единиц;</v>
      </c>
      <c r="C85" s="40"/>
      <c r="D85" s="40"/>
    </row>
    <row r="86" spans="1:25" x14ac:dyDescent="0.25">
      <c r="B86" s="61" t="s">
        <v>197</v>
      </c>
      <c r="C86" s="60" t="s">
        <v>196</v>
      </c>
      <c r="D86" s="70" t="s">
        <v>14</v>
      </c>
      <c r="E86" s="71"/>
      <c r="F86" s="71"/>
      <c r="G86" s="71"/>
      <c r="H86" s="71"/>
      <c r="I86" s="71"/>
      <c r="J86" s="71"/>
      <c r="K86" s="71"/>
      <c r="L86" s="72"/>
    </row>
    <row r="87" spans="1:25" ht="15" customHeight="1" x14ac:dyDescent="0.25">
      <c r="B87" s="87" t="s">
        <v>153</v>
      </c>
      <c r="C87" s="92" t="s">
        <v>163</v>
      </c>
      <c r="D87" s="93" t="str">
        <f>IFERROR(INDEX(ТУ!D$4:H$269,MATCH(B87,ТУ!B$4:B$269,),4),"")&amp;" "&amp;IFERROR(INDEX(ТУ!D$4:H$269,MATCH(B87,ТУ!B$4:B$269,),2),"")</f>
        <v>автокран КС-35715-2</v>
      </c>
      <c r="E87" s="94"/>
      <c r="F87" s="88">
        <v>1</v>
      </c>
      <c r="G87" s="96" t="s">
        <v>136</v>
      </c>
      <c r="H87" s="100" t="s">
        <v>262</v>
      </c>
      <c r="I87" s="100"/>
      <c r="J87" s="100"/>
      <c r="K87" s="100"/>
      <c r="L87" s="101"/>
      <c r="M87" s="103" t="s">
        <v>265</v>
      </c>
      <c r="N87" s="104"/>
      <c r="O87" s="104"/>
      <c r="P87" s="104"/>
      <c r="Q87" s="104"/>
      <c r="R87" s="104"/>
      <c r="S87" s="104"/>
      <c r="T87" s="104"/>
      <c r="U87" s="104"/>
      <c r="V87" s="104"/>
      <c r="W87" s="104"/>
      <c r="X87" s="104"/>
      <c r="Y87" s="104"/>
    </row>
    <row r="88" spans="1:25" x14ac:dyDescent="0.25">
      <c r="B88" s="47"/>
      <c r="C88" s="55" t="str">
        <f>IF(B88=0,"",INDEX($C$7:$C$25,MATCH(B88,$B$7:$B$25,)))</f>
        <v/>
      </c>
      <c r="D88" s="66"/>
      <c r="E88" s="67"/>
      <c r="F88" s="48"/>
      <c r="G88" s="96" t="s">
        <v>136</v>
      </c>
      <c r="H88" s="74"/>
      <c r="I88" s="74"/>
      <c r="J88" s="74"/>
      <c r="K88" s="74"/>
      <c r="L88" s="75"/>
      <c r="M88" s="103"/>
      <c r="N88" s="104"/>
      <c r="O88" s="104"/>
      <c r="P88" s="104"/>
      <c r="Q88" s="104"/>
      <c r="R88" s="104"/>
      <c r="S88" s="104"/>
      <c r="T88" s="104"/>
      <c r="U88" s="104"/>
      <c r="V88" s="104"/>
      <c r="W88" s="104"/>
      <c r="X88" s="104"/>
      <c r="Y88" s="104"/>
    </row>
    <row r="89" spans="1:25" s="46" customFormat="1" x14ac:dyDescent="0.25">
      <c r="A89"/>
      <c r="B89" s="47"/>
      <c r="C89" s="55" t="str">
        <f>IF(B89=0,"",INDEX($C$7:$C$25,MATCH(B89,$B$7:$B$25,)))</f>
        <v/>
      </c>
      <c r="D89" s="66"/>
      <c r="E89" s="67"/>
      <c r="F89" s="48"/>
      <c r="G89" s="96" t="s">
        <v>136</v>
      </c>
      <c r="H89" s="74"/>
      <c r="I89" s="74"/>
      <c r="J89" s="74"/>
      <c r="K89" s="74"/>
      <c r="L89" s="75"/>
      <c r="M89" s="52"/>
    </row>
    <row r="90" spans="1:25" x14ac:dyDescent="0.25">
      <c r="B90" s="40" t="str">
        <f>"- оборудование, работающее под давлением  "&amp;SUBTOTAL(9,F92:F94)&amp;"  единиц;"</f>
        <v>- оборудование, работающее под давлением  2  единиц;</v>
      </c>
      <c r="C90" s="40"/>
      <c r="D90" s="40"/>
    </row>
    <row r="91" spans="1:25" x14ac:dyDescent="0.25">
      <c r="B91" s="61" t="s">
        <v>197</v>
      </c>
      <c r="C91" s="60" t="s">
        <v>196</v>
      </c>
      <c r="D91" s="70" t="s">
        <v>14</v>
      </c>
      <c r="E91" s="71"/>
      <c r="F91" s="71"/>
      <c r="G91" s="71"/>
      <c r="H91" s="71"/>
      <c r="I91" s="71"/>
      <c r="J91" s="71"/>
      <c r="K91" s="71"/>
      <c r="L91" s="72"/>
    </row>
    <row r="92" spans="1:25" ht="15" customHeight="1" x14ac:dyDescent="0.25">
      <c r="A92" s="46"/>
      <c r="B92" s="107" t="s">
        <v>154</v>
      </c>
      <c r="C92" s="92" t="str">
        <f>IF(B92=0,"",INDEX($C$7:$C$25,MATCH(B92,$B$7:$B$25,)))</f>
        <v>санаторий</v>
      </c>
      <c r="D92" s="82" t="s">
        <v>234</v>
      </c>
      <c r="E92" s="83"/>
      <c r="F92" s="88">
        <v>1</v>
      </c>
      <c r="G92" s="96" t="s">
        <v>136</v>
      </c>
      <c r="H92" s="100" t="s">
        <v>263</v>
      </c>
      <c r="I92" s="100"/>
      <c r="J92" s="100"/>
      <c r="K92" s="100"/>
      <c r="L92" s="101"/>
      <c r="M92" s="103" t="s">
        <v>266</v>
      </c>
      <c r="N92" s="104"/>
      <c r="O92" s="104"/>
      <c r="P92" s="104"/>
      <c r="Q92" s="104"/>
      <c r="R92" s="104"/>
      <c r="S92" s="104"/>
      <c r="T92" s="104"/>
      <c r="U92" s="104"/>
      <c r="V92" s="104"/>
      <c r="W92" s="104"/>
      <c r="X92" s="104"/>
      <c r="Y92" s="104"/>
    </row>
    <row r="93" spans="1:25" s="46" customFormat="1" x14ac:dyDescent="0.25">
      <c r="A93"/>
      <c r="B93" s="87" t="s">
        <v>231</v>
      </c>
      <c r="C93" s="92" t="str">
        <f>IF(B93=0,"",INDEX($C$7:$C$25,MATCH(B93,$B$7:$B$25,)))</f>
        <v>стройка</v>
      </c>
      <c r="D93" s="82" t="str">
        <f>IFERROR(INDEX(ТУ!D$4:H$269,MATCH(B93,ТУ!B$4:B$269,),4),"")&amp;" "&amp;IFERROR(INDEX(ТУ!D$4:H$269,MATCH(B93,ТУ!B$4:B$269,),2),"")</f>
        <v>баллон Баллон SF</v>
      </c>
      <c r="E93" s="83"/>
      <c r="F93" s="88">
        <v>1</v>
      </c>
      <c r="G93" s="96" t="s">
        <v>136</v>
      </c>
      <c r="H93" s="100" t="s">
        <v>264</v>
      </c>
      <c r="I93" s="100"/>
      <c r="J93" s="100"/>
      <c r="K93" s="100"/>
      <c r="L93" s="101"/>
      <c r="M93" s="103"/>
      <c r="N93" s="104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4"/>
    </row>
    <row r="94" spans="1:25" s="46" customFormat="1" x14ac:dyDescent="0.25">
      <c r="A94"/>
      <c r="B94" s="47"/>
      <c r="C94" s="55" t="str">
        <f>IF(B94=0,"",INDEX($C$7:$C$25,MATCH(B94,$B$7:$B$25,)))</f>
        <v/>
      </c>
      <c r="D94" s="66"/>
      <c r="E94" s="67"/>
      <c r="F94" s="48"/>
      <c r="G94" s="96" t="s">
        <v>136</v>
      </c>
      <c r="H94" s="74"/>
      <c r="I94" s="74"/>
      <c r="J94" s="74"/>
      <c r="K94" s="74"/>
      <c r="L94" s="75"/>
      <c r="M94" s="52"/>
    </row>
    <row r="95" spans="1:25" x14ac:dyDescent="0.25">
      <c r="B95" s="40" t="str">
        <f>"учитываемые, всего  "&amp;SUBTOTAL(9,F98:F105)&amp;"  единиц, в том числе:"</f>
        <v>учитываемые, всего  3  единиц, в том числе:</v>
      </c>
      <c r="C95" s="40"/>
      <c r="D95" s="40"/>
    </row>
    <row r="96" spans="1:25" x14ac:dyDescent="0.25">
      <c r="B96" s="40" t="str">
        <f>"- подъемные сооружения  "&amp;SUBTOTAL(9,F98:F100)&amp;"  единиц;"</f>
        <v>- подъемные сооружения  1  единиц;</v>
      </c>
      <c r="C96" s="40"/>
      <c r="D96" s="40"/>
    </row>
    <row r="97" spans="1:25" x14ac:dyDescent="0.25">
      <c r="B97" s="61" t="s">
        <v>197</v>
      </c>
      <c r="C97" s="60" t="s">
        <v>196</v>
      </c>
      <c r="D97" s="70" t="s">
        <v>14</v>
      </c>
      <c r="E97" s="71"/>
      <c r="F97" s="71"/>
      <c r="G97" s="71"/>
      <c r="H97" s="71"/>
      <c r="I97" s="71"/>
      <c r="J97" s="71"/>
      <c r="K97" s="71"/>
      <c r="L97" s="72"/>
    </row>
    <row r="98" spans="1:25" x14ac:dyDescent="0.25">
      <c r="B98" s="87" t="s">
        <v>231</v>
      </c>
      <c r="C98" s="92" t="str">
        <f>IF(B98=0,"",INDEX($C$7:$C$25,MATCH(B98,$B$7:$B$25,)))</f>
        <v>стройка</v>
      </c>
      <c r="D98" s="82" t="s">
        <v>115</v>
      </c>
      <c r="E98" s="83"/>
      <c r="F98" s="88">
        <v>1</v>
      </c>
      <c r="G98" s="96" t="s">
        <v>136</v>
      </c>
      <c r="H98" s="100" t="s">
        <v>271</v>
      </c>
      <c r="I98" s="100"/>
      <c r="J98" s="100"/>
      <c r="K98" s="100"/>
      <c r="L98" s="101"/>
      <c r="M98" s="103" t="s">
        <v>270</v>
      </c>
      <c r="N98" s="104"/>
      <c r="O98" s="104"/>
      <c r="P98" s="104"/>
      <c r="Q98" s="104"/>
      <c r="R98" s="104"/>
      <c r="S98" s="104"/>
      <c r="T98" s="104"/>
      <c r="U98" s="104"/>
      <c r="V98" s="104"/>
      <c r="W98" s="104"/>
      <c r="X98" s="104"/>
      <c r="Y98" s="104"/>
    </row>
    <row r="99" spans="1:25" x14ac:dyDescent="0.25">
      <c r="B99" s="50"/>
      <c r="C99" s="92" t="str">
        <f>IF(B99=0,"",INDEX($C$7:$C$25,MATCH(B99,$B$7:$B$25,)))</f>
        <v/>
      </c>
      <c r="D99" s="68"/>
      <c r="E99" s="69"/>
      <c r="F99" s="49"/>
      <c r="G99" s="96" t="s">
        <v>136</v>
      </c>
      <c r="H99" s="74"/>
      <c r="I99" s="74"/>
      <c r="J99" s="74"/>
      <c r="K99" s="74"/>
      <c r="L99" s="75"/>
      <c r="M99" s="103"/>
      <c r="N99" s="104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</row>
    <row r="100" spans="1:25" x14ac:dyDescent="0.25">
      <c r="B100" s="50"/>
      <c r="C100" s="92" t="str">
        <f>IF(B100=0,"",INDEX($C$7:$C$25,MATCH(B100,$B$7:$B$25,)))</f>
        <v/>
      </c>
      <c r="D100" s="68"/>
      <c r="E100" s="69"/>
      <c r="F100" s="49"/>
      <c r="G100" s="96" t="s">
        <v>136</v>
      </c>
      <c r="H100" s="74"/>
      <c r="I100" s="74"/>
      <c r="J100" s="74"/>
      <c r="K100" s="74"/>
      <c r="L100" s="75"/>
      <c r="M100" s="52"/>
    </row>
    <row r="101" spans="1:25" x14ac:dyDescent="0.25">
      <c r="B101" s="40" t="str">
        <f>"- оборудование, работающее под давлением  "&amp;SUBTOTAL(9,F103:F105)&amp;"  единиц;"</f>
        <v>- оборудование, работающее под давлением  2  единиц;</v>
      </c>
      <c r="C101" s="40"/>
      <c r="D101" s="40"/>
    </row>
    <row r="102" spans="1:25" x14ac:dyDescent="0.25">
      <c r="B102" s="61" t="s">
        <v>197</v>
      </c>
      <c r="C102" s="60" t="s">
        <v>196</v>
      </c>
      <c r="D102" s="70" t="s">
        <v>14</v>
      </c>
      <c r="E102" s="71"/>
      <c r="F102" s="71"/>
      <c r="G102" s="71"/>
      <c r="H102" s="71"/>
      <c r="I102" s="71"/>
      <c r="J102" s="71"/>
      <c r="K102" s="71"/>
      <c r="L102" s="72"/>
    </row>
    <row r="103" spans="1:25" x14ac:dyDescent="0.25">
      <c r="B103" s="87" t="s">
        <v>231</v>
      </c>
      <c r="C103" s="92" t="str">
        <f>IF(B103=0,"",INDEX($C$7:$C$25,MATCH(B103,$B$7:$B$25,)))</f>
        <v>стройка</v>
      </c>
      <c r="D103" s="85" t="s">
        <v>245</v>
      </c>
      <c r="E103" s="86"/>
      <c r="F103" s="88">
        <v>2</v>
      </c>
      <c r="G103" s="96" t="s">
        <v>136</v>
      </c>
      <c r="H103" s="100" t="s">
        <v>273</v>
      </c>
      <c r="I103" s="100"/>
      <c r="J103" s="100"/>
      <c r="K103" s="100"/>
      <c r="L103" s="101"/>
      <c r="M103" s="103" t="s">
        <v>272</v>
      </c>
      <c r="N103" s="104"/>
      <c r="O103" s="104"/>
      <c r="P103" s="104"/>
      <c r="Q103" s="104"/>
      <c r="R103" s="104"/>
      <c r="S103" s="104"/>
      <c r="T103" s="104"/>
      <c r="U103" s="104"/>
      <c r="V103" s="104"/>
      <c r="W103" s="104"/>
      <c r="X103" s="104"/>
      <c r="Y103" s="104"/>
    </row>
    <row r="104" spans="1:25" x14ac:dyDescent="0.25">
      <c r="A104" s="46"/>
      <c r="B104" s="47"/>
      <c r="C104" s="92" t="str">
        <f>IF(B104=0,"",INDEX($C$7:$C$25,MATCH(B104,$B$7:$B$25,)))</f>
        <v/>
      </c>
      <c r="D104" s="66"/>
      <c r="E104" s="67"/>
      <c r="F104" s="48"/>
      <c r="G104" s="96" t="s">
        <v>136</v>
      </c>
      <c r="H104" s="74"/>
      <c r="I104" s="74"/>
      <c r="J104" s="74"/>
      <c r="K104" s="74"/>
      <c r="L104" s="75"/>
      <c r="M104" s="103"/>
      <c r="N104" s="104"/>
      <c r="O104" s="104"/>
      <c r="P104" s="104"/>
      <c r="Q104" s="104"/>
      <c r="R104" s="104"/>
      <c r="S104" s="104"/>
      <c r="T104" s="104"/>
      <c r="U104" s="104"/>
      <c r="V104" s="104"/>
      <c r="W104" s="104"/>
      <c r="X104" s="104"/>
      <c r="Y104" s="104"/>
    </row>
    <row r="105" spans="1:25" x14ac:dyDescent="0.25">
      <c r="B105" s="47"/>
      <c r="C105" s="92" t="str">
        <f>IF(B105=0,"",INDEX($C$7:$C$25,MATCH(B105,$B$7:$B$25,)))</f>
        <v/>
      </c>
      <c r="D105" s="66"/>
      <c r="E105" s="67"/>
      <c r="F105" s="48"/>
      <c r="G105" s="96" t="s">
        <v>136</v>
      </c>
      <c r="H105" s="74"/>
      <c r="I105" s="74"/>
      <c r="J105" s="74"/>
      <c r="K105" s="74"/>
      <c r="L105" s="75"/>
      <c r="M105" s="52"/>
    </row>
  </sheetData>
  <mergeCells count="114">
    <mergeCell ref="M103:Y104"/>
    <mergeCell ref="H103:L103"/>
    <mergeCell ref="H53:L53"/>
    <mergeCell ref="H54:L54"/>
    <mergeCell ref="H55:L55"/>
    <mergeCell ref="H56:L56"/>
    <mergeCell ref="H60:L60"/>
    <mergeCell ref="H61:L61"/>
    <mergeCell ref="H62:L62"/>
    <mergeCell ref="H63:L63"/>
    <mergeCell ref="H66:L66"/>
    <mergeCell ref="H67:L67"/>
    <mergeCell ref="H68:L68"/>
    <mergeCell ref="H69:L69"/>
    <mergeCell ref="M75:Y75"/>
    <mergeCell ref="M80:Y80"/>
    <mergeCell ref="M87:Y88"/>
    <mergeCell ref="M92:Y93"/>
    <mergeCell ref="M98:Y99"/>
    <mergeCell ref="A2:L2"/>
    <mergeCell ref="D30:E30"/>
    <mergeCell ref="D31:E31"/>
    <mergeCell ref="D32:E32"/>
    <mergeCell ref="H30:L30"/>
    <mergeCell ref="D39:E39"/>
    <mergeCell ref="D38:E38"/>
    <mergeCell ref="B35:E35"/>
    <mergeCell ref="F35:L35"/>
    <mergeCell ref="D36:E36"/>
    <mergeCell ref="D37:E37"/>
    <mergeCell ref="H39:L39"/>
    <mergeCell ref="H36:L36"/>
    <mergeCell ref="H37:L37"/>
    <mergeCell ref="H32:L32"/>
    <mergeCell ref="H33:L33"/>
    <mergeCell ref="H31:L31"/>
    <mergeCell ref="H38:L38"/>
    <mergeCell ref="J7:Q10"/>
    <mergeCell ref="D63:E63"/>
    <mergeCell ref="D66:E66"/>
    <mergeCell ref="D62:E62"/>
    <mergeCell ref="D33:E33"/>
    <mergeCell ref="B29:E29"/>
    <mergeCell ref="F29:L29"/>
    <mergeCell ref="D53:E53"/>
    <mergeCell ref="D54:E54"/>
    <mergeCell ref="D44:E44"/>
    <mergeCell ref="D43:L43"/>
    <mergeCell ref="H44:L44"/>
    <mergeCell ref="D48:E48"/>
    <mergeCell ref="D47:E47"/>
    <mergeCell ref="D45:E45"/>
    <mergeCell ref="D46:E46"/>
    <mergeCell ref="H48:L48"/>
    <mergeCell ref="H45:L45"/>
    <mergeCell ref="H46:L46"/>
    <mergeCell ref="H47:L47"/>
    <mergeCell ref="D60:E60"/>
    <mergeCell ref="D61:E61"/>
    <mergeCell ref="D55:E55"/>
    <mergeCell ref="D56:E56"/>
    <mergeCell ref="D49:E49"/>
    <mergeCell ref="D50:E50"/>
    <mergeCell ref="D52:L52"/>
    <mergeCell ref="D59:L59"/>
    <mergeCell ref="H49:L49"/>
    <mergeCell ref="H50:L50"/>
    <mergeCell ref="D65:L65"/>
    <mergeCell ref="D75:E75"/>
    <mergeCell ref="D77:E77"/>
    <mergeCell ref="F74:L74"/>
    <mergeCell ref="D68:E68"/>
    <mergeCell ref="D69:E69"/>
    <mergeCell ref="D67:E67"/>
    <mergeCell ref="B74:E74"/>
    <mergeCell ref="D76:E76"/>
    <mergeCell ref="H75:L75"/>
    <mergeCell ref="H76:L76"/>
    <mergeCell ref="H77:L77"/>
    <mergeCell ref="D82:E82"/>
    <mergeCell ref="D87:E87"/>
    <mergeCell ref="F79:L79"/>
    <mergeCell ref="D80:E80"/>
    <mergeCell ref="D86:L86"/>
    <mergeCell ref="D88:E88"/>
    <mergeCell ref="B79:E79"/>
    <mergeCell ref="D81:E81"/>
    <mergeCell ref="H80:L80"/>
    <mergeCell ref="H81:L81"/>
    <mergeCell ref="H82:L82"/>
    <mergeCell ref="H87:L87"/>
    <mergeCell ref="H88:L88"/>
    <mergeCell ref="D89:E89"/>
    <mergeCell ref="D92:E92"/>
    <mergeCell ref="D91:L91"/>
    <mergeCell ref="D103:E103"/>
    <mergeCell ref="D104:E104"/>
    <mergeCell ref="D99:E99"/>
    <mergeCell ref="D93:E93"/>
    <mergeCell ref="H89:L89"/>
    <mergeCell ref="H92:L92"/>
    <mergeCell ref="H93:L93"/>
    <mergeCell ref="H94:L94"/>
    <mergeCell ref="H98:L98"/>
    <mergeCell ref="H99:L99"/>
    <mergeCell ref="H100:L100"/>
    <mergeCell ref="H104:L104"/>
    <mergeCell ref="D105:E105"/>
    <mergeCell ref="D94:E94"/>
    <mergeCell ref="D98:E98"/>
    <mergeCell ref="D100:E100"/>
    <mergeCell ref="D97:L97"/>
    <mergeCell ref="D102:L102"/>
    <mergeCell ref="H105:L105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СМУ</vt:lpstr>
      <vt:lpstr>ТУ</vt:lpstr>
      <vt:lpstr>ПЗ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ААА</dc:creator>
  <cp:lastModifiedBy>ААА</cp:lastModifiedBy>
  <dcterms:created xsi:type="dcterms:W3CDTF">2017-11-17T05:53:33Z</dcterms:created>
  <dcterms:modified xsi:type="dcterms:W3CDTF">2017-12-18T12:05:33Z</dcterms:modified>
</cp:coreProperties>
</file>