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H21" i="1" l="1"/>
  <c r="D21" i="1" s="1"/>
  <c r="H22" i="1"/>
  <c r="D22" i="1" s="1"/>
  <c r="H23" i="1"/>
  <c r="D23" i="1" s="1"/>
  <c r="H24" i="1"/>
  <c r="D24" i="1" s="1"/>
  <c r="H25" i="1"/>
  <c r="D25" i="1" s="1"/>
  <c r="H26" i="1"/>
  <c r="D26" i="1" s="1"/>
  <c r="H27" i="1"/>
  <c r="D27" i="1" s="1"/>
  <c r="H28" i="1"/>
  <c r="D28" i="1" s="1"/>
  <c r="H29" i="1"/>
  <c r="D29" i="1" s="1"/>
  <c r="H30" i="1"/>
  <c r="D30" i="1" s="1"/>
  <c r="H31" i="1"/>
  <c r="D31" i="1" s="1"/>
  <c r="H20" i="1"/>
  <c r="D20" i="1" s="1"/>
  <c r="F14" i="1" l="1"/>
  <c r="B42" i="1" s="1"/>
  <c r="A46" i="1"/>
  <c r="I82" i="1"/>
  <c r="H82" i="1"/>
  <c r="L82" i="1" s="1"/>
  <c r="F82" i="1"/>
  <c r="E82" i="1"/>
  <c r="A82" i="1"/>
  <c r="J80" i="1"/>
  <c r="Q70" i="1"/>
  <c r="D84" i="1" s="1"/>
  <c r="E64" i="1"/>
  <c r="A42" i="1"/>
  <c r="A41" i="1"/>
  <c r="E32" i="1"/>
  <c r="D32" i="1"/>
  <c r="F31" i="1"/>
  <c r="B31" i="1"/>
  <c r="F30" i="1"/>
  <c r="F29" i="1"/>
  <c r="F28" i="1"/>
  <c r="F27" i="1"/>
  <c r="F26" i="1"/>
  <c r="F25" i="1"/>
  <c r="F24" i="1"/>
  <c r="F23" i="1"/>
  <c r="F22" i="1"/>
  <c r="F21" i="1"/>
  <c r="F20" i="1"/>
  <c r="B30" i="1" l="1"/>
  <c r="F32" i="1"/>
  <c r="C42" i="1" s="1"/>
  <c r="D42" i="1" s="1"/>
  <c r="A44" i="1" s="1"/>
  <c r="O82" i="1"/>
  <c r="F15" i="1"/>
  <c r="E84" i="1"/>
  <c r="G82" i="1"/>
  <c r="R82" i="1"/>
  <c r="B29" i="1"/>
  <c r="P82" i="1"/>
  <c r="Q82" i="1" s="1"/>
  <c r="B28" i="1" l="1"/>
  <c r="U82" i="1"/>
  <c r="J82" i="1"/>
  <c r="K82" i="1" l="1"/>
  <c r="M82" i="1"/>
  <c r="B27" i="1"/>
  <c r="B26" i="1" l="1"/>
  <c r="S82" i="1"/>
  <c r="N82" i="1"/>
  <c r="V82" i="1" l="1"/>
  <c r="W82" i="1" s="1"/>
  <c r="T82" i="1"/>
  <c r="B25" i="1"/>
  <c r="B24" i="1" l="1"/>
  <c r="B23" i="1" l="1"/>
  <c r="B22" i="1" l="1"/>
  <c r="B21" i="1" l="1"/>
  <c r="B20" i="1" l="1"/>
  <c r="A20" i="1" l="1"/>
  <c r="A21" i="1" s="1"/>
  <c r="A22" i="1"/>
  <c r="A23" i="1" l="1"/>
  <c r="A24" i="1" s="1"/>
  <c r="A25" i="1" l="1"/>
  <c r="A26" i="1" s="1"/>
  <c r="A27" i="1" s="1"/>
  <c r="A28" i="1" l="1"/>
  <c r="A29" i="1" s="1"/>
  <c r="A30" i="1" s="1"/>
  <c r="A31" i="1" s="1"/>
  <c r="A32" i="1" s="1"/>
</calcChain>
</file>

<file path=xl/comments1.xml><?xml version="1.0" encoding="utf-8"?>
<comments xmlns="http://schemas.openxmlformats.org/spreadsheetml/2006/main">
  <authors>
    <author>Admin</author>
  </authors>
  <commentList>
    <comment ref="B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0"/>
            <rFont val="Tahoma"/>
            <family val="2"/>
            <charset val="204"/>
          </rPr>
          <t>Как в эту ячейку В42 написать формулу,</t>
        </r>
        <r>
          <rPr>
            <b/>
            <u/>
            <sz val="18"/>
            <color indexed="10"/>
            <rFont val="Tahoma"/>
            <family val="2"/>
            <charset val="204"/>
          </rPr>
          <t xml:space="preserve"> что бы извлекало число</t>
        </r>
        <r>
          <rPr>
            <sz val="18"/>
            <color indexed="10"/>
            <rFont val="Tahoma"/>
            <family val="2"/>
            <charset val="204"/>
          </rPr>
          <t xml:space="preserve"> из ячейки F14, в которой сейчас формула с ТЕКСТом. Из-за этого нет результата в ячейке D42. При написании числа в ячейку В42  в ячейке D42 будет результат.
</t>
        </r>
        <r>
          <rPr>
            <sz val="18"/>
            <color indexed="12"/>
            <rFont val="Tahoma"/>
            <family val="2"/>
            <charset val="204"/>
          </rPr>
          <t>Можно написать как было раньше формулу =ОКРУГЛВВЕРХ((F13-F12)/365*24;0)
А как написать формулу что бы извлекало именно Число из ячейки F14?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2"/>
            <rFont val="Tahoma"/>
            <family val="2"/>
            <charset val="204"/>
          </rPr>
          <t>В этой ячейке D42 нет результата.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<sst xmlns="http://schemas.openxmlformats.org/spreadsheetml/2006/main" count="134" uniqueCount="102">
  <si>
    <t>по</t>
  </si>
  <si>
    <t>на</t>
  </si>
  <si>
    <t xml:space="preserve">№ за </t>
  </si>
  <si>
    <t>Месяцы</t>
  </si>
  <si>
    <t>Календар-</t>
  </si>
  <si>
    <t>Зарплата</t>
  </si>
  <si>
    <t>Середньо-</t>
  </si>
  <si>
    <t>пор.</t>
  </si>
  <si>
    <t>ные дни</t>
  </si>
  <si>
    <t xml:space="preserve">денна </t>
  </si>
  <si>
    <t>зарплата</t>
  </si>
  <si>
    <t>Всього</t>
  </si>
  <si>
    <t>1. Останній день роботи перед лікарняним:</t>
  </si>
  <si>
    <t>1.2. В табелі на об’єкті в  майстра:</t>
  </si>
  <si>
    <t>1. 3. Якщо вихідний день перед лікарняним</t>
  </si>
  <si>
    <t>14 січня субота; 15 січня неділя</t>
  </si>
  <si>
    <t>2. Стати до роботи: число, місяць</t>
  </si>
  <si>
    <t>4. Став до роботи фактично:</t>
  </si>
  <si>
    <t>4. 1. Якщо вихдіний день перед виходом</t>
  </si>
  <si>
    <t>4 .2. В табелі на об’єкті в  майстра:</t>
  </si>
  <si>
    <t xml:space="preserve">Економіст _______________________ В. М. Бабенко </t>
  </si>
  <si>
    <t>«____» _________________ 2017 р.</t>
  </si>
  <si>
    <t xml:space="preserve">Розрахунок відрахувань та утримань із лікарняних за </t>
  </si>
  <si>
    <t>Календа-</t>
  </si>
  <si>
    <t xml:space="preserve">               Сума Лікарняних</t>
  </si>
  <si>
    <t xml:space="preserve">Нараху - </t>
  </si>
  <si>
    <t>УТРИМАНО</t>
  </si>
  <si>
    <t xml:space="preserve">     До видачі без  утриманих</t>
  </si>
  <si>
    <t>рні дні</t>
  </si>
  <si>
    <t>Період Лікарняних</t>
  </si>
  <si>
    <t>Перші</t>
  </si>
  <si>
    <t>Соціаль-</t>
  </si>
  <si>
    <t>Разом</t>
  </si>
  <si>
    <t>вання</t>
  </si>
  <si>
    <t xml:space="preserve">         аліментів, Постанов</t>
  </si>
  <si>
    <t xml:space="preserve">Прізвище </t>
  </si>
  <si>
    <t>перебу-</t>
  </si>
  <si>
    <t>з якого</t>
  </si>
  <si>
    <t>по яке</t>
  </si>
  <si>
    <t>за скільки</t>
  </si>
  <si>
    <t>5-ть ка-</t>
  </si>
  <si>
    <t>ний</t>
  </si>
  <si>
    <t>Лікарняні</t>
  </si>
  <si>
    <t>на ФОП</t>
  </si>
  <si>
    <r>
      <rPr>
        <b/>
        <sz val="11"/>
        <rFont val="Calibri"/>
        <family val="2"/>
        <charset val="204"/>
        <scheme val="minor"/>
      </rPr>
      <t xml:space="preserve">ПДФО: </t>
    </r>
    <r>
      <rPr>
        <sz val="11"/>
        <rFont val="Calibri"/>
        <family val="2"/>
        <charset val="204"/>
        <scheme val="minor"/>
      </rPr>
      <t>Податок з доходів</t>
    </r>
  </si>
  <si>
    <t>Військовий збір</t>
  </si>
  <si>
    <t>Всього утримано</t>
  </si>
  <si>
    <t xml:space="preserve"> Зарп-</t>
  </si>
  <si>
    <t xml:space="preserve">РАЗОМ </t>
  </si>
  <si>
    <t>І. по-б</t>
  </si>
  <si>
    <t>вання в</t>
  </si>
  <si>
    <t>числа</t>
  </si>
  <si>
    <t>число</t>
  </si>
  <si>
    <t>днів</t>
  </si>
  <si>
    <t>лендар-</t>
  </si>
  <si>
    <t>страх</t>
  </si>
  <si>
    <t>5-ть кал.</t>
  </si>
  <si>
    <t xml:space="preserve"> фізичних осіб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</si>
  <si>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</si>
  <si>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</si>
  <si>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</si>
  <si>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</si>
  <si>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</si>
  <si>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</si>
  <si>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трудових</t>
  </si>
  <si>
    <t>них днів</t>
  </si>
  <si>
    <t>Єдиний</t>
  </si>
  <si>
    <t>бітної</t>
  </si>
  <si>
    <t>няних</t>
  </si>
  <si>
    <t xml:space="preserve">карняні </t>
  </si>
  <si>
    <t xml:space="preserve"> + лікар-</t>
  </si>
  <si>
    <t>відноси-</t>
  </si>
  <si>
    <t>(підпри-</t>
  </si>
  <si>
    <t>ФССзТВП</t>
  </si>
  <si>
    <t>соціаль-</t>
  </si>
  <si>
    <t>плати +</t>
  </si>
  <si>
    <t xml:space="preserve">перші </t>
  </si>
  <si>
    <t xml:space="preserve">няні </t>
  </si>
  <si>
    <t xml:space="preserve">нах на </t>
  </si>
  <si>
    <t>ємство)</t>
  </si>
  <si>
    <t xml:space="preserve">«+»  </t>
  </si>
  <si>
    <t>лікарня-</t>
  </si>
  <si>
    <t>5-ть днів</t>
  </si>
  <si>
    <t>підпри-</t>
  </si>
  <si>
    <t>внесок</t>
  </si>
  <si>
    <t>ні перші</t>
  </si>
  <si>
    <t>без</t>
  </si>
  <si>
    <t>ємстві</t>
  </si>
  <si>
    <t xml:space="preserve"> +</t>
  </si>
  <si>
    <t xml:space="preserve">Кількість календарних днів у </t>
  </si>
  <si>
    <t>Март</t>
  </si>
  <si>
    <t>Срок отпуска включительно з:</t>
  </si>
  <si>
    <t>З какого</t>
  </si>
  <si>
    <t>времени</t>
  </si>
  <si>
    <t>и по какой</t>
  </si>
  <si>
    <t>За сколь-</t>
  </si>
  <si>
    <t>ко дней</t>
  </si>
  <si>
    <t>Средняя</t>
  </si>
  <si>
    <t>за день</t>
  </si>
  <si>
    <t>Всего</t>
  </si>
  <si>
    <t>начислено</t>
  </si>
  <si>
    <t>Всего к выплате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</si>
</sst>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[$-419]mmmm\ yyyy;@"/>
    <numFmt numFmtId="166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indexed="10"/>
      <name val="Tahoma"/>
      <family val="2"/>
      <charset val="204"/>
    </font>
    <font>
      <sz val="18"/>
      <color indexed="12"/>
      <name val="Tahoma"/>
      <family val="2"/>
      <charset val="204"/>
    </font>
    <font>
      <b/>
      <u/>
      <sz val="18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Protection="1"/>
    <xf numFmtId="0" fontId="4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4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7" xfId="0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4" fontId="0" fillId="4" borderId="14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</xf>
    <xf numFmtId="4" fontId="0" fillId="4" borderId="16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4" fontId="0" fillId="4" borderId="19" xfId="0" applyNumberForma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</xf>
    <xf numFmtId="3" fontId="5" fillId="0" borderId="13" xfId="0" applyNumberFormat="1" applyFont="1" applyFill="1" applyBorder="1" applyAlignment="1" applyProtection="1">
      <alignment horizontal="center"/>
    </xf>
    <xf numFmtId="165" fontId="6" fillId="0" borderId="10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Protection="1"/>
    <xf numFmtId="4" fontId="5" fillId="0" borderId="14" xfId="0" applyNumberFormat="1" applyFont="1" applyFill="1" applyBorder="1" applyAlignment="1" applyProtection="1">
      <alignment horizontal="center"/>
    </xf>
    <xf numFmtId="4" fontId="5" fillId="0" borderId="13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0" fontId="1" fillId="0" borderId="20" xfId="0" applyFont="1" applyFill="1" applyBorder="1" applyAlignment="1" applyProtection="1">
      <alignment horizontal="center"/>
    </xf>
    <xf numFmtId="0" fontId="1" fillId="0" borderId="20" xfId="0" applyFont="1" applyFill="1" applyBorder="1" applyProtection="1"/>
    <xf numFmtId="0" fontId="1" fillId="0" borderId="21" xfId="0" applyFont="1" applyFill="1" applyBorder="1" applyProtection="1"/>
    <xf numFmtId="0" fontId="1" fillId="0" borderId="0" xfId="0" applyFont="1" applyFill="1" applyBorder="1" applyProtection="1"/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14" fontId="1" fillId="0" borderId="26" xfId="0" applyNumberFormat="1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7" xfId="0" applyNumberFormat="1" applyFont="1" applyFill="1" applyBorder="1" applyAlignment="1" applyProtection="1">
      <alignment horizontal="center"/>
    </xf>
    <xf numFmtId="2" fontId="8" fillId="0" borderId="26" xfId="1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0" fontId="1" fillId="0" borderId="0" xfId="0" applyFont="1" applyFill="1" applyAlignment="1" applyProtection="1"/>
    <xf numFmtId="164" fontId="1" fillId="0" borderId="0" xfId="0" applyNumberFormat="1" applyFont="1" applyFill="1" applyAlignment="1" applyProtection="1">
      <alignment horizontal="left"/>
    </xf>
    <xf numFmtId="0" fontId="1" fillId="0" borderId="15" xfId="0" applyFont="1" applyFill="1" applyBorder="1" applyProtection="1"/>
    <xf numFmtId="0" fontId="1" fillId="0" borderId="29" xfId="0" applyFont="1" applyFill="1" applyBorder="1" applyProtection="1"/>
    <xf numFmtId="0" fontId="1" fillId="0" borderId="16" xfId="0" applyFont="1" applyFill="1" applyBorder="1" applyProtection="1"/>
    <xf numFmtId="14" fontId="1" fillId="0" borderId="15" xfId="0" applyNumberFormat="1" applyFont="1" applyFill="1" applyBorder="1" applyAlignment="1" applyProtection="1">
      <alignment horizontal="left"/>
    </xf>
    <xf numFmtId="0" fontId="7" fillId="0" borderId="15" xfId="0" applyFont="1" applyFill="1" applyBorder="1" applyProtection="1"/>
    <xf numFmtId="0" fontId="11" fillId="0" borderId="0" xfId="0" applyFont="1" applyFill="1" applyProtection="1"/>
    <xf numFmtId="0" fontId="1" fillId="0" borderId="30" xfId="0" applyFont="1" applyFill="1" applyBorder="1" applyProtection="1"/>
    <xf numFmtId="0" fontId="1" fillId="0" borderId="2" xfId="0" applyFont="1" applyFill="1" applyBorder="1" applyProtection="1"/>
    <xf numFmtId="0" fontId="1" fillId="0" borderId="31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31" xfId="0" applyFont="1" applyFill="1" applyBorder="1" applyProtection="1"/>
    <xf numFmtId="0" fontId="7" fillId="0" borderId="3" xfId="0" applyFont="1" applyFill="1" applyBorder="1" applyAlignment="1" applyProtection="1">
      <alignment horizontal="center"/>
    </xf>
    <xf numFmtId="0" fontId="7" fillId="0" borderId="29" xfId="0" applyFont="1" applyFill="1" applyBorder="1" applyProtection="1"/>
    <xf numFmtId="0" fontId="7" fillId="0" borderId="2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1" fillId="0" borderId="10" xfId="0" applyFont="1" applyFill="1" applyBorder="1" applyProtection="1"/>
    <xf numFmtId="0" fontId="7" fillId="0" borderId="3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0" fontId="1" fillId="0" borderId="16" xfId="0" applyNumberFormat="1" applyFont="1" applyFill="1" applyBorder="1" applyAlignment="1" applyProtection="1">
      <alignment horizontal="center"/>
    </xf>
    <xf numFmtId="166" fontId="1" fillId="0" borderId="6" xfId="0" applyNumberFormat="1" applyFont="1" applyFill="1" applyBorder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/>
    </xf>
    <xf numFmtId="4" fontId="1" fillId="0" borderId="4" xfId="0" applyNumberFormat="1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Protection="1"/>
    <xf numFmtId="9" fontId="1" fillId="0" borderId="9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14" fontId="1" fillId="0" borderId="13" xfId="0" applyNumberFormat="1" applyFont="1" applyFill="1" applyBorder="1" applyAlignment="1" applyProtection="1">
      <alignment horizontal="center"/>
    </xf>
    <xf numFmtId="1" fontId="1" fillId="0" borderId="13" xfId="0" applyNumberFormat="1" applyFont="1" applyFill="1" applyBorder="1" applyAlignment="1" applyProtection="1">
      <alignment horizontal="center"/>
    </xf>
    <xf numFmtId="4" fontId="1" fillId="0" borderId="13" xfId="0" applyNumberFormat="1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</xf>
    <xf numFmtId="4" fontId="3" fillId="0" borderId="13" xfId="0" applyNumberFormat="1" applyFont="1" applyFill="1" applyBorder="1" applyAlignment="1" applyProtection="1">
      <alignment horizontal="center"/>
    </xf>
    <xf numFmtId="165" fontId="14" fillId="0" borderId="16" xfId="0" applyNumberFormat="1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4" fontId="1" fillId="0" borderId="0" xfId="0" applyNumberFormat="1" applyFont="1" applyFill="1" applyProtection="1">
      <protection locked="0"/>
    </xf>
    <xf numFmtId="1" fontId="8" fillId="2" borderId="26" xfId="0" applyNumberFormat="1" applyFont="1" applyFill="1" applyBorder="1" applyAlignment="1" applyProtection="1">
      <alignment horizontal="center"/>
    </xf>
    <xf numFmtId="4" fontId="5" fillId="2" borderId="28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  <xf numFmtId="165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5" fontId="1" fillId="0" borderId="18" xfId="0" applyNumberFormat="1" applyFont="1" applyFill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165" fontId="1" fillId="0" borderId="11" xfId="0" applyNumberFormat="1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4" borderId="1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tabSelected="1" topLeftCell="A16" workbookViewId="0">
      <selection activeCell="H20" sqref="H20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15" width="11" style="1" customWidth="1"/>
    <col min="16" max="19" width="9.140625" style="1"/>
    <col min="20" max="20" width="10.140625" style="1" bestFit="1" customWidth="1"/>
    <col min="21" max="26" width="10.5703125" style="1" customWidth="1"/>
    <col min="27" max="16384" width="9.140625" style="1"/>
  </cols>
  <sheetData>
    <row r="1" spans="2:13" ht="18.75" x14ac:dyDescent="0.3">
      <c r="C1" s="2"/>
      <c r="F1" s="101" t="s">
        <v>90</v>
      </c>
      <c r="G1" s="102"/>
    </row>
    <row r="3" spans="2:13" x14ac:dyDescent="0.25">
      <c r="B3" s="103"/>
      <c r="E3" s="104"/>
    </row>
    <row r="5" spans="2:13" x14ac:dyDescent="0.25">
      <c r="D5" s="103"/>
    </row>
    <row r="7" spans="2:13" x14ac:dyDescent="0.25">
      <c r="D7" s="103"/>
    </row>
    <row r="9" spans="2:13" x14ac:dyDescent="0.25">
      <c r="D9" s="105"/>
    </row>
    <row r="11" spans="2:13" x14ac:dyDescent="0.25">
      <c r="M11" s="3"/>
    </row>
    <row r="12" spans="2:13" x14ac:dyDescent="0.25">
      <c r="B12" s="4"/>
      <c r="C12" s="4"/>
      <c r="F12" s="5">
        <v>42583</v>
      </c>
    </row>
    <row r="13" spans="2:13" x14ac:dyDescent="0.25">
      <c r="E13" s="1" t="s">
        <v>0</v>
      </c>
      <c r="F13" s="5">
        <v>42948</v>
      </c>
    </row>
    <row r="14" spans="2:13" x14ac:dyDescent="0.25">
      <c r="E14" s="1" t="s">
        <v>1</v>
      </c>
      <c r="F14" s="6" t="str">
        <f>ROUNDUP((F13-F12)/365*24,0)&amp; " рабочих дней"</f>
        <v>24 рабочих дней</v>
      </c>
    </row>
    <row r="15" spans="2:13" x14ac:dyDescent="0.25">
      <c r="B15" s="1" t="s">
        <v>91</v>
      </c>
      <c r="D15" s="7"/>
      <c r="E15" s="8">
        <v>43066</v>
      </c>
      <c r="F15" s="7" t="str">
        <f>"по "&amp; TEXT(WORKDAY(E15,MID(F14,1,SEARCH(" ",F14)-1),"0000011")-1,"ДД.ММ.ГГ")</f>
        <v>по 28.12.17</v>
      </c>
      <c r="G15" s="9"/>
    </row>
    <row r="17" spans="1:15" x14ac:dyDescent="0.25">
      <c r="A17" s="10" t="s">
        <v>2</v>
      </c>
      <c r="B17" s="11" t="s">
        <v>3</v>
      </c>
      <c r="C17" s="12"/>
      <c r="D17" s="10" t="s">
        <v>4</v>
      </c>
      <c r="E17" s="10" t="s">
        <v>5</v>
      </c>
      <c r="F17" s="13" t="s">
        <v>6</v>
      </c>
    </row>
    <row r="18" spans="1:15" x14ac:dyDescent="0.25">
      <c r="A18" s="14" t="s">
        <v>7</v>
      </c>
      <c r="B18" s="15"/>
      <c r="C18" s="16"/>
      <c r="D18" s="14" t="s">
        <v>8</v>
      </c>
      <c r="E18" s="17"/>
      <c r="F18" s="18" t="s">
        <v>9</v>
      </c>
    </row>
    <row r="19" spans="1:15" ht="15.75" thickBot="1" x14ac:dyDescent="0.3">
      <c r="A19" s="19"/>
      <c r="B19" s="20"/>
      <c r="C19" s="21"/>
      <c r="D19" s="22"/>
      <c r="E19" s="22"/>
      <c r="F19" s="23" t="s">
        <v>10</v>
      </c>
    </row>
    <row r="20" spans="1:15" x14ac:dyDescent="0.25">
      <c r="A20" s="24">
        <f>IF(B20="","",MAX($A$18:A19)+1)</f>
        <v>1</v>
      </c>
      <c r="B20" s="114">
        <f t="shared" ref="B20:B30" si="0">IFERROR(IF(EOMONTH(B21,-1)&lt;$D$9,"",IF(YEAR(B21)&lt;&gt;YEAR($D$9),EOMONTH(B21,-1),IF(AND(MONTH(EOMONTH(B21,-1))=MONTH($D$9),DAY($D$9)-1&lt;&gt;0),"",EOMONTH(B21,-1)))),"")</f>
        <v>42704</v>
      </c>
      <c r="C20" s="115"/>
      <c r="D20" s="116">
        <f>DAY(EOMONTH(B20,0))-H20</f>
        <v>29</v>
      </c>
      <c r="E20" s="25">
        <v>10000</v>
      </c>
      <c r="F20" s="26">
        <f>IFERROR(ROUND(E20/D20, 2),"")</f>
        <v>344.83</v>
      </c>
      <c r="H20" s="1">
        <f>COUNT(I20:U20)</f>
        <v>1</v>
      </c>
      <c r="I20" s="9">
        <v>42678</v>
      </c>
    </row>
    <row r="21" spans="1:15" x14ac:dyDescent="0.25">
      <c r="A21" s="24">
        <f>IF(B21="","",MAX($A$18:A20)+1)</f>
        <v>2</v>
      </c>
      <c r="B21" s="110">
        <f t="shared" si="0"/>
        <v>42735</v>
      </c>
      <c r="C21" s="111"/>
      <c r="D21" s="116">
        <f>DAY(EOMONTH(B21,0))-H21</f>
        <v>30</v>
      </c>
      <c r="E21" s="27">
        <v>1000</v>
      </c>
      <c r="F21" s="26">
        <f>IFERROR(ROUND(E21/D21, 2),"")</f>
        <v>33.33</v>
      </c>
      <c r="H21" s="1">
        <f t="shared" ref="H21:H31" si="1">COUNT(I21:U21)</f>
        <v>1</v>
      </c>
      <c r="I21" s="9">
        <v>42735</v>
      </c>
    </row>
    <row r="22" spans="1:15" x14ac:dyDescent="0.25">
      <c r="A22" s="24">
        <f>IF(B22="","",MAX($A$18:A21)+1)</f>
        <v>3</v>
      </c>
      <c r="B22" s="110">
        <f t="shared" si="0"/>
        <v>42766</v>
      </c>
      <c r="C22" s="111"/>
      <c r="D22" s="116">
        <f>DAY(EOMONTH(B22,0))-H22</f>
        <v>24</v>
      </c>
      <c r="E22" s="27">
        <v>1000</v>
      </c>
      <c r="F22" s="26">
        <f>IFERROR(ROUND(E22/D22, 2),"")</f>
        <v>41.67</v>
      </c>
      <c r="H22" s="1">
        <f t="shared" si="1"/>
        <v>7</v>
      </c>
      <c r="I22" s="9">
        <v>42736</v>
      </c>
      <c r="J22" s="9">
        <v>42737</v>
      </c>
      <c r="K22" s="9">
        <v>42738</v>
      </c>
      <c r="L22" s="9">
        <v>42739</v>
      </c>
      <c r="M22" s="9">
        <v>42740</v>
      </c>
      <c r="N22" s="9">
        <v>42741</v>
      </c>
      <c r="O22" s="9">
        <v>42742</v>
      </c>
    </row>
    <row r="23" spans="1:15" x14ac:dyDescent="0.25">
      <c r="A23" s="24">
        <f>IF(B23="","",MAX($A$18:A22)+1)</f>
        <v>4</v>
      </c>
      <c r="B23" s="110">
        <f t="shared" si="0"/>
        <v>42794</v>
      </c>
      <c r="C23" s="111"/>
      <c r="D23" s="116">
        <f>DAY(EOMONTH(B23,0))-H23</f>
        <v>27</v>
      </c>
      <c r="E23" s="27">
        <v>1100</v>
      </c>
      <c r="F23" s="26">
        <f>IFERROR(ROUND(E23/D23, 2),"")</f>
        <v>40.74</v>
      </c>
      <c r="H23" s="1">
        <f t="shared" si="1"/>
        <v>1</v>
      </c>
      <c r="I23" s="9">
        <v>42789</v>
      </c>
    </row>
    <row r="24" spans="1:15" x14ac:dyDescent="0.25">
      <c r="A24" s="24">
        <f>IF(B24="","",MAX($A$18:A23)+1)</f>
        <v>5</v>
      </c>
      <c r="B24" s="110">
        <f t="shared" si="0"/>
        <v>42825</v>
      </c>
      <c r="C24" s="111"/>
      <c r="D24" s="116">
        <f>DAY(EOMONTH(B24,0))-H24</f>
        <v>30</v>
      </c>
      <c r="E24" s="27">
        <v>7000</v>
      </c>
      <c r="F24" s="26">
        <f>IFERROR(ROUND(E24/D24, 2),"")</f>
        <v>233.33</v>
      </c>
      <c r="H24" s="1">
        <f t="shared" si="1"/>
        <v>1</v>
      </c>
      <c r="I24" s="9">
        <v>42802</v>
      </c>
    </row>
    <row r="25" spans="1:15" x14ac:dyDescent="0.25">
      <c r="A25" s="24">
        <f>IF(B25="","",MAX($A$18:A24)+1)</f>
        <v>6</v>
      </c>
      <c r="B25" s="110">
        <f t="shared" si="0"/>
        <v>42855</v>
      </c>
      <c r="C25" s="111"/>
      <c r="D25" s="116">
        <f>DAY(EOMONTH(B25,0))-H25</f>
        <v>29</v>
      </c>
      <c r="E25" s="27">
        <v>6000</v>
      </c>
      <c r="F25" s="26">
        <f>IFERROR(ROUND(E25/D25, 2),"")</f>
        <v>206.9</v>
      </c>
      <c r="H25" s="1">
        <f t="shared" si="1"/>
        <v>1</v>
      </c>
      <c r="I25" s="9">
        <v>42855</v>
      </c>
    </row>
    <row r="26" spans="1:15" x14ac:dyDescent="0.25">
      <c r="A26" s="24">
        <f>IF(B26="","",MAX($A$18:A25)+1)</f>
        <v>7</v>
      </c>
      <c r="B26" s="110">
        <f t="shared" si="0"/>
        <v>42886</v>
      </c>
      <c r="C26" s="111"/>
      <c r="D26" s="116">
        <f>DAY(EOMONTH(B26,0))-H26</f>
        <v>28</v>
      </c>
      <c r="E26" s="27">
        <v>5000</v>
      </c>
      <c r="F26" s="26">
        <f>IFERROR(ROUND(E26/D26, 2),"")</f>
        <v>178.57</v>
      </c>
      <c r="H26" s="1">
        <f t="shared" si="1"/>
        <v>3</v>
      </c>
      <c r="I26" s="9">
        <v>42856</v>
      </c>
      <c r="J26" s="9">
        <v>42857</v>
      </c>
      <c r="K26" s="9">
        <v>42864</v>
      </c>
    </row>
    <row r="27" spans="1:15" x14ac:dyDescent="0.25">
      <c r="A27" s="24">
        <f>IF(B27="","",MAX($A$18:A26)+1)</f>
        <v>8</v>
      </c>
      <c r="B27" s="110">
        <f t="shared" si="0"/>
        <v>42916</v>
      </c>
      <c r="C27" s="111"/>
      <c r="D27" s="116">
        <f>DAY(EOMONTH(B27,0))-H27</f>
        <v>29</v>
      </c>
      <c r="E27" s="27">
        <v>5000</v>
      </c>
      <c r="F27" s="26">
        <f>IFERROR(ROUND(E27/D27, 2),"")</f>
        <v>172.41</v>
      </c>
      <c r="H27" s="1">
        <f t="shared" si="1"/>
        <v>1</v>
      </c>
      <c r="I27" s="9">
        <v>42898</v>
      </c>
    </row>
    <row r="28" spans="1:15" x14ac:dyDescent="0.25">
      <c r="A28" s="24">
        <f>IF(B28="","",MAX($A$18:A27)+1)</f>
        <v>9</v>
      </c>
      <c r="B28" s="110">
        <f t="shared" si="0"/>
        <v>42947</v>
      </c>
      <c r="C28" s="111"/>
      <c r="D28" s="116">
        <f>DAY(EOMONTH(B28,0))-H28</f>
        <v>31</v>
      </c>
      <c r="E28" s="27">
        <v>5000</v>
      </c>
      <c r="F28" s="26">
        <f>IFERROR(ROUND(E28/D28, 2),"")</f>
        <v>161.29</v>
      </c>
      <c r="H28" s="1">
        <f t="shared" si="1"/>
        <v>0</v>
      </c>
    </row>
    <row r="29" spans="1:15" x14ac:dyDescent="0.25">
      <c r="A29" s="24">
        <f>IF(B29="","",MAX($A$18:A28)+1)</f>
        <v>10</v>
      </c>
      <c r="B29" s="110">
        <f t="shared" si="0"/>
        <v>42978</v>
      </c>
      <c r="C29" s="111"/>
      <c r="D29" s="116">
        <f>DAY(EOMONTH(B29,0))-H29</f>
        <v>31</v>
      </c>
      <c r="E29" s="27">
        <v>5000</v>
      </c>
      <c r="F29" s="26">
        <f>IFERROR(ROUND(E29/D29, 2),"")</f>
        <v>161.29</v>
      </c>
      <c r="H29" s="1">
        <f t="shared" si="1"/>
        <v>0</v>
      </c>
    </row>
    <row r="30" spans="1:15" x14ac:dyDescent="0.25">
      <c r="A30" s="24">
        <f>IF(B30="","",MAX($A$18:A29)+1)</f>
        <v>11</v>
      </c>
      <c r="B30" s="110">
        <f t="shared" si="0"/>
        <v>43008</v>
      </c>
      <c r="C30" s="111"/>
      <c r="D30" s="116">
        <f>DAY(EOMONTH(B30,0))-H30</f>
        <v>30</v>
      </c>
      <c r="E30" s="27">
        <v>5000</v>
      </c>
      <c r="F30" s="26">
        <f>IFERROR(ROUND(E30/D30, 2),"")</f>
        <v>166.67</v>
      </c>
      <c r="H30" s="1">
        <f t="shared" si="1"/>
        <v>0</v>
      </c>
    </row>
    <row r="31" spans="1:15" ht="15.75" thickBot="1" x14ac:dyDescent="0.3">
      <c r="A31" s="28">
        <f>IF(B31="","",MAX($A$18:A30)+1)</f>
        <v>12</v>
      </c>
      <c r="B31" s="112">
        <f>EOMONTH(E15,-1)</f>
        <v>43039</v>
      </c>
      <c r="C31" s="113"/>
      <c r="D31" s="116">
        <f>DAY(EOMONTH(B31,0))-H31</f>
        <v>31</v>
      </c>
      <c r="E31" s="29">
        <v>5000</v>
      </c>
      <c r="F31" s="30">
        <f>IFERROR(ROUND(E31/D31, 2),"")</f>
        <v>161.29</v>
      </c>
      <c r="H31" s="1">
        <f t="shared" si="1"/>
        <v>0</v>
      </c>
    </row>
    <row r="32" spans="1:15" ht="15.75" x14ac:dyDescent="0.25">
      <c r="A32" s="31">
        <f>A31</f>
        <v>12</v>
      </c>
      <c r="B32" s="32" t="s">
        <v>11</v>
      </c>
      <c r="C32" s="33"/>
      <c r="D32" s="31">
        <f>IF(SUM(D20:D31),SUM(D20:D31),"")</f>
        <v>349</v>
      </c>
      <c r="E32" s="34">
        <f>IF(SUM(E20:E31),SUM(E20:E31),"")</f>
        <v>56100</v>
      </c>
      <c r="F32" s="35">
        <f t="shared" ref="F32" si="2">IFERROR(ROUND(E32/D32, 2),"")</f>
        <v>160.74</v>
      </c>
    </row>
    <row r="34" spans="1:12" x14ac:dyDescent="0.25">
      <c r="B34" s="36" t="s">
        <v>101</v>
      </c>
    </row>
    <row r="35" spans="1:12" x14ac:dyDescent="0.25">
      <c r="A35" s="37" t="s">
        <v>92</v>
      </c>
      <c r="B35" s="37" t="s">
        <v>95</v>
      </c>
      <c r="C35" s="38"/>
      <c r="D35" s="39"/>
      <c r="E35" s="40"/>
      <c r="F35" s="40"/>
    </row>
    <row r="36" spans="1:12" x14ac:dyDescent="0.25">
      <c r="A36" s="41" t="s">
        <v>93</v>
      </c>
      <c r="B36" s="41" t="s">
        <v>96</v>
      </c>
      <c r="C36" s="41" t="s">
        <v>97</v>
      </c>
      <c r="D36" s="42" t="s">
        <v>99</v>
      </c>
      <c r="E36" s="43"/>
      <c r="F36" s="43"/>
    </row>
    <row r="37" spans="1:12" x14ac:dyDescent="0.25">
      <c r="A37" s="41" t="s">
        <v>94</v>
      </c>
      <c r="B37" s="41"/>
      <c r="C37" s="41" t="s">
        <v>10</v>
      </c>
      <c r="D37" s="42" t="s">
        <v>100</v>
      </c>
      <c r="E37" s="43"/>
      <c r="F37" s="43"/>
    </row>
    <row r="38" spans="1:12" x14ac:dyDescent="0.25">
      <c r="A38" s="41"/>
      <c r="B38" s="41"/>
      <c r="C38" s="41" t="s">
        <v>98</v>
      </c>
      <c r="D38" s="42"/>
      <c r="E38" s="43"/>
      <c r="F38" s="43"/>
    </row>
    <row r="39" spans="1:12" x14ac:dyDescent="0.25">
      <c r="A39" s="41"/>
      <c r="B39" s="41"/>
      <c r="C39" s="41"/>
      <c r="D39" s="42"/>
      <c r="E39" s="43"/>
      <c r="F39" s="43"/>
    </row>
    <row r="40" spans="1:12" ht="15.75" thickBot="1" x14ac:dyDescent="0.3">
      <c r="A40" s="44"/>
      <c r="B40" s="44"/>
      <c r="C40" s="44"/>
      <c r="D40" s="45"/>
      <c r="E40" s="43"/>
      <c r="F40" s="43"/>
    </row>
    <row r="41" spans="1:12" x14ac:dyDescent="0.25">
      <c r="A41" s="46">
        <f>E15</f>
        <v>43066</v>
      </c>
      <c r="B41" s="47"/>
      <c r="C41" s="47"/>
      <c r="D41" s="48"/>
      <c r="E41" s="43"/>
      <c r="F41" s="49"/>
      <c r="L41" s="50"/>
    </row>
    <row r="42" spans="1:12" ht="15.75" x14ac:dyDescent="0.25">
      <c r="A42" s="51">
        <f>G15</f>
        <v>0</v>
      </c>
      <c r="B42" s="106">
        <f>--MID(F14,1,SEARCH(" ",F14))</f>
        <v>24</v>
      </c>
      <c r="C42" s="52">
        <f>F32</f>
        <v>160.74</v>
      </c>
      <c r="D42" s="107">
        <f>IFERROR(ROUND(B42*C42,2),"")</f>
        <v>3857.76</v>
      </c>
      <c r="E42" s="53"/>
      <c r="F42" s="54"/>
    </row>
    <row r="44" spans="1:12" x14ac:dyDescent="0.25">
      <c r="A44" s="1" t="str">
        <f>"Всего начислено – сумма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Всего начислено – сумма словами:  три тисячi вісімсот п'ятдесят сім гривень 76 коп. </v>
      </c>
      <c r="E44" s="55"/>
      <c r="F44" s="56"/>
    </row>
    <row r="45" spans="1:12" x14ac:dyDescent="0.25">
      <c r="E45" s="56"/>
      <c r="F45" s="56"/>
    </row>
    <row r="46" spans="1:12" x14ac:dyDescent="0.25">
      <c r="A46" s="1" t="str">
        <f>"Включено до платёжной ведомости за "&amp;F1&amp;" "</f>
        <v xml:space="preserve">Включено до платёжной ведомости за Март </v>
      </c>
      <c r="E46" s="57"/>
      <c r="F46" s="4"/>
      <c r="G46" s="56"/>
      <c r="H46" s="56"/>
    </row>
    <row r="47" spans="1:12" x14ac:dyDescent="0.25">
      <c r="G47" s="56"/>
      <c r="H47" s="56"/>
    </row>
    <row r="61" spans="1:8" x14ac:dyDescent="0.25">
      <c r="A61" s="58" t="s">
        <v>12</v>
      </c>
      <c r="B61" s="59"/>
      <c r="C61" s="59"/>
      <c r="D61" s="60"/>
      <c r="E61" s="61">
        <v>42748</v>
      </c>
      <c r="F61" s="59"/>
      <c r="G61" s="59"/>
      <c r="H61" s="60"/>
    </row>
    <row r="62" spans="1:8" x14ac:dyDescent="0.25">
      <c r="A62" s="58" t="s">
        <v>13</v>
      </c>
      <c r="B62" s="59"/>
      <c r="C62" s="59"/>
      <c r="D62" s="60"/>
      <c r="E62" s="58"/>
      <c r="F62" s="59"/>
      <c r="G62" s="59"/>
      <c r="H62" s="60"/>
    </row>
    <row r="63" spans="1:8" x14ac:dyDescent="0.25">
      <c r="A63" s="58" t="s">
        <v>14</v>
      </c>
      <c r="B63" s="59"/>
      <c r="C63" s="59"/>
      <c r="D63" s="60"/>
      <c r="E63" s="58" t="s">
        <v>15</v>
      </c>
      <c r="F63" s="59"/>
      <c r="G63" s="59"/>
      <c r="H63" s="60"/>
    </row>
    <row r="64" spans="1:8" x14ac:dyDescent="0.25">
      <c r="A64" s="58" t="s">
        <v>16</v>
      </c>
      <c r="B64" s="59"/>
      <c r="C64" s="59"/>
      <c r="D64" s="60"/>
      <c r="E64" s="61" t="e">
        <f>#REF!</f>
        <v>#REF!</v>
      </c>
      <c r="F64" s="59"/>
      <c r="G64" s="59"/>
      <c r="H64" s="60"/>
    </row>
    <row r="65" spans="1:23" x14ac:dyDescent="0.25">
      <c r="A65" s="62" t="s">
        <v>17</v>
      </c>
      <c r="B65" s="59"/>
      <c r="C65" s="59"/>
      <c r="D65" s="60"/>
      <c r="E65" s="58"/>
      <c r="F65" s="59"/>
      <c r="G65" s="59"/>
      <c r="H65" s="60"/>
    </row>
    <row r="66" spans="1:23" x14ac:dyDescent="0.25">
      <c r="A66" s="58" t="s">
        <v>18</v>
      </c>
      <c r="B66" s="59"/>
      <c r="C66" s="59"/>
      <c r="D66" s="60"/>
      <c r="E66" s="58"/>
      <c r="F66" s="59"/>
      <c r="G66" s="59"/>
      <c r="H66" s="60"/>
    </row>
    <row r="67" spans="1:23" x14ac:dyDescent="0.25">
      <c r="A67" s="58" t="s">
        <v>19</v>
      </c>
      <c r="B67" s="59"/>
      <c r="C67" s="59"/>
      <c r="D67" s="60"/>
      <c r="E67" s="58"/>
      <c r="F67" s="59"/>
      <c r="G67" s="59"/>
      <c r="H67" s="60"/>
    </row>
    <row r="69" spans="1:23" x14ac:dyDescent="0.25">
      <c r="A69" s="1" t="s">
        <v>20</v>
      </c>
      <c r="F69" s="1" t="s">
        <v>21</v>
      </c>
    </row>
    <row r="70" spans="1:23" ht="18.75" x14ac:dyDescent="0.3">
      <c r="J70" s="63" t="s">
        <v>22</v>
      </c>
      <c r="Q70" s="108" t="str">
        <f>F1</f>
        <v>Март</v>
      </c>
      <c r="R70" s="109"/>
    </row>
    <row r="71" spans="1:23" x14ac:dyDescent="0.25">
      <c r="I71" s="64"/>
    </row>
    <row r="72" spans="1:23" x14ac:dyDescent="0.25">
      <c r="A72" s="65"/>
      <c r="B72" s="66"/>
      <c r="C72" s="66"/>
      <c r="D72" s="67" t="s">
        <v>23</v>
      </c>
      <c r="E72" s="65"/>
      <c r="F72" s="66"/>
      <c r="G72" s="12"/>
      <c r="H72" s="68" t="s">
        <v>24</v>
      </c>
      <c r="J72" s="12"/>
      <c r="K72" s="69" t="s">
        <v>25</v>
      </c>
      <c r="L72" s="58"/>
      <c r="M72" s="59"/>
      <c r="N72" s="59"/>
      <c r="O72" s="59"/>
      <c r="P72" s="70" t="s">
        <v>26</v>
      </c>
      <c r="Q72" s="59"/>
      <c r="R72" s="59"/>
      <c r="S72" s="59"/>
      <c r="T72" s="59"/>
      <c r="U72" s="71" t="s">
        <v>27</v>
      </c>
      <c r="V72" s="72"/>
      <c r="W72" s="12"/>
    </row>
    <row r="73" spans="1:23" x14ac:dyDescent="0.25">
      <c r="A73" s="15"/>
      <c r="B73" s="40"/>
      <c r="C73" s="40"/>
      <c r="D73" s="73" t="s">
        <v>28</v>
      </c>
      <c r="E73" s="74"/>
      <c r="F73" s="75" t="s">
        <v>29</v>
      </c>
      <c r="G73" s="16"/>
      <c r="H73" s="13" t="s">
        <v>30</v>
      </c>
      <c r="I73" s="10" t="s">
        <v>31</v>
      </c>
      <c r="J73" s="76" t="s">
        <v>32</v>
      </c>
      <c r="K73" s="77" t="s">
        <v>33</v>
      </c>
      <c r="L73" s="24"/>
      <c r="M73" s="78">
        <v>1</v>
      </c>
      <c r="N73" s="78"/>
      <c r="O73" s="78"/>
      <c r="P73" s="78">
        <v>2</v>
      </c>
      <c r="Q73" s="78"/>
      <c r="R73" s="78"/>
      <c r="S73" s="78">
        <v>3</v>
      </c>
      <c r="T73" s="33"/>
      <c r="U73" s="79" t="s">
        <v>34</v>
      </c>
      <c r="V73" s="64"/>
      <c r="W73" s="18"/>
    </row>
    <row r="74" spans="1:23" ht="15.75" x14ac:dyDescent="0.25">
      <c r="A74" s="80" t="s">
        <v>35</v>
      </c>
      <c r="B74" s="40"/>
      <c r="C74" s="40"/>
      <c r="D74" s="81" t="s">
        <v>36</v>
      </c>
      <c r="E74" s="82" t="s">
        <v>37</v>
      </c>
      <c r="F74" s="83" t="s">
        <v>38</v>
      </c>
      <c r="G74" s="76" t="s">
        <v>39</v>
      </c>
      <c r="H74" s="18" t="s">
        <v>40</v>
      </c>
      <c r="I74" s="14" t="s">
        <v>41</v>
      </c>
      <c r="J74" s="82" t="s">
        <v>42</v>
      </c>
      <c r="K74" s="77" t="s">
        <v>43</v>
      </c>
      <c r="L74" s="66" t="s">
        <v>44</v>
      </c>
      <c r="M74" s="66"/>
      <c r="N74" s="12"/>
      <c r="O74" s="62" t="s">
        <v>45</v>
      </c>
      <c r="P74" s="59"/>
      <c r="Q74" s="84">
        <v>1.4999999999999999E-2</v>
      </c>
      <c r="R74" s="62" t="s">
        <v>46</v>
      </c>
      <c r="S74" s="59"/>
      <c r="T74" s="60"/>
      <c r="U74" s="10" t="s">
        <v>47</v>
      </c>
      <c r="V74" s="72" t="s">
        <v>42</v>
      </c>
      <c r="W74" s="76" t="s">
        <v>48</v>
      </c>
    </row>
    <row r="75" spans="1:23" ht="15.75" x14ac:dyDescent="0.25">
      <c r="A75" s="80" t="s">
        <v>49</v>
      </c>
      <c r="B75" s="40"/>
      <c r="C75" s="40"/>
      <c r="D75" s="81" t="s">
        <v>50</v>
      </c>
      <c r="E75" s="82" t="s">
        <v>51</v>
      </c>
      <c r="F75" s="83" t="s">
        <v>52</v>
      </c>
      <c r="G75" s="82" t="s">
        <v>53</v>
      </c>
      <c r="H75" s="18" t="s">
        <v>54</v>
      </c>
      <c r="I75" s="14" t="s">
        <v>55</v>
      </c>
      <c r="J75" s="14" t="s">
        <v>56</v>
      </c>
      <c r="K75" s="16"/>
      <c r="L75" s="64" t="s">
        <v>57</v>
      </c>
      <c r="M75" s="64"/>
      <c r="N75" s="85">
        <v>0.18</v>
      </c>
      <c r="O75" s="10" t="s">
        <v>58</v>
      </c>
      <c r="P75" s="10" t="s">
        <v>59</v>
      </c>
      <c r="Q75" s="76" t="s">
        <v>60</v>
      </c>
      <c r="R75" s="10" t="s">
        <v>58</v>
      </c>
      <c r="S75" s="10" t="s">
        <v>59</v>
      </c>
      <c r="T75" s="76" t="s">
        <v>60</v>
      </c>
      <c r="U75" s="14" t="s">
        <v>61</v>
      </c>
      <c r="V75" s="43" t="s">
        <v>62</v>
      </c>
      <c r="W75" s="14" t="s">
        <v>63</v>
      </c>
    </row>
    <row r="76" spans="1:23" x14ac:dyDescent="0.25">
      <c r="A76" s="15"/>
      <c r="B76" s="40"/>
      <c r="C76" s="40"/>
      <c r="D76" s="81" t="s">
        <v>64</v>
      </c>
      <c r="E76" s="17"/>
      <c r="F76" s="40"/>
      <c r="G76" s="17"/>
      <c r="H76" s="18" t="s">
        <v>65</v>
      </c>
      <c r="I76" s="14"/>
      <c r="J76" s="14" t="s">
        <v>53</v>
      </c>
      <c r="K76" s="18" t="s">
        <v>66</v>
      </c>
      <c r="L76" s="13" t="s">
        <v>58</v>
      </c>
      <c r="M76" s="10" t="s">
        <v>59</v>
      </c>
      <c r="N76" s="76" t="s">
        <v>60</v>
      </c>
      <c r="O76" s="14" t="s">
        <v>67</v>
      </c>
      <c r="P76" s="14" t="s">
        <v>68</v>
      </c>
      <c r="Q76" s="14"/>
      <c r="R76" s="14" t="s">
        <v>67</v>
      </c>
      <c r="S76" s="14" t="s">
        <v>68</v>
      </c>
      <c r="T76" s="14"/>
      <c r="U76" s="14" t="s">
        <v>69</v>
      </c>
      <c r="V76" s="40"/>
      <c r="W76" s="14" t="s">
        <v>70</v>
      </c>
    </row>
    <row r="77" spans="1:23" x14ac:dyDescent="0.25">
      <c r="A77" s="15"/>
      <c r="B77" s="40"/>
      <c r="C77" s="40"/>
      <c r="D77" s="81" t="s">
        <v>71</v>
      </c>
      <c r="E77" s="17"/>
      <c r="F77" s="40"/>
      <c r="G77" s="17"/>
      <c r="H77" s="18" t="s">
        <v>72</v>
      </c>
      <c r="I77" s="14" t="s">
        <v>73</v>
      </c>
      <c r="J77" s="14" t="s">
        <v>65</v>
      </c>
      <c r="K77" s="18" t="s">
        <v>74</v>
      </c>
      <c r="L77" s="18" t="s">
        <v>67</v>
      </c>
      <c r="M77" s="14" t="s">
        <v>68</v>
      </c>
      <c r="N77" s="14"/>
      <c r="O77" s="14" t="s">
        <v>75</v>
      </c>
      <c r="P77" s="14" t="s">
        <v>73</v>
      </c>
      <c r="Q77" s="14"/>
      <c r="R77" s="14" t="s">
        <v>75</v>
      </c>
      <c r="S77" s="14" t="s">
        <v>73</v>
      </c>
      <c r="T77" s="14"/>
      <c r="U77" s="14" t="s">
        <v>76</v>
      </c>
      <c r="V77" s="43"/>
      <c r="W77" s="14" t="s">
        <v>77</v>
      </c>
    </row>
    <row r="78" spans="1:23" x14ac:dyDescent="0.25">
      <c r="A78" s="15"/>
      <c r="B78" s="40"/>
      <c r="C78" s="40"/>
      <c r="D78" s="81" t="s">
        <v>78</v>
      </c>
      <c r="E78" s="17"/>
      <c r="F78" s="40"/>
      <c r="G78" s="17"/>
      <c r="H78" s="18" t="s">
        <v>79</v>
      </c>
      <c r="I78" s="14"/>
      <c r="J78" s="14" t="s">
        <v>80</v>
      </c>
      <c r="K78" s="18" t="s">
        <v>41</v>
      </c>
      <c r="L78" s="18" t="s">
        <v>75</v>
      </c>
      <c r="M78" s="14" t="s">
        <v>73</v>
      </c>
      <c r="N78" s="14"/>
      <c r="O78" s="14" t="s">
        <v>81</v>
      </c>
      <c r="P78" s="14"/>
      <c r="Q78" s="14"/>
      <c r="R78" s="14" t="s">
        <v>81</v>
      </c>
      <c r="S78" s="14"/>
      <c r="T78" s="14"/>
      <c r="U78" s="14" t="s">
        <v>82</v>
      </c>
      <c r="V78" s="43"/>
      <c r="W78" s="14" t="s">
        <v>76</v>
      </c>
    </row>
    <row r="79" spans="1:23" x14ac:dyDescent="0.25">
      <c r="A79" s="15"/>
      <c r="B79" s="40"/>
      <c r="C79" s="40"/>
      <c r="D79" s="81" t="s">
        <v>83</v>
      </c>
      <c r="E79" s="14"/>
      <c r="F79" s="40"/>
      <c r="G79" s="17"/>
      <c r="H79" s="18"/>
      <c r="I79" s="14"/>
      <c r="J79" s="14" t="s">
        <v>73</v>
      </c>
      <c r="K79" s="18" t="s">
        <v>84</v>
      </c>
      <c r="L79" s="18" t="s">
        <v>81</v>
      </c>
      <c r="M79" s="14"/>
      <c r="N79" s="14"/>
      <c r="O79" s="14" t="s">
        <v>85</v>
      </c>
      <c r="P79" s="14"/>
      <c r="Q79" s="14"/>
      <c r="R79" s="14" t="s">
        <v>85</v>
      </c>
      <c r="S79" s="14"/>
      <c r="T79" s="14"/>
      <c r="U79" s="82" t="s">
        <v>86</v>
      </c>
      <c r="V79" s="40"/>
      <c r="W79" s="14" t="s">
        <v>82</v>
      </c>
    </row>
    <row r="80" spans="1:23" x14ac:dyDescent="0.25">
      <c r="A80" s="15"/>
      <c r="B80" s="40"/>
      <c r="C80" s="40"/>
      <c r="D80" s="81" t="s">
        <v>87</v>
      </c>
      <c r="E80" s="14"/>
      <c r="F80" s="40"/>
      <c r="G80" s="17"/>
      <c r="H80" s="86"/>
      <c r="I80" s="87"/>
      <c r="J80" s="88">
        <f>SUM(H80:I80)</f>
        <v>0</v>
      </c>
      <c r="K80" s="18"/>
      <c r="L80" s="18" t="s">
        <v>85</v>
      </c>
      <c r="M80" s="14"/>
      <c r="N80" s="14"/>
      <c r="O80" s="14" t="s">
        <v>82</v>
      </c>
      <c r="P80" s="14"/>
      <c r="Q80" s="14"/>
      <c r="R80" s="14" t="s">
        <v>82</v>
      </c>
      <c r="S80" s="14"/>
      <c r="T80" s="14"/>
      <c r="U80" s="82" t="s">
        <v>73</v>
      </c>
      <c r="V80" s="40"/>
      <c r="W80" s="82" t="s">
        <v>88</v>
      </c>
    </row>
    <row r="81" spans="1:23" ht="15.75" thickBot="1" x14ac:dyDescent="0.3">
      <c r="A81" s="20"/>
      <c r="B81" s="89"/>
      <c r="C81" s="89"/>
      <c r="D81" s="20"/>
      <c r="E81" s="19"/>
      <c r="F81" s="89"/>
      <c r="G81" s="22"/>
      <c r="H81" s="21"/>
      <c r="I81" s="22"/>
      <c r="J81" s="22"/>
      <c r="K81" s="90">
        <v>0.22</v>
      </c>
      <c r="L81" s="23" t="s">
        <v>82</v>
      </c>
      <c r="M81" s="19"/>
      <c r="N81" s="19"/>
      <c r="O81" s="19"/>
      <c r="P81" s="19"/>
      <c r="Q81" s="19"/>
      <c r="R81" s="19"/>
      <c r="S81" s="19"/>
      <c r="T81" s="19"/>
      <c r="U81" s="22"/>
      <c r="V81" s="91"/>
      <c r="W81" s="19" t="s">
        <v>73</v>
      </c>
    </row>
    <row r="82" spans="1:23" ht="15.75" x14ac:dyDescent="0.25">
      <c r="A82" s="74">
        <f>D5</f>
        <v>0</v>
      </c>
      <c r="B82" s="64"/>
      <c r="C82" s="64"/>
      <c r="D82" s="92">
        <v>30</v>
      </c>
      <c r="E82" s="93">
        <f>E15</f>
        <v>43066</v>
      </c>
      <c r="F82" s="93">
        <f>G15</f>
        <v>0</v>
      </c>
      <c r="G82" s="94">
        <f>B42</f>
        <v>24</v>
      </c>
      <c r="H82" s="26">
        <f>E42</f>
        <v>0</v>
      </c>
      <c r="I82" s="95">
        <f>F42</f>
        <v>0</v>
      </c>
      <c r="J82" s="96">
        <f>D42</f>
        <v>3857.76</v>
      </c>
      <c r="K82" s="97">
        <f>IF(E82&lt;&gt;0,J82*K81,(ROUND(IF(AND(J82&gt;=3200,D82&lt;=E84),IFERROR(IF(FIND("Інвалид",A82,1)&gt;0,J82*0.0841,""),J82*0.22),IF(AND(J82&lt;3200,D82=E84),IFERROR(IF(FIND("Інвалид",A82,1)&gt;0,269.12,""),704),IF(AND(D82&lt;E84,J82&lt;3200),IFERROR(IF(FIND("Інвалид",A82,1)&gt;0,J82*0.0841,""),J82*0.22)))),2)))</f>
        <v>848.70720000000006</v>
      </c>
      <c r="L82" s="98">
        <f>ROUND(MAX(0,18%*(H82-800*(C82&lt;=2240)*ISBLANK(C82))),2)</f>
        <v>0</v>
      </c>
      <c r="M82" s="98">
        <f>ROUND(MAX(0,18%*(I82-800*(J82&lt;=2240))),2)</f>
        <v>0</v>
      </c>
      <c r="N82" s="96">
        <f>SUM(L82:M82)</f>
        <v>0</v>
      </c>
      <c r="O82" s="95">
        <f>ROUND(H82*$Q$74,2)</f>
        <v>0</v>
      </c>
      <c r="P82" s="95">
        <f>ROUND(I82*$Q$74,2)</f>
        <v>0</v>
      </c>
      <c r="Q82" s="96">
        <f>SUM(O82:P82)</f>
        <v>0</v>
      </c>
      <c r="R82" s="95">
        <f>SUM(L82,O82)</f>
        <v>0</v>
      </c>
      <c r="S82" s="95">
        <f>SUM(M82,P82)</f>
        <v>0</v>
      </c>
      <c r="T82" s="96">
        <f>SUM(R82:S82)</f>
        <v>0</v>
      </c>
      <c r="U82" s="95">
        <f>H82-R82</f>
        <v>0</v>
      </c>
      <c r="V82" s="95">
        <f>I82-S82</f>
        <v>0</v>
      </c>
      <c r="W82" s="95">
        <f>SUM(U82:V82)</f>
        <v>0</v>
      </c>
    </row>
    <row r="84" spans="1:23" x14ac:dyDescent="0.25">
      <c r="A84" s="58" t="s">
        <v>89</v>
      </c>
      <c r="B84" s="59"/>
      <c r="C84" s="59"/>
      <c r="D84" s="99" t="str">
        <f>Q70</f>
        <v>Март</v>
      </c>
      <c r="E84" s="100" t="e">
        <f>DAY(EOMONTH(Q70,0))</f>
        <v>#VALUE!</v>
      </c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4294967293" verticalDpi="0" r:id="rId1"/>
  <ignoredErrors>
    <ignoredError sqref="D20:D3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2017-12-13T11:43:47Z</dcterms:created>
  <dcterms:modified xsi:type="dcterms:W3CDTF">2017-12-14T08:49:36Z</dcterms:modified>
</cp:coreProperties>
</file>