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изван\Desktop\"/>
    </mc:Choice>
  </mc:AlternateContent>
  <bookViews>
    <workbookView xWindow="0" yWindow="0" windowWidth="15345" windowHeight="45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E2" i="1"/>
  <c r="C1" i="1"/>
  <c r="G2" i="1" s="1"/>
  <c r="B7" i="1" l="1"/>
  <c r="I9" i="1" s="1"/>
  <c r="I17" i="1"/>
  <c r="K17" i="1" s="1"/>
  <c r="I2" i="1"/>
  <c r="I18" i="1" s="1"/>
  <c r="K18" i="1" s="1"/>
  <c r="H2" i="1"/>
  <c r="I8" i="1"/>
  <c r="K8" i="1" s="1"/>
  <c r="F3" i="1"/>
  <c r="B8" i="1"/>
  <c r="F2" i="1"/>
  <c r="I6" i="1" l="1"/>
  <c r="I7" i="1"/>
  <c r="K2" i="1"/>
  <c r="J3" i="1" s="1"/>
  <c r="I5" i="1"/>
  <c r="H3" i="1"/>
  <c r="I16" i="1" s="1"/>
  <c r="J2" i="1" l="1"/>
  <c r="I14" i="1"/>
  <c r="L3" i="1"/>
  <c r="L2" i="1"/>
  <c r="I23" i="1" s="1"/>
  <c r="K25" i="1"/>
  <c r="I11" i="1"/>
  <c r="I10" i="1"/>
  <c r="K10" i="1" s="1"/>
  <c r="I12" i="1" l="1"/>
  <c r="I13" i="1"/>
  <c r="I15" i="1" s="1"/>
  <c r="I19" i="1" l="1"/>
  <c r="K19" i="1" s="1"/>
  <c r="I20" i="1" s="1"/>
  <c r="I21" i="1" s="1"/>
  <c r="I22" i="1" l="1"/>
  <c r="I24" i="1" s="1"/>
  <c r="I26" i="1" s="1"/>
</calcChain>
</file>

<file path=xl/sharedStrings.xml><?xml version="1.0" encoding="utf-8"?>
<sst xmlns="http://schemas.openxmlformats.org/spreadsheetml/2006/main" count="47" uniqueCount="39">
  <si>
    <t xml:space="preserve">Дата оформления </t>
  </si>
  <si>
    <t>Кредит. лимит</t>
  </si>
  <si>
    <t>1РП</t>
  </si>
  <si>
    <t>Кол-во дней в 1 РП</t>
  </si>
  <si>
    <t>2РП</t>
  </si>
  <si>
    <t>Кол-во дней в 2 РП</t>
  </si>
  <si>
    <t>3РП</t>
  </si>
  <si>
    <t>Кол-во дней в 3 РП</t>
  </si>
  <si>
    <t>4РП</t>
  </si>
  <si>
    <t>Кол-во дней в 4 РП</t>
  </si>
  <si>
    <t>Снятие 1</t>
  </si>
  <si>
    <t>Снятие 2</t>
  </si>
  <si>
    <t>Покупка 1</t>
  </si>
  <si>
    <t>Покупка 2</t>
  </si>
  <si>
    <t>Состав 1-го платежа до</t>
  </si>
  <si>
    <t>Кол-во дней после снятия 1</t>
  </si>
  <si>
    <t>Основной долг в 1 РП</t>
  </si>
  <si>
    <t>Кол-во дней после снятия 2</t>
  </si>
  <si>
    <t xml:space="preserve">Комиссия за оформление </t>
  </si>
  <si>
    <t>Комиссия за снятие наличных в 1 ПП</t>
  </si>
  <si>
    <t>→</t>
  </si>
  <si>
    <t>% за снятие в  1 РП</t>
  </si>
  <si>
    <t>МП1</t>
  </si>
  <si>
    <t>Остаток ОД за 1 операцию</t>
  </si>
  <si>
    <t>Состав 2-го платежа до</t>
  </si>
  <si>
    <t>Основной долг в 2 РП</t>
  </si>
  <si>
    <t>После оплаты 1-ого платежа на погашение ОД пошло</t>
  </si>
  <si>
    <t>Остаток ОД</t>
  </si>
  <si>
    <t>Комиссия за снятие наличных в 2 ПП</t>
  </si>
  <si>
    <t>% за снятие в  2 РП</t>
  </si>
  <si>
    <t>МП2</t>
  </si>
  <si>
    <t>После оплаты 2-ого платежа на погашение ОД пошло</t>
  </si>
  <si>
    <t>Сумма для реализации беспроцентного периода</t>
  </si>
  <si>
    <t>Основной долг</t>
  </si>
  <si>
    <t>% за снятие в  3 РП</t>
  </si>
  <si>
    <t>СуммаБП</t>
  </si>
  <si>
    <t>Если 1 операция - покупка, то C3</t>
  </si>
  <si>
    <t>Если 1 операция - снятие, то I12</t>
  </si>
  <si>
    <t>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</si>
</sst>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#,##0.000\ &quot;₽&quot;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2F2F2F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Verdana"/>
      <family val="2"/>
      <charset val="204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ont="1" applyFill="1" applyBorder="1" applyAlignment="1">
      <alignment horizontal="center" readingOrder="1"/>
    </xf>
    <xf numFmtId="14" fontId="0" fillId="3" borderId="1" xfId="0" applyNumberFormat="1" applyFont="1" applyFill="1" applyBorder="1" applyAlignment="1">
      <alignment horizontal="center" readingOrder="1"/>
    </xf>
    <xf numFmtId="0" fontId="0" fillId="0" borderId="0" xfId="0" applyAlignment="1">
      <alignment horizontal="center" readingOrder="1"/>
    </xf>
    <xf numFmtId="164" fontId="0" fillId="3" borderId="1" xfId="0" applyNumberFormat="1" applyFont="1" applyFill="1" applyBorder="1" applyAlignment="1">
      <alignment horizontal="center" readingOrder="1"/>
    </xf>
    <xf numFmtId="0" fontId="0" fillId="2" borderId="1" xfId="0" applyFill="1" applyBorder="1" applyAlignment="1">
      <alignment horizontal="center" wrapText="1" readingOrder="1"/>
    </xf>
    <xf numFmtId="0" fontId="2" fillId="2" borderId="1" xfId="0" applyFont="1" applyFill="1" applyBorder="1" applyAlignment="1">
      <alignment horizontal="center" wrapText="1" readingOrder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readingOrder="1"/>
    </xf>
    <xf numFmtId="0" fontId="0" fillId="0" borderId="1" xfId="0" applyFont="1" applyFill="1" applyBorder="1" applyAlignment="1">
      <alignment horizontal="center" readingOrder="1"/>
    </xf>
    <xf numFmtId="0" fontId="0" fillId="0" borderId="1" xfId="0" applyBorder="1" applyAlignment="1">
      <alignment horizontal="center" readingOrder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4" fontId="0" fillId="3" borderId="1" xfId="0" applyNumberFormat="1" applyFill="1" applyBorder="1" applyAlignment="1">
      <alignment horizontal="center" readingOrder="1"/>
    </xf>
    <xf numFmtId="164" fontId="0" fillId="3" borderId="1" xfId="0" applyNumberFormat="1" applyFill="1" applyBorder="1" applyAlignment="1">
      <alignment horizontal="center" readingOrder="1"/>
    </xf>
    <xf numFmtId="14" fontId="1" fillId="0" borderId="1" xfId="0" applyNumberFormat="1" applyFont="1" applyBorder="1" applyAlignment="1">
      <alignment horizontal="right" readingOrder="1"/>
    </xf>
    <xf numFmtId="0" fontId="0" fillId="0" borderId="0" xfId="0" applyAlignment="1">
      <alignment horizontal="left" readingOrder="1"/>
    </xf>
    <xf numFmtId="1" fontId="0" fillId="0" borderId="1" xfId="0" applyNumberFormat="1" applyFont="1" applyFill="1" applyBorder="1" applyAlignment="1">
      <alignment horizontal="center" readingOrder="1"/>
    </xf>
    <xf numFmtId="164" fontId="4" fillId="0" borderId="0" xfId="0" applyNumberFormat="1" applyFont="1" applyAlignment="1">
      <alignment horizontal="left" readingOrder="1"/>
    </xf>
    <xf numFmtId="0" fontId="0" fillId="0" borderId="0" xfId="0" applyFont="1" applyFill="1" applyBorder="1" applyAlignment="1">
      <alignment horizontal="center" readingOrder="1"/>
    </xf>
    <xf numFmtId="0" fontId="0" fillId="0" borderId="0" xfId="0" applyFill="1" applyBorder="1"/>
    <xf numFmtId="14" fontId="0" fillId="0" borderId="0" xfId="0" applyNumberFormat="1" applyBorder="1" applyAlignment="1">
      <alignment horizontal="center" readingOrder="1"/>
    </xf>
    <xf numFmtId="164" fontId="0" fillId="4" borderId="0" xfId="0" applyNumberFormat="1" applyFill="1" applyAlignment="1">
      <alignment horizontal="left" readingOrder="1"/>
    </xf>
    <xf numFmtId="0" fontId="5" fillId="0" borderId="0" xfId="0" applyFont="1"/>
    <xf numFmtId="1" fontId="0" fillId="0" borderId="0" xfId="0" applyNumberFormat="1"/>
    <xf numFmtId="0" fontId="1" fillId="2" borderId="4" xfId="0" applyFont="1" applyFill="1" applyBorder="1" applyAlignment="1">
      <alignment horizontal="left" readingOrder="1"/>
    </xf>
    <xf numFmtId="0" fontId="0" fillId="2" borderId="5" xfId="0" applyFill="1" applyBorder="1" applyAlignment="1">
      <alignment horizontal="left" indent="10" readingOrder="1"/>
    </xf>
    <xf numFmtId="0" fontId="0" fillId="2" borderId="6" xfId="0" applyFill="1" applyBorder="1" applyAlignment="1">
      <alignment horizontal="left" indent="10" readingOrder="1"/>
    </xf>
    <xf numFmtId="0" fontId="0" fillId="2" borderId="7" xfId="0" applyFill="1" applyBorder="1" applyAlignment="1">
      <alignment horizontal="left" indent="10" readingOrder="1"/>
    </xf>
    <xf numFmtId="164" fontId="0" fillId="0" borderId="3" xfId="0" applyNumberFormat="1" applyBorder="1" applyAlignment="1">
      <alignment horizontal="right" readingOrder="1"/>
    </xf>
    <xf numFmtId="0" fontId="0" fillId="2" borderId="8" xfId="0" applyFill="1" applyBorder="1" applyAlignment="1">
      <alignment horizontal="left" indent="10" readingOrder="1"/>
    </xf>
    <xf numFmtId="0" fontId="0" fillId="2" borderId="0" xfId="0" applyFill="1" applyBorder="1" applyAlignment="1">
      <alignment horizontal="left" indent="10" readingOrder="1"/>
    </xf>
    <xf numFmtId="0" fontId="0" fillId="2" borderId="9" xfId="0" applyFill="1" applyBorder="1" applyAlignment="1">
      <alignment horizontal="left" indent="10" readingOrder="1"/>
    </xf>
    <xf numFmtId="0" fontId="0" fillId="2" borderId="8" xfId="0" applyFont="1" applyFill="1" applyBorder="1" applyAlignment="1">
      <alignment horizontal="left" indent="10" readingOrder="1"/>
    </xf>
    <xf numFmtId="0" fontId="0" fillId="2" borderId="0" xfId="0" applyFont="1" applyFill="1" applyBorder="1" applyAlignment="1">
      <alignment horizontal="left" indent="10" readingOrder="1"/>
    </xf>
    <xf numFmtId="0" fontId="0" fillId="2" borderId="9" xfId="0" applyFont="1" applyFill="1" applyBorder="1" applyAlignment="1">
      <alignment horizontal="left" indent="10" readingOrder="1"/>
    </xf>
    <xf numFmtId="164" fontId="0" fillId="0" borderId="0" xfId="0" applyNumberFormat="1" applyFill="1" applyAlignment="1">
      <alignment horizontal="center" readingOrder="1"/>
    </xf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164" fontId="0" fillId="0" borderId="3" xfId="0" applyNumberFormat="1" applyBorder="1"/>
    <xf numFmtId="14" fontId="0" fillId="0" borderId="0" xfId="0" applyNumberFormat="1"/>
    <xf numFmtId="164" fontId="0" fillId="0" borderId="0" xfId="0" applyNumberFormat="1" applyAlignment="1">
      <alignment horizontal="center" readingOrder="1"/>
    </xf>
    <xf numFmtId="2" fontId="0" fillId="0" borderId="0" xfId="0" applyNumberFormat="1"/>
    <xf numFmtId="2" fontId="0" fillId="0" borderId="0" xfId="0" applyNumberFormat="1" applyAlignment="1">
      <alignment horizontal="center" readingOrder="1"/>
    </xf>
    <xf numFmtId="0" fontId="0" fillId="2" borderId="10" xfId="0" applyFill="1" applyBorder="1" applyAlignment="1">
      <alignment horizontal="left" indent="10" readingOrder="1"/>
    </xf>
    <xf numFmtId="0" fontId="0" fillId="2" borderId="11" xfId="0" applyFill="1" applyBorder="1" applyAlignment="1">
      <alignment horizontal="left" indent="10" readingOrder="1"/>
    </xf>
    <xf numFmtId="0" fontId="0" fillId="2" borderId="12" xfId="0" applyFill="1" applyBorder="1" applyAlignment="1">
      <alignment horizontal="left" indent="10" readingOrder="1"/>
    </xf>
    <xf numFmtId="0" fontId="1" fillId="2" borderId="13" xfId="0" applyFont="1" applyFill="1" applyBorder="1" applyAlignment="1">
      <alignment horizontal="left" readingOrder="1"/>
    </xf>
    <xf numFmtId="0" fontId="6" fillId="0" borderId="0" xfId="0" applyFont="1"/>
    <xf numFmtId="2" fontId="0" fillId="0" borderId="3" xfId="0" applyNumberFormat="1" applyBorder="1"/>
    <xf numFmtId="2" fontId="0" fillId="0" borderId="0" xfId="0" applyNumberFormat="1" applyBorder="1" applyAlignment="1">
      <alignment horizontal="right" readingOrder="1"/>
    </xf>
    <xf numFmtId="165" fontId="0" fillId="0" borderId="3" xfId="0" applyNumberFormat="1" applyBorder="1" applyAlignment="1">
      <alignment horizontal="right" readingOrder="1"/>
    </xf>
    <xf numFmtId="0" fontId="7" fillId="0" borderId="0" xfId="0" applyFont="1" applyAlignment="1">
      <alignment vertical="center"/>
    </xf>
    <xf numFmtId="164" fontId="0" fillId="0" borderId="1" xfId="0" applyNumberFormat="1" applyBorder="1"/>
    <xf numFmtId="0" fontId="1" fillId="2" borderId="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4" fontId="1" fillId="0" borderId="1" xfId="0" applyNumberFormat="1" applyFont="1" applyBorder="1"/>
    <xf numFmtId="0" fontId="0" fillId="2" borderId="5" xfId="0" applyFill="1" applyBorder="1" applyAlignment="1">
      <alignment horizontal="left" indent="10"/>
    </xf>
    <xf numFmtId="0" fontId="0" fillId="2" borderId="6" xfId="0" applyFill="1" applyBorder="1" applyAlignment="1">
      <alignment horizontal="left" indent="10"/>
    </xf>
    <xf numFmtId="0" fontId="0" fillId="2" borderId="7" xfId="0" applyFill="1" applyBorder="1" applyAlignment="1">
      <alignment horizontal="left" indent="10"/>
    </xf>
    <xf numFmtId="2" fontId="0" fillId="0" borderId="1" xfId="0" applyNumberFormat="1" applyBorder="1"/>
    <xf numFmtId="0" fontId="0" fillId="0" borderId="0" xfId="0" applyAlignment="1">
      <alignment horizontal="left"/>
    </xf>
    <xf numFmtId="0" fontId="0" fillId="2" borderId="10" xfId="0" applyFill="1" applyBorder="1" applyAlignment="1">
      <alignment horizontal="left" indent="10"/>
    </xf>
    <xf numFmtId="0" fontId="0" fillId="2" borderId="11" xfId="0" applyFill="1" applyBorder="1" applyAlignment="1">
      <alignment horizontal="left" indent="10"/>
    </xf>
    <xf numFmtId="0" fontId="0" fillId="2" borderId="12" xfId="0" applyFill="1" applyBorder="1" applyAlignment="1">
      <alignment horizontal="left" indent="10"/>
    </xf>
    <xf numFmtId="164" fontId="0" fillId="4" borderId="1" xfId="0" applyNumberFormat="1" applyFill="1" applyBorder="1"/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5" workbookViewId="0">
      <selection activeCell="I25" sqref="I25"/>
    </sheetView>
  </sheetViews>
  <sheetFormatPr defaultRowHeight="15"/>
  <cols>
    <col min="1" max="1" width="29" customWidth="1"/>
    <col min="2" max="2" width="14" customWidth="1"/>
    <col min="3" max="3" width="11.85546875" customWidth="1"/>
    <col min="4" max="4" width="9.5703125" customWidth="1"/>
    <col min="5" max="5" width="12.85546875" customWidth="1"/>
    <col min="6" max="6" width="12.42578125" customWidth="1"/>
    <col min="7" max="7" width="13.42578125" customWidth="1"/>
    <col min="8" max="8" width="13.7109375" customWidth="1"/>
    <col min="9" max="9" width="10.5703125" customWidth="1"/>
    <col min="10" max="11" width="10.85546875" customWidth="1"/>
    <col min="12" max="12" width="11" customWidth="1"/>
  </cols>
  <sheetData>
    <row r="1" spans="1:12" ht="39" customHeight="1">
      <c r="A1" s="1" t="s">
        <v>0</v>
      </c>
      <c r="B1" s="2">
        <v>42481</v>
      </c>
      <c r="C1" s="9">
        <f>IF(OR(DAY(B1)=29,DAY(B1)=30,DAY(B1)=31),B1-3,IF(OR(DAY(B1)=1,DAY(B1)=2,DAY(B1)=3),B1+3,B1))</f>
        <v>42481</v>
      </c>
      <c r="E1" s="5" t="s">
        <v>2</v>
      </c>
      <c r="F1" s="6" t="s">
        <v>3</v>
      </c>
      <c r="G1" s="5" t="s">
        <v>4</v>
      </c>
      <c r="H1" s="6" t="s">
        <v>5</v>
      </c>
      <c r="I1" s="5" t="s">
        <v>6</v>
      </c>
      <c r="J1" s="6" t="s">
        <v>7</v>
      </c>
      <c r="K1" s="7" t="s">
        <v>8</v>
      </c>
      <c r="L1" s="8" t="s">
        <v>9</v>
      </c>
    </row>
    <row r="2" spans="1:12">
      <c r="A2" s="1" t="s">
        <v>1</v>
      </c>
      <c r="B2" s="4">
        <v>20000</v>
      </c>
      <c r="C2" s="3"/>
      <c r="E2" s="9">
        <f>B1</f>
        <v>42481</v>
      </c>
      <c r="F2" s="10">
        <f>DATEDIF(E2,G2,"d")</f>
        <v>30</v>
      </c>
      <c r="G2" s="9">
        <f>C1+DAY(EOMONTH(E2,0))</f>
        <v>42511</v>
      </c>
      <c r="H2" s="11">
        <f>DATEDIF(G2,I2,"d")</f>
        <v>31</v>
      </c>
      <c r="I2" s="9">
        <f>G2+DAY(EOMONTH(G2,0))</f>
        <v>42542</v>
      </c>
      <c r="J2" s="11">
        <f>DATEDIF(I2,K2,"d")</f>
        <v>30</v>
      </c>
      <c r="K2" s="12">
        <f>I2+DAY(EOMONTH(I2,0))</f>
        <v>42572</v>
      </c>
      <c r="L2" s="13">
        <f>DAY(EOMONTH(K2,0))</f>
        <v>31</v>
      </c>
    </row>
    <row r="3" spans="1:12">
      <c r="A3" s="1" t="s">
        <v>10</v>
      </c>
      <c r="B3" s="2">
        <v>42482</v>
      </c>
      <c r="C3" s="4">
        <v>5000</v>
      </c>
      <c r="E3" s="3"/>
      <c r="F3" s="3">
        <f>SUMIFS(C3:C6,B3:B6,"&gt;="&amp;E2,B3:B6,"&lt;="&amp;G2)</f>
        <v>13000</v>
      </c>
      <c r="G3" s="14"/>
      <c r="H3" s="3">
        <f>SUMIFS(C3:C6,B3:B6,"&gt;="&amp;G2,B3:B6,"&lt;="&amp;I2)</f>
        <v>0</v>
      </c>
      <c r="I3" s="3"/>
      <c r="J3" s="3">
        <f>SUMIFS(C3:C6,B3:B6,"&gt;="&amp;I2,B3:B6,"&lt;="&amp;K2)</f>
        <v>0</v>
      </c>
      <c r="L3" s="15">
        <f>SUMIFS(C3:C6,B3:B6,"&gt;="&amp;K2,B3:B6,"&lt;="&amp;K2+L2)</f>
        <v>0</v>
      </c>
    </row>
    <row r="4" spans="1:12">
      <c r="A4" s="1" t="s">
        <v>11</v>
      </c>
      <c r="B4" s="2"/>
      <c r="C4" s="4"/>
      <c r="E4" s="27"/>
    </row>
    <row r="5" spans="1:12">
      <c r="A5" s="1" t="s">
        <v>12</v>
      </c>
      <c r="B5" s="2">
        <v>42485</v>
      </c>
      <c r="C5" s="4">
        <v>8000</v>
      </c>
      <c r="E5" s="28" t="s">
        <v>14</v>
      </c>
      <c r="F5" s="28"/>
      <c r="G5" s="28"/>
      <c r="H5" s="28"/>
      <c r="I5" s="18">
        <f>I2</f>
        <v>42542</v>
      </c>
      <c r="J5" s="19"/>
      <c r="K5" s="19"/>
    </row>
    <row r="6" spans="1:12">
      <c r="A6" s="1" t="s">
        <v>13</v>
      </c>
      <c r="B6" s="16"/>
      <c r="C6" s="17"/>
      <c r="E6" s="29" t="s">
        <v>16</v>
      </c>
      <c r="F6" s="30"/>
      <c r="G6" s="30"/>
      <c r="H6" s="31"/>
      <c r="I6" s="32">
        <f>F3*5%</f>
        <v>650</v>
      </c>
      <c r="J6" s="19"/>
      <c r="K6" s="19"/>
    </row>
    <row r="7" spans="1:12">
      <c r="A7" s="1" t="s">
        <v>15</v>
      </c>
      <c r="B7" s="20">
        <f>IF(AND(E2&lt;=B3,B3&lt;G2),DATEDIF(B3,G2,"d"),IF(AND(G2&lt;=B3,B3&lt;I2),DATEDIF(B3,I2,"d"),0))</f>
        <v>29</v>
      </c>
      <c r="E7" s="33" t="s">
        <v>18</v>
      </c>
      <c r="F7" s="34"/>
      <c r="G7" s="34"/>
      <c r="H7" s="35"/>
      <c r="I7" s="32">
        <f>IF(F3&gt;0,900,0)</f>
        <v>900</v>
      </c>
      <c r="J7" s="19"/>
      <c r="K7" s="19"/>
    </row>
    <row r="8" spans="1:12">
      <c r="A8" s="1" t="s">
        <v>17</v>
      </c>
      <c r="B8" s="20">
        <f>IF(AND(E2&lt;=B4,B4&lt;G2),DATEDIF(B4,G2,"d"),IF(AND(G2&lt;=B4,B4&lt;I2),DATEDIF(B4,I2,"d"),0))</f>
        <v>0</v>
      </c>
      <c r="E8" s="33" t="s">
        <v>19</v>
      </c>
      <c r="F8" s="34"/>
      <c r="G8" s="34"/>
      <c r="H8" s="35"/>
      <c r="I8" s="32">
        <f>SUM(IF(AND(E2&lt;=B3,B3&lt;=G2),C3*5.9%,0),IF(AND(E2&lt;=B4,AND(B4&lt;=G2)),C4*5.9%,"0"))</f>
        <v>295</v>
      </c>
      <c r="J8" s="14" t="s">
        <v>20</v>
      </c>
      <c r="K8" s="21">
        <f>IF(I8=0,0,IF(I8&lt;300,300,IF(I8&gt;300,I8,300)))</f>
        <v>300</v>
      </c>
    </row>
    <row r="9" spans="1:12">
      <c r="C9" s="3"/>
      <c r="E9" s="36" t="s">
        <v>21</v>
      </c>
      <c r="F9" s="37"/>
      <c r="G9" s="37"/>
      <c r="H9" s="38"/>
      <c r="I9" s="32">
        <f>SUM(IF(AND(E2&lt;=B3,B3&lt;G2),C3*B7/IF(YEAR(B1)=2016,366,365)*27.9%,IF(AND(E2&lt;=B4,B4&lt;G2),C4*B8/IF(YEAR(B1)=2016,366,365)*27.9%,0)))</f>
        <v>110.53278688524588</v>
      </c>
      <c r="J9" s="3"/>
      <c r="K9" s="19"/>
    </row>
    <row r="10" spans="1:12">
      <c r="A10" s="22"/>
      <c r="B10" s="23"/>
      <c r="C10" s="24"/>
      <c r="E10" s="33" t="s">
        <v>22</v>
      </c>
      <c r="F10" s="34"/>
      <c r="G10" s="34"/>
      <c r="H10" s="35"/>
      <c r="I10" s="32">
        <f>I6+I7+K8+I9</f>
        <v>1960.532786885246</v>
      </c>
      <c r="J10" s="14" t="s">
        <v>20</v>
      </c>
      <c r="K10" s="25">
        <f>_xlfn.CEILING.MATH(I10,100,0)</f>
        <v>2000</v>
      </c>
    </row>
    <row r="11" spans="1:12">
      <c r="A11" s="23"/>
      <c r="C11" s="39"/>
      <c r="E11" s="40" t="s">
        <v>26</v>
      </c>
      <c r="F11" s="41"/>
      <c r="G11" s="41"/>
      <c r="H11" s="42"/>
      <c r="I11" s="43">
        <f>I6+(K10-I10)</f>
        <v>689.46721311475403</v>
      </c>
    </row>
    <row r="12" spans="1:12">
      <c r="A12" s="22"/>
      <c r="B12" s="44"/>
      <c r="C12" s="26"/>
      <c r="E12" s="33" t="s">
        <v>23</v>
      </c>
      <c r="F12" s="34"/>
      <c r="G12" s="34"/>
      <c r="H12" s="35"/>
      <c r="I12" s="32">
        <f>VLOOKUP(MIN(B3:B6),B3:C6,2,0)-I6-(K10-I10)</f>
        <v>4310.5327868852455</v>
      </c>
      <c r="J12" s="45"/>
      <c r="K12" s="19"/>
    </row>
    <row r="13" spans="1:12">
      <c r="A13" s="23"/>
      <c r="B13" s="46"/>
      <c r="C13" s="47"/>
      <c r="E13" s="48" t="s">
        <v>27</v>
      </c>
      <c r="F13" s="49"/>
      <c r="G13" s="49"/>
      <c r="H13" s="50"/>
      <c r="I13" s="32">
        <f>-I6-(K10-I10)+SUMIFS(C3:C6,B3:B6,"&gt;="&amp;E2,B3:B6,"&lt;="&amp;G2)</f>
        <v>12310.532786885246</v>
      </c>
    </row>
    <row r="14" spans="1:12">
      <c r="E14" s="51" t="s">
        <v>24</v>
      </c>
      <c r="F14" s="51"/>
      <c r="G14" s="51"/>
      <c r="H14" s="51"/>
      <c r="I14" s="18">
        <f>K2</f>
        <v>42572</v>
      </c>
      <c r="J14" s="3"/>
    </row>
    <row r="15" spans="1:12" ht="15.75">
      <c r="C15" s="52"/>
      <c r="E15" s="29" t="s">
        <v>25</v>
      </c>
      <c r="F15" s="30"/>
      <c r="G15" s="30"/>
      <c r="H15" s="31"/>
      <c r="I15" s="53">
        <f>(I13+H3)*5%</f>
        <v>615.52663934426232</v>
      </c>
      <c r="J15" s="47"/>
      <c r="K15" s="54"/>
    </row>
    <row r="16" spans="1:12">
      <c r="E16" s="33" t="s">
        <v>18</v>
      </c>
      <c r="F16" s="34"/>
      <c r="G16" s="34"/>
      <c r="H16" s="35"/>
      <c r="I16" s="32">
        <f>IF(AND(F3=0,H3&gt;0),900,0)</f>
        <v>0</v>
      </c>
    </row>
    <row r="17" spans="3:12">
      <c r="E17" s="33" t="s">
        <v>28</v>
      </c>
      <c r="F17" s="34"/>
      <c r="G17" s="34"/>
      <c r="H17" s="35"/>
      <c r="I17" s="32">
        <f>SUM(IF(AND(G2&lt;=B3,B3&lt;=I2),C3*5.9%,0),IF(AND(G2&lt;=B4,AND(B4&lt;=I2)),C4*5.9%,"0"))</f>
        <v>0</v>
      </c>
      <c r="J17" s="14" t="s">
        <v>20</v>
      </c>
      <c r="K17" s="21">
        <f>IF(I17=0,0,IF(I17&lt;300,300,IF(I17&gt;300,I17,300)))</f>
        <v>0</v>
      </c>
    </row>
    <row r="18" spans="3:12">
      <c r="E18" s="36" t="s">
        <v>29</v>
      </c>
      <c r="F18" s="37"/>
      <c r="G18" s="37"/>
      <c r="H18" s="38"/>
      <c r="I18" s="55">
        <f>SUM(IF(AND(G2&lt;=B4,B4&lt;I2),C4*B8/IF(YEAR(B1)=2016,366,365)*27.9%,0),IF(AND(E2&lt;=B4,B4&lt;G2),C4*H2/IF(YEAR(B1)=2016,366,365)*27.9%,0),IF(AND(E2&lt;=B3,B3&lt;G2),C3*H2/IF(YEAR(B1)=2016,366,365)*27.9%,0),IF(AND(G2&lt;=B3,B3&lt;I2),C3*B7/IF(YEAR(B1)=2016,366,365)*27.9%,0))</f>
        <v>118.15573770491801</v>
      </c>
      <c r="J18" s="14" t="s">
        <v>20</v>
      </c>
      <c r="K18" s="19">
        <f>ROUND(TRUNC(I18*1000)/1000,2)</f>
        <v>118.16</v>
      </c>
    </row>
    <row r="19" spans="3:12">
      <c r="C19" s="56"/>
      <c r="E19" s="33" t="s">
        <v>30</v>
      </c>
      <c r="F19" s="34"/>
      <c r="G19" s="34"/>
      <c r="H19" s="35"/>
      <c r="I19" s="32">
        <f>I15+I16+K17+K18</f>
        <v>733.68663934426229</v>
      </c>
      <c r="J19" s="14" t="s">
        <v>20</v>
      </c>
      <c r="K19" s="25">
        <f>_xlfn.CEILING.MATH(I19,100,0)</f>
        <v>800</v>
      </c>
    </row>
    <row r="20" spans="3:12">
      <c r="E20" s="40" t="s">
        <v>31</v>
      </c>
      <c r="F20" s="41"/>
      <c r="G20" s="41"/>
      <c r="H20" s="42"/>
      <c r="I20" s="57">
        <f>I15+(K19-I19)</f>
        <v>681.84</v>
      </c>
    </row>
    <row r="21" spans="3:12">
      <c r="E21" s="33" t="s">
        <v>23</v>
      </c>
      <c r="F21" s="34"/>
      <c r="G21" s="34"/>
      <c r="H21" s="35"/>
      <c r="I21" s="32">
        <f>I12-I20</f>
        <v>3628.6927868852454</v>
      </c>
    </row>
    <row r="22" spans="3:12">
      <c r="E22" s="48" t="s">
        <v>27</v>
      </c>
      <c r="F22" s="49"/>
      <c r="G22" s="49"/>
      <c r="H22" s="50"/>
      <c r="I22" s="32">
        <f>-I6-(K10-I10)-I15-(K19-I19)+SUMIFS(C3:C6,B3:B6,"&gt;="&amp;E2,B3:B6,"&lt;="&amp;I2)</f>
        <v>11628.692786885245</v>
      </c>
      <c r="J22" s="46"/>
    </row>
    <row r="23" spans="3:12">
      <c r="E23" s="58" t="s">
        <v>32</v>
      </c>
      <c r="F23" s="59"/>
      <c r="G23" s="59"/>
      <c r="H23" s="60"/>
      <c r="I23" s="61">
        <f>K2+L2</f>
        <v>42603</v>
      </c>
    </row>
    <row r="24" spans="3:12">
      <c r="E24" s="62" t="s">
        <v>33</v>
      </c>
      <c r="F24" s="63"/>
      <c r="G24" s="63"/>
      <c r="H24" s="64"/>
      <c r="I24" s="57">
        <f>I22</f>
        <v>11628.692786885245</v>
      </c>
      <c r="L24" t="s">
        <v>37</v>
      </c>
    </row>
    <row r="25" spans="3:12">
      <c r="E25" s="36" t="s">
        <v>34</v>
      </c>
      <c r="F25" s="37"/>
      <c r="G25" s="37"/>
      <c r="H25" s="38"/>
      <c r="I25" s="65">
        <f>SUM(IF(AND(I2&lt;=B4,B4&lt;K2),C4*B8/IF(YEAR(B1)=2016,366,365)*27.9%,0),IF(AND(I2&lt;=B3,B3&lt;K2),C3*B7/IF(YEAR(B1)=2016,366,365)*27.9%,0),IF(AND(E2&lt;=B4,B4&lt;I2),C4*J2/IF(YEAR(B1)=2016,366,365)*27.9%,0),IF(AND(E2&lt;=B3,B3&lt;I2),C3*J2/IF(YEAR(B1)=2016,366,365)*27.9%,0))</f>
        <v>114.34426229508196</v>
      </c>
      <c r="J25" s="14" t="s">
        <v>20</v>
      </c>
      <c r="K25" s="66">
        <f>ROUND(TRUNC(I25*1000)/1000,2)</f>
        <v>114.34</v>
      </c>
      <c r="L25" t="s">
        <v>36</v>
      </c>
    </row>
    <row r="26" spans="3:12">
      <c r="E26" s="67" t="s">
        <v>35</v>
      </c>
      <c r="F26" s="68"/>
      <c r="G26" s="68"/>
      <c r="H26" s="69"/>
      <c r="I26" s="70">
        <f>I24+K25</f>
        <v>11743.032786885246</v>
      </c>
    </row>
    <row r="28" spans="3:12">
      <c r="K28" s="71"/>
    </row>
    <row r="29" spans="3:12">
      <c r="K29" s="71"/>
    </row>
    <row r="30" spans="3:12">
      <c r="K30" s="71"/>
    </row>
    <row r="31" spans="3:12">
      <c r="K31" s="71" t="s">
        <v>38</v>
      </c>
    </row>
  </sheetData>
  <mergeCells count="20">
    <mergeCell ref="E22:H22"/>
    <mergeCell ref="E23:H23"/>
    <mergeCell ref="E24:H24"/>
    <mergeCell ref="E25:H25"/>
    <mergeCell ref="E26:H26"/>
    <mergeCell ref="E16:H16"/>
    <mergeCell ref="E17:H17"/>
    <mergeCell ref="E18:H18"/>
    <mergeCell ref="E19:H19"/>
    <mergeCell ref="E21:H21"/>
    <mergeCell ref="E10:H10"/>
    <mergeCell ref="E12:H12"/>
    <mergeCell ref="E13:H13"/>
    <mergeCell ref="E14:H14"/>
    <mergeCell ref="E15:H15"/>
    <mergeCell ref="E5:H5"/>
    <mergeCell ref="E6:H6"/>
    <mergeCell ref="E7:H7"/>
    <mergeCell ref="E8:H8"/>
    <mergeCell ref="E9:H9"/>
  </mergeCells>
  <dataValidations count="1">
    <dataValidation type="list" allowBlank="1" showInputMessage="1" showErrorMessage="1" sqref="B12">
      <formula1>$B$93:$B$96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2017-12-14T19:17:00Z</dcterms:created>
  <dcterms:modified xsi:type="dcterms:W3CDTF">2017-12-16T10:50:54Z</dcterms:modified>
</cp:coreProperties>
</file>