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0935"/>
  </bookViews>
  <sheets>
    <sheet name="Количество дней формулой" sheetId="28" r:id="rId1"/>
  </sheets>
  <definedNames>
    <definedName name="грив">{0,"гривень";1,"гривня";2,"гривнi";5,"гривень"}</definedName>
    <definedName name="удес">{"","двадцять ","тридцять ","сорок ","п'ятдесят ","шістдесят ","сімдесят ","вісімдесят ","дев'яносто "}</definedName>
    <definedName name="уед">{"","один ","два ","три ","чотири ","п'ять ","шість ","сім ","вісім ","дев'ять "}</definedName>
    <definedName name="уедж">{"","одна ","дві ","три ","чотири ","п'ять ","шість ","сім ","вісім ","дев'ять "}</definedName>
    <definedName name="умил">{0,"мільйонів ";1,"мільйон ";2,"мільйони ";5,"мільйонів "}</definedName>
    <definedName name="усот">{"","сто ","двісті ","триста ","чотириста ","п'ятсот ","шістсот ","сімсот ","вісімсот ","дев'ятсот "}</definedName>
    <definedName name="утыс">{0,"тисяч ";1,"тисяча ";2,"тисячi ";5,"тисяч "}</definedName>
    <definedName name="уцат">{"десять ","одиннадцять ","дванадцать ","тринадцять ","чотырнадцять ","п'ятнадцять ","шістнадцять ","сімнадцять ","вісімнадцять ","дев'ятнадцять "}</definedName>
  </definedNames>
  <calcPr calcId="152511"/>
</workbook>
</file>

<file path=xl/calcChain.xml><?xml version="1.0" encoding="utf-8"?>
<calcChain xmlns="http://schemas.openxmlformats.org/spreadsheetml/2006/main">
  <c r="B31" i="28" l="1"/>
  <c r="C12" i="28" l="1"/>
  <c r="E14" i="28" l="1"/>
  <c r="W31" i="28"/>
  <c r="W30" i="28"/>
  <c r="W29" i="28"/>
  <c r="W28" i="28"/>
  <c r="W27" i="28"/>
  <c r="W26" i="28"/>
  <c r="W25" i="28"/>
  <c r="W24" i="28"/>
  <c r="W23" i="28"/>
  <c r="W22" i="28"/>
  <c r="W21" i="28"/>
  <c r="W20" i="28"/>
  <c r="Q21" i="28"/>
  <c r="Q22" i="28" s="1"/>
  <c r="Q23" i="28" s="1"/>
  <c r="Q24" i="28" s="1"/>
  <c r="Q25" i="28" s="1"/>
  <c r="Q26" i="28" s="1"/>
  <c r="Q27" i="28" s="1"/>
  <c r="Q28" i="28" s="1"/>
  <c r="Q29" i="28" s="1"/>
  <c r="Q30" i="28" s="1"/>
  <c r="Q31" i="28" s="1"/>
  <c r="N21" i="28"/>
  <c r="N22" i="28"/>
  <c r="N23" i="28"/>
  <c r="N24" i="28"/>
  <c r="N25" i="28"/>
  <c r="N26" i="28"/>
  <c r="N27" i="28"/>
  <c r="N28" i="28"/>
  <c r="N29" i="28"/>
  <c r="N30" i="28"/>
  <c r="N31" i="28"/>
  <c r="N20" i="28"/>
  <c r="N32" i="28" s="1"/>
  <c r="Z19" i="28"/>
  <c r="Z21" i="28"/>
  <c r="Z22" i="28" s="1"/>
  <c r="Z23" i="28" s="1"/>
  <c r="Z24" i="28" s="1"/>
  <c r="Z25" i="28" s="1"/>
  <c r="Z26" i="28" s="1"/>
  <c r="Z27" i="28" s="1"/>
  <c r="Z28" i="28" s="1"/>
  <c r="Z29" i="28" s="1"/>
  <c r="Z30" i="28" s="1"/>
  <c r="Z31" i="28" s="1"/>
  <c r="H21" i="28"/>
  <c r="W32" i="28" l="1"/>
  <c r="H22" i="28"/>
  <c r="H23" i="28" s="1"/>
  <c r="H24" i="28" s="1"/>
  <c r="H25" i="28" s="1"/>
  <c r="H26" i="28" s="1"/>
  <c r="H27" i="28" s="1"/>
  <c r="H28" i="28" s="1"/>
  <c r="H29" i="28" s="1"/>
  <c r="H30" i="28" s="1"/>
  <c r="H31" i="28" s="1"/>
  <c r="B42" i="28" l="1"/>
  <c r="E15" i="28" l="1"/>
  <c r="A46" i="28" l="1"/>
  <c r="E46" i="28"/>
  <c r="A41" i="28" l="1"/>
  <c r="D32" i="28"/>
  <c r="C31" i="28"/>
  <c r="E31" i="28" s="1"/>
  <c r="B30" i="28"/>
  <c r="C30" i="28" s="1"/>
  <c r="E30" i="28" s="1"/>
  <c r="B10" i="28"/>
  <c r="K11" i="28" s="1"/>
  <c r="E9" i="28"/>
  <c r="A42" i="28" l="1"/>
  <c r="B29" i="28"/>
  <c r="C29" i="28" s="1"/>
  <c r="E29" i="28" s="1"/>
  <c r="B28" i="28" l="1"/>
  <c r="C28" i="28" s="1"/>
  <c r="E28" i="28" s="1"/>
  <c r="B27" i="28" l="1"/>
  <c r="C27" i="28" s="1"/>
  <c r="E27" i="28" s="1"/>
  <c r="B26" i="28" l="1"/>
  <c r="C26" i="28" s="1"/>
  <c r="E26" i="28" s="1"/>
  <c r="B25" i="28" l="1"/>
  <c r="C25" i="28" s="1"/>
  <c r="E25" i="28" s="1"/>
  <c r="B24" i="28" l="1"/>
  <c r="C24" i="28" s="1"/>
  <c r="E24" i="28" s="1"/>
  <c r="B23" i="28" l="1"/>
  <c r="C23" i="28" s="1"/>
  <c r="E23" i="28" s="1"/>
  <c r="B22" i="28" l="1"/>
  <c r="C22" i="28" s="1"/>
  <c r="E22" i="28" s="1"/>
  <c r="B21" i="28" l="1"/>
  <c r="B20" i="28" l="1"/>
  <c r="C20" i="28" s="1"/>
  <c r="C21" i="28"/>
  <c r="E21" i="28" s="1"/>
  <c r="A20" i="28"/>
  <c r="A21" i="28" s="1"/>
  <c r="C32" i="28" l="1"/>
  <c r="E32" i="28" s="1"/>
  <c r="C42" i="28" s="1"/>
  <c r="D42" i="28" s="1"/>
  <c r="A44" i="28" s="1"/>
  <c r="E20" i="28"/>
  <c r="A22" i="28"/>
  <c r="A23" i="28" l="1"/>
  <c r="A24" i="28" s="1"/>
  <c r="A25" i="28" l="1"/>
  <c r="A26" i="28" l="1"/>
  <c r="A27" i="28" l="1"/>
  <c r="A28" i="28" s="1"/>
  <c r="A29" i="28" s="1"/>
  <c r="A30" i="28" s="1"/>
  <c r="A31" i="28" l="1"/>
  <c r="A32" i="28" s="1"/>
</calcChain>
</file>

<file path=xl/comments1.xml><?xml version="1.0" encoding="utf-8"?>
<comments xmlns="http://schemas.openxmlformats.org/spreadsheetml/2006/main">
  <authors>
    <author>Admin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Вводить месяц за который начисляется зарплата в формате Январь 1. Сюда вносить Месяц с указанием года: Писать прописью. Формат ячейки текстовый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12"/>
            <rFont val="Tahoma"/>
            <family val="2"/>
            <charset val="204"/>
          </rPr>
          <t>Здесь формула определения полных месяцев =РАЗНДАТ(C9;D14;"M")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Q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Z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46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Формулу ="Включено до платіжної відомості за "&amp;ТЕКСТ(ДАТАМЕС(F1;0);"[$-422]ММММ ГГГГ")&amp;" " я сам придумал автоматический перевод названия месяца с русского на украинский язык. Переводит из ячейки F1. А перед формулой ТЕКСТ</t>
        </r>
      </text>
    </comment>
  </commentList>
</comments>
</file>

<file path=xl/sharedStrings.xml><?xml version="1.0" encoding="utf-8"?>
<sst xmlns="http://schemas.openxmlformats.org/spreadsheetml/2006/main" count="54" uniqueCount="46">
  <si>
    <t>Номер</t>
  </si>
  <si>
    <t>по</t>
  </si>
  <si>
    <t>Месяцы</t>
  </si>
  <si>
    <t>Календар-</t>
  </si>
  <si>
    <t>Зарплата</t>
  </si>
  <si>
    <t>ные дни</t>
  </si>
  <si>
    <t>Всього</t>
  </si>
  <si>
    <t xml:space="preserve">№ за </t>
  </si>
  <si>
    <t>пор.</t>
  </si>
  <si>
    <t>зарплата</t>
  </si>
  <si>
    <t>Иванов Иван Иванович</t>
  </si>
  <si>
    <t>Расчётный период:</t>
  </si>
  <si>
    <t>месяцев</t>
  </si>
  <si>
    <t>Всего</t>
  </si>
  <si>
    <t>Название месяца</t>
  </si>
  <si>
    <t>дней</t>
  </si>
  <si>
    <t>на</t>
  </si>
  <si>
    <t>Ноябрь 2017</t>
  </si>
  <si>
    <t>Январь 2016</t>
  </si>
  <si>
    <t xml:space="preserve">Всего </t>
  </si>
  <si>
    <t>Январь 2017</t>
  </si>
  <si>
    <t xml:space="preserve">Числа месяца праздничных дней </t>
  </si>
  <si>
    <t>Среднеднев-</t>
  </si>
  <si>
    <t>ная</t>
  </si>
  <si>
    <t>Устроен с:</t>
  </si>
  <si>
    <t>полных месяцев</t>
  </si>
  <si>
    <t>Срок отпуска включительно с:</t>
  </si>
  <si>
    <t>ежегодный отпуск</t>
  </si>
  <si>
    <t>работает</t>
  </si>
  <si>
    <t>Предоставляется</t>
  </si>
  <si>
    <t>Всего к выплате</t>
  </si>
  <si>
    <t>З какого</t>
  </si>
  <si>
    <t>За сколь-</t>
  </si>
  <si>
    <t>времени</t>
  </si>
  <si>
    <t>ко дней</t>
  </si>
  <si>
    <t>Средняя</t>
  </si>
  <si>
    <t>и по какой</t>
  </si>
  <si>
    <t>начислено</t>
  </si>
  <si>
    <t>за день</t>
  </si>
  <si>
    <t>Фамилия имя отчество:</t>
  </si>
  <si>
    <t>Таблица для расчёта количества дней отпуска за 2016 год</t>
  </si>
  <si>
    <t>Таблица для расчёта количества дней отпуска за 2017 год</t>
  </si>
  <si>
    <t>В этом при-</t>
  </si>
  <si>
    <t>мере в стол-</t>
  </si>
  <si>
    <r>
      <t xml:space="preserve">жно быть </t>
    </r>
    <r>
      <rPr>
        <sz val="11"/>
        <color rgb="FFFF0000"/>
        <rFont val="Calibri"/>
        <family val="2"/>
        <charset val="204"/>
      </rPr>
      <t>↓</t>
    </r>
  </si>
  <si>
    <t>бце D дол-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</si>
</sst>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mm\ yyyy"/>
    <numFmt numFmtId="165" formatCode="[$-419]mmmm\ yyyy;@"/>
    <numFmt numFmtId="166" formatCode="0.0%"/>
    <numFmt numFmtId="167" formatCode="[$-419]mmmm;@"/>
    <numFmt numFmtId="168" formatCode="[$-419]d\ mmm\ yy;@"/>
  </numFmts>
  <fonts count="25" x14ac:knownFonts="1"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sz val="11"/>
      <color rgb="FF0033CC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12"/>
      <name val="Tahoma"/>
      <family val="2"/>
      <charset val="204"/>
    </font>
    <font>
      <sz val="12"/>
      <color indexed="12"/>
      <name val="Tahoma"/>
      <family val="2"/>
      <charset val="204"/>
    </font>
    <font>
      <b/>
      <sz val="11"/>
      <color rgb="FF0033CC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Arial Cyr"/>
      <charset val="204"/>
    </font>
    <font>
      <sz val="11"/>
      <color theme="0"/>
      <name val="Calibri"/>
      <family val="2"/>
      <charset val="204"/>
      <scheme val="minor"/>
    </font>
    <font>
      <sz val="10"/>
      <color indexed="10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10"/>
      <color rgb="FF0000FF"/>
      <name val="Verdana"/>
      <family val="2"/>
      <charset val="204"/>
    </font>
    <font>
      <sz val="10"/>
      <color rgb="FF00000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/>
      <right/>
      <top style="thin">
        <color indexed="64"/>
      </top>
      <bottom/>
      <diagonal/>
    </border>
    <border>
      <left style="thin">
        <color rgb="FF0033CC"/>
      </left>
      <right style="thin">
        <color indexed="64"/>
      </right>
      <top style="thin">
        <color rgb="FF0033CC"/>
      </top>
      <bottom/>
      <diagonal/>
    </border>
    <border>
      <left style="thin">
        <color rgb="FF0033CC"/>
      </left>
      <right style="thin">
        <color indexed="64"/>
      </right>
      <top/>
      <bottom/>
      <diagonal/>
    </border>
    <border>
      <left style="thin">
        <color rgb="FF0033CC"/>
      </left>
      <right style="thin">
        <color indexed="64"/>
      </right>
      <top/>
      <bottom style="medium">
        <color rgb="FF0033CC"/>
      </bottom>
      <diagonal/>
    </border>
    <border>
      <left style="thin">
        <color rgb="FF0033CC"/>
      </left>
      <right style="thin">
        <color indexed="64"/>
      </right>
      <top/>
      <bottom style="thin">
        <color rgb="FF0033CC"/>
      </bottom>
      <diagonal/>
    </border>
    <border>
      <left style="thin">
        <color indexed="64"/>
      </left>
      <right/>
      <top style="thin">
        <color indexed="64"/>
      </top>
      <bottom style="medium">
        <color rgb="FF0033CC"/>
      </bottom>
      <diagonal/>
    </border>
    <border>
      <left/>
      <right/>
      <top style="thin">
        <color indexed="64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medium">
        <color rgb="FF0033CC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1">
    <xf numFmtId="0" fontId="0" fillId="0" borderId="0" xfId="0"/>
    <xf numFmtId="0" fontId="0" fillId="3" borderId="1" xfId="0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4" fontId="0" fillId="3" borderId="3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14" fontId="0" fillId="4" borderId="0" xfId="0" applyNumberFormat="1" applyFont="1" applyFill="1" applyProtection="1">
      <protection locked="0"/>
    </xf>
    <xf numFmtId="0" fontId="6" fillId="0" borderId="4" xfId="0" applyFont="1" applyFill="1" applyBorder="1" applyAlignment="1" applyProtection="1">
      <alignment horizontal="center"/>
    </xf>
    <xf numFmtId="0" fontId="6" fillId="0" borderId="10" xfId="0" applyFont="1" applyFill="1" applyBorder="1" applyAlignment="1" applyProtection="1">
      <alignment horizontal="center"/>
    </xf>
    <xf numFmtId="165" fontId="15" fillId="0" borderId="4" xfId="0" applyNumberFormat="1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</xf>
    <xf numFmtId="0" fontId="6" fillId="0" borderId="0" xfId="0" applyFont="1" applyFill="1" applyProtection="1"/>
    <xf numFmtId="3" fontId="14" fillId="0" borderId="1" xfId="0" applyNumberFormat="1" applyFont="1" applyFill="1" applyBorder="1" applyAlignment="1" applyProtection="1">
      <alignment horizontal="center"/>
    </xf>
    <xf numFmtId="0" fontId="6" fillId="0" borderId="7" xfId="0" applyFont="1" applyFill="1" applyBorder="1" applyProtection="1"/>
    <xf numFmtId="4" fontId="14" fillId="0" borderId="7" xfId="0" applyNumberFormat="1" applyFont="1" applyFill="1" applyBorder="1" applyAlignment="1" applyProtection="1">
      <alignment horizontal="center"/>
    </xf>
    <xf numFmtId="0" fontId="6" fillId="0" borderId="5" xfId="0" applyFont="1" applyFill="1" applyBorder="1" applyProtection="1"/>
    <xf numFmtId="0" fontId="6" fillId="0" borderId="6" xfId="0" applyFont="1" applyFill="1" applyBorder="1" applyProtection="1"/>
    <xf numFmtId="0" fontId="6" fillId="0" borderId="19" xfId="0" applyFont="1" applyFill="1" applyBorder="1" applyProtection="1"/>
    <xf numFmtId="0" fontId="6" fillId="0" borderId="2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6" fillId="0" borderId="27" xfId="0" applyFont="1" applyFill="1" applyBorder="1" applyProtection="1"/>
    <xf numFmtId="0" fontId="6" fillId="0" borderId="3" xfId="0" applyFont="1" applyFill="1" applyBorder="1" applyProtection="1"/>
    <xf numFmtId="0" fontId="6" fillId="0" borderId="15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9" xfId="0" applyFont="1" applyFill="1" applyBorder="1" applyProtection="1"/>
    <xf numFmtId="0" fontId="6" fillId="0" borderId="12" xfId="0" applyFont="1" applyFill="1" applyBorder="1" applyAlignment="1" applyProtection="1">
      <alignment horizontal="center"/>
    </xf>
    <xf numFmtId="0" fontId="6" fillId="0" borderId="13" xfId="0" applyFont="1" applyFill="1" applyBorder="1" applyAlignment="1" applyProtection="1">
      <alignment horizontal="center"/>
    </xf>
    <xf numFmtId="0" fontId="6" fillId="0" borderId="12" xfId="0" applyFont="1" applyFill="1" applyBorder="1" applyProtection="1"/>
    <xf numFmtId="0" fontId="6" fillId="2" borderId="0" xfId="0" applyNumberFormat="1" applyFont="1" applyFill="1" applyAlignment="1" applyProtection="1">
      <alignment horizontal="left"/>
      <protection locked="0"/>
    </xf>
    <xf numFmtId="0" fontId="6" fillId="2" borderId="0" xfId="0" applyFont="1" applyFill="1" applyProtection="1">
      <protection locked="0"/>
    </xf>
    <xf numFmtId="14" fontId="6" fillId="2" borderId="0" xfId="0" applyNumberFormat="1" applyFont="1" applyFill="1" applyProtection="1">
      <protection locked="0"/>
    </xf>
    <xf numFmtId="14" fontId="6" fillId="0" borderId="0" xfId="0" applyNumberFormat="1" applyFont="1" applyFill="1" applyProtection="1"/>
    <xf numFmtId="0" fontId="6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right"/>
    </xf>
    <xf numFmtId="0" fontId="6" fillId="0" borderId="5" xfId="0" applyFont="1" applyFill="1" applyBorder="1" applyAlignment="1" applyProtection="1">
      <alignment horizontal="center"/>
    </xf>
    <xf numFmtId="0" fontId="6" fillId="0" borderId="14" xfId="0" applyFont="1" applyFill="1" applyBorder="1" applyProtection="1"/>
    <xf numFmtId="0" fontId="6" fillId="0" borderId="16" xfId="0" applyFont="1" applyFill="1" applyBorder="1" applyProtection="1"/>
    <xf numFmtId="2" fontId="6" fillId="0" borderId="1" xfId="0" applyNumberFormat="1" applyFont="1" applyFill="1" applyBorder="1" applyAlignment="1" applyProtection="1">
      <alignment horizontal="center"/>
    </xf>
    <xf numFmtId="2" fontId="6" fillId="0" borderId="10" xfId="0" applyNumberFormat="1" applyFont="1" applyFill="1" applyBorder="1" applyAlignment="1" applyProtection="1">
      <alignment horizontal="center"/>
    </xf>
    <xf numFmtId="4" fontId="14" fillId="0" borderId="1" xfId="0" applyNumberFormat="1" applyFont="1" applyFill="1" applyBorder="1" applyAlignment="1" applyProtection="1">
      <alignment horizontal="center"/>
    </xf>
    <xf numFmtId="0" fontId="11" fillId="0" borderId="0" xfId="0" applyFont="1" applyFill="1" applyProtection="1"/>
    <xf numFmtId="0" fontId="6" fillId="0" borderId="22" xfId="0" applyFont="1" applyFill="1" applyBorder="1" applyAlignment="1" applyProtection="1">
      <alignment horizontal="center"/>
    </xf>
    <xf numFmtId="0" fontId="6" fillId="0" borderId="22" xfId="0" applyFont="1" applyFill="1" applyBorder="1" applyProtection="1"/>
    <xf numFmtId="0" fontId="6" fillId="0" borderId="28" xfId="0" applyFont="1" applyFill="1" applyBorder="1" applyProtection="1"/>
    <xf numFmtId="0" fontId="6" fillId="0" borderId="23" xfId="0" applyFont="1" applyFill="1" applyBorder="1" applyAlignment="1" applyProtection="1">
      <alignment horizontal="center"/>
    </xf>
    <xf numFmtId="0" fontId="6" fillId="0" borderId="29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6" fillId="0" borderId="30" xfId="0" applyFont="1" applyFill="1" applyBorder="1" applyAlignment="1" applyProtection="1">
      <alignment horizontal="center"/>
    </xf>
    <xf numFmtId="14" fontId="6" fillId="0" borderId="25" xfId="0" applyNumberFormat="1" applyFont="1" applyFill="1" applyBorder="1" applyAlignment="1" applyProtection="1">
      <alignment horizontal="center"/>
    </xf>
    <xf numFmtId="0" fontId="11" fillId="0" borderId="23" xfId="0" applyFont="1" applyFill="1" applyBorder="1" applyAlignment="1" applyProtection="1">
      <alignment horizontal="center"/>
    </xf>
    <xf numFmtId="0" fontId="11" fillId="0" borderId="29" xfId="0" applyFont="1" applyFill="1" applyBorder="1" applyAlignment="1" applyProtection="1">
      <alignment horizontal="center"/>
    </xf>
    <xf numFmtId="1" fontId="6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14" fontId="6" fillId="0" borderId="26" xfId="0" applyNumberFormat="1" applyFont="1" applyFill="1" applyBorder="1" applyAlignment="1" applyProtection="1">
      <alignment horizontal="center"/>
    </xf>
    <xf numFmtId="1" fontId="4" fillId="0" borderId="25" xfId="0" applyNumberFormat="1" applyFont="1" applyFill="1" applyBorder="1" applyAlignment="1" applyProtection="1">
      <alignment horizontal="center"/>
    </xf>
    <xf numFmtId="2" fontId="4" fillId="0" borderId="25" xfId="1" applyNumberFormat="1" applyFont="1" applyFill="1" applyBorder="1" applyAlignment="1" applyProtection="1">
      <alignment horizontal="center"/>
    </xf>
    <xf numFmtId="4" fontId="14" fillId="0" borderId="31" xfId="0" applyNumberFormat="1" applyFont="1" applyFill="1" applyBorder="1" applyAlignment="1" applyProtection="1">
      <alignment horizontal="center"/>
    </xf>
    <xf numFmtId="4" fontId="4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Alignment="1" applyProtection="1"/>
    <xf numFmtId="0" fontId="6" fillId="0" borderId="0" xfId="0" applyFont="1" applyFill="1" applyAlignment="1" applyProtection="1"/>
    <xf numFmtId="0" fontId="6" fillId="0" borderId="4" xfId="0" applyFont="1" applyFill="1" applyBorder="1" applyProtection="1"/>
    <xf numFmtId="0" fontId="6" fillId="4" borderId="0" xfId="0" applyFont="1" applyFill="1" applyProtection="1">
      <protection locked="0"/>
    </xf>
    <xf numFmtId="14" fontId="6" fillId="4" borderId="0" xfId="0" applyNumberFormat="1" applyFont="1" applyFill="1" applyAlignment="1" applyProtection="1">
      <alignment horizontal="left"/>
      <protection locked="0"/>
    </xf>
    <xf numFmtId="0" fontId="5" fillId="0" borderId="0" xfId="0" applyFont="1" applyFill="1" applyProtection="1"/>
    <xf numFmtId="164" fontId="10" fillId="2" borderId="0" xfId="0" applyNumberFormat="1" applyFont="1" applyFill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164" fontId="6" fillId="0" borderId="0" xfId="0" applyNumberFormat="1" applyFont="1" applyFill="1" applyAlignment="1" applyProtection="1">
      <alignment horizontal="left"/>
    </xf>
    <xf numFmtId="167" fontId="6" fillId="0" borderId="0" xfId="0" applyNumberFormat="1" applyFont="1" applyFill="1" applyProtection="1"/>
    <xf numFmtId="49" fontId="5" fillId="2" borderId="0" xfId="0" applyNumberFormat="1" applyFont="1" applyFill="1" applyAlignment="1" applyProtection="1">
      <alignment horizontal="left"/>
      <protection locked="0"/>
    </xf>
    <xf numFmtId="49" fontId="6" fillId="0" borderId="0" xfId="0" applyNumberFormat="1" applyFont="1" applyFill="1" applyProtection="1"/>
    <xf numFmtId="168" fontId="6" fillId="0" borderId="0" xfId="0" applyNumberFormat="1" applyFont="1" applyFill="1" applyProtection="1"/>
    <xf numFmtId="0" fontId="6" fillId="0" borderId="1" xfId="0" applyFont="1" applyFill="1" applyBorder="1" applyProtection="1"/>
    <xf numFmtId="49" fontId="5" fillId="2" borderId="2" xfId="0" applyNumberFormat="1" applyFont="1" applyFill="1" applyBorder="1" applyAlignment="1" applyProtection="1">
      <alignment horizontal="left"/>
      <protection locked="0"/>
    </xf>
    <xf numFmtId="167" fontId="6" fillId="0" borderId="2" xfId="0" applyNumberFormat="1" applyFont="1" applyFill="1" applyBorder="1" applyProtection="1"/>
    <xf numFmtId="167" fontId="6" fillId="0" borderId="4" xfId="0" applyNumberFormat="1" applyFont="1" applyFill="1" applyBorder="1" applyProtection="1"/>
    <xf numFmtId="168" fontId="6" fillId="0" borderId="8" xfId="0" applyNumberFormat="1" applyFont="1" applyFill="1" applyBorder="1" applyProtection="1"/>
    <xf numFmtId="1" fontId="6" fillId="0" borderId="8" xfId="0" applyNumberFormat="1" applyFont="1" applyFill="1" applyBorder="1" applyAlignment="1" applyProtection="1">
      <alignment horizontal="center"/>
    </xf>
    <xf numFmtId="1" fontId="9" fillId="0" borderId="1" xfId="0" applyNumberFormat="1" applyFont="1" applyFill="1" applyBorder="1" applyAlignment="1" applyProtection="1">
      <alignment horizontal="center"/>
    </xf>
    <xf numFmtId="167" fontId="6" fillId="0" borderId="17" xfId="0" applyNumberFormat="1" applyFont="1" applyFill="1" applyBorder="1" applyProtection="1"/>
    <xf numFmtId="0" fontId="6" fillId="0" borderId="18" xfId="0" applyFont="1" applyFill="1" applyBorder="1" applyProtection="1"/>
    <xf numFmtId="168" fontId="6" fillId="0" borderId="10" xfId="0" applyNumberFormat="1" applyFont="1" applyFill="1" applyBorder="1" applyProtection="1"/>
    <xf numFmtId="1" fontId="6" fillId="0" borderId="10" xfId="0" applyNumberFormat="1" applyFont="1" applyFill="1" applyBorder="1" applyAlignment="1" applyProtection="1">
      <alignment horizontal="center"/>
    </xf>
    <xf numFmtId="167" fontId="6" fillId="0" borderId="32" xfId="0" applyNumberFormat="1" applyFont="1" applyFill="1" applyBorder="1" applyProtection="1"/>
    <xf numFmtId="0" fontId="6" fillId="0" borderId="33" xfId="0" applyFont="1" applyFill="1" applyBorder="1" applyProtection="1"/>
    <xf numFmtId="0" fontId="6" fillId="0" borderId="25" xfId="0" applyFont="1" applyFill="1" applyBorder="1" applyProtection="1"/>
    <xf numFmtId="0" fontId="5" fillId="0" borderId="1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/>
    </xf>
    <xf numFmtId="168" fontId="6" fillId="0" borderId="26" xfId="0" applyNumberFormat="1" applyFont="1" applyFill="1" applyBorder="1" applyProtection="1"/>
    <xf numFmtId="168" fontId="6" fillId="0" borderId="34" xfId="0" applyNumberFormat="1" applyFont="1" applyFill="1" applyBorder="1" applyProtection="1"/>
    <xf numFmtId="14" fontId="6" fillId="0" borderId="0" xfId="0" applyNumberFormat="1" applyFont="1" applyFill="1" applyBorder="1" applyAlignment="1" applyProtection="1">
      <alignment horizontal="left"/>
    </xf>
    <xf numFmtId="0" fontId="11" fillId="0" borderId="0" xfId="0" applyFont="1" applyFill="1" applyBorder="1" applyProtection="1"/>
    <xf numFmtId="0" fontId="16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center"/>
    </xf>
    <xf numFmtId="10" fontId="6" fillId="0" borderId="0" xfId="0" applyNumberFormat="1" applyFont="1" applyFill="1" applyBorder="1" applyAlignment="1" applyProtection="1">
      <alignment horizontal="center"/>
    </xf>
    <xf numFmtId="166" fontId="6" fillId="0" borderId="0" xfId="0" applyNumberFormat="1" applyFont="1" applyFill="1" applyBorder="1" applyAlignment="1" applyProtection="1">
      <alignment horizontal="center"/>
    </xf>
    <xf numFmtId="4" fontId="6" fillId="0" borderId="0" xfId="0" applyNumberFormat="1" applyFont="1" applyFill="1" applyBorder="1" applyAlignment="1" applyProtection="1">
      <alignment horizontal="center"/>
    </xf>
    <xf numFmtId="4" fontId="11" fillId="0" borderId="0" xfId="0" applyNumberFormat="1" applyFont="1" applyFill="1" applyBorder="1" applyAlignment="1" applyProtection="1">
      <alignment horizontal="center"/>
    </xf>
    <xf numFmtId="9" fontId="6" fillId="0" borderId="0" xfId="0" applyNumberFormat="1" applyFont="1" applyFill="1" applyBorder="1" applyAlignment="1" applyProtection="1">
      <alignment horizontal="center"/>
    </xf>
    <xf numFmtId="14" fontId="6" fillId="0" borderId="0" xfId="0" applyNumberFormat="1" applyFont="1" applyFill="1" applyBorder="1" applyAlignment="1" applyProtection="1">
      <alignment horizontal="center"/>
    </xf>
    <xf numFmtId="2" fontId="6" fillId="0" borderId="0" xfId="0" applyNumberFormat="1" applyFont="1" applyFill="1" applyBorder="1" applyAlignment="1" applyProtection="1">
      <alignment horizontal="center"/>
    </xf>
    <xf numFmtId="4" fontId="12" fillId="0" borderId="0" xfId="0" applyNumberFormat="1" applyFont="1" applyFill="1" applyBorder="1" applyAlignment="1" applyProtection="1">
      <alignment horizontal="center"/>
    </xf>
    <xf numFmtId="4" fontId="10" fillId="0" borderId="0" xfId="0" applyNumberFormat="1" applyFont="1" applyFill="1" applyBorder="1" applyAlignment="1" applyProtection="1">
      <alignment horizontal="center"/>
    </xf>
    <xf numFmtId="165" fontId="17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Protection="1">
      <protection locked="0"/>
    </xf>
    <xf numFmtId="0" fontId="19" fillId="0" borderId="0" xfId="0" applyFont="1" applyFill="1" applyProtection="1"/>
    <xf numFmtId="0" fontId="19" fillId="0" borderId="0" xfId="0" applyFont="1" applyProtection="1"/>
    <xf numFmtId="0" fontId="21" fillId="0" borderId="0" xfId="0" applyFont="1" applyFill="1" applyProtection="1"/>
    <xf numFmtId="0" fontId="21" fillId="0" borderId="0" xfId="0" applyFont="1" applyFill="1" applyAlignment="1" applyProtection="1">
      <alignment horizontal="center"/>
    </xf>
    <xf numFmtId="165" fontId="6" fillId="0" borderId="2" xfId="0" applyNumberFormat="1" applyFont="1" applyFill="1" applyBorder="1" applyAlignment="1" applyProtection="1">
      <alignment horizontal="left"/>
    </xf>
    <xf numFmtId="165" fontId="6" fillId="0" borderId="20" xfId="0" applyNumberFormat="1" applyFont="1" applyFill="1" applyBorder="1" applyAlignment="1" applyProtection="1">
      <alignment horizontal="left"/>
    </xf>
    <xf numFmtId="165" fontId="6" fillId="0" borderId="17" xfId="0" applyNumberFormat="1" applyFont="1" applyFill="1" applyBorder="1" applyAlignment="1" applyProtection="1">
      <alignment horizontal="left"/>
    </xf>
    <xf numFmtId="0" fontId="23" fillId="0" borderId="0" xfId="0" applyFont="1"/>
    <xf numFmtId="0" fontId="24" fillId="0" borderId="0" xfId="0" applyFont="1"/>
    <xf numFmtId="0" fontId="6" fillId="0" borderId="0" xfId="0" applyNumberFormat="1" applyFont="1" applyFill="1" applyProtection="1"/>
    <xf numFmtId="165" fontId="16" fillId="0" borderId="0" xfId="0" applyNumberFormat="1" applyFont="1" applyFill="1" applyBorder="1" applyAlignment="1" applyProtection="1">
      <alignment horizontal="left" wrapText="1"/>
    </xf>
    <xf numFmtId="0" fontId="13" fillId="0" borderId="0" xfId="0" applyFont="1" applyFill="1" applyBorder="1" applyAlignment="1" applyProtection="1">
      <alignment horizontal="left" wrapText="1"/>
    </xf>
  </cellXfs>
  <cellStyles count="3">
    <cellStyle name="Обычный" xfId="0" builtinId="0"/>
    <cellStyle name="Обычный 2" xfId="1"/>
    <cellStyle name="Обычный 3" xfId="2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33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4"/>
  <sheetViews>
    <sheetView tabSelected="1" workbookViewId="0">
      <selection activeCell="B31" sqref="B31"/>
    </sheetView>
  </sheetViews>
  <sheetFormatPr defaultRowHeight="15" x14ac:dyDescent="0.25"/>
  <cols>
    <col min="1" max="1" width="10.42578125" style="13" customWidth="1"/>
    <col min="2" max="2" width="21.85546875" style="13" customWidth="1"/>
    <col min="3" max="3" width="10.85546875" style="13" customWidth="1"/>
    <col min="4" max="4" width="11.28515625" style="13" customWidth="1"/>
    <col min="5" max="5" width="12" style="13" customWidth="1"/>
    <col min="6" max="6" width="10.42578125" style="13" customWidth="1"/>
    <col min="7" max="9" width="9.140625" style="13"/>
    <col min="10" max="11" width="9.7109375" style="13" bestFit="1" customWidth="1"/>
    <col min="12" max="19" width="9.140625" style="13"/>
    <col min="20" max="20" width="9.7109375" style="13" bestFit="1" customWidth="1"/>
    <col min="21" max="16384" width="9.140625" style="13"/>
  </cols>
  <sheetData>
    <row r="1" spans="2:12" ht="15.75" x14ac:dyDescent="0.25">
      <c r="E1" s="67" t="s">
        <v>17</v>
      </c>
      <c r="F1" s="68"/>
    </row>
    <row r="3" spans="2:12" x14ac:dyDescent="0.25">
      <c r="B3" s="64" t="s">
        <v>27</v>
      </c>
      <c r="C3" s="13" t="s">
        <v>0</v>
      </c>
      <c r="D3" s="31">
        <v>1</v>
      </c>
    </row>
    <row r="5" spans="2:12" x14ac:dyDescent="0.25">
      <c r="B5" s="13" t="s">
        <v>39</v>
      </c>
      <c r="C5" s="32" t="s">
        <v>10</v>
      </c>
    </row>
    <row r="7" spans="2:12" x14ac:dyDescent="0.25">
      <c r="C7" s="108"/>
    </row>
    <row r="9" spans="2:12" x14ac:dyDescent="0.25">
      <c r="B9" s="13" t="s">
        <v>24</v>
      </c>
      <c r="C9" s="33">
        <v>37834</v>
      </c>
      <c r="D9" s="13" t="s">
        <v>28</v>
      </c>
      <c r="E9" s="13" t="str">
        <f>DATEDIF(C9,E13,"Y")&amp;" лет, "&amp;DATEDIF(C9,E13,"YM")&amp;" месяцев, "&amp;DATEDIF(C9,E13,"MD")&amp;" дней"</f>
        <v>14 лет, 0 месяцев, 0 дней</v>
      </c>
    </row>
    <row r="10" spans="2:12" x14ac:dyDescent="0.25">
      <c r="B10" s="13">
        <f>DATEDIF(C9,D15,"M")</f>
        <v>171</v>
      </c>
      <c r="C10" s="13" t="s">
        <v>25</v>
      </c>
    </row>
    <row r="11" spans="2:12" x14ac:dyDescent="0.25">
      <c r="I11" s="109" t="s">
        <v>11</v>
      </c>
      <c r="J11" s="109"/>
      <c r="K11" s="109">
        <f>IF(B10&gt;=12,12,B10)</f>
        <v>12</v>
      </c>
      <c r="L11" s="110" t="s">
        <v>12</v>
      </c>
    </row>
    <row r="12" spans="2:12" x14ac:dyDescent="0.25">
      <c r="B12" s="66" t="s">
        <v>29</v>
      </c>
      <c r="C12" s="66" t="str">
        <f>LOWER(B3 &amp; " за период с")</f>
        <v>ежегодный отпуск за период с</v>
      </c>
      <c r="E12" s="65">
        <v>42583</v>
      </c>
    </row>
    <row r="13" spans="2:12" x14ac:dyDescent="0.25">
      <c r="D13" s="13" t="s">
        <v>1</v>
      </c>
      <c r="E13" s="65">
        <v>42948</v>
      </c>
    </row>
    <row r="14" spans="2:12" x14ac:dyDescent="0.25">
      <c r="D14" s="13" t="s">
        <v>16</v>
      </c>
      <c r="E14" s="35" t="str">
        <f>ROUNDUP((E13-E12)/365*24,0)&amp; " рабочих дней"</f>
        <v>24 рабочих дней</v>
      </c>
    </row>
    <row r="15" spans="2:12" x14ac:dyDescent="0.25">
      <c r="B15" s="13" t="s">
        <v>26</v>
      </c>
      <c r="C15" s="36"/>
      <c r="D15" s="5">
        <v>43066</v>
      </c>
      <c r="E15" s="36" t="str">
        <f>"по "&amp; TEXT(WORKDAY(D15,MID(E14,1,SEARCH(" ",E14)-1),"0000011")-1,"ДД.ММ.ГГ")</f>
        <v>по 28.12.17</v>
      </c>
      <c r="F15" s="34"/>
    </row>
    <row r="16" spans="2:12" x14ac:dyDescent="0.25">
      <c r="F16" s="111" t="s">
        <v>42</v>
      </c>
    </row>
    <row r="17" spans="1:26" x14ac:dyDescent="0.25">
      <c r="A17" s="10" t="s">
        <v>7</v>
      </c>
      <c r="B17" s="37" t="s">
        <v>2</v>
      </c>
      <c r="C17" s="10" t="s">
        <v>3</v>
      </c>
      <c r="D17" s="10" t="s">
        <v>4</v>
      </c>
      <c r="E17" s="9" t="s">
        <v>22</v>
      </c>
      <c r="F17" s="111" t="s">
        <v>43</v>
      </c>
      <c r="H17" s="66" t="s">
        <v>40</v>
      </c>
      <c r="Q17" s="66" t="s">
        <v>41</v>
      </c>
    </row>
    <row r="18" spans="1:26" x14ac:dyDescent="0.25">
      <c r="A18" s="12" t="s">
        <v>8</v>
      </c>
      <c r="B18" s="38"/>
      <c r="C18" s="12" t="s">
        <v>5</v>
      </c>
      <c r="D18" s="39"/>
      <c r="E18" s="11" t="s">
        <v>23</v>
      </c>
      <c r="F18" s="111" t="s">
        <v>45</v>
      </c>
      <c r="H18" s="17" t="s">
        <v>14</v>
      </c>
      <c r="I18" s="18"/>
      <c r="J18" s="17" t="s">
        <v>21</v>
      </c>
      <c r="K18" s="22"/>
      <c r="L18" s="22"/>
      <c r="M18" s="18"/>
      <c r="N18" s="88" t="s">
        <v>19</v>
      </c>
      <c r="Q18" s="17" t="s">
        <v>14</v>
      </c>
      <c r="R18" s="18"/>
      <c r="S18" s="17" t="s">
        <v>21</v>
      </c>
      <c r="T18" s="22"/>
      <c r="U18" s="22"/>
      <c r="V18" s="18"/>
      <c r="W18" s="88" t="s">
        <v>19</v>
      </c>
    </row>
    <row r="19" spans="1:26" ht="15.75" thickBot="1" x14ac:dyDescent="0.3">
      <c r="A19" s="28"/>
      <c r="B19" s="27"/>
      <c r="C19" s="30"/>
      <c r="D19" s="30"/>
      <c r="E19" s="29" t="s">
        <v>9</v>
      </c>
      <c r="F19" s="111" t="s">
        <v>44</v>
      </c>
      <c r="H19" s="63"/>
      <c r="I19" s="15"/>
      <c r="J19" s="63"/>
      <c r="K19" s="20"/>
      <c r="L19" s="20"/>
      <c r="M19" s="15"/>
      <c r="N19" s="89" t="s">
        <v>15</v>
      </c>
      <c r="Q19" s="63"/>
      <c r="R19" s="15"/>
      <c r="S19" s="38"/>
      <c r="T19" s="26"/>
      <c r="U19" s="26"/>
      <c r="V19" s="24"/>
      <c r="W19" s="90" t="s">
        <v>15</v>
      </c>
      <c r="Z19" s="72" t="str">
        <f>H20</f>
        <v>Январь 2016</v>
      </c>
    </row>
    <row r="20" spans="1:26" x14ac:dyDescent="0.25">
      <c r="A20" s="6">
        <f>IF(B20="","",MAX($A$18:A19)+1)</f>
        <v>1</v>
      </c>
      <c r="B20" s="114">
        <f>IFERROR(IF(EOMONTH(B21,-1)&lt;$C$9,"",IF(YEAR(B21)&lt;&gt;YEAR($C$9),EOMONTH(B21,-1),IF(AND(MONTH(EOMONTH(B21,-1))=MONTH($C$9),DAY($C$9)-1&lt;&gt;0),"",EOMONTH(B21,-1)))),"")</f>
        <v>42704</v>
      </c>
      <c r="C20" s="1">
        <f>IF(B20="","",IFERROR(DAY(EOMONTH(B20,0))-VLOOKUP(TEXT(B20,"ММММ ГГГГ"),$H$20:$N$31,7,),DAY(EOMONTH(B20,0))-VLOOKUP(TEXT(B20,"ММММ ГГГГ"),$Q$20:$W$31,7,)))</f>
        <v>30</v>
      </c>
      <c r="D20" s="2">
        <v>1500</v>
      </c>
      <c r="E20" s="40">
        <f>IFERROR(ROUND(D20/C20, 2),"")</f>
        <v>50</v>
      </c>
      <c r="F20" s="112">
        <v>30</v>
      </c>
      <c r="G20" s="118"/>
      <c r="H20" s="75" t="s">
        <v>18</v>
      </c>
      <c r="I20" s="23"/>
      <c r="J20" s="78">
        <v>42370</v>
      </c>
      <c r="K20" s="78">
        <v>42376</v>
      </c>
      <c r="L20" s="78"/>
      <c r="M20" s="78"/>
      <c r="N20" s="79">
        <f>COUNT(J20:M20)</f>
        <v>2</v>
      </c>
      <c r="O20" s="73"/>
      <c r="Q20" s="75" t="s">
        <v>20</v>
      </c>
      <c r="R20" s="19"/>
      <c r="S20" s="91">
        <v>42736</v>
      </c>
      <c r="T20" s="91">
        <v>42742</v>
      </c>
      <c r="U20" s="91"/>
      <c r="V20" s="91"/>
      <c r="W20" s="79">
        <f>COUNT(S20:V20)</f>
        <v>2</v>
      </c>
      <c r="Z20" s="71" t="s">
        <v>18</v>
      </c>
    </row>
    <row r="21" spans="1:26" x14ac:dyDescent="0.25">
      <c r="A21" s="6">
        <f>IF(B21="","",MAX($A$18:A20)+1)</f>
        <v>2</v>
      </c>
      <c r="B21" s="113">
        <f>IFERROR(IF(EOMONTH(B22,-1)&lt;$C$9,"",IF(YEAR(B22)&lt;&gt;YEAR($C$9),EOMONTH(B22,-1),IF(AND(MONTH(EOMONTH(B22,-1))=MONTH($C$9),DAY($C$9)-1&lt;&gt;0),"",EOMONTH(B22,-1)))),"")</f>
        <v>42735</v>
      </c>
      <c r="C21" s="1">
        <f>IF(B21="","",IFERROR(DAY(EOMONTH(B21,0))-VLOOKUP(TEXT(B21,"ММММ ГГГГ"),$H$20:$N$31,7,),DAY(EOMONTH(B21,0))-VLOOKUP(TEXT(B21,"ММММ ГГГГ"),$Q$20:$W$31,7,)))</f>
        <v>31</v>
      </c>
      <c r="D21" s="3">
        <v>2760</v>
      </c>
      <c r="E21" s="40">
        <f t="shared" ref="E21:E32" si="0">IFERROR(ROUND(D21/C21, 2),"")</f>
        <v>89.03</v>
      </c>
      <c r="F21" s="112">
        <v>31</v>
      </c>
      <c r="H21" s="76" t="str">
        <f>TEXT(EDATE(H20,1),"[$-F419]ММММ ГГГГ")</f>
        <v>февраль 2016</v>
      </c>
      <c r="I21" s="23"/>
      <c r="J21" s="78"/>
      <c r="K21" s="78"/>
      <c r="L21" s="78"/>
      <c r="M21" s="78"/>
      <c r="N21" s="79">
        <f t="shared" ref="N21:N31" si="1">COUNT(J21:M21)</f>
        <v>0</v>
      </c>
      <c r="O21" s="73"/>
      <c r="Q21" s="76" t="str">
        <f>TEXT(EDATE(Q20,1),"[$-419]ММММ ГГГГ")</f>
        <v>Февраль 2017</v>
      </c>
      <c r="R21" s="19"/>
      <c r="S21" s="91"/>
      <c r="T21" s="91"/>
      <c r="U21" s="91"/>
      <c r="V21" s="91"/>
      <c r="W21" s="79">
        <f t="shared" ref="W21:W31" si="2">COUNT(S21:V21)</f>
        <v>0</v>
      </c>
      <c r="Z21" s="70" t="str">
        <f>TEXT(EDATE(Z20,1),"[$-419]ММММ ГГГГ")</f>
        <v>Февраль 2016</v>
      </c>
    </row>
    <row r="22" spans="1:26" x14ac:dyDescent="0.25">
      <c r="A22" s="6">
        <f>IF(B22="","",MAX($A$18:A21)+1)</f>
        <v>3</v>
      </c>
      <c r="B22" s="113">
        <f>IFERROR(IF(EOMONTH(B23,-1)&lt;$C$9,"",IF(YEAR(B23)&lt;&gt;YEAR($C$9),EOMONTH(B23,-1),IF(AND(MONTH(EOMONTH(B23,-1))=MONTH($C$9),DAY($C$9)-1&lt;&gt;0),"",EOMONTH(B23,-1)))),"")</f>
        <v>42766</v>
      </c>
      <c r="C22" s="1">
        <f>IF(B22="","",IFERROR(DAY(EOMONTH(B22,0))-VLOOKUP(TEXT(B22,"ММММ ГГГГ"),$H$20:$N$31,7,),DAY(EOMONTH(B22,0))-VLOOKUP(TEXT(B22,"ММММ ГГГГ"),$Q$20:$W$31,7,)))</f>
        <v>29</v>
      </c>
      <c r="D22" s="3">
        <v>833</v>
      </c>
      <c r="E22" s="40">
        <f t="shared" si="0"/>
        <v>28.72</v>
      </c>
      <c r="F22" s="112">
        <v>29</v>
      </c>
      <c r="H22" s="76" t="str">
        <f t="shared" ref="H22:H31" si="3">TEXT(EDATE(H21,1),"[$-F419]ММММ ГГГГ")</f>
        <v>март 2016</v>
      </c>
      <c r="I22" s="23"/>
      <c r="J22" s="78">
        <v>42437</v>
      </c>
      <c r="K22" s="78"/>
      <c r="L22" s="78"/>
      <c r="M22" s="78"/>
      <c r="N22" s="79">
        <f t="shared" si="1"/>
        <v>1</v>
      </c>
      <c r="O22" s="73"/>
      <c r="Q22" s="76" t="str">
        <f>TEXT(EDATE(Q21,1),"[$-419]ММММ ГГГГ")</f>
        <v>Март 2017</v>
      </c>
      <c r="R22" s="19"/>
      <c r="S22" s="91">
        <v>42802</v>
      </c>
      <c r="T22" s="91"/>
      <c r="U22" s="91"/>
      <c r="V22" s="91"/>
      <c r="W22" s="79">
        <f t="shared" si="2"/>
        <v>1</v>
      </c>
      <c r="Z22" s="70" t="str">
        <f t="shared" ref="Z22:Z31" si="4">TEXT(EDATE(Z21,1),"[$-419]ММММ ГГГГ")</f>
        <v>Март 2016</v>
      </c>
    </row>
    <row r="23" spans="1:26" x14ac:dyDescent="0.25">
      <c r="A23" s="6">
        <f>IF(B23="","",MAX($A$18:A22)+1)</f>
        <v>4</v>
      </c>
      <c r="B23" s="113">
        <f>IFERROR(IF(EOMONTH(B24,-1)&lt;$C$9,"",IF(YEAR(B24)&lt;&gt;YEAR($C$9),EOMONTH(B24,-1),IF(AND(MONTH(EOMONTH(B24,-1))=MONTH($C$9),DAY($C$9)-1&lt;&gt;0),"",EOMONTH(B24,-1)))),"")</f>
        <v>42794</v>
      </c>
      <c r="C23" s="1">
        <f>IF(B23="","",IFERROR(DAY(EOMONTH(B23,0))-VLOOKUP(TEXT(B23,"ММММ ГГГГ"),$H$20:$N$31,7,),DAY(EOMONTH(B23,0))-VLOOKUP(TEXT(B23,"ММММ ГГГГ"),$Q$20:$W$31,7,)))</f>
        <v>28</v>
      </c>
      <c r="D23" s="3">
        <v>2537.85</v>
      </c>
      <c r="E23" s="40">
        <f t="shared" si="0"/>
        <v>90.64</v>
      </c>
      <c r="F23" s="112">
        <v>28</v>
      </c>
      <c r="H23" s="76" t="str">
        <f t="shared" si="3"/>
        <v>апрель 2016</v>
      </c>
      <c r="I23" s="23"/>
      <c r="J23" s="78"/>
      <c r="K23" s="78"/>
      <c r="L23" s="78"/>
      <c r="M23" s="78"/>
      <c r="N23" s="79">
        <f t="shared" si="1"/>
        <v>0</v>
      </c>
      <c r="O23" s="73"/>
      <c r="Q23" s="76" t="str">
        <f t="shared" ref="Q23:Q31" si="5">TEXT(EDATE(Q22,1),"[$-419]ММММ ГГГГ")</f>
        <v>Апрель 2017</v>
      </c>
      <c r="R23" s="19"/>
      <c r="S23" s="91">
        <v>42841</v>
      </c>
      <c r="T23" s="91"/>
      <c r="U23" s="91"/>
      <c r="V23" s="91"/>
      <c r="W23" s="79">
        <f t="shared" si="2"/>
        <v>1</v>
      </c>
      <c r="Z23" s="70" t="str">
        <f t="shared" si="4"/>
        <v>Апрель 2016</v>
      </c>
    </row>
    <row r="24" spans="1:26" x14ac:dyDescent="0.25">
      <c r="A24" s="6">
        <f>IF(B24="","",MAX($A$18:A23)+1)</f>
        <v>5</v>
      </c>
      <c r="B24" s="113">
        <f>IFERROR(IF(EOMONTH(B25,-1)&lt;$C$9,"",IF(YEAR(B25)&lt;&gt;YEAR($C$9),EOMONTH(B25,-1),IF(AND(MONTH(EOMONTH(B25,-1))=MONTH($C$9),DAY($C$9)-1&lt;&gt;0),"",EOMONTH(B25,-1)))),"")</f>
        <v>42825</v>
      </c>
      <c r="C24" s="1">
        <f>IF(B24="","",IFERROR(DAY(EOMONTH(B24,0))-VLOOKUP(TEXT(B24,"ММММ ГГГГ"),$H$20:$N$31,7,),DAY(EOMONTH(B24,0))-VLOOKUP(TEXT(B24,"ММММ ГГГГ"),$Q$20:$W$31,7,)))</f>
        <v>30</v>
      </c>
      <c r="D24" s="3">
        <v>2900.4</v>
      </c>
      <c r="E24" s="40">
        <f t="shared" si="0"/>
        <v>96.68</v>
      </c>
      <c r="F24" s="112">
        <v>30</v>
      </c>
      <c r="H24" s="76" t="str">
        <f t="shared" si="3"/>
        <v>май 2016</v>
      </c>
      <c r="I24" s="23"/>
      <c r="J24" s="78">
        <v>42491</v>
      </c>
      <c r="K24" s="78">
        <v>42492</v>
      </c>
      <c r="L24" s="78">
        <v>42499</v>
      </c>
      <c r="M24" s="78"/>
      <c r="N24" s="79">
        <f t="shared" si="1"/>
        <v>3</v>
      </c>
      <c r="O24" s="73"/>
      <c r="Q24" s="76" t="str">
        <f t="shared" si="5"/>
        <v>Май 2017</v>
      </c>
      <c r="R24" s="19"/>
      <c r="S24" s="91">
        <v>42856</v>
      </c>
      <c r="T24" s="91">
        <v>42857</v>
      </c>
      <c r="U24" s="91">
        <v>42864</v>
      </c>
      <c r="V24" s="91"/>
      <c r="W24" s="79">
        <f t="shared" si="2"/>
        <v>3</v>
      </c>
      <c r="Z24" s="70" t="str">
        <f t="shared" si="4"/>
        <v>Май 2016</v>
      </c>
    </row>
    <row r="25" spans="1:26" x14ac:dyDescent="0.25">
      <c r="A25" s="6">
        <f>IF(B25="","",MAX($A$18:A24)+1)</f>
        <v>6</v>
      </c>
      <c r="B25" s="113">
        <f>IFERROR(IF(EOMONTH(B26,-1)&lt;$C$9,"",IF(YEAR(B26)&lt;&gt;YEAR($C$9),EOMONTH(B26,-1),IF(AND(MONTH(EOMONTH(B26,-1))=MONTH($C$9),DAY($C$9)-1&lt;&gt;0),"",EOMONTH(B26,-1)))),"")</f>
        <v>42855</v>
      </c>
      <c r="C25" s="1">
        <f>IF(B25="","",IFERROR(DAY(EOMONTH(B25,0))-VLOOKUP(TEXT(B25,"ММММ ГГГГ"),$H$20:$N$31,7,),DAY(EOMONTH(B25,0))-VLOOKUP(TEXT(B25,"ММММ ГГГГ"),$Q$20:$W$31,7,)))</f>
        <v>29</v>
      </c>
      <c r="D25" s="3">
        <v>0</v>
      </c>
      <c r="E25" s="40">
        <f t="shared" si="0"/>
        <v>0</v>
      </c>
      <c r="F25" s="112">
        <v>29</v>
      </c>
      <c r="H25" s="76" t="str">
        <f t="shared" si="3"/>
        <v>июнь 2016</v>
      </c>
      <c r="I25" s="23"/>
      <c r="J25" s="78">
        <v>42540</v>
      </c>
      <c r="K25" s="78">
        <v>42549</v>
      </c>
      <c r="L25" s="78"/>
      <c r="M25" s="78"/>
      <c r="N25" s="79">
        <f t="shared" si="1"/>
        <v>2</v>
      </c>
      <c r="O25" s="73"/>
      <c r="Q25" s="76" t="str">
        <f t="shared" si="5"/>
        <v>Июнь 2017</v>
      </c>
      <c r="R25" s="19"/>
      <c r="S25" s="91">
        <v>42890</v>
      </c>
      <c r="T25" s="91">
        <v>42914</v>
      </c>
      <c r="U25" s="91"/>
      <c r="V25" s="91"/>
      <c r="W25" s="79">
        <f t="shared" si="2"/>
        <v>2</v>
      </c>
      <c r="Z25" s="70" t="str">
        <f t="shared" si="4"/>
        <v>Июнь 2016</v>
      </c>
    </row>
    <row r="26" spans="1:26" x14ac:dyDescent="0.25">
      <c r="A26" s="6">
        <f>IF(B26="","",MAX($A$18:A25)+1)</f>
        <v>7</v>
      </c>
      <c r="B26" s="113">
        <f>IFERROR(IF(EOMONTH(B27,-1)&lt;$C$9,"",IF(YEAR(B27)&lt;&gt;YEAR($C$9),EOMONTH(B27,-1),IF(AND(MONTH(EOMONTH(B27,-1))=MONTH($C$9),DAY($C$9)-1&lt;&gt;0),"",EOMONTH(B27,-1)))),"")</f>
        <v>42886</v>
      </c>
      <c r="C26" s="1">
        <f>IF(B26="","",IFERROR(DAY(EOMONTH(B26,0))-VLOOKUP(TEXT(B26,"ММММ ГГГГ"),$H$20:$N$31,7,),DAY(EOMONTH(B26,0))-VLOOKUP(TEXT(B26,"ММММ ГГГГ"),$Q$20:$W$31,7,)))</f>
        <v>28</v>
      </c>
      <c r="D26" s="3">
        <v>3552.99</v>
      </c>
      <c r="E26" s="40">
        <f t="shared" si="0"/>
        <v>126.89</v>
      </c>
      <c r="F26" s="112">
        <v>28</v>
      </c>
      <c r="H26" s="76" t="str">
        <f t="shared" si="3"/>
        <v>июль 2016</v>
      </c>
      <c r="I26" s="23"/>
      <c r="J26" s="78"/>
      <c r="K26" s="78"/>
      <c r="L26" s="78"/>
      <c r="M26" s="78"/>
      <c r="N26" s="79">
        <f t="shared" si="1"/>
        <v>0</v>
      </c>
      <c r="O26" s="73"/>
      <c r="Q26" s="76" t="str">
        <f t="shared" si="5"/>
        <v>Июль 2017</v>
      </c>
      <c r="R26" s="19"/>
      <c r="S26" s="91"/>
      <c r="T26" s="91"/>
      <c r="U26" s="91"/>
      <c r="V26" s="91"/>
      <c r="W26" s="79">
        <f t="shared" si="2"/>
        <v>0</v>
      </c>
      <c r="Z26" s="70" t="str">
        <f t="shared" si="4"/>
        <v>Июль 2016</v>
      </c>
    </row>
    <row r="27" spans="1:26" x14ac:dyDescent="0.25">
      <c r="A27" s="6">
        <f>IF(B27="","",MAX($A$18:A26)+1)</f>
        <v>8</v>
      </c>
      <c r="B27" s="113">
        <f>IFERROR(IF(EOMONTH(B28,-1)&lt;$C$9,"",IF(YEAR(B28)&lt;&gt;YEAR($C$9),EOMONTH(B28,-1),IF(AND(MONTH(EOMONTH(B28,-1))=MONTH($C$9),DAY($C$9)-1&lt;&gt;0),"",EOMONTH(B28,-1)))),"")</f>
        <v>42916</v>
      </c>
      <c r="C27" s="1">
        <f>IF(B27="","",IFERROR(DAY(EOMONTH(B27,0))-VLOOKUP(TEXT(B27,"ММММ ГГГГ"),$H$20:$N$31,7,),DAY(EOMONTH(B27,0))-VLOOKUP(TEXT(B27,"ММММ ГГГГ"),$Q$20:$W$31,7,)))</f>
        <v>28</v>
      </c>
      <c r="D27" s="3">
        <v>393.8</v>
      </c>
      <c r="E27" s="40">
        <f t="shared" si="0"/>
        <v>14.06</v>
      </c>
      <c r="F27" s="112">
        <v>28</v>
      </c>
      <c r="H27" s="76" t="str">
        <f t="shared" si="3"/>
        <v>август 2016</v>
      </c>
      <c r="I27" s="23"/>
      <c r="J27" s="78">
        <v>42606</v>
      </c>
      <c r="K27" s="78"/>
      <c r="L27" s="78"/>
      <c r="M27" s="78"/>
      <c r="N27" s="79">
        <f t="shared" si="1"/>
        <v>1</v>
      </c>
      <c r="O27" s="73"/>
      <c r="Q27" s="76" t="str">
        <f t="shared" si="5"/>
        <v>Август 2017</v>
      </c>
      <c r="R27" s="19"/>
      <c r="S27" s="91">
        <v>42971</v>
      </c>
      <c r="T27" s="91"/>
      <c r="U27" s="91"/>
      <c r="V27" s="91"/>
      <c r="W27" s="79">
        <f t="shared" si="2"/>
        <v>1</v>
      </c>
      <c r="Z27" s="70" t="str">
        <f t="shared" si="4"/>
        <v>Август 2016</v>
      </c>
    </row>
    <row r="28" spans="1:26" x14ac:dyDescent="0.25">
      <c r="A28" s="6">
        <f>IF(B28="","",MAX($A$18:A27)+1)</f>
        <v>9</v>
      </c>
      <c r="B28" s="113">
        <f>IFERROR(IF(EOMONTH(B29,-1)&lt;$C$9,"",IF(YEAR(B29)&lt;&gt;YEAR($C$9),EOMONTH(B29,-1),IF(AND(MONTH(EOMONTH(B29,-1))=MONTH($C$9),DAY($C$9)-1&lt;&gt;0),"",EOMONTH(B29,-1)))),"")</f>
        <v>42947</v>
      </c>
      <c r="C28" s="1">
        <f>IF(B28="","",IFERROR(DAY(EOMONTH(B28,0))-VLOOKUP(TEXT(B28,"ММММ ГГГГ"),$H$20:$N$31,7,),DAY(EOMONTH(B28,0))-VLOOKUP(TEXT(B28,"ММММ ГГГГ"),$Q$20:$W$31,7,)))</f>
        <v>31</v>
      </c>
      <c r="D28" s="3">
        <v>0</v>
      </c>
      <c r="E28" s="40">
        <f t="shared" si="0"/>
        <v>0</v>
      </c>
      <c r="F28" s="112">
        <v>31</v>
      </c>
      <c r="H28" s="77" t="str">
        <f t="shared" si="3"/>
        <v>сентябрь 2016</v>
      </c>
      <c r="I28" s="15"/>
      <c r="J28" s="78"/>
      <c r="K28" s="78"/>
      <c r="L28" s="78"/>
      <c r="M28" s="78"/>
      <c r="N28" s="79">
        <f t="shared" si="1"/>
        <v>0</v>
      </c>
      <c r="O28" s="73"/>
      <c r="Q28" s="76" t="str">
        <f t="shared" si="5"/>
        <v>Сентябрь 2017</v>
      </c>
      <c r="R28" s="19"/>
      <c r="S28" s="91"/>
      <c r="T28" s="91"/>
      <c r="U28" s="91"/>
      <c r="V28" s="91"/>
      <c r="W28" s="79">
        <f t="shared" si="2"/>
        <v>0</v>
      </c>
      <c r="Z28" s="70" t="str">
        <f t="shared" si="4"/>
        <v>Сентябрь 2016</v>
      </c>
    </row>
    <row r="29" spans="1:26" x14ac:dyDescent="0.25">
      <c r="A29" s="6">
        <f>IF(B29="","",MAX($A$18:A28)+1)</f>
        <v>10</v>
      </c>
      <c r="B29" s="113">
        <f>IFERROR(IF(EOMONTH(B30,-1)&lt;$C$9,"",IF(YEAR(B30)&lt;&gt;YEAR($C$9),EOMONTH(B30,-1),IF(AND(MONTH(EOMONTH(B30,-1))=MONTH($C$9),DAY($C$9)-1&lt;&gt;0),"",EOMONTH(B30,-1)))),"")</f>
        <v>42978</v>
      </c>
      <c r="C29" s="1">
        <f>IF(B29="","",IFERROR(DAY(EOMONTH(B29,0))-VLOOKUP(TEXT(B29,"ММММ ГГГГ"),$H$20:$N$31,7,),DAY(EOMONTH(B29,0))-VLOOKUP(TEXT(B29,"ММММ ГГГГ"),$Q$20:$W$31,7,)))</f>
        <v>30</v>
      </c>
      <c r="D29" s="3">
        <v>0</v>
      </c>
      <c r="E29" s="40">
        <f t="shared" si="0"/>
        <v>0</v>
      </c>
      <c r="F29" s="112">
        <v>30</v>
      </c>
      <c r="H29" s="76" t="str">
        <f t="shared" si="3"/>
        <v>октябрь 2016</v>
      </c>
      <c r="I29" s="23"/>
      <c r="J29" s="78">
        <v>42657</v>
      </c>
      <c r="K29" s="78"/>
      <c r="L29" s="78"/>
      <c r="M29" s="78"/>
      <c r="N29" s="79">
        <f t="shared" si="1"/>
        <v>1</v>
      </c>
      <c r="O29" s="73"/>
      <c r="Q29" s="76" t="str">
        <f t="shared" si="5"/>
        <v>Октябрь 2017</v>
      </c>
      <c r="R29" s="19"/>
      <c r="S29" s="91">
        <v>43022</v>
      </c>
      <c r="T29" s="91"/>
      <c r="U29" s="91"/>
      <c r="V29" s="91"/>
      <c r="W29" s="79">
        <f t="shared" si="2"/>
        <v>1</v>
      </c>
      <c r="Z29" s="70" t="str">
        <f t="shared" si="4"/>
        <v>Октябрь 2016</v>
      </c>
    </row>
    <row r="30" spans="1:26" x14ac:dyDescent="0.25">
      <c r="A30" s="6">
        <f>IF(B30="","",MAX($A$18:A29)+1)</f>
        <v>11</v>
      </c>
      <c r="B30" s="113">
        <f>IFERROR(IF(EOMONTH(B31,-1)&lt;$C$9,"",IF(YEAR(B31)&lt;&gt;YEAR($C$9),EOMONTH(B31,-1),IF(AND(MONTH(EOMONTH(B31,-1))=MONTH($C$9),DAY($C$9)-1&lt;&gt;0),"",EOMONTH(B31,-1)))),"")</f>
        <v>43008</v>
      </c>
      <c r="C30" s="1">
        <f>IF(B30="","",IFERROR(DAY(EOMONTH(B30,0))-VLOOKUP(TEXT(B30,"ММММ ГГГГ"),$H$20:$N$31,7,),DAY(EOMONTH(B30,0))-VLOOKUP(TEXT(B30,"ММММ ГГГГ"),$Q$20:$W$31,7,)))</f>
        <v>30</v>
      </c>
      <c r="D30" s="3">
        <v>3220</v>
      </c>
      <c r="E30" s="40">
        <f t="shared" si="0"/>
        <v>107.33</v>
      </c>
      <c r="F30" s="112">
        <v>30</v>
      </c>
      <c r="H30" s="76" t="str">
        <f t="shared" si="3"/>
        <v>ноябрь 2016</v>
      </c>
      <c r="I30" s="23"/>
      <c r="J30" s="78"/>
      <c r="K30" s="78"/>
      <c r="L30" s="78"/>
      <c r="M30" s="78"/>
      <c r="N30" s="79">
        <f t="shared" si="1"/>
        <v>0</v>
      </c>
      <c r="O30" s="73"/>
      <c r="Q30" s="76" t="str">
        <f t="shared" si="5"/>
        <v>Ноябрь 2017</v>
      </c>
      <c r="R30" s="19"/>
      <c r="S30" s="91"/>
      <c r="T30" s="91"/>
      <c r="U30" s="91"/>
      <c r="V30" s="91"/>
      <c r="W30" s="79">
        <f t="shared" si="2"/>
        <v>0</v>
      </c>
      <c r="Z30" s="70" t="str">
        <f t="shared" si="4"/>
        <v>Ноябрь 2016</v>
      </c>
    </row>
    <row r="31" spans="1:26" ht="15.75" thickBot="1" x14ac:dyDescent="0.3">
      <c r="A31" s="7">
        <f>IF(B31="","",MAX($A$18:A30)+1)</f>
        <v>12</v>
      </c>
      <c r="B31" s="115">
        <f>EOMONTH(D15,-1)</f>
        <v>43039</v>
      </c>
      <c r="C31" s="1">
        <f>IF(B31="","",IFERROR(DAY(EOMONTH(B31,0))-VLOOKUP(TEXT(B31,"ММММ ГГГГ"),$H$20:$N$31,7,),DAY(EOMONTH(B31,0))-VLOOKUP(TEXT(B31,"ММММ ГГГГ"),$Q$20:$W$31,7,)))</f>
        <v>30</v>
      </c>
      <c r="D31" s="4">
        <v>3338</v>
      </c>
      <c r="E31" s="41">
        <f t="shared" si="0"/>
        <v>111.27</v>
      </c>
      <c r="F31" s="112">
        <v>30</v>
      </c>
      <c r="H31" s="81" t="str">
        <f t="shared" si="3"/>
        <v>декабрь 2016</v>
      </c>
      <c r="I31" s="82"/>
      <c r="J31" s="83"/>
      <c r="K31" s="83"/>
      <c r="L31" s="83"/>
      <c r="M31" s="83"/>
      <c r="N31" s="84">
        <f t="shared" si="1"/>
        <v>0</v>
      </c>
      <c r="O31" s="73"/>
      <c r="Q31" s="85" t="str">
        <f t="shared" si="5"/>
        <v>Декабрь 2017</v>
      </c>
      <c r="R31" s="86"/>
      <c r="S31" s="92"/>
      <c r="T31" s="92"/>
      <c r="U31" s="92"/>
      <c r="V31" s="92"/>
      <c r="W31" s="84">
        <f t="shared" si="2"/>
        <v>0</v>
      </c>
      <c r="Z31" s="70" t="str">
        <f t="shared" si="4"/>
        <v>Декабрь 2016</v>
      </c>
    </row>
    <row r="32" spans="1:26" ht="15.75" x14ac:dyDescent="0.25">
      <c r="A32" s="14">
        <f>A31</f>
        <v>12</v>
      </c>
      <c r="B32" s="8" t="s">
        <v>6</v>
      </c>
      <c r="C32" s="14">
        <f>IF(SUM(C20:C31),SUM(C20:C31),"")</f>
        <v>354</v>
      </c>
      <c r="D32" s="16">
        <f>IF(SUM(D20:D31),SUM(D20:D31),"")</f>
        <v>21036.04</v>
      </c>
      <c r="E32" s="42">
        <f t="shared" si="0"/>
        <v>59.42</v>
      </c>
      <c r="H32" s="63" t="s">
        <v>13</v>
      </c>
      <c r="I32" s="15"/>
      <c r="J32" s="74"/>
      <c r="K32" s="74"/>
      <c r="L32" s="74"/>
      <c r="M32" s="74"/>
      <c r="N32" s="80">
        <f>SUM(N20:N31)</f>
        <v>10</v>
      </c>
      <c r="Q32" s="63" t="s">
        <v>13</v>
      </c>
      <c r="R32" s="20"/>
      <c r="S32" s="87"/>
      <c r="T32" s="87"/>
      <c r="U32" s="87"/>
      <c r="V32" s="87"/>
      <c r="W32" s="80">
        <f>SUM(W20:W31)</f>
        <v>11</v>
      </c>
      <c r="Z32" s="70"/>
    </row>
    <row r="34" spans="1:17" x14ac:dyDescent="0.25">
      <c r="B34" s="43" t="s">
        <v>30</v>
      </c>
    </row>
    <row r="35" spans="1:17" x14ac:dyDescent="0.25">
      <c r="A35" s="44" t="s">
        <v>31</v>
      </c>
      <c r="B35" s="44" t="s">
        <v>32</v>
      </c>
      <c r="C35" s="45"/>
      <c r="D35" s="46"/>
      <c r="E35" s="26"/>
      <c r="Q35" s="116"/>
    </row>
    <row r="36" spans="1:17" x14ac:dyDescent="0.25">
      <c r="A36" s="47" t="s">
        <v>33</v>
      </c>
      <c r="B36" s="47" t="s">
        <v>34</v>
      </c>
      <c r="C36" s="47" t="s">
        <v>35</v>
      </c>
      <c r="D36" s="48" t="s">
        <v>13</v>
      </c>
      <c r="E36" s="25"/>
      <c r="Q36"/>
    </row>
    <row r="37" spans="1:17" x14ac:dyDescent="0.25">
      <c r="A37" s="47" t="s">
        <v>36</v>
      </c>
      <c r="B37" s="47"/>
      <c r="C37" s="47" t="s">
        <v>9</v>
      </c>
      <c r="D37" s="48" t="s">
        <v>37</v>
      </c>
      <c r="E37" s="25"/>
      <c r="Q37" s="116"/>
    </row>
    <row r="38" spans="1:17" x14ac:dyDescent="0.25">
      <c r="A38" s="47"/>
      <c r="B38" s="47"/>
      <c r="C38" s="47" t="s">
        <v>38</v>
      </c>
      <c r="D38" s="48"/>
      <c r="E38" s="25"/>
      <c r="Q38" s="117"/>
    </row>
    <row r="39" spans="1:17" x14ac:dyDescent="0.25">
      <c r="A39" s="47"/>
      <c r="B39" s="47"/>
      <c r="C39" s="47"/>
      <c r="D39" s="48"/>
      <c r="E39" s="25"/>
      <c r="Q39" s="116"/>
    </row>
    <row r="40" spans="1:17" ht="15.75" thickBot="1" x14ac:dyDescent="0.3">
      <c r="A40" s="49"/>
      <c r="B40" s="49"/>
      <c r="C40" s="49"/>
      <c r="D40" s="50"/>
      <c r="E40" s="25"/>
      <c r="Q40" s="117"/>
    </row>
    <row r="41" spans="1:17" x14ac:dyDescent="0.25">
      <c r="A41" s="51">
        <f>D15</f>
        <v>43066</v>
      </c>
      <c r="B41" s="52"/>
      <c r="C41" s="52"/>
      <c r="D41" s="53"/>
      <c r="E41" s="54"/>
      <c r="K41" s="55"/>
      <c r="Q41" s="117"/>
    </row>
    <row r="42" spans="1:17" ht="15.75" x14ac:dyDescent="0.25">
      <c r="A42" s="56">
        <f>F15</f>
        <v>0</v>
      </c>
      <c r="B42" s="57">
        <f>--MID(E14,1,SEARCH(" ",E14))</f>
        <v>24</v>
      </c>
      <c r="C42" s="58">
        <f>E32</f>
        <v>59.42</v>
      </c>
      <c r="D42" s="59">
        <f>IFERROR(ROUND(B42*C42,2),"")</f>
        <v>1426.08</v>
      </c>
      <c r="E42" s="60"/>
      <c r="Q42" s="117"/>
    </row>
    <row r="43" spans="1:17" x14ac:dyDescent="0.25">
      <c r="Q43" s="117"/>
    </row>
    <row r="44" spans="1:17" x14ac:dyDescent="0.25">
      <c r="A44" s="13" t="str">
        <f>"Усього нараховано – сума словами:  "&amp;INDEX(усот,MOD(TRUNC(D42/10^8),10)+1)&amp;IF(MOD(TRUNC(D42/10^7),10)=1,INDEX(уцат,MOD(TRUNC(D42/10^6),10)+1),INDEX(удес,MOD(TRUNC(D42/10^7),10)))&amp;IF(MOD(TRUNC(D42/10^7),10)&lt;&gt;1,INDEX(уед,MOD(TRUNC(D42/10^6),10)+1),"")&amp;IF(MOD(TRUNC(D42/10^6),1000),IF(MOD(TRUNC(D42/10^7),10)=1,"мільйонів ",VLOOKUP(MOD(TRUNC(D42/10^6),10),умил,2)),"")&amp;INDEX(усот,MOD(TRUNC(D42/10^5),10)+1)&amp;IF(MOD(TRUNC(D42/10^4),10)=1,INDEX(уцат,MOD(TRUNC(D42/10^3),10)+1),INDEX(удес,MOD(TRUNC(D42/10^4),10)))&amp;IF(MOD(TRUNC(D42/10^4),10)&lt;&gt;1,INDEX(уедж,MOD(TRUNC(D42/1000),10)+1),"")&amp;IF(MOD(TRUNC(D42/1000),1000),IF(MOD(TRUNC(D42/10^4),10)=1,"тисяч ",VLOOKUP(MOD(TRUNC(D42/1000),10),утыс,2)),"")&amp;INDEX(усот,MOD(TRUNC(D42/100),10)+1)&amp;IF(MOD(TRUNC(D42/10),10)=1,INDEX(уцат,MOD(TRUNC(D42),10)+1),INDEX(удес,MOD(TRUNC(D42/10),10)))&amp;IF(TRUNC(D42)=0,"нуль ",IF(MOD(TRUNC(D42/10),10)&lt;&gt;1,INDEX(уедж,MOD(TRUNC(D42),10)+1),""))&amp;IF(MOD(TRUNC(D42/10),10)=1,"гривень",VLOOKUP(MOD(TRUNC(D42),10),грив,2))&amp;TEXT(TRUNC((D42-TRUNC(D42)+0.00001)*100)," 00_ коп.")&amp;" "</f>
        <v xml:space="preserve">Усього нараховано – сума словами:  одна тисяча чотириста двадцять шість гривень 08 коп. </v>
      </c>
      <c r="D44" s="61"/>
      <c r="E44" s="62"/>
      <c r="Q44"/>
    </row>
    <row r="45" spans="1:17" x14ac:dyDescent="0.25">
      <c r="D45" s="62"/>
      <c r="E45" s="62"/>
      <c r="Q45" s="116"/>
    </row>
    <row r="46" spans="1:17" x14ac:dyDescent="0.25">
      <c r="A46" s="13" t="str">
        <f>"Включено до платіжної відомості за "&amp;E1&amp;" "</f>
        <v xml:space="preserve">Включено до платіжної відомості за Ноябрь 2017 </v>
      </c>
      <c r="D46" s="69"/>
      <c r="E46" s="66" t="str">
        <f>"Включено до платіжної відомості за "&amp;TEXT(EDATE(E1,0),"[$-422]ММММ ГГГГ")&amp;" "</f>
        <v xml:space="preserve">Включено до платіжної відомості за Листопад 2017 </v>
      </c>
      <c r="F46" s="62"/>
      <c r="G46" s="62"/>
      <c r="Q46" s="117"/>
    </row>
    <row r="47" spans="1:17" x14ac:dyDescent="0.25">
      <c r="F47" s="62"/>
      <c r="G47" s="62"/>
      <c r="Q47" s="117"/>
    </row>
    <row r="48" spans="1:17" x14ac:dyDescent="0.25">
      <c r="Q48" s="117"/>
    </row>
    <row r="58" spans="1:26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x14ac:dyDescent="0.25">
      <c r="A61" s="26"/>
      <c r="B61" s="26"/>
      <c r="C61" s="26"/>
      <c r="D61" s="93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x14ac:dyDescent="0.25">
      <c r="A64" s="26"/>
      <c r="B64" s="26"/>
      <c r="C64" s="26"/>
      <c r="D64" s="93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x14ac:dyDescent="0.25">
      <c r="A65" s="94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18.75" x14ac:dyDescent="0.3">
      <c r="A70" s="26"/>
      <c r="B70" s="26"/>
      <c r="C70" s="26"/>
      <c r="D70" s="26"/>
      <c r="E70" s="26"/>
      <c r="F70" s="26"/>
      <c r="G70" s="26"/>
      <c r="H70" s="26"/>
      <c r="I70" s="95"/>
      <c r="J70" s="26"/>
      <c r="K70" s="26"/>
      <c r="L70" s="26"/>
      <c r="M70" s="26"/>
      <c r="N70" s="26"/>
      <c r="O70" s="26"/>
      <c r="P70" s="119"/>
      <c r="Q70" s="120"/>
      <c r="R70" s="26"/>
      <c r="S70" s="26"/>
      <c r="T70" s="26"/>
      <c r="U70" s="26"/>
      <c r="V70" s="26"/>
      <c r="W70" s="26"/>
      <c r="X70" s="26"/>
      <c r="Y70" s="26"/>
      <c r="Z70" s="26"/>
    </row>
    <row r="71" spans="1:26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x14ac:dyDescent="0.25">
      <c r="A72" s="26"/>
      <c r="B72" s="26"/>
      <c r="C72" s="21"/>
      <c r="D72" s="26"/>
      <c r="E72" s="26"/>
      <c r="F72" s="26"/>
      <c r="G72" s="94"/>
      <c r="H72" s="26"/>
      <c r="I72" s="26"/>
      <c r="J72" s="21"/>
      <c r="K72" s="26"/>
      <c r="L72" s="26"/>
      <c r="M72" s="26"/>
      <c r="N72" s="26"/>
      <c r="O72" s="94"/>
      <c r="P72" s="26"/>
      <c r="Q72" s="26"/>
      <c r="R72" s="26"/>
      <c r="S72" s="26"/>
      <c r="T72" s="96"/>
      <c r="U72" s="25"/>
      <c r="V72" s="26"/>
      <c r="W72" s="26"/>
      <c r="X72" s="26"/>
      <c r="Y72" s="26"/>
      <c r="Z72" s="26"/>
    </row>
    <row r="73" spans="1:26" x14ac:dyDescent="0.25">
      <c r="A73" s="26"/>
      <c r="B73" s="26"/>
      <c r="C73" s="21"/>
      <c r="D73" s="26"/>
      <c r="E73" s="21"/>
      <c r="F73" s="26"/>
      <c r="G73" s="25"/>
      <c r="H73" s="25"/>
      <c r="I73" s="21"/>
      <c r="J73" s="21"/>
      <c r="K73" s="25"/>
      <c r="L73" s="25"/>
      <c r="M73" s="25"/>
      <c r="N73" s="25"/>
      <c r="O73" s="25"/>
      <c r="P73" s="25"/>
      <c r="Q73" s="25"/>
      <c r="R73" s="25"/>
      <c r="S73" s="26"/>
      <c r="T73" s="96"/>
      <c r="U73" s="26"/>
      <c r="V73" s="25"/>
      <c r="W73" s="26"/>
      <c r="X73" s="26"/>
      <c r="Y73" s="26"/>
      <c r="Z73" s="26"/>
    </row>
    <row r="74" spans="1:26" ht="15.75" x14ac:dyDescent="0.25">
      <c r="A74" s="97"/>
      <c r="B74" s="26"/>
      <c r="C74" s="25"/>
      <c r="D74" s="21"/>
      <c r="E74" s="21"/>
      <c r="F74" s="21"/>
      <c r="G74" s="25"/>
      <c r="H74" s="25"/>
      <c r="I74" s="21"/>
      <c r="J74" s="21"/>
      <c r="K74" s="26"/>
      <c r="L74" s="26"/>
      <c r="M74" s="26"/>
      <c r="N74" s="94"/>
      <c r="O74" s="26"/>
      <c r="P74" s="98"/>
      <c r="Q74" s="94"/>
      <c r="R74" s="26"/>
      <c r="S74" s="26"/>
      <c r="T74" s="25"/>
      <c r="U74" s="25"/>
      <c r="V74" s="21"/>
      <c r="W74" s="26"/>
      <c r="X74" s="26"/>
      <c r="Y74" s="26"/>
      <c r="Z74" s="26"/>
    </row>
    <row r="75" spans="1:26" ht="15.75" x14ac:dyDescent="0.25">
      <c r="A75" s="97"/>
      <c r="B75" s="26"/>
      <c r="C75" s="25"/>
      <c r="D75" s="21"/>
      <c r="E75" s="21"/>
      <c r="F75" s="21"/>
      <c r="G75" s="25"/>
      <c r="H75" s="25"/>
      <c r="I75" s="25"/>
      <c r="J75" s="26"/>
      <c r="K75" s="26"/>
      <c r="L75" s="26"/>
      <c r="M75" s="99"/>
      <c r="N75" s="25"/>
      <c r="O75" s="25"/>
      <c r="P75" s="21"/>
      <c r="Q75" s="25"/>
      <c r="R75" s="25"/>
      <c r="S75" s="21"/>
      <c r="T75" s="25"/>
      <c r="U75" s="25"/>
      <c r="V75" s="25"/>
      <c r="W75" s="26"/>
      <c r="X75" s="26"/>
      <c r="Y75" s="26"/>
      <c r="Z75" s="26"/>
    </row>
    <row r="76" spans="1:26" x14ac:dyDescent="0.25">
      <c r="A76" s="26"/>
      <c r="B76" s="26"/>
      <c r="C76" s="25"/>
      <c r="D76" s="26"/>
      <c r="E76" s="26"/>
      <c r="F76" s="26"/>
      <c r="G76" s="25"/>
      <c r="H76" s="25"/>
      <c r="I76" s="25"/>
      <c r="J76" s="25"/>
      <c r="K76" s="25"/>
      <c r="L76" s="25"/>
      <c r="M76" s="21"/>
      <c r="N76" s="25"/>
      <c r="O76" s="25"/>
      <c r="P76" s="25"/>
      <c r="Q76" s="25"/>
      <c r="R76" s="25"/>
      <c r="S76" s="25"/>
      <c r="T76" s="25"/>
      <c r="U76" s="26"/>
      <c r="V76" s="25"/>
      <c r="W76" s="26"/>
      <c r="X76" s="26"/>
      <c r="Y76" s="26"/>
      <c r="Z76" s="26"/>
    </row>
    <row r="77" spans="1:26" x14ac:dyDescent="0.25">
      <c r="A77" s="26"/>
      <c r="B77" s="26"/>
      <c r="C77" s="25"/>
      <c r="D77" s="26"/>
      <c r="E77" s="26"/>
      <c r="F77" s="26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6"/>
      <c r="X77" s="26"/>
      <c r="Y77" s="26"/>
      <c r="Z77" s="26"/>
    </row>
    <row r="78" spans="1:26" x14ac:dyDescent="0.25">
      <c r="A78" s="26"/>
      <c r="B78" s="26"/>
      <c r="C78" s="25"/>
      <c r="D78" s="26"/>
      <c r="E78" s="26"/>
      <c r="F78" s="26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6"/>
      <c r="X78" s="26"/>
      <c r="Y78" s="26"/>
      <c r="Z78" s="26"/>
    </row>
    <row r="79" spans="1:26" x14ac:dyDescent="0.25">
      <c r="A79" s="26"/>
      <c r="B79" s="26"/>
      <c r="C79" s="25"/>
      <c r="D79" s="25"/>
      <c r="E79" s="26"/>
      <c r="F79" s="26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1"/>
      <c r="U79" s="26"/>
      <c r="V79" s="25"/>
      <c r="W79" s="26"/>
      <c r="X79" s="26"/>
      <c r="Y79" s="26"/>
      <c r="Z79" s="26"/>
    </row>
    <row r="80" spans="1:26" x14ac:dyDescent="0.25">
      <c r="A80" s="26"/>
      <c r="B80" s="26"/>
      <c r="C80" s="25"/>
      <c r="D80" s="25"/>
      <c r="E80" s="26"/>
      <c r="F80" s="26"/>
      <c r="G80" s="100"/>
      <c r="H80" s="100"/>
      <c r="I80" s="101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1"/>
      <c r="U80" s="26"/>
      <c r="V80" s="21"/>
      <c r="W80" s="26"/>
      <c r="X80" s="26"/>
      <c r="Y80" s="26"/>
      <c r="Z80" s="26"/>
    </row>
    <row r="81" spans="1:26" x14ac:dyDescent="0.25">
      <c r="A81" s="26"/>
      <c r="B81" s="26"/>
      <c r="C81" s="26"/>
      <c r="D81" s="25"/>
      <c r="E81" s="26"/>
      <c r="F81" s="26"/>
      <c r="G81" s="26"/>
      <c r="H81" s="26"/>
      <c r="I81" s="26"/>
      <c r="J81" s="102"/>
      <c r="K81" s="25"/>
      <c r="L81" s="25"/>
      <c r="M81" s="25"/>
      <c r="N81" s="25"/>
      <c r="O81" s="25"/>
      <c r="P81" s="25"/>
      <c r="Q81" s="25"/>
      <c r="R81" s="25"/>
      <c r="S81" s="25"/>
      <c r="T81" s="26"/>
      <c r="U81" s="25"/>
      <c r="V81" s="25"/>
      <c r="W81" s="26"/>
      <c r="X81" s="26"/>
      <c r="Y81" s="26"/>
      <c r="Z81" s="26"/>
    </row>
    <row r="82" spans="1:26" ht="15.75" x14ac:dyDescent="0.25">
      <c r="A82" s="26"/>
      <c r="B82" s="26"/>
      <c r="C82" s="25"/>
      <c r="D82" s="103"/>
      <c r="E82" s="103"/>
      <c r="F82" s="54"/>
      <c r="G82" s="104"/>
      <c r="H82" s="100"/>
      <c r="I82" s="101"/>
      <c r="J82" s="105"/>
      <c r="K82" s="106"/>
      <c r="L82" s="106"/>
      <c r="M82" s="101"/>
      <c r="N82" s="100"/>
      <c r="O82" s="100"/>
      <c r="P82" s="101"/>
      <c r="Q82" s="100"/>
      <c r="R82" s="100"/>
      <c r="S82" s="101"/>
      <c r="T82" s="100"/>
      <c r="U82" s="100"/>
      <c r="V82" s="100"/>
      <c r="W82" s="26"/>
      <c r="X82" s="26"/>
      <c r="Y82" s="26"/>
      <c r="Z82" s="26"/>
    </row>
    <row r="83" spans="1:26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x14ac:dyDescent="0.25">
      <c r="A84" s="26"/>
      <c r="B84" s="26"/>
      <c r="C84" s="107"/>
      <c r="D84" s="25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</sheetData>
  <mergeCells count="1">
    <mergeCell ref="P70:Q70"/>
  </mergeCells>
  <conditionalFormatting sqref="Z20">
    <cfRule type="expression" dxfId="2" priority="2">
      <formula>ISBLANK(Z25)</formula>
    </cfRule>
  </conditionalFormatting>
  <conditionalFormatting sqref="H20">
    <cfRule type="expression" dxfId="1" priority="3">
      <formula>ISBLANK(H25)</formula>
    </cfRule>
  </conditionalFormatting>
  <conditionalFormatting sqref="Q20">
    <cfRule type="expression" dxfId="0" priority="1">
      <formula>ISBLANK(Q25)</formula>
    </cfRule>
  </conditionalFormatting>
  <pageMargins left="0.70866141732283472" right="0.70866141732283472" top="0.23622047244094491" bottom="0.11811023622047245" header="0.31496062992125984" footer="0.31496062992125984"/>
  <pageSetup paperSize="9" orientation="portrait" horizontalDpi="4294967293" verticalDpi="0" r:id="rId1"/>
  <headerFooter>
    <oddFooter>&amp;R&amp;D   &amp;T</oddFooter>
  </headerFooter>
  <ignoredErrors>
    <ignoredError sqref="C20:C3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Количество дней формулой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max</cp:lastModifiedBy>
  <cp:lastPrinted>2017-12-19T08:05:49Z</cp:lastPrinted>
  <dcterms:created xsi:type="dcterms:W3CDTF">2002-01-01T08:39:21Z</dcterms:created>
  <dcterms:modified xsi:type="dcterms:W3CDTF">2017-12-19T11:00:28Z</dcterms:modified>
</cp:coreProperties>
</file>