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F15" i="1"/>
  <c r="F14"/>
  <c r="B42" s="1"/>
  <c r="A41"/>
  <c r="C42"/>
  <c r="Q70"/>
  <c r="P82"/>
  <c r="F2"/>
  <c r="F32"/>
  <c r="AG31"/>
  <c r="X31"/>
  <c r="O31"/>
  <c r="AG30"/>
  <c r="X30"/>
  <c r="O30"/>
  <c r="AG29"/>
  <c r="X29"/>
  <c r="O29"/>
  <c r="AG28"/>
  <c r="X28"/>
  <c r="O28"/>
  <c r="AG27"/>
  <c r="X27"/>
  <c r="O27"/>
  <c r="AG26"/>
  <c r="X26"/>
  <c r="O26"/>
  <c r="AG25"/>
  <c r="X25"/>
  <c r="O25"/>
  <c r="AG24"/>
  <c r="X24"/>
  <c r="O24"/>
  <c r="AG23"/>
  <c r="X23"/>
  <c r="O23"/>
  <c r="AG22"/>
  <c r="AG32" s="1"/>
  <c r="X22"/>
  <c r="R22"/>
  <c r="R23" s="1"/>
  <c r="R24" s="1"/>
  <c r="R25" s="1"/>
  <c r="R26" s="1"/>
  <c r="R27" s="1"/>
  <c r="R28" s="1"/>
  <c r="R29" s="1"/>
  <c r="R30" s="1"/>
  <c r="R31" s="1"/>
  <c r="O22"/>
  <c r="I22"/>
  <c r="I23" s="1"/>
  <c r="I24" s="1"/>
  <c r="I25" s="1"/>
  <c r="I26" s="1"/>
  <c r="I27" s="1"/>
  <c r="I28" s="1"/>
  <c r="I29" s="1"/>
  <c r="I30" s="1"/>
  <c r="I31" s="1"/>
  <c r="B22"/>
  <c r="A22" s="1"/>
  <c r="AM21"/>
  <c r="AM22" s="1"/>
  <c r="AM23" s="1"/>
  <c r="AM24" s="1"/>
  <c r="AM25" s="1"/>
  <c r="AM26" s="1"/>
  <c r="AM27" s="1"/>
  <c r="AM28" s="1"/>
  <c r="AM29" s="1"/>
  <c r="AM30" s="1"/>
  <c r="AM31" s="1"/>
  <c r="AG21"/>
  <c r="X21"/>
  <c r="R21"/>
  <c r="O21"/>
  <c r="O32" s="1"/>
  <c r="I21"/>
  <c r="D21"/>
  <c r="E21" s="1"/>
  <c r="G21" s="1"/>
  <c r="AG20"/>
  <c r="X20"/>
  <c r="X32" s="1"/>
  <c r="O20"/>
  <c r="D20"/>
  <c r="E20" s="1"/>
  <c r="AM19"/>
  <c r="B15"/>
  <c r="G13"/>
  <c r="C12"/>
  <c r="E10"/>
  <c r="B10"/>
  <c r="E9"/>
  <c r="A42" l="1"/>
  <c r="D42"/>
  <c r="Q82"/>
  <c r="R82"/>
  <c r="U82" s="1"/>
  <c r="G20"/>
  <c r="B20"/>
  <c r="A20" s="1"/>
  <c r="B21"/>
  <c r="A21" s="1"/>
  <c r="D22"/>
  <c r="B23"/>
  <c r="D23" l="1"/>
  <c r="E22"/>
  <c r="B24"/>
  <c r="A23"/>
  <c r="S82" l="1"/>
  <c r="A24"/>
  <c r="B25"/>
  <c r="G22"/>
  <c r="E23"/>
  <c r="G23" s="1"/>
  <c r="D24"/>
  <c r="V82" l="1"/>
  <c r="W82" s="1"/>
  <c r="T82"/>
  <c r="E24"/>
  <c r="D25"/>
  <c r="A25"/>
  <c r="B26"/>
  <c r="A26" l="1"/>
  <c r="B27"/>
  <c r="E25"/>
  <c r="G25" s="1"/>
  <c r="D26"/>
  <c r="G24"/>
  <c r="D27" l="1"/>
  <c r="E26"/>
  <c r="B28"/>
  <c r="A27"/>
  <c r="A28" l="1"/>
  <c r="B29"/>
  <c r="E27"/>
  <c r="G27" s="1"/>
  <c r="D28"/>
  <c r="G26"/>
  <c r="E28" l="1"/>
  <c r="D29"/>
  <c r="B30"/>
  <c r="A29"/>
  <c r="G28" l="1"/>
  <c r="A30"/>
  <c r="B31"/>
  <c r="A31" s="1"/>
  <c r="A32" s="1"/>
  <c r="E29"/>
  <c r="G29" s="1"/>
  <c r="D30"/>
  <c r="E30" l="1"/>
  <c r="G30" s="1"/>
  <c r="D31"/>
  <c r="E31" s="1"/>
  <c r="G31" l="1"/>
  <c r="H32" s="1"/>
  <c r="E32"/>
  <c r="G32" s="1"/>
</calcChain>
</file>

<file path=xl/comments1.xml><?xml version="1.0" encoding="utf-8"?>
<comments xmlns="http://schemas.openxmlformats.org/spreadsheetml/2006/main">
  <authors>
    <author>Admin</author>
  </authors>
  <commentLis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  <comment ref="L7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8"/>
            <color indexed="81"/>
            <rFont val="Tahoma"/>
            <family val="2"/>
            <charset val="204"/>
          </rPr>
          <t>Пільга в 20</t>
        </r>
        <r>
          <rPr>
            <sz val="8"/>
            <color indexed="12"/>
            <rFont val="Tahoma"/>
            <family val="2"/>
            <charset val="204"/>
          </rPr>
          <t>17</t>
        </r>
        <r>
          <rPr>
            <sz val="8"/>
            <color indexed="81"/>
            <rFont val="Tahoma"/>
            <family val="2"/>
            <charset val="204"/>
          </rPr>
          <t xml:space="preserve"> році: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 Визначення ПДФО: Якщо: 
1. Зарплата більше </t>
        </r>
        <r>
          <rPr>
            <sz val="8"/>
            <color indexed="12"/>
            <rFont val="Tahoma"/>
            <family val="2"/>
            <charset val="204"/>
          </rPr>
          <t>2 240,00</t>
        </r>
        <r>
          <rPr>
            <sz val="8"/>
            <color indexed="81"/>
            <rFont val="Tahoma"/>
            <family val="2"/>
            <charset val="204"/>
          </rPr>
          <t xml:space="preserve"> грн., то Зарплата х 18 %.
2. Зарплата менше </t>
        </r>
        <r>
          <rPr>
            <sz val="8"/>
            <color indexed="12"/>
            <rFont val="Tahoma"/>
            <family val="2"/>
            <charset val="204"/>
          </rPr>
          <t>2 240,0</t>
        </r>
        <r>
          <rPr>
            <sz val="8"/>
            <color indexed="81"/>
            <rFont val="Tahoma"/>
            <family val="2"/>
            <charset val="204"/>
          </rPr>
          <t xml:space="preserve">0 грн., то Зарплата мінус </t>
        </r>
        <r>
          <rPr>
            <sz val="8"/>
            <color indexed="12"/>
            <rFont val="Tahoma"/>
            <family val="2"/>
            <charset val="204"/>
          </rPr>
          <t>800</t>
        </r>
        <r>
          <rPr>
            <sz val="8"/>
            <color indexed="81"/>
            <rFont val="Tahoma"/>
            <family val="2"/>
            <charset val="204"/>
          </rPr>
          <t xml:space="preserve"> х 18 %.
3. Зарплата менше </t>
        </r>
        <r>
          <rPr>
            <sz val="8"/>
            <color indexed="12"/>
            <rFont val="Tahoma"/>
            <family val="2"/>
            <charset val="204"/>
          </rPr>
          <t>800,00</t>
        </r>
        <r>
          <rPr>
            <sz val="8"/>
            <color indexed="81"/>
            <rFont val="Tahoma"/>
            <family val="2"/>
            <charset val="204"/>
          </rPr>
          <t xml:space="preserve"> грн., то ПДФО = 0,00 грн.
4. Пільга в місяці прийому на роботу застосовується.
5. Пільга в місяці звільнення не застосовується.
</t>
        </r>
      </text>
    </comment>
    <comment ref="O74" authorId="0">
      <text>
        <r>
          <rPr>
            <b/>
            <sz val="8"/>
            <color indexed="81"/>
            <rFont val="Tahoma"/>
            <family val="2"/>
            <charset val="204"/>
          </rPr>
          <t>Admin: Військовий збір</t>
        </r>
        <r>
          <rPr>
            <sz val="8"/>
            <color indexed="81"/>
            <rFont val="Tahoma"/>
            <family val="2"/>
            <charset val="204"/>
          </rPr>
          <t xml:space="preserve">
1,5 % із заробітної плати</t>
        </r>
      </text>
    </comment>
    <comment ref="K8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мінімальної зарплати. Вносити розмір мінімальної зарплати.</t>
        </r>
      </text>
    </comment>
    <comment ref="L8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Мінять формулу при зміні розміру податкової соціальної пільги. Вносити розмір пільги і граничний розмір доходу.</t>
        </r>
      </text>
    </comment>
    <comment ref="E8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>5.Вводиться автоматично кількість календарних днів</t>
        </r>
      </text>
    </comment>
  </commentList>
</comments>
</file>

<file path=xl/sharedStrings.xml><?xml version="1.0" encoding="utf-8"?>
<sst xmlns="http://schemas.openxmlformats.org/spreadsheetml/2006/main" count="110" uniqueCount="89">
  <si>
    <t>Расчёт отпускных за</t>
  </si>
  <si>
    <t xml:space="preserve">Январь 2017 </t>
  </si>
  <si>
    <t>Відпустка щорічна</t>
  </si>
  <si>
    <t>Номер</t>
  </si>
  <si>
    <t>Прізвище працівника:</t>
  </si>
  <si>
    <t xml:space="preserve">Посада: </t>
  </si>
  <si>
    <r>
      <t>Влаштован</t>
    </r>
    <r>
      <rPr>
        <sz val="11"/>
        <color rgb="FF0033CC"/>
        <rFont val="Calibri"/>
        <family val="2"/>
        <charset val="204"/>
        <scheme val="minor"/>
      </rPr>
      <t>ий</t>
    </r>
    <r>
      <rPr>
        <sz val="11"/>
        <rFont val="Calibri"/>
        <family val="2"/>
        <charset val="204"/>
        <scheme val="minor"/>
      </rPr>
      <t xml:space="preserve"> з:</t>
    </r>
  </si>
  <si>
    <t>повних місяців працює.</t>
  </si>
  <si>
    <t xml:space="preserve">Надається </t>
  </si>
  <si>
    <t>по</t>
  </si>
  <si>
    <t xml:space="preserve">№ за </t>
  </si>
  <si>
    <t>Месяцы</t>
  </si>
  <si>
    <t>Дата нача-</t>
  </si>
  <si>
    <t>Календар-</t>
  </si>
  <si>
    <t>Зарплата</t>
  </si>
  <si>
    <t>Середньо-</t>
  </si>
  <si>
    <t>Середньо</t>
  </si>
  <si>
    <t>Таблица для расчёта количества дней отпуска за 2016 год</t>
  </si>
  <si>
    <t>Таблица для расчёта количества дней отпуска за 2017 год</t>
  </si>
  <si>
    <t>Таблица для расчёта количества дней отпуска за 2018 год</t>
  </si>
  <si>
    <t>пор.</t>
  </si>
  <si>
    <t>ла расчёта</t>
  </si>
  <si>
    <t>ные дни</t>
  </si>
  <si>
    <t xml:space="preserve">денна </t>
  </si>
  <si>
    <t>місячна</t>
  </si>
  <si>
    <t>Название месяца</t>
  </si>
  <si>
    <t xml:space="preserve">Числа месяца праздничных дней </t>
  </si>
  <si>
    <t xml:space="preserve">Всего </t>
  </si>
  <si>
    <t>в месяце</t>
  </si>
  <si>
    <t>зарплата</t>
  </si>
  <si>
    <t>дней</t>
  </si>
  <si>
    <t>2018 г.</t>
  </si>
  <si>
    <t>Январь 2016</t>
  </si>
  <si>
    <t>Январь 2017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</si>
  <si>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</si>
  <si>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</si>
  <si>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</si>
  <si>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</si>
  <si>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</si>
  <si>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</si>
  <si>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</si>
  <si>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</si>
  <si>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</si>
  <si>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</si>
  <si>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</si>
  <si>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</si>
  <si>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Всього</t>
  </si>
  <si>
    <t>Х</t>
  </si>
  <si>
    <t>Всего</t>
  </si>
  <si>
    <t>Належить до виплати всього</t>
  </si>
  <si>
    <t>З якого</t>
  </si>
  <si>
    <t>За скіль-</t>
  </si>
  <si>
    <t>часу і до</t>
  </si>
  <si>
    <t>ки днів</t>
  </si>
  <si>
    <t>Середній</t>
  </si>
  <si>
    <t>Усього</t>
  </si>
  <si>
    <t>якого</t>
  </si>
  <si>
    <t>заробіток</t>
  </si>
  <si>
    <t>нараховано</t>
  </si>
  <si>
    <t>денний</t>
  </si>
  <si>
    <t>гривень</t>
  </si>
  <si>
    <t>в грн. і коп.</t>
  </si>
  <si>
    <t>УТРИМАНО</t>
  </si>
  <si>
    <t xml:space="preserve">     До видачі без  утриманих</t>
  </si>
  <si>
    <t xml:space="preserve">         аліментів, Постанов</t>
  </si>
  <si>
    <t>Лікарняні</t>
  </si>
  <si>
    <t>Всього утримано</t>
  </si>
  <si>
    <t xml:space="preserve"> Зарп-</t>
  </si>
  <si>
    <t xml:space="preserve">РАЗОМ </t>
  </si>
  <si>
    <t>із заро-</t>
  </si>
  <si>
    <t>із лікар-</t>
  </si>
  <si>
    <t>РАЗОМ</t>
  </si>
  <si>
    <t>лата + лі-</t>
  </si>
  <si>
    <t>ФСС з ТВП</t>
  </si>
  <si>
    <t xml:space="preserve"> Зарплата</t>
  </si>
  <si>
    <t>бітної</t>
  </si>
  <si>
    <t>няних</t>
  </si>
  <si>
    <t xml:space="preserve">карняні </t>
  </si>
  <si>
    <t xml:space="preserve"> + лікар-</t>
  </si>
  <si>
    <t>ФССзТВП</t>
  </si>
  <si>
    <t>плати +</t>
  </si>
  <si>
    <t xml:space="preserve">перші </t>
  </si>
  <si>
    <t xml:space="preserve">няні </t>
  </si>
  <si>
    <t>лікарня-</t>
  </si>
  <si>
    <t>5-ть днів</t>
  </si>
  <si>
    <t>ні перші</t>
  </si>
  <si>
    <t>без</t>
  </si>
  <si>
    <t xml:space="preserve"> +</t>
  </si>
  <si>
    <r>
      <rPr>
        <sz val="18"/>
        <color rgb="FFFF0000"/>
        <rFont val="Calibri"/>
        <family val="2"/>
        <charset val="204"/>
      </rPr>
      <t>←</t>
    </r>
    <r>
      <rPr>
        <sz val="18"/>
        <color rgb="FFFF0000"/>
        <rFont val="Calibri"/>
        <family val="2"/>
        <charset val="204"/>
        <scheme val="minor"/>
      </rPr>
      <t>Результат в ячейке F15 должен быть: 10 февраля.</t>
    </r>
  </si>
</sst>
</file>

<file path=xl/styles.xml><?xml version="1.0" encoding="utf-8"?>
<styleSheet xmlns="http://schemas.openxmlformats.org/spreadsheetml/2006/main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3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rgb="FF0033CC"/>
      <name val="Arial"/>
      <family val="2"/>
      <charset val="204"/>
    </font>
    <font>
      <sz val="11"/>
      <color rgb="FF0033CC"/>
      <name val="Arial"/>
      <family val="2"/>
      <charset val="204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2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12"/>
      <name val="Tahoma"/>
      <family val="2"/>
      <charset val="204"/>
    </font>
    <font>
      <sz val="10"/>
      <color indexed="12"/>
      <name val="Tahoma"/>
      <family val="2"/>
      <charset val="204"/>
    </font>
    <font>
      <sz val="18"/>
      <color rgb="FF0033CC"/>
      <name val="Calibri"/>
      <family val="2"/>
      <charset val="204"/>
      <scheme val="minor"/>
    </font>
    <font>
      <sz val="18"/>
      <color rgb="FF0033CC"/>
      <name val="Arial"/>
      <family val="2"/>
      <charset val="204"/>
    </font>
    <font>
      <sz val="18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33CC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</borders>
  <cellStyleXfs count="2">
    <xf numFmtId="0" fontId="0" fillId="0" borderId="0"/>
    <xf numFmtId="0" fontId="14" fillId="0" borderId="0"/>
  </cellStyleXfs>
  <cellXfs count="149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0" borderId="0" xfId="0" applyFont="1" applyFill="1" applyProtection="1"/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horizontal="right"/>
    </xf>
    <xf numFmtId="0" fontId="0" fillId="0" borderId="0" xfId="0" applyProtection="1"/>
    <xf numFmtId="14" fontId="1" fillId="3" borderId="0" xfId="0" applyNumberFormat="1" applyFont="1" applyFill="1" applyAlignment="1" applyProtection="1">
      <alignment horizontal="left"/>
      <protection locked="0"/>
    </xf>
    <xf numFmtId="14" fontId="0" fillId="3" borderId="0" xfId="0" applyNumberFormat="1" applyFont="1" applyFill="1" applyProtection="1">
      <protection locked="0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4" fillId="0" borderId="4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7" xfId="0" applyFont="1" applyFill="1" applyBorder="1" applyProtection="1"/>
    <xf numFmtId="0" fontId="1" fillId="0" borderId="5" xfId="0" applyFont="1" applyFill="1" applyBorder="1" applyProtection="1"/>
    <xf numFmtId="0" fontId="1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1" fillId="0" borderId="14" xfId="0" applyFont="1" applyFill="1" applyBorder="1" applyProtection="1"/>
    <xf numFmtId="0" fontId="4" fillId="0" borderId="12" xfId="0" applyFont="1" applyFill="1" applyBorder="1" applyAlignment="1" applyProtection="1">
      <alignment horizontal="center"/>
    </xf>
    <xf numFmtId="0" fontId="1" fillId="0" borderId="12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18" xfId="0" applyFont="1" applyFill="1" applyBorder="1" applyProtection="1"/>
    <xf numFmtId="0" fontId="1" fillId="0" borderId="19" xfId="0" applyFont="1" applyFill="1" applyBorder="1" applyProtection="1"/>
    <xf numFmtId="0" fontId="4" fillId="0" borderId="2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9" fontId="1" fillId="0" borderId="0" xfId="0" applyNumberFormat="1" applyFont="1" applyFill="1" applyProtection="1"/>
    <xf numFmtId="0" fontId="1" fillId="0" borderId="19" xfId="0" applyFont="1" applyFill="1" applyBorder="1" applyAlignment="1" applyProtection="1">
      <alignment horizontal="center"/>
    </xf>
    <xf numFmtId="164" fontId="1" fillId="0" borderId="21" xfId="0" applyNumberFormat="1" applyFont="1" applyFill="1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14" fontId="4" fillId="0" borderId="20" xfId="0" applyNumberFormat="1" applyFont="1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4" fontId="4" fillId="4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Protection="1"/>
    <xf numFmtId="165" fontId="1" fillId="0" borderId="26" xfId="0" applyNumberFormat="1" applyFont="1" applyFill="1" applyBorder="1" applyProtection="1"/>
    <xf numFmtId="1" fontId="1" fillId="0" borderId="26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49" fontId="4" fillId="2" borderId="27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Fill="1" applyBorder="1" applyProtection="1"/>
    <xf numFmtId="165" fontId="1" fillId="0" borderId="3" xfId="0" applyNumberFormat="1" applyFont="1" applyFill="1" applyBorder="1" applyProtection="1"/>
    <xf numFmtId="49" fontId="4" fillId="2" borderId="0" xfId="0" applyNumberFormat="1" applyFont="1" applyFill="1" applyAlignment="1" applyProtection="1">
      <alignment horizontal="left"/>
      <protection locked="0"/>
    </xf>
    <xf numFmtId="164" fontId="1" fillId="0" borderId="28" xfId="0" applyNumberFormat="1" applyFont="1" applyFill="1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20" xfId="0" applyFill="1" applyBorder="1" applyAlignment="1" applyProtection="1">
      <alignment horizontal="center"/>
    </xf>
    <xf numFmtId="4" fontId="4" fillId="4" borderId="25" xfId="0" applyNumberFormat="1" applyFont="1" applyFill="1" applyBorder="1" applyAlignment="1" applyProtection="1">
      <alignment horizontal="center"/>
      <protection locked="0"/>
    </xf>
    <xf numFmtId="166" fontId="1" fillId="0" borderId="24" xfId="0" applyNumberFormat="1" applyFont="1" applyFill="1" applyBorder="1" applyProtection="1"/>
    <xf numFmtId="166" fontId="1" fillId="0" borderId="27" xfId="0" applyNumberFormat="1" applyFont="1" applyFill="1" applyBorder="1" applyProtection="1"/>
    <xf numFmtId="49" fontId="4" fillId="0" borderId="27" xfId="0" applyNumberFormat="1" applyFont="1" applyFill="1" applyBorder="1" applyAlignment="1" applyProtection="1">
      <alignment horizontal="left"/>
      <protection locked="0"/>
    </xf>
    <xf numFmtId="166" fontId="1" fillId="0" borderId="0" xfId="0" applyNumberFormat="1" applyFont="1" applyFill="1" applyProtection="1"/>
    <xf numFmtId="165" fontId="6" fillId="0" borderId="26" xfId="0" applyNumberFormat="1" applyFont="1" applyFill="1" applyBorder="1" applyProtection="1"/>
    <xf numFmtId="166" fontId="1" fillId="0" borderId="17" xfId="0" applyNumberFormat="1" applyFont="1" applyFill="1" applyBorder="1" applyProtection="1"/>
    <xf numFmtId="0" fontId="1" fillId="0" borderId="29" xfId="0" applyFont="1" applyFill="1" applyBorder="1" applyAlignment="1" applyProtection="1">
      <alignment horizontal="center"/>
    </xf>
    <xf numFmtId="164" fontId="1" fillId="0" borderId="30" xfId="0" applyNumberFormat="1" applyFont="1" applyFill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14" fontId="4" fillId="0" borderId="29" xfId="0" applyNumberFormat="1" applyFon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4" fontId="4" fillId="4" borderId="31" xfId="0" applyNumberFormat="1" applyFont="1" applyFill="1" applyBorder="1" applyAlignment="1" applyProtection="1">
      <alignment horizontal="center"/>
      <protection locked="0"/>
    </xf>
    <xf numFmtId="2" fontId="1" fillId="0" borderId="32" xfId="0" applyNumberFormat="1" applyFont="1" applyFill="1" applyBorder="1" applyAlignment="1" applyProtection="1">
      <alignment horizontal="center"/>
    </xf>
    <xf numFmtId="166" fontId="1" fillId="0" borderId="33" xfId="0" applyNumberFormat="1" applyFont="1" applyFill="1" applyBorder="1" applyProtection="1"/>
    <xf numFmtId="0" fontId="1" fillId="0" borderId="34" xfId="0" applyFont="1" applyFill="1" applyBorder="1" applyProtection="1"/>
    <xf numFmtId="165" fontId="1" fillId="0" borderId="35" xfId="0" applyNumberFormat="1" applyFont="1" applyFill="1" applyBorder="1" applyProtection="1"/>
    <xf numFmtId="1" fontId="1" fillId="0" borderId="35" xfId="0" applyNumberFormat="1" applyFont="1" applyFill="1" applyBorder="1" applyAlignment="1" applyProtection="1">
      <alignment horizontal="center"/>
    </xf>
    <xf numFmtId="166" fontId="1" fillId="0" borderId="32" xfId="0" applyNumberFormat="1" applyFont="1" applyFill="1" applyBorder="1" applyProtection="1"/>
    <xf numFmtId="0" fontId="1" fillId="0" borderId="36" xfId="0" applyFont="1" applyFill="1" applyBorder="1" applyProtection="1"/>
    <xf numFmtId="165" fontId="1" fillId="0" borderId="37" xfId="0" applyNumberFormat="1" applyFont="1" applyFill="1" applyBorder="1" applyProtection="1"/>
    <xf numFmtId="49" fontId="4" fillId="0" borderId="32" xfId="0" applyNumberFormat="1" applyFont="1" applyFill="1" applyBorder="1" applyAlignment="1" applyProtection="1">
      <alignment horizontal="left"/>
      <protection locked="0"/>
    </xf>
    <xf numFmtId="3" fontId="7" fillId="0" borderId="20" xfId="0" applyNumberFormat="1" applyFont="1" applyFill="1" applyBorder="1" applyAlignment="1" applyProtection="1">
      <alignment horizontal="center"/>
    </xf>
    <xf numFmtId="164" fontId="8" fillId="0" borderId="19" xfId="0" applyNumberFormat="1" applyFont="1" applyFill="1" applyBorder="1" applyAlignment="1" applyProtection="1">
      <alignment horizontal="center"/>
    </xf>
    <xf numFmtId="4" fontId="9" fillId="0" borderId="18" xfId="0" applyNumberFormat="1" applyFont="1" applyFill="1" applyBorder="1" applyAlignment="1" applyProtection="1">
      <alignment horizontal="center"/>
    </xf>
    <xf numFmtId="4" fontId="7" fillId="0" borderId="19" xfId="0" applyNumberFormat="1" applyFont="1" applyFill="1" applyBorder="1" applyAlignment="1" applyProtection="1">
      <alignment horizontal="center"/>
    </xf>
    <xf numFmtId="4" fontId="10" fillId="0" borderId="2" xfId="0" applyNumberFormat="1" applyFont="1" applyFill="1" applyBorder="1" applyAlignment="1" applyProtection="1">
      <alignment horizontal="center"/>
    </xf>
    <xf numFmtId="0" fontId="11" fillId="0" borderId="17" xfId="0" applyFont="1" applyFill="1" applyBorder="1" applyProtection="1"/>
    <xf numFmtId="0" fontId="1" fillId="0" borderId="20" xfId="0" applyFont="1" applyFill="1" applyBorder="1" applyProtection="1"/>
    <xf numFmtId="1" fontId="11" fillId="0" borderId="20" xfId="0" applyNumberFormat="1" applyFont="1" applyFill="1" applyBorder="1" applyAlignment="1" applyProtection="1">
      <alignment horizontal="center"/>
    </xf>
    <xf numFmtId="0" fontId="11" fillId="0" borderId="19" xfId="0" applyFont="1" applyFill="1" applyBorder="1" applyProtection="1"/>
    <xf numFmtId="0" fontId="1" fillId="0" borderId="2" xfId="0" applyFont="1" applyFill="1" applyBorder="1" applyProtection="1"/>
    <xf numFmtId="0" fontId="12" fillId="0" borderId="0" xfId="0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38" xfId="0" applyFont="1" applyFill="1" applyBorder="1" applyProtection="1"/>
    <xf numFmtId="0" fontId="1" fillId="0" borderId="11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1" fillId="0" borderId="40" xfId="0" applyFont="1" applyFill="1" applyBorder="1" applyAlignment="1" applyProtection="1">
      <alignment horizontal="center"/>
    </xf>
    <xf numFmtId="14" fontId="1" fillId="0" borderId="2" xfId="0" applyNumberFormat="1" applyFont="1" applyFill="1" applyBorder="1" applyAlignment="1" applyProtection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12" fillId="0" borderId="39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3" xfId="0" applyNumberFormat="1" applyFont="1" applyFill="1" applyBorder="1" applyAlignment="1" applyProtection="1">
      <alignment horizontal="center"/>
    </xf>
    <xf numFmtId="2" fontId="13" fillId="0" borderId="2" xfId="1" applyNumberFormat="1" applyFont="1" applyFill="1" applyBorder="1" applyAlignment="1" applyProtection="1">
      <alignment horizontal="center"/>
    </xf>
    <xf numFmtId="4" fontId="7" fillId="0" borderId="41" xfId="0" applyNumberFormat="1" applyFont="1" applyFill="1" applyBorder="1" applyAlignment="1" applyProtection="1">
      <alignment horizontal="center"/>
    </xf>
    <xf numFmtId="2" fontId="13" fillId="0" borderId="0" xfId="0" applyNumberFormat="1" applyFont="1" applyFill="1" applyBorder="1" applyAlignment="1" applyProtection="1">
      <alignment horizontal="center"/>
    </xf>
    <xf numFmtId="4" fontId="13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2" fillId="0" borderId="27" xfId="0" applyFont="1" applyFill="1" applyBorder="1" applyProtection="1"/>
    <xf numFmtId="0" fontId="12" fillId="0" borderId="24" xfId="0" applyFont="1" applyFill="1" applyBorder="1" applyProtection="1"/>
    <xf numFmtId="0" fontId="12" fillId="0" borderId="5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0" fontId="1" fillId="0" borderId="25" xfId="0" applyNumberFormat="1" applyFont="1" applyFill="1" applyBorder="1" applyAlignment="1" applyProtection="1">
      <alignment horizontal="center"/>
    </xf>
    <xf numFmtId="0" fontId="1" fillId="0" borderId="14" xfId="0" applyFont="1" applyFill="1" applyBorder="1" applyAlignment="1" applyProtection="1">
      <alignment horizontal="center"/>
    </xf>
    <xf numFmtId="4" fontId="1" fillId="0" borderId="20" xfId="0" applyNumberFormat="1" applyFont="1" applyFill="1" applyBorder="1" applyAlignment="1" applyProtection="1">
      <alignment horizontal="center"/>
    </xf>
    <xf numFmtId="4" fontId="12" fillId="0" borderId="2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12" fillId="0" borderId="0" xfId="0" applyFont="1" applyFill="1" applyBorder="1" applyProtection="1"/>
    <xf numFmtId="14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8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4" fontId="1" fillId="0" borderId="18" xfId="0" applyNumberFormat="1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left"/>
    </xf>
    <xf numFmtId="1" fontId="27" fillId="0" borderId="2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Alignment="1" applyProtection="1">
      <alignment horizontal="left" wrapText="1"/>
    </xf>
    <xf numFmtId="0" fontId="17" fillId="0" borderId="0" xfId="0" applyFont="1" applyFill="1" applyAlignment="1" applyProtection="1">
      <alignment horizontal="left" wrapText="1"/>
    </xf>
    <xf numFmtId="0" fontId="28" fillId="0" borderId="0" xfId="0" applyFont="1"/>
  </cellXfs>
  <cellStyles count="2">
    <cellStyle name="Обычный" xfId="0" builtinId="0"/>
    <cellStyle name="Обычный 2" xfId="1"/>
  </cellStyles>
  <dxfs count="4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78"/>
  <sheetViews>
    <sheetView tabSelected="1" topLeftCell="A7" workbookViewId="0">
      <selection activeCell="G15" sqref="G15"/>
    </sheetView>
  </sheetViews>
  <sheetFormatPr defaultRowHeight="15"/>
  <cols>
    <col min="1" max="1" width="10.42578125" style="1" customWidth="1"/>
    <col min="2" max="2" width="9.140625" style="1"/>
    <col min="3" max="3" width="9.85546875" style="1" customWidth="1"/>
    <col min="4" max="4" width="10.8554687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16384" width="9.140625" style="1"/>
  </cols>
  <sheetData>
    <row r="1" spans="1:9" ht="18.75">
      <c r="C1" s="2" t="s">
        <v>0</v>
      </c>
      <c r="F1" s="3" t="s">
        <v>1</v>
      </c>
      <c r="G1" s="4"/>
      <c r="I1" s="129"/>
    </row>
    <row r="2" spans="1:9">
      <c r="F2" s="5" t="str">
        <f>TEXT(EDATE(F1,0),"[$-422]ММММ ГГГГ")</f>
        <v>Січень 2017</v>
      </c>
      <c r="I2" s="129"/>
    </row>
    <row r="3" spans="1:9">
      <c r="B3" s="6" t="s">
        <v>2</v>
      </c>
      <c r="D3" s="1" t="s">
        <v>3</v>
      </c>
      <c r="E3" s="7">
        <v>1</v>
      </c>
      <c r="I3" s="129"/>
    </row>
    <row r="4" spans="1:9">
      <c r="I4" s="129"/>
    </row>
    <row r="5" spans="1:9">
      <c r="B5" s="1" t="s">
        <v>4</v>
      </c>
      <c r="D5" s="8"/>
      <c r="I5" s="129"/>
    </row>
    <row r="7" spans="1:9">
      <c r="B7" s="1" t="s">
        <v>5</v>
      </c>
      <c r="D7" s="10"/>
    </row>
    <row r="9" spans="1:9">
      <c r="B9" s="1" t="s">
        <v>6</v>
      </c>
      <c r="D9" s="11">
        <v>42828</v>
      </c>
      <c r="E9" s="1" t="str">
        <f>"Працює "&amp;DATEDIF(D9,E15,"Y")&amp;" лет, "&amp;DATEDIF(D9,E15,"YM")&amp;" месяцев, "&amp;DATEDIF(D9,E15,"MD")&amp;" дней до дня відпустки"</f>
        <v>Працює 0 лет, 9 месяцев, 19 дней до дня відпустки</v>
      </c>
    </row>
    <row r="10" spans="1:9">
      <c r="A10" s="12"/>
      <c r="B10" s="12">
        <f>DATEDIF(D9,E15,"M")</f>
        <v>9</v>
      </c>
      <c r="C10" s="1" t="s">
        <v>7</v>
      </c>
      <c r="E10" s="1" t="str">
        <f>"Расчётный период: "&amp;IF(B10&gt;=12,12,B10)&amp; " месяцев"</f>
        <v>Расчётный период: 9 месяцев</v>
      </c>
      <c r="H10" s="13"/>
    </row>
    <row r="12" spans="1:9">
      <c r="B12" s="9" t="s">
        <v>8</v>
      </c>
      <c r="C12" s="9" t="str">
        <f>LOWER(B3 &amp; " за період з")</f>
        <v>відпустка щорічна за період з</v>
      </c>
      <c r="F12" s="14">
        <v>42828</v>
      </c>
    </row>
    <row r="13" spans="1:9">
      <c r="E13" s="1" t="s">
        <v>9</v>
      </c>
      <c r="F13" s="14">
        <v>43122</v>
      </c>
      <c r="G13" s="9" t="str">
        <f>"за "&amp;(F13-F12+1&amp;" ")&amp; " дня"</f>
        <v>за 295  дня</v>
      </c>
    </row>
    <row r="14" spans="1:9" ht="23.25">
      <c r="F14" s="144" t="str">
        <f>"на "&amp;ROUNDUP((F13-F12)/365*24,0)&amp; " календарных дней"</f>
        <v>на 20 календарных дней</v>
      </c>
    </row>
    <row r="15" spans="1:9" ht="23.25">
      <c r="B15" s="9" t="str">
        <f>"Термін "&amp;LOWER(LEFT(B3,SEARCH(" ",B3))&amp;" включно з:")</f>
        <v>Термін відпустка  включно з:</v>
      </c>
      <c r="D15" s="12"/>
      <c r="E15" s="15">
        <v>43122</v>
      </c>
      <c r="F15" s="12" t="str">
        <f>"по "&amp; TEXT(WORKDAY(E15,MID(F14,SEARCH(" ",F14)+1,SEARCH("кал",F14)-4))-1,"ДД.ММ.ГГ")</f>
        <v>по 18.02.18</v>
      </c>
      <c r="G15" s="148" t="s">
        <v>88</v>
      </c>
    </row>
    <row r="17" spans="1:39">
      <c r="A17" s="16" t="s">
        <v>10</v>
      </c>
      <c r="B17" s="17" t="s">
        <v>11</v>
      </c>
      <c r="C17" s="18"/>
      <c r="D17" s="19" t="s">
        <v>12</v>
      </c>
      <c r="E17" s="16" t="s">
        <v>13</v>
      </c>
      <c r="F17" s="16" t="s">
        <v>14</v>
      </c>
      <c r="G17" s="20" t="s">
        <v>15</v>
      </c>
      <c r="H17" s="21" t="s">
        <v>16</v>
      </c>
      <c r="I17" s="9" t="s">
        <v>17</v>
      </c>
      <c r="R17" s="9" t="s">
        <v>18</v>
      </c>
      <c r="AA17" s="9" t="s">
        <v>19</v>
      </c>
    </row>
    <row r="18" spans="1:39">
      <c r="A18" s="22" t="s">
        <v>20</v>
      </c>
      <c r="B18" s="23"/>
      <c r="C18" s="24"/>
      <c r="D18" s="25" t="s">
        <v>21</v>
      </c>
      <c r="E18" s="22" t="s">
        <v>22</v>
      </c>
      <c r="F18" s="26"/>
      <c r="G18" s="27" t="s">
        <v>23</v>
      </c>
      <c r="H18" s="28" t="s">
        <v>24</v>
      </c>
      <c r="I18" s="29" t="s">
        <v>25</v>
      </c>
      <c r="J18" s="18"/>
      <c r="K18" s="30" t="s">
        <v>26</v>
      </c>
      <c r="L18" s="29"/>
      <c r="M18" s="29"/>
      <c r="N18" s="18"/>
      <c r="O18" s="19" t="s">
        <v>27</v>
      </c>
      <c r="R18" s="30" t="s">
        <v>25</v>
      </c>
      <c r="S18" s="18"/>
      <c r="T18" s="30" t="s">
        <v>26</v>
      </c>
      <c r="U18" s="29"/>
      <c r="V18" s="29"/>
      <c r="W18" s="18"/>
      <c r="X18" s="19" t="s">
        <v>27</v>
      </c>
      <c r="AA18" s="30" t="s">
        <v>25</v>
      </c>
      <c r="AB18" s="18"/>
      <c r="AC18" s="30" t="s">
        <v>26</v>
      </c>
      <c r="AD18" s="29"/>
      <c r="AE18" s="29"/>
      <c r="AF18" s="18"/>
      <c r="AG18" s="19" t="s">
        <v>27</v>
      </c>
    </row>
    <row r="19" spans="1:39" ht="15.75" thickBot="1">
      <c r="A19" s="31"/>
      <c r="B19" s="32"/>
      <c r="C19" s="33"/>
      <c r="D19" s="34" t="s">
        <v>28</v>
      </c>
      <c r="E19" s="35"/>
      <c r="F19" s="35"/>
      <c r="G19" s="36" t="s">
        <v>29</v>
      </c>
      <c r="H19" s="37" t="s">
        <v>29</v>
      </c>
      <c r="I19" s="38"/>
      <c r="J19" s="39"/>
      <c r="K19" s="40"/>
      <c r="L19" s="38"/>
      <c r="M19" s="38"/>
      <c r="N19" s="39"/>
      <c r="O19" s="41" t="s">
        <v>30</v>
      </c>
      <c r="R19" s="40"/>
      <c r="S19" s="39"/>
      <c r="T19" s="23"/>
      <c r="U19" s="42"/>
      <c r="V19" s="42"/>
      <c r="W19" s="24"/>
      <c r="X19" s="25" t="s">
        <v>30</v>
      </c>
      <c r="AA19" s="40" t="s">
        <v>31</v>
      </c>
      <c r="AB19" s="39"/>
      <c r="AC19" s="23"/>
      <c r="AD19" s="42"/>
      <c r="AE19" s="42"/>
      <c r="AF19" s="24"/>
      <c r="AG19" s="25" t="s">
        <v>30</v>
      </c>
      <c r="AM19" s="43" t="str">
        <f>I20</f>
        <v>Январь 2016</v>
      </c>
    </row>
    <row r="20" spans="1:39">
      <c r="A20" s="44" t="str">
        <f>IF(B20="","",MAX($A$18:A19)+1)</f>
        <v/>
      </c>
      <c r="B20" s="45" t="str">
        <f>TEXT(IF(AND(ROW(A1)&gt;11+(DAY($D$9)&lt;=DAY($E$15))-$B$10,B$10&lt;12),IF(B19="",$D$9,EOMONTH(B19,0)+1),IF(EDATE($D$9,12)&gt;$E$15,"",EOMONTH($E$15,ROW(A1)-14)+1)),"ММММ ГГГГ")</f>
        <v/>
      </c>
      <c r="C20" s="46"/>
      <c r="D20" s="47" t="str">
        <f>IF(AND(ROW(A1)&gt;11+(DAY($D$9)&lt;=DAY($E$15))-$B$10,B$10&lt;12),IF(D19="",$D$9,EOMONTH(D19,0)+1),IF(EDATE($D$9,12)&gt;$E$15,"",EOMONTH($E$15,ROW(A1)-14)+1))</f>
        <v/>
      </c>
      <c r="E20" s="48" t="str">
        <f>IF(D20="","",EOMONTH(D20,0)-(D20-1)-COUNTIFS($K$20:$AF$31,"&gt;="&amp;D20,$K$20:$AF$31,"&lt;="&amp;EOMONTH(D20,0)))</f>
        <v/>
      </c>
      <c r="F20" s="49"/>
      <c r="G20" s="50" t="str">
        <f>IFERROR(ROUND(F20/E20, 2),"")</f>
        <v/>
      </c>
      <c r="H20" s="28"/>
      <c r="I20" s="51" t="s">
        <v>32</v>
      </c>
      <c r="J20" s="52"/>
      <c r="K20" s="53">
        <v>42370</v>
      </c>
      <c r="L20" s="53">
        <v>42376</v>
      </c>
      <c r="M20" s="53"/>
      <c r="N20" s="53"/>
      <c r="O20" s="54">
        <f>COUNT(K20:N20)</f>
        <v>2</v>
      </c>
      <c r="P20" s="55"/>
      <c r="R20" s="56" t="s">
        <v>33</v>
      </c>
      <c r="S20" s="57"/>
      <c r="T20" s="58">
        <v>42736</v>
      </c>
      <c r="U20" s="58">
        <v>42742</v>
      </c>
      <c r="V20" s="58"/>
      <c r="W20" s="58"/>
      <c r="X20" s="54">
        <f>COUNT(T20:W20)</f>
        <v>2</v>
      </c>
      <c r="AA20" s="56" t="s">
        <v>34</v>
      </c>
      <c r="AB20" s="57"/>
      <c r="AC20" s="58">
        <v>43101</v>
      </c>
      <c r="AD20" s="58">
        <v>43107</v>
      </c>
      <c r="AE20" s="58"/>
      <c r="AF20" s="58"/>
      <c r="AG20" s="54">
        <f>COUNT(AC20:AF20)</f>
        <v>2</v>
      </c>
      <c r="AM20" s="59" t="s">
        <v>32</v>
      </c>
    </row>
    <row r="21" spans="1:39">
      <c r="A21" s="44" t="str">
        <f>IF(B21="","",MAX($A$18:A20)+1)</f>
        <v/>
      </c>
      <c r="B21" s="60" t="str">
        <f t="shared" ref="B21:B31" si="0">TEXT(IF(AND(ROW(A2)&gt;11+(DAY($D$9)&lt;=DAY($E$15))-$B$10,B$10&lt;12),IF(B20="",$D$9,EOMONTH(B20,0)+1),IF(EDATE($D$9,12)&gt;$E$15,"",EOMONTH($E$15,ROW(A2)-14)+1)),"ММММ ГГГГ")</f>
        <v/>
      </c>
      <c r="C21" s="61"/>
      <c r="D21" s="47" t="str">
        <f t="shared" ref="D21:D31" si="1">IF(AND(ROW(A2)&gt;11+(DAY($D$9)&lt;=DAY($E$15))-$B$10,B$10&lt;12),IF(D20="",$D$9,EOMONTH(D20,0)+1),IF(EDATE($D$9,12)&gt;$E$15,"",EOMONTH($E$15,ROW(A2)-14)+1))</f>
        <v/>
      </c>
      <c r="E21" s="62" t="str">
        <f t="shared" ref="E21:E31" si="2">IF(D21="","",EOMONTH(D21,0)-(D21-1)-COUNTIFS($K$20:$AF$31,"&gt;="&amp;D21,$K$20:$AF$31,"&lt;="&amp;EOMONTH(D21,0)))</f>
        <v/>
      </c>
      <c r="F21" s="63"/>
      <c r="G21" s="50" t="str">
        <f t="shared" ref="G21:G32" si="3">IFERROR(ROUND(F21/E21, 2),"")</f>
        <v/>
      </c>
      <c r="H21" s="28"/>
      <c r="I21" s="64" t="str">
        <f>TEXT(EDATE(I20,1),"[$-F419]ММММ ГГГГ")</f>
        <v>февраль 2016</v>
      </c>
      <c r="J21" s="52"/>
      <c r="K21" s="53"/>
      <c r="L21" s="53"/>
      <c r="M21" s="53"/>
      <c r="N21" s="53"/>
      <c r="O21" s="54">
        <f t="shared" ref="O21:O31" si="4">COUNT(K21:N21)</f>
        <v>0</v>
      </c>
      <c r="P21" s="55"/>
      <c r="R21" s="65" t="str">
        <f>TEXT(EDATE(R20,1),"[$-419]ММММ ГГГГ")</f>
        <v>Февраль 2017</v>
      </c>
      <c r="S21" s="57"/>
      <c r="T21" s="58"/>
      <c r="U21" s="58"/>
      <c r="V21" s="58"/>
      <c r="W21" s="58"/>
      <c r="X21" s="54">
        <f t="shared" ref="X21:X31" si="5">COUNT(T21:W21)</f>
        <v>0</v>
      </c>
      <c r="AA21" s="66" t="s">
        <v>35</v>
      </c>
      <c r="AB21" s="57"/>
      <c r="AC21" s="58"/>
      <c r="AD21" s="58"/>
      <c r="AE21" s="58"/>
      <c r="AF21" s="58"/>
      <c r="AG21" s="54">
        <f t="shared" ref="AG21:AG31" si="6">COUNT(AC21:AF21)</f>
        <v>0</v>
      </c>
      <c r="AM21" s="67" t="str">
        <f>TEXT(EDATE(AM20,1),"[$-419]ММММ ГГГГ")</f>
        <v>Февраль 2016</v>
      </c>
    </row>
    <row r="22" spans="1:39">
      <c r="A22" s="44" t="str">
        <f>IF(B22="","",MAX($A$18:A21)+1)</f>
        <v/>
      </c>
      <c r="B22" s="60" t="str">
        <f t="shared" si="0"/>
        <v/>
      </c>
      <c r="C22" s="61"/>
      <c r="D22" s="47" t="str">
        <f t="shared" si="1"/>
        <v/>
      </c>
      <c r="E22" s="62" t="str">
        <f t="shared" si="2"/>
        <v/>
      </c>
      <c r="F22" s="63"/>
      <c r="G22" s="50" t="str">
        <f t="shared" si="3"/>
        <v/>
      </c>
      <c r="H22" s="28"/>
      <c r="I22" s="64" t="str">
        <f t="shared" ref="I22:I31" si="7">TEXT(EDATE(I21,1),"[$-F419]ММММ ГГГГ")</f>
        <v>март 2016</v>
      </c>
      <c r="J22" s="52"/>
      <c r="K22" s="53">
        <v>42437</v>
      </c>
      <c r="L22" s="53"/>
      <c r="M22" s="53"/>
      <c r="N22" s="53"/>
      <c r="O22" s="54">
        <f t="shared" si="4"/>
        <v>1</v>
      </c>
      <c r="P22" s="55"/>
      <c r="R22" s="65" t="str">
        <f>TEXT(EDATE(R21,1),"[$-419]ММММ ГГГГ")</f>
        <v>Март 2017</v>
      </c>
      <c r="S22" s="57"/>
      <c r="T22" s="58">
        <v>42802</v>
      </c>
      <c r="U22" s="58"/>
      <c r="V22" s="58"/>
      <c r="W22" s="58"/>
      <c r="X22" s="54">
        <f t="shared" si="5"/>
        <v>1</v>
      </c>
      <c r="AA22" s="66" t="s">
        <v>36</v>
      </c>
      <c r="AB22" s="57"/>
      <c r="AC22" s="58">
        <v>43167</v>
      </c>
      <c r="AD22" s="58"/>
      <c r="AE22" s="58"/>
      <c r="AF22" s="58"/>
      <c r="AG22" s="54">
        <f t="shared" si="6"/>
        <v>1</v>
      </c>
      <c r="AM22" s="67" t="str">
        <f t="shared" ref="AM22:AM31" si="8">TEXT(EDATE(AM21,1),"[$-419]ММММ ГГГГ")</f>
        <v>Март 2016</v>
      </c>
    </row>
    <row r="23" spans="1:39">
      <c r="A23" s="44">
        <f>IF(B23="","",MAX($A$18:A22)+1)</f>
        <v>1</v>
      </c>
      <c r="B23" s="60" t="str">
        <f t="shared" si="0"/>
        <v>Апрель 2017</v>
      </c>
      <c r="C23" s="61"/>
      <c r="D23" s="47">
        <f t="shared" si="1"/>
        <v>42828</v>
      </c>
      <c r="E23" s="62">
        <f t="shared" si="2"/>
        <v>27</v>
      </c>
      <c r="F23" s="63"/>
      <c r="G23" s="50">
        <f t="shared" si="3"/>
        <v>0</v>
      </c>
      <c r="H23" s="28"/>
      <c r="I23" s="64" t="str">
        <f t="shared" si="7"/>
        <v>апрель 2016</v>
      </c>
      <c r="J23" s="52"/>
      <c r="K23" s="53"/>
      <c r="L23" s="53"/>
      <c r="M23" s="53"/>
      <c r="N23" s="53"/>
      <c r="O23" s="54">
        <f t="shared" si="4"/>
        <v>0</v>
      </c>
      <c r="P23" s="55"/>
      <c r="R23" s="65" t="str">
        <f t="shared" ref="R23:R31" si="9">TEXT(EDATE(R22,1),"[$-419]ММММ ГГГГ")</f>
        <v>Апрель 2017</v>
      </c>
      <c r="S23" s="57"/>
      <c r="T23" s="58">
        <v>42841</v>
      </c>
      <c r="U23" s="58"/>
      <c r="V23" s="58"/>
      <c r="W23" s="58"/>
      <c r="X23" s="54">
        <f t="shared" si="5"/>
        <v>1</v>
      </c>
      <c r="AA23" s="66" t="s">
        <v>37</v>
      </c>
      <c r="AB23" s="57"/>
      <c r="AC23" s="58">
        <v>43198</v>
      </c>
      <c r="AD23" s="58"/>
      <c r="AE23" s="58"/>
      <c r="AF23" s="58"/>
      <c r="AG23" s="54">
        <f t="shared" si="6"/>
        <v>1</v>
      </c>
      <c r="AM23" s="67" t="str">
        <f t="shared" si="8"/>
        <v>Апрель 2016</v>
      </c>
    </row>
    <row r="24" spans="1:39">
      <c r="A24" s="44">
        <f>IF(B24="","",MAX($A$18:A23)+1)</f>
        <v>2</v>
      </c>
      <c r="B24" s="60" t="str">
        <f t="shared" si="0"/>
        <v>Май 2017</v>
      </c>
      <c r="C24" s="61"/>
      <c r="D24" s="47">
        <f t="shared" si="1"/>
        <v>42856</v>
      </c>
      <c r="E24" s="62">
        <f t="shared" si="2"/>
        <v>28</v>
      </c>
      <c r="F24" s="63"/>
      <c r="G24" s="50">
        <f t="shared" si="3"/>
        <v>0</v>
      </c>
      <c r="H24" s="28"/>
      <c r="I24" s="64" t="str">
        <f t="shared" si="7"/>
        <v>май 2016</v>
      </c>
      <c r="J24" s="52"/>
      <c r="K24" s="53">
        <v>42491</v>
      </c>
      <c r="L24" s="53">
        <v>42492</v>
      </c>
      <c r="M24" s="53">
        <v>42499</v>
      </c>
      <c r="N24" s="53"/>
      <c r="O24" s="54">
        <f t="shared" si="4"/>
        <v>3</v>
      </c>
      <c r="P24" s="55"/>
      <c r="R24" s="65" t="str">
        <f t="shared" si="9"/>
        <v>Май 2017</v>
      </c>
      <c r="S24" s="57"/>
      <c r="T24" s="58">
        <v>42856</v>
      </c>
      <c r="U24" s="58">
        <v>42857</v>
      </c>
      <c r="V24" s="58">
        <v>42864</v>
      </c>
      <c r="W24" s="58"/>
      <c r="X24" s="54">
        <f t="shared" si="5"/>
        <v>3</v>
      </c>
      <c r="AA24" s="66" t="s">
        <v>38</v>
      </c>
      <c r="AB24" s="57"/>
      <c r="AC24" s="58">
        <v>43221</v>
      </c>
      <c r="AD24" s="58">
        <v>43229</v>
      </c>
      <c r="AE24" s="58">
        <v>43247</v>
      </c>
      <c r="AF24" s="58"/>
      <c r="AG24" s="54">
        <f t="shared" si="6"/>
        <v>3</v>
      </c>
      <c r="AM24" s="67" t="str">
        <f t="shared" si="8"/>
        <v>Май 2016</v>
      </c>
    </row>
    <row r="25" spans="1:39">
      <c r="A25" s="44">
        <f>IF(B25="","",MAX($A$18:A24)+1)</f>
        <v>3</v>
      </c>
      <c r="B25" s="60" t="str">
        <f t="shared" si="0"/>
        <v>Июнь 2017</v>
      </c>
      <c r="C25" s="61"/>
      <c r="D25" s="47">
        <f t="shared" si="1"/>
        <v>42887</v>
      </c>
      <c r="E25" s="62">
        <f t="shared" si="2"/>
        <v>28</v>
      </c>
      <c r="F25" s="63"/>
      <c r="G25" s="50">
        <f t="shared" si="3"/>
        <v>0</v>
      </c>
      <c r="H25" s="28"/>
      <c r="I25" s="64" t="str">
        <f t="shared" si="7"/>
        <v>июнь 2016</v>
      </c>
      <c r="J25" s="52"/>
      <c r="K25" s="68">
        <v>42540</v>
      </c>
      <c r="L25" s="68">
        <v>42549</v>
      </c>
      <c r="M25" s="53"/>
      <c r="N25" s="53"/>
      <c r="O25" s="54">
        <f t="shared" si="4"/>
        <v>2</v>
      </c>
      <c r="P25" s="55"/>
      <c r="R25" s="65" t="str">
        <f t="shared" si="9"/>
        <v>Июнь 2017</v>
      </c>
      <c r="S25" s="57"/>
      <c r="T25" s="58">
        <v>42890</v>
      </c>
      <c r="U25" s="58">
        <v>42914</v>
      </c>
      <c r="V25" s="58"/>
      <c r="W25" s="58"/>
      <c r="X25" s="54">
        <f t="shared" si="5"/>
        <v>2</v>
      </c>
      <c r="AA25" s="66" t="s">
        <v>39</v>
      </c>
      <c r="AB25" s="57"/>
      <c r="AC25" s="58">
        <v>43279</v>
      </c>
      <c r="AD25" s="58"/>
      <c r="AE25" s="58"/>
      <c r="AF25" s="58"/>
      <c r="AG25" s="54">
        <f t="shared" si="6"/>
        <v>1</v>
      </c>
      <c r="AM25" s="67" t="str">
        <f t="shared" si="8"/>
        <v>Июнь 2016</v>
      </c>
    </row>
    <row r="26" spans="1:39">
      <c r="A26" s="44">
        <f>IF(B26="","",MAX($A$18:A25)+1)</f>
        <v>4</v>
      </c>
      <c r="B26" s="60" t="str">
        <f t="shared" si="0"/>
        <v>Июль 2017</v>
      </c>
      <c r="C26" s="61"/>
      <c r="D26" s="47">
        <f t="shared" si="1"/>
        <v>42917</v>
      </c>
      <c r="E26" s="62">
        <f t="shared" si="2"/>
        <v>31</v>
      </c>
      <c r="F26" s="63"/>
      <c r="G26" s="50">
        <f t="shared" si="3"/>
        <v>0</v>
      </c>
      <c r="H26" s="28"/>
      <c r="I26" s="64" t="str">
        <f t="shared" si="7"/>
        <v>июль 2016</v>
      </c>
      <c r="J26" s="52"/>
      <c r="K26" s="53"/>
      <c r="L26" s="53"/>
      <c r="M26" s="53"/>
      <c r="N26" s="53"/>
      <c r="O26" s="54">
        <f t="shared" si="4"/>
        <v>0</v>
      </c>
      <c r="P26" s="55"/>
      <c r="R26" s="65" t="str">
        <f t="shared" si="9"/>
        <v>Июль 2017</v>
      </c>
      <c r="S26" s="57"/>
      <c r="T26" s="58"/>
      <c r="U26" s="58"/>
      <c r="V26" s="58"/>
      <c r="W26" s="58"/>
      <c r="X26" s="54">
        <f t="shared" si="5"/>
        <v>0</v>
      </c>
      <c r="AA26" s="66" t="s">
        <v>40</v>
      </c>
      <c r="AB26" s="57"/>
      <c r="AC26" s="58"/>
      <c r="AD26" s="58"/>
      <c r="AE26" s="58"/>
      <c r="AF26" s="58"/>
      <c r="AG26" s="54">
        <f t="shared" si="6"/>
        <v>0</v>
      </c>
      <c r="AM26" s="67" t="str">
        <f t="shared" si="8"/>
        <v>Июль 2016</v>
      </c>
    </row>
    <row r="27" spans="1:39">
      <c r="A27" s="44">
        <f>IF(B27="","",MAX($A$18:A26)+1)</f>
        <v>5</v>
      </c>
      <c r="B27" s="60" t="str">
        <f t="shared" si="0"/>
        <v>Август 2017</v>
      </c>
      <c r="C27" s="61"/>
      <c r="D27" s="47">
        <f t="shared" si="1"/>
        <v>42948</v>
      </c>
      <c r="E27" s="62">
        <f>IF(D27="","",EOMONTH(D27,0)-(D27-1)-COUNTIFS($K$20:$AF$31,"&gt;="&amp;D27,$K$20:$AF$31,"&lt;="&amp;EOMONTH(D27,0)))</f>
        <v>30</v>
      </c>
      <c r="F27" s="63"/>
      <c r="G27" s="50">
        <f t="shared" si="3"/>
        <v>0</v>
      </c>
      <c r="H27" s="28"/>
      <c r="I27" s="64" t="str">
        <f t="shared" si="7"/>
        <v>август 2016</v>
      </c>
      <c r="J27" s="52"/>
      <c r="K27" s="53">
        <v>42606</v>
      </c>
      <c r="L27" s="53"/>
      <c r="M27" s="53"/>
      <c r="N27" s="53"/>
      <c r="O27" s="54">
        <f t="shared" si="4"/>
        <v>1</v>
      </c>
      <c r="P27" s="55"/>
      <c r="R27" s="65" t="str">
        <f t="shared" si="9"/>
        <v>Август 2017</v>
      </c>
      <c r="S27" s="57"/>
      <c r="T27" s="58">
        <v>42971</v>
      </c>
      <c r="U27" s="58"/>
      <c r="V27" s="58"/>
      <c r="W27" s="58"/>
      <c r="X27" s="54">
        <f t="shared" si="5"/>
        <v>1</v>
      </c>
      <c r="AA27" s="66" t="s">
        <v>41</v>
      </c>
      <c r="AB27" s="57"/>
      <c r="AC27" s="58">
        <v>43336</v>
      </c>
      <c r="AD27" s="58"/>
      <c r="AE27" s="58"/>
      <c r="AF27" s="58"/>
      <c r="AG27" s="54">
        <f t="shared" si="6"/>
        <v>1</v>
      </c>
      <c r="AM27" s="67" t="str">
        <f t="shared" si="8"/>
        <v>Август 2016</v>
      </c>
    </row>
    <row r="28" spans="1:39">
      <c r="A28" s="44">
        <f>IF(B28="","",MAX($A$18:A27)+1)</f>
        <v>6</v>
      </c>
      <c r="B28" s="60" t="str">
        <f t="shared" si="0"/>
        <v>Сентябрь 2017</v>
      </c>
      <c r="C28" s="61"/>
      <c r="D28" s="47">
        <f t="shared" si="1"/>
        <v>42979</v>
      </c>
      <c r="E28" s="62">
        <f t="shared" si="2"/>
        <v>30</v>
      </c>
      <c r="F28" s="63"/>
      <c r="G28" s="50">
        <f t="shared" si="3"/>
        <v>0</v>
      </c>
      <c r="H28" s="28"/>
      <c r="I28" s="69" t="str">
        <f t="shared" si="7"/>
        <v>сентябрь 2016</v>
      </c>
      <c r="J28" s="39"/>
      <c r="K28" s="53"/>
      <c r="L28" s="53"/>
      <c r="M28" s="53"/>
      <c r="N28" s="53"/>
      <c r="O28" s="54">
        <f t="shared" si="4"/>
        <v>0</v>
      </c>
      <c r="P28" s="55"/>
      <c r="R28" s="65" t="str">
        <f t="shared" si="9"/>
        <v>Сентябрь 2017</v>
      </c>
      <c r="S28" s="57"/>
      <c r="T28" s="58"/>
      <c r="U28" s="58"/>
      <c r="V28" s="58"/>
      <c r="W28" s="58"/>
      <c r="X28" s="54">
        <f t="shared" si="5"/>
        <v>0</v>
      </c>
      <c r="AA28" s="66" t="s">
        <v>42</v>
      </c>
      <c r="AB28" s="57"/>
      <c r="AC28" s="58"/>
      <c r="AD28" s="58"/>
      <c r="AE28" s="58"/>
      <c r="AF28" s="58"/>
      <c r="AG28" s="54">
        <f t="shared" si="6"/>
        <v>0</v>
      </c>
      <c r="AM28" s="67" t="str">
        <f t="shared" si="8"/>
        <v>Сентябрь 2016</v>
      </c>
    </row>
    <row r="29" spans="1:39">
      <c r="A29" s="44">
        <f>IF(B29="","",MAX($A$18:A28)+1)</f>
        <v>7</v>
      </c>
      <c r="B29" s="60" t="str">
        <f t="shared" si="0"/>
        <v>Октябрь 2017</v>
      </c>
      <c r="C29" s="61"/>
      <c r="D29" s="47">
        <f t="shared" si="1"/>
        <v>43009</v>
      </c>
      <c r="E29" s="62">
        <f t="shared" si="2"/>
        <v>30</v>
      </c>
      <c r="F29" s="63"/>
      <c r="G29" s="50">
        <f t="shared" si="3"/>
        <v>0</v>
      </c>
      <c r="H29" s="28"/>
      <c r="I29" s="64" t="str">
        <f t="shared" si="7"/>
        <v>октябрь 2016</v>
      </c>
      <c r="J29" s="52"/>
      <c r="K29" s="53">
        <v>42657</v>
      </c>
      <c r="L29" s="53"/>
      <c r="M29" s="53"/>
      <c r="N29" s="53"/>
      <c r="O29" s="54">
        <f t="shared" si="4"/>
        <v>1</v>
      </c>
      <c r="P29" s="55"/>
      <c r="R29" s="65" t="str">
        <f t="shared" si="9"/>
        <v>Октябрь 2017</v>
      </c>
      <c r="S29" s="57"/>
      <c r="T29" s="58">
        <v>43022</v>
      </c>
      <c r="U29" s="58"/>
      <c r="V29" s="58"/>
      <c r="W29" s="58"/>
      <c r="X29" s="54">
        <f t="shared" si="5"/>
        <v>1</v>
      </c>
      <c r="AA29" s="66" t="s">
        <v>43</v>
      </c>
      <c r="AB29" s="57"/>
      <c r="AC29" s="58">
        <v>43387</v>
      </c>
      <c r="AD29" s="58"/>
      <c r="AE29" s="58"/>
      <c r="AF29" s="58"/>
      <c r="AG29" s="54">
        <f t="shared" si="6"/>
        <v>1</v>
      </c>
      <c r="AM29" s="67" t="str">
        <f t="shared" si="8"/>
        <v>Октябрь 2016</v>
      </c>
    </row>
    <row r="30" spans="1:39">
      <c r="A30" s="44">
        <f>IF(B30="","",MAX($A$18:A29)+1)</f>
        <v>8</v>
      </c>
      <c r="B30" s="60" t="str">
        <f t="shared" si="0"/>
        <v>Ноябрь 2017</v>
      </c>
      <c r="C30" s="61"/>
      <c r="D30" s="47">
        <f t="shared" si="1"/>
        <v>43040</v>
      </c>
      <c r="E30" s="62">
        <f t="shared" si="2"/>
        <v>30</v>
      </c>
      <c r="F30" s="63"/>
      <c r="G30" s="50">
        <f t="shared" si="3"/>
        <v>0</v>
      </c>
      <c r="H30" s="28"/>
      <c r="I30" s="64" t="str">
        <f t="shared" si="7"/>
        <v>ноябрь 2016</v>
      </c>
      <c r="J30" s="52"/>
      <c r="K30" s="53"/>
      <c r="L30" s="53"/>
      <c r="M30" s="53"/>
      <c r="N30" s="53"/>
      <c r="O30" s="54">
        <f t="shared" si="4"/>
        <v>0</v>
      </c>
      <c r="P30" s="55"/>
      <c r="R30" s="65" t="str">
        <f t="shared" si="9"/>
        <v>Ноябрь 2017</v>
      </c>
      <c r="S30" s="57"/>
      <c r="T30" s="58"/>
      <c r="U30" s="58"/>
      <c r="V30" s="58"/>
      <c r="W30" s="58"/>
      <c r="X30" s="54">
        <f t="shared" si="5"/>
        <v>0</v>
      </c>
      <c r="AA30" s="66" t="s">
        <v>44</v>
      </c>
      <c r="AB30" s="57"/>
      <c r="AC30" s="58"/>
      <c r="AD30" s="58"/>
      <c r="AE30" s="58"/>
      <c r="AF30" s="58"/>
      <c r="AG30" s="54">
        <f t="shared" si="6"/>
        <v>0</v>
      </c>
      <c r="AM30" s="67" t="str">
        <f t="shared" si="8"/>
        <v>Ноябрь 2016</v>
      </c>
    </row>
    <row r="31" spans="1:39" ht="15.75" thickBot="1">
      <c r="A31" s="70">
        <f>IF(B31="","",MAX($A$18:A30)+1)</f>
        <v>9</v>
      </c>
      <c r="B31" s="71" t="str">
        <f t="shared" si="0"/>
        <v>Декабрь 2017</v>
      </c>
      <c r="C31" s="72"/>
      <c r="D31" s="73">
        <f t="shared" si="1"/>
        <v>43070</v>
      </c>
      <c r="E31" s="74">
        <f t="shared" si="2"/>
        <v>30</v>
      </c>
      <c r="F31" s="75"/>
      <c r="G31" s="76">
        <f t="shared" si="3"/>
        <v>0</v>
      </c>
      <c r="H31" s="37"/>
      <c r="I31" s="77" t="str">
        <f t="shared" si="7"/>
        <v>декабрь 2016</v>
      </c>
      <c r="J31" s="78"/>
      <c r="K31" s="79"/>
      <c r="L31" s="79"/>
      <c r="M31" s="79"/>
      <c r="N31" s="79"/>
      <c r="O31" s="80">
        <f t="shared" si="4"/>
        <v>0</v>
      </c>
      <c r="P31" s="55"/>
      <c r="R31" s="81" t="str">
        <f t="shared" si="9"/>
        <v>Декабрь 2017</v>
      </c>
      <c r="S31" s="82"/>
      <c r="T31" s="83">
        <v>43094</v>
      </c>
      <c r="U31" s="83"/>
      <c r="V31" s="83"/>
      <c r="W31" s="83"/>
      <c r="X31" s="80">
        <f t="shared" si="5"/>
        <v>1</v>
      </c>
      <c r="AA31" s="84" t="s">
        <v>45</v>
      </c>
      <c r="AB31" s="82"/>
      <c r="AC31" s="83">
        <v>43459</v>
      </c>
      <c r="AD31" s="83"/>
      <c r="AE31" s="83"/>
      <c r="AF31" s="83"/>
      <c r="AG31" s="80">
        <f t="shared" si="6"/>
        <v>1</v>
      </c>
      <c r="AM31" s="67" t="str">
        <f t="shared" si="8"/>
        <v>Декабрь 2016</v>
      </c>
    </row>
    <row r="32" spans="1:39" ht="15.75">
      <c r="A32" s="85">
        <f>A31</f>
        <v>9</v>
      </c>
      <c r="B32" s="86" t="s">
        <v>46</v>
      </c>
      <c r="C32" s="39"/>
      <c r="D32" s="87" t="s">
        <v>47</v>
      </c>
      <c r="E32" s="85">
        <f>IF(SUM(E20:E31),SUM(E20:E31),"")</f>
        <v>264</v>
      </c>
      <c r="F32" s="87" t="str">
        <f>IF(SUM(F20:F31),SUM(F20:F31),"")</f>
        <v/>
      </c>
      <c r="G32" s="88" t="str">
        <f t="shared" si="3"/>
        <v/>
      </c>
      <c r="H32" s="89" t="b">
        <f>IF(D5&lt;&gt;"",F32/COUNT(G20:G31,""))</f>
        <v>0</v>
      </c>
      <c r="I32" s="90" t="s">
        <v>48</v>
      </c>
      <c r="J32" s="39"/>
      <c r="K32" s="91"/>
      <c r="L32" s="91"/>
      <c r="M32" s="91"/>
      <c r="N32" s="91"/>
      <c r="O32" s="92">
        <f>SUM(O20:O31)</f>
        <v>10</v>
      </c>
      <c r="R32" s="93" t="s">
        <v>48</v>
      </c>
      <c r="S32" s="38"/>
      <c r="T32" s="94"/>
      <c r="U32" s="94"/>
      <c r="V32" s="94"/>
      <c r="W32" s="94"/>
      <c r="X32" s="92">
        <f>SUM(X20:X31)</f>
        <v>12</v>
      </c>
      <c r="AA32" s="93" t="s">
        <v>48</v>
      </c>
      <c r="AB32" s="38"/>
      <c r="AC32" s="94"/>
      <c r="AD32" s="94"/>
      <c r="AE32" s="94"/>
      <c r="AF32" s="94"/>
      <c r="AG32" s="92">
        <f>SUM(AG20:AG31)</f>
        <v>11</v>
      </c>
    </row>
    <row r="34" spans="1:12">
      <c r="B34" s="95" t="s">
        <v>49</v>
      </c>
    </row>
    <row r="35" spans="1:12">
      <c r="A35" s="96" t="s">
        <v>50</v>
      </c>
      <c r="B35" s="96" t="s">
        <v>51</v>
      </c>
      <c r="C35" s="21"/>
      <c r="D35" s="97"/>
      <c r="E35" s="42"/>
      <c r="F35" s="42"/>
    </row>
    <row r="36" spans="1:12">
      <c r="A36" s="98" t="s">
        <v>52</v>
      </c>
      <c r="B36" s="98" t="s">
        <v>53</v>
      </c>
      <c r="C36" s="98" t="s">
        <v>54</v>
      </c>
      <c r="D36" s="99" t="s">
        <v>55</v>
      </c>
      <c r="E36" s="27"/>
      <c r="F36" s="27"/>
    </row>
    <row r="37" spans="1:12">
      <c r="A37" s="98" t="s">
        <v>56</v>
      </c>
      <c r="B37" s="98"/>
      <c r="C37" s="98" t="s">
        <v>57</v>
      </c>
      <c r="D37" s="99" t="s">
        <v>58</v>
      </c>
      <c r="E37" s="27"/>
      <c r="F37" s="27"/>
    </row>
    <row r="38" spans="1:12">
      <c r="A38" s="98"/>
      <c r="B38" s="98"/>
      <c r="C38" s="98" t="s">
        <v>59</v>
      </c>
      <c r="D38" s="99" t="s">
        <v>60</v>
      </c>
      <c r="E38" s="27"/>
      <c r="F38" s="27"/>
    </row>
    <row r="39" spans="1:12">
      <c r="A39" s="98"/>
      <c r="B39" s="98"/>
      <c r="C39" s="98" t="s">
        <v>61</v>
      </c>
      <c r="D39" s="99"/>
      <c r="E39" s="27"/>
      <c r="F39" s="27"/>
    </row>
    <row r="40" spans="1:12" ht="15.75" thickBot="1">
      <c r="A40" s="100"/>
      <c r="B40" s="100"/>
      <c r="C40" s="100"/>
      <c r="D40" s="101"/>
      <c r="E40" s="27"/>
      <c r="F40" s="27"/>
    </row>
    <row r="41" spans="1:12">
      <c r="A41" s="102">
        <f>E15</f>
        <v>43122</v>
      </c>
      <c r="B41" s="103"/>
      <c r="C41" s="103"/>
      <c r="D41" s="104"/>
      <c r="E41" s="27"/>
      <c r="F41" s="105"/>
      <c r="L41" s="106"/>
    </row>
    <row r="42" spans="1:12" ht="23.25">
      <c r="A42" s="107" t="str">
        <f>F15</f>
        <v>по 18.02.18</v>
      </c>
      <c r="B42" s="145">
        <f>--MID(F14,SEARCH(" ",F14)+1,SEARCH("кал",F14)-4)</f>
        <v>20</v>
      </c>
      <c r="C42" s="108" t="str">
        <f>G32</f>
        <v/>
      </c>
      <c r="D42" s="109" t="str">
        <f>IFERROR(ROUND(B42*C42,2),"")</f>
        <v/>
      </c>
      <c r="E42" s="110"/>
      <c r="F42" s="111"/>
    </row>
    <row r="44" spans="1:12">
      <c r="E44" s="112"/>
      <c r="F44" s="113"/>
    </row>
    <row r="45" spans="1:12">
      <c r="E45" s="113"/>
      <c r="F45" s="113"/>
    </row>
    <row r="46" spans="1:12">
      <c r="E46" s="114"/>
      <c r="F46" s="9"/>
      <c r="G46" s="113"/>
      <c r="H46" s="113"/>
    </row>
    <row r="47" spans="1:12">
      <c r="G47" s="113"/>
      <c r="H47" s="113"/>
    </row>
    <row r="54" spans="1:1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1:1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1:1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1:1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1:1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1:15">
      <c r="A61" s="42"/>
      <c r="B61" s="42"/>
      <c r="C61" s="42"/>
      <c r="D61" s="42"/>
      <c r="E61" s="13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1:1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>
      <c r="A64" s="42"/>
      <c r="B64" s="42"/>
      <c r="C64" s="42"/>
      <c r="D64" s="42"/>
      <c r="E64" s="132"/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1:23">
      <c r="A65" s="13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1:23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23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23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23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23" ht="18.75">
      <c r="A70" s="42"/>
      <c r="B70" s="42"/>
      <c r="C70" s="42"/>
      <c r="D70" s="42"/>
      <c r="E70" s="42"/>
      <c r="F70" s="42"/>
      <c r="G70" s="42"/>
      <c r="H70" s="42"/>
      <c r="I70" s="42"/>
      <c r="J70" s="133"/>
      <c r="K70" s="42"/>
      <c r="L70" s="42"/>
      <c r="M70" s="42"/>
      <c r="N70" s="42"/>
      <c r="O70" s="42"/>
      <c r="Q70" s="146" t="str">
        <f>F1</f>
        <v xml:space="preserve">Январь 2017 </v>
      </c>
      <c r="R70" s="147"/>
    </row>
    <row r="71" spans="1:23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23">
      <c r="A72" s="42"/>
      <c r="B72" s="42"/>
      <c r="C72" s="42"/>
      <c r="D72" s="124"/>
      <c r="E72" s="42"/>
      <c r="F72" s="42"/>
      <c r="G72" s="42"/>
      <c r="H72" s="130"/>
      <c r="I72" s="42"/>
      <c r="J72" s="42"/>
      <c r="K72" s="124"/>
      <c r="L72" s="42"/>
      <c r="M72" s="42"/>
      <c r="N72" s="42"/>
      <c r="O72" s="42"/>
      <c r="P72" s="116" t="s">
        <v>62</v>
      </c>
      <c r="Q72" s="57"/>
      <c r="R72" s="57"/>
      <c r="S72" s="57"/>
      <c r="T72" s="57"/>
      <c r="U72" s="117" t="s">
        <v>63</v>
      </c>
      <c r="V72" s="20"/>
      <c r="W72" s="18"/>
    </row>
    <row r="73" spans="1:23">
      <c r="A73" s="42"/>
      <c r="B73" s="42"/>
      <c r="C73" s="42"/>
      <c r="D73" s="124"/>
      <c r="E73" s="42"/>
      <c r="F73" s="124"/>
      <c r="G73" s="42"/>
      <c r="H73" s="27"/>
      <c r="I73" s="27"/>
      <c r="J73" s="124"/>
      <c r="K73" s="124"/>
      <c r="L73" s="27"/>
      <c r="M73" s="27"/>
      <c r="N73" s="27"/>
      <c r="O73" s="27"/>
      <c r="P73" s="120">
        <v>2</v>
      </c>
      <c r="Q73" s="120"/>
      <c r="R73" s="120"/>
      <c r="S73" s="120">
        <v>3</v>
      </c>
      <c r="T73" s="39"/>
      <c r="U73" s="121" t="s">
        <v>64</v>
      </c>
      <c r="V73" s="38"/>
      <c r="W73" s="122"/>
    </row>
    <row r="74" spans="1:23" ht="15.75">
      <c r="A74" s="134"/>
      <c r="B74" s="42"/>
      <c r="C74" s="42"/>
      <c r="D74" s="27"/>
      <c r="E74" s="124"/>
      <c r="F74" s="124"/>
      <c r="G74" s="124"/>
      <c r="H74" s="27"/>
      <c r="I74" s="27"/>
      <c r="J74" s="124"/>
      <c r="K74" s="124"/>
      <c r="L74" s="42"/>
      <c r="M74" s="42"/>
      <c r="N74" s="42"/>
      <c r="O74" s="130"/>
      <c r="P74" s="57"/>
      <c r="Q74" s="125">
        <v>1.4999999999999999E-2</v>
      </c>
      <c r="R74" s="115" t="s">
        <v>66</v>
      </c>
      <c r="S74" s="57"/>
      <c r="T74" s="52"/>
      <c r="U74" s="16" t="s">
        <v>67</v>
      </c>
      <c r="V74" s="20" t="s">
        <v>65</v>
      </c>
      <c r="W74" s="119" t="s">
        <v>68</v>
      </c>
    </row>
    <row r="75" spans="1:23" ht="15.75">
      <c r="A75" s="134"/>
      <c r="B75" s="42"/>
      <c r="C75" s="42"/>
      <c r="D75" s="27"/>
      <c r="E75" s="124"/>
      <c r="F75" s="124"/>
      <c r="G75" s="124"/>
      <c r="H75" s="27"/>
      <c r="I75" s="27"/>
      <c r="J75" s="27"/>
      <c r="K75" s="42"/>
      <c r="L75" s="42"/>
      <c r="M75" s="42"/>
      <c r="N75" s="135"/>
      <c r="O75" s="27"/>
      <c r="P75" s="118" t="s">
        <v>70</v>
      </c>
      <c r="Q75" s="119" t="s">
        <v>71</v>
      </c>
      <c r="R75" s="16" t="s">
        <v>69</v>
      </c>
      <c r="S75" s="16" t="s">
        <v>70</v>
      </c>
      <c r="T75" s="119" t="s">
        <v>71</v>
      </c>
      <c r="U75" s="22" t="s">
        <v>72</v>
      </c>
      <c r="V75" s="27" t="s">
        <v>73</v>
      </c>
      <c r="W75" s="22" t="s">
        <v>74</v>
      </c>
    </row>
    <row r="76" spans="1:23">
      <c r="A76" s="42"/>
      <c r="B76" s="42"/>
      <c r="C76" s="42"/>
      <c r="D76" s="27"/>
      <c r="E76" s="42"/>
      <c r="F76" s="42"/>
      <c r="G76" s="42"/>
      <c r="H76" s="27"/>
      <c r="I76" s="27"/>
      <c r="J76" s="27"/>
      <c r="K76" s="27"/>
      <c r="L76" s="27"/>
      <c r="M76" s="27"/>
      <c r="N76" s="124"/>
      <c r="O76" s="27"/>
      <c r="P76" s="122" t="s">
        <v>76</v>
      </c>
      <c r="Q76" s="22"/>
      <c r="R76" s="22" t="s">
        <v>75</v>
      </c>
      <c r="S76" s="22" t="s">
        <v>76</v>
      </c>
      <c r="T76" s="22"/>
      <c r="U76" s="22" t="s">
        <v>77</v>
      </c>
      <c r="V76" s="42"/>
      <c r="W76" s="22" t="s">
        <v>78</v>
      </c>
    </row>
    <row r="77" spans="1:23">
      <c r="A77" s="42"/>
      <c r="B77" s="42"/>
      <c r="C77" s="42"/>
      <c r="D77" s="27"/>
      <c r="E77" s="42"/>
      <c r="F77" s="42"/>
      <c r="G77" s="42"/>
      <c r="H77" s="27"/>
      <c r="I77" s="27"/>
      <c r="J77" s="27"/>
      <c r="K77" s="27"/>
      <c r="L77" s="27"/>
      <c r="M77" s="27"/>
      <c r="N77" s="27"/>
      <c r="O77" s="27"/>
      <c r="P77" s="122" t="s">
        <v>79</v>
      </c>
      <c r="Q77" s="22"/>
      <c r="R77" s="22" t="s">
        <v>80</v>
      </c>
      <c r="S77" s="22" t="s">
        <v>79</v>
      </c>
      <c r="T77" s="22"/>
      <c r="U77" s="22" t="s">
        <v>81</v>
      </c>
      <c r="V77" s="27"/>
      <c r="W77" s="22" t="s">
        <v>82</v>
      </c>
    </row>
    <row r="78" spans="1:23">
      <c r="A78" s="42"/>
      <c r="B78" s="42"/>
      <c r="C78" s="42"/>
      <c r="D78" s="27"/>
      <c r="E78" s="42"/>
      <c r="F78" s="42"/>
      <c r="G78" s="42"/>
      <c r="H78" s="27"/>
      <c r="I78" s="27"/>
      <c r="J78" s="27"/>
      <c r="K78" s="27"/>
      <c r="L78" s="27"/>
      <c r="M78" s="27"/>
      <c r="N78" s="27"/>
      <c r="O78" s="27"/>
      <c r="P78" s="122"/>
      <c r="Q78" s="22"/>
      <c r="R78" s="22" t="s">
        <v>83</v>
      </c>
      <c r="S78" s="22"/>
      <c r="T78" s="22"/>
      <c r="U78" s="22" t="s">
        <v>84</v>
      </c>
      <c r="V78" s="27"/>
      <c r="W78" s="22" t="s">
        <v>81</v>
      </c>
    </row>
    <row r="79" spans="1:23">
      <c r="A79" s="42"/>
      <c r="B79" s="42"/>
      <c r="C79" s="42"/>
      <c r="D79" s="27"/>
      <c r="E79" s="27"/>
      <c r="F79" s="42"/>
      <c r="G79" s="42"/>
      <c r="H79" s="27"/>
      <c r="I79" s="27"/>
      <c r="J79" s="27"/>
      <c r="K79" s="27"/>
      <c r="L79" s="27"/>
      <c r="M79" s="27"/>
      <c r="N79" s="27"/>
      <c r="O79" s="27"/>
      <c r="P79" s="122"/>
      <c r="Q79" s="22"/>
      <c r="R79" s="22" t="s">
        <v>85</v>
      </c>
      <c r="S79" s="22"/>
      <c r="T79" s="22"/>
      <c r="U79" s="123" t="s">
        <v>86</v>
      </c>
      <c r="V79" s="42"/>
      <c r="W79" s="22" t="s">
        <v>84</v>
      </c>
    </row>
    <row r="80" spans="1:23">
      <c r="A80" s="42"/>
      <c r="B80" s="42"/>
      <c r="C80" s="42"/>
      <c r="D80" s="27"/>
      <c r="E80" s="27"/>
      <c r="F80" s="42"/>
      <c r="G80" s="42"/>
      <c r="H80" s="136"/>
      <c r="I80" s="136"/>
      <c r="J80" s="137"/>
      <c r="K80" s="27"/>
      <c r="L80" s="27"/>
      <c r="M80" s="27"/>
      <c r="N80" s="27"/>
      <c r="O80" s="27"/>
      <c r="P80" s="122"/>
      <c r="Q80" s="22"/>
      <c r="R80" s="22" t="s">
        <v>84</v>
      </c>
      <c r="S80" s="22"/>
      <c r="T80" s="22"/>
      <c r="U80" s="123" t="s">
        <v>79</v>
      </c>
      <c r="V80" s="42"/>
      <c r="W80" s="123" t="s">
        <v>87</v>
      </c>
    </row>
    <row r="81" spans="1:23" ht="15.75" thickBot="1">
      <c r="A81" s="42"/>
      <c r="B81" s="42"/>
      <c r="C81" s="42"/>
      <c r="D81" s="42"/>
      <c r="E81" s="27"/>
      <c r="F81" s="42"/>
      <c r="G81" s="42"/>
      <c r="H81" s="42"/>
      <c r="I81" s="42"/>
      <c r="J81" s="42"/>
      <c r="K81" s="138"/>
      <c r="L81" s="27"/>
      <c r="M81" s="27"/>
      <c r="N81" s="27"/>
      <c r="O81" s="27"/>
      <c r="P81" s="126"/>
      <c r="Q81" s="31"/>
      <c r="R81" s="31"/>
      <c r="S81" s="31"/>
      <c r="T81" s="31"/>
      <c r="U81" s="35"/>
      <c r="V81" s="36"/>
      <c r="W81" s="31" t="s">
        <v>79</v>
      </c>
    </row>
    <row r="82" spans="1:23" ht="15.75">
      <c r="A82" s="42"/>
      <c r="B82" s="42"/>
      <c r="C82" s="42"/>
      <c r="D82" s="27"/>
      <c r="E82" s="131"/>
      <c r="F82" s="131"/>
      <c r="G82" s="105"/>
      <c r="H82" s="139"/>
      <c r="I82" s="136"/>
      <c r="J82" s="137"/>
      <c r="K82" s="140"/>
      <c r="L82" s="141"/>
      <c r="M82" s="141"/>
      <c r="N82" s="137"/>
      <c r="O82" s="136"/>
      <c r="P82" s="143">
        <f>ROUND(I82*$Q$74,2)</f>
        <v>0</v>
      </c>
      <c r="Q82" s="128">
        <f>SUM(O82:P82)</f>
        <v>0</v>
      </c>
      <c r="R82" s="127">
        <f>SUM(L82,O82)</f>
        <v>0</v>
      </c>
      <c r="S82" s="127">
        <f>SUM(M82,P82)</f>
        <v>0</v>
      </c>
      <c r="T82" s="128">
        <f>SUM(R82:S82)</f>
        <v>0</v>
      </c>
      <c r="U82" s="127">
        <f>H82-R82</f>
        <v>0</v>
      </c>
      <c r="V82" s="127">
        <f>I82-S82</f>
        <v>0</v>
      </c>
      <c r="W82" s="127">
        <f>SUM(U82:V82)</f>
        <v>0</v>
      </c>
    </row>
    <row r="83" spans="1:2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23">
      <c r="A84" s="42"/>
      <c r="B84" s="42"/>
      <c r="C84" s="42"/>
      <c r="D84" s="142"/>
      <c r="E84" s="27"/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1:23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1:23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1:23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1:23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1:23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1:23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1:23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1:23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1:2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23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23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1:23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1:1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1:1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1:1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1:1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1:1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1:1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1:1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1:1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1:1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1:1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1:1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1:1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1:1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1:1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1:1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1:1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1:1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1:1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1:1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1:1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1:1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1:1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1:1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1:1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1:1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1:1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1:1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1:1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1:1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1:1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1:1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1:1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1:1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1:1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1:1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1:1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1:1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1:1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1:1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1:1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1:1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1:1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1:1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1:1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1:1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1:1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1:1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1:1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1:1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1:1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1:1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1:1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1:1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1:1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1:1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1:1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1:1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1:1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1:1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1:1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1:1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1:1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1:1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1:1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1:1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1:1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1:1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1:1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1:1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1:1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1:1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1:1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1:1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1:1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</sheetData>
  <mergeCells count="1">
    <mergeCell ref="Q70:R70"/>
  </mergeCells>
  <conditionalFormatting sqref="AM20">
    <cfRule type="expression" dxfId="3" priority="4">
      <formula>ISBLANK(AM25)</formula>
    </cfRule>
  </conditionalFormatting>
  <conditionalFormatting sqref="I20">
    <cfRule type="expression" dxfId="2" priority="3">
      <formula>ISBLANK(I25)</formula>
    </cfRule>
  </conditionalFormatting>
  <conditionalFormatting sqref="R20">
    <cfRule type="expression" dxfId="1" priority="2">
      <formula>ISBLANK(R25)</formula>
    </cfRule>
  </conditionalFormatting>
  <conditionalFormatting sqref="F15">
    <cfRule type="expression" dxfId="0" priority="1">
      <formula>B3="Розрахункові "</formula>
    </cfRule>
  </conditionalFormatting>
  <dataValidations count="1">
    <dataValidation type="list" allowBlank="1" showInputMessage="1" showErrorMessage="1" sqref="B3">
      <formula1>$I$3:$I$4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2018-02-08T13:21:00Z</dcterms:created>
  <dcterms:modified xsi:type="dcterms:W3CDTF">2018-02-08T13:38:24Z</dcterms:modified>
</cp:coreProperties>
</file>