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155" yWindow="90" windowWidth="15480" windowHeight="10155" firstSheet="1" activeTab="2"/>
  </bookViews>
  <sheets>
    <sheet name="нормы времени" sheetId="26" state="hidden" r:id="rId1"/>
    <sheet name="ТАБЕЛЬ" sheetId="3" r:id="rId2"/>
    <sheet name="ДЛЯ ФОРМУЛЫ " sheetId="31" r:id="rId3"/>
  </sheets>
  <externalReferences>
    <externalReference r:id="rId4"/>
  </externalReferences>
  <definedNames>
    <definedName name="_xlnm._FilterDatabase" localSheetId="1" hidden="1">ТАБЕЛЬ!$B$6:$BA$75</definedName>
    <definedName name="_xlnm.Print_Titles" localSheetId="1">ТАБЕЛЬ!$6:$10</definedName>
    <definedName name="_xlnm.Print_Area" localSheetId="2">'ДЛЯ ФОРМУЛЫ '!$A$1:$BC$30</definedName>
    <definedName name="_xlnm.Print_Area" localSheetId="1">ТАБЕЛЬ!$B$1:$AZ$75</definedName>
  </definedNames>
  <calcPr calcId="124519"/>
</workbook>
</file>

<file path=xl/calcChain.xml><?xml version="1.0" encoding="utf-8"?>
<calcChain xmlns="http://schemas.openxmlformats.org/spreadsheetml/2006/main">
  <c r="P23" i="31"/>
  <c r="D14"/>
  <c r="E14"/>
  <c r="F14"/>
  <c r="G14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B30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BC28"/>
  <c r="BB28"/>
  <c r="A28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A26"/>
  <c r="BC25"/>
  <c r="BB25"/>
  <c r="A25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AF23"/>
  <c r="AE23"/>
  <c r="AD23"/>
  <c r="AC23"/>
  <c r="AB23"/>
  <c r="AA23"/>
  <c r="Z23"/>
  <c r="Y23"/>
  <c r="X23"/>
  <c r="W23"/>
  <c r="V23"/>
  <c r="U23"/>
  <c r="T23"/>
  <c r="S23"/>
  <c r="R23"/>
  <c r="Q23"/>
  <c r="O23"/>
  <c r="N23"/>
  <c r="M23"/>
  <c r="L23"/>
  <c r="K23"/>
  <c r="J23"/>
  <c r="I23"/>
  <c r="H23"/>
  <c r="G23"/>
  <c r="F23"/>
  <c r="E23"/>
  <c r="D23"/>
  <c r="C23"/>
  <c r="B23"/>
  <c r="A23"/>
  <c r="BC22"/>
  <c r="BB22"/>
  <c r="BA22"/>
  <c r="AZ22"/>
  <c r="AY22"/>
  <c r="AX22"/>
  <c r="AV22"/>
  <c r="AU22"/>
  <c r="AT22"/>
  <c r="AS22"/>
  <c r="AW22" s="1"/>
  <c r="AR22"/>
  <c r="AQ22"/>
  <c r="AO22"/>
  <c r="AN22"/>
  <c r="AM22"/>
  <c r="AL22"/>
  <c r="AK22"/>
  <c r="AJ22"/>
  <c r="AI22"/>
  <c r="AH22"/>
  <c r="A22"/>
  <c r="BI21"/>
  <c r="BH21"/>
  <c r="B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BI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D19" s="1"/>
  <c r="B20"/>
  <c r="A20"/>
  <c r="BH20" s="1"/>
  <c r="BC19"/>
  <c r="BB19"/>
  <c r="AX19"/>
  <c r="AU19"/>
  <c r="AT19"/>
  <c r="AL19"/>
  <c r="A19"/>
  <c r="BI18" s="1"/>
  <c r="BH18"/>
  <c r="B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BI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AK16" s="1"/>
  <c r="A17"/>
  <c r="BI16" s="1"/>
  <c r="BC16"/>
  <c r="BB16"/>
  <c r="AX16"/>
  <c r="AU16"/>
  <c r="AT16"/>
  <c r="A16"/>
  <c r="BH16" s="1"/>
  <c r="BH15"/>
  <c r="B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G14" s="1"/>
  <c r="B15"/>
  <c r="BI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C14"/>
  <c r="B14"/>
  <c r="AR13" s="1"/>
  <c r="A14"/>
  <c r="BH14" s="1"/>
  <c r="BC13"/>
  <c r="BB13"/>
  <c r="AX13"/>
  <c r="AU13"/>
  <c r="AT13"/>
  <c r="A13"/>
  <c r="BI12" s="1"/>
  <c r="BH12"/>
  <c r="B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BI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Y10" s="1"/>
  <c r="B11"/>
  <c r="A11"/>
  <c r="BI10" s="1"/>
  <c r="BC10"/>
  <c r="BB10"/>
  <c r="AX10"/>
  <c r="AU10"/>
  <c r="AT10"/>
  <c r="A10"/>
  <c r="BH10" s="1"/>
  <c r="X4"/>
  <c r="Q4"/>
  <c r="A8" s="1"/>
  <c r="G2"/>
  <c r="BD13" l="1"/>
  <c r="BA16"/>
  <c r="AS16"/>
  <c r="AW16" s="1"/>
  <c r="AL13"/>
  <c r="BG16"/>
  <c r="AM10"/>
  <c r="BG10"/>
  <c r="BG11"/>
  <c r="AH13"/>
  <c r="AY16"/>
  <c r="BG17"/>
  <c r="AH19"/>
  <c r="AR19"/>
  <c r="AZ19"/>
  <c r="AO16"/>
  <c r="AV13"/>
  <c r="AS10"/>
  <c r="AW10" s="1"/>
  <c r="BA10"/>
  <c r="BH11"/>
  <c r="AS19"/>
  <c r="AW19" s="1"/>
  <c r="BH17"/>
  <c r="AE8"/>
  <c r="AI10"/>
  <c r="AQ10"/>
  <c r="AJ13"/>
  <c r="AN13"/>
  <c r="AZ13"/>
  <c r="BI15"/>
  <c r="AI16"/>
  <c r="AM16"/>
  <c r="AQ16"/>
  <c r="BD16"/>
  <c r="AJ19"/>
  <c r="AN19"/>
  <c r="AV19"/>
  <c r="BG19"/>
  <c r="BG20"/>
  <c r="AK10"/>
  <c r="AO10"/>
  <c r="BD10"/>
  <c r="BG13"/>
  <c r="AS13"/>
  <c r="AW13" s="1"/>
  <c r="AG22"/>
  <c r="AP22" s="1"/>
  <c r="A6"/>
  <c r="B8"/>
  <c r="D8"/>
  <c r="F8"/>
  <c r="H8"/>
  <c r="J8"/>
  <c r="L8"/>
  <c r="N8"/>
  <c r="P8"/>
  <c r="R8"/>
  <c r="T8"/>
  <c r="V8"/>
  <c r="X8"/>
  <c r="Z8"/>
  <c r="AB8"/>
  <c r="AD8"/>
  <c r="AF8"/>
  <c r="AG10"/>
  <c r="BH13"/>
  <c r="AG16"/>
  <c r="BH19"/>
  <c r="C8"/>
  <c r="BB4" s="1"/>
  <c r="E8"/>
  <c r="G8"/>
  <c r="I8"/>
  <c r="K8"/>
  <c r="M8"/>
  <c r="O8"/>
  <c r="Q8"/>
  <c r="S8"/>
  <c r="U8"/>
  <c r="W8"/>
  <c r="Y8"/>
  <c r="AA8"/>
  <c r="AC8"/>
  <c r="AH10"/>
  <c r="AJ10"/>
  <c r="AL10"/>
  <c r="AN10"/>
  <c r="AR10"/>
  <c r="AV10"/>
  <c r="AZ10"/>
  <c r="AI13"/>
  <c r="AK13"/>
  <c r="AM13"/>
  <c r="AO13"/>
  <c r="AQ13"/>
  <c r="AY13"/>
  <c r="BA13"/>
  <c r="BI13"/>
  <c r="AH16"/>
  <c r="AJ16"/>
  <c r="AL16"/>
  <c r="AN16"/>
  <c r="AR16"/>
  <c r="AV16"/>
  <c r="AZ16"/>
  <c r="AI19"/>
  <c r="AK19"/>
  <c r="AM19"/>
  <c r="AO19"/>
  <c r="AQ19"/>
  <c r="AY19"/>
  <c r="BA19"/>
  <c r="BI19"/>
  <c r="AG19" s="1"/>
  <c r="AP19" s="1"/>
  <c r="AP16" l="1"/>
  <c r="AG13"/>
  <c r="AP13" s="1"/>
  <c r="AP10"/>
  <c r="AD71" i="3" l="1"/>
  <c r="AC71"/>
  <c r="AA71"/>
  <c r="Z71"/>
  <c r="Y71"/>
  <c r="X71"/>
  <c r="W71"/>
  <c r="V71"/>
  <c r="U71"/>
  <c r="T71"/>
  <c r="AD66"/>
  <c r="AC66"/>
  <c r="AA66"/>
  <c r="Z66"/>
  <c r="Y66"/>
  <c r="X66"/>
  <c r="W66"/>
  <c r="V66"/>
  <c r="U66"/>
  <c r="T66"/>
  <c r="AD61"/>
  <c r="AC61"/>
  <c r="AA61"/>
  <c r="Z61"/>
  <c r="Y61"/>
  <c r="X61"/>
  <c r="W61"/>
  <c r="V61"/>
  <c r="U61"/>
  <c r="T61"/>
  <c r="AD56"/>
  <c r="AC56"/>
  <c r="AA56"/>
  <c r="Z56"/>
  <c r="Y56"/>
  <c r="X56"/>
  <c r="W56"/>
  <c r="V56"/>
  <c r="U56"/>
  <c r="T56"/>
  <c r="AD51"/>
  <c r="AC51"/>
  <c r="AA51"/>
  <c r="Z51"/>
  <c r="Y51"/>
  <c r="X51"/>
  <c r="W51"/>
  <c r="V51"/>
  <c r="U51"/>
  <c r="T51"/>
  <c r="AD46"/>
  <c r="AC46"/>
  <c r="AA46"/>
  <c r="Z46"/>
  <c r="Y46"/>
  <c r="X46"/>
  <c r="W46"/>
  <c r="V46"/>
  <c r="U46"/>
  <c r="T46"/>
  <c r="AD41"/>
  <c r="AC41"/>
  <c r="AA41"/>
  <c r="Z41"/>
  <c r="Y41"/>
  <c r="X41"/>
  <c r="W41"/>
  <c r="V41"/>
  <c r="U41"/>
  <c r="T41"/>
  <c r="AD36"/>
  <c r="AC36"/>
  <c r="AA36"/>
  <c r="Z36"/>
  <c r="Y36"/>
  <c r="X36"/>
  <c r="W36"/>
  <c r="V36"/>
  <c r="U36"/>
  <c r="T36"/>
  <c r="AD31"/>
  <c r="AC31"/>
  <c r="AA31"/>
  <c r="Z31"/>
  <c r="Y31"/>
  <c r="X31"/>
  <c r="W31"/>
  <c r="V31"/>
  <c r="U31"/>
  <c r="T31"/>
  <c r="AD26"/>
  <c r="AC26"/>
  <c r="AA26"/>
  <c r="Z26"/>
  <c r="Y26"/>
  <c r="X26"/>
  <c r="W26"/>
  <c r="V26"/>
  <c r="U26"/>
  <c r="T26"/>
  <c r="AD21"/>
  <c r="AC21"/>
  <c r="AA21"/>
  <c r="Z21"/>
  <c r="Y21"/>
  <c r="X21"/>
  <c r="W21"/>
  <c r="V21"/>
  <c r="U21"/>
  <c r="T21"/>
  <c r="AD16"/>
  <c r="AC16"/>
  <c r="AA16"/>
  <c r="Z16"/>
  <c r="Y16"/>
  <c r="X16"/>
  <c r="W16"/>
  <c r="V16"/>
  <c r="U16"/>
  <c r="T16"/>
  <c r="Z11"/>
  <c r="AE73"/>
  <c r="AE68"/>
  <c r="AE63"/>
  <c r="AE58"/>
  <c r="AE53"/>
  <c r="AE48"/>
  <c r="AS28" i="31" s="1"/>
  <c r="AW28" s="1"/>
  <c r="AE43" i="3"/>
  <c r="AE38"/>
  <c r="AE33"/>
  <c r="AE28"/>
  <c r="AE23"/>
  <c r="AE18"/>
  <c r="BF11" l="1"/>
  <c r="BN11"/>
  <c r="BE11"/>
  <c r="BE73"/>
  <c r="BN71"/>
  <c r="BM71"/>
  <c r="BL71"/>
  <c r="BK71"/>
  <c r="BJ71"/>
  <c r="BI71"/>
  <c r="BH71"/>
  <c r="BG71"/>
  <c r="BF71"/>
  <c r="BE71"/>
  <c r="BE68"/>
  <c r="BN66"/>
  <c r="BM66"/>
  <c r="BL66"/>
  <c r="BK66"/>
  <c r="BJ66"/>
  <c r="BI66"/>
  <c r="BH66"/>
  <c r="BG66"/>
  <c r="BF66"/>
  <c r="BE66"/>
  <c r="BE63"/>
  <c r="BN61"/>
  <c r="BM61"/>
  <c r="BL61"/>
  <c r="BK61"/>
  <c r="BJ61"/>
  <c r="BI61"/>
  <c r="BH61"/>
  <c r="BG61"/>
  <c r="BF61"/>
  <c r="BE61"/>
  <c r="BE58"/>
  <c r="BN56"/>
  <c r="BM56"/>
  <c r="BL56"/>
  <c r="BK56"/>
  <c r="BJ56"/>
  <c r="BI56"/>
  <c r="BH56"/>
  <c r="BG56"/>
  <c r="BF56"/>
  <c r="BE56"/>
  <c r="BE53"/>
  <c r="BN51"/>
  <c r="BM51"/>
  <c r="BL51"/>
  <c r="BK51"/>
  <c r="BJ51"/>
  <c r="BI51"/>
  <c r="BH51"/>
  <c r="BG51"/>
  <c r="BF51"/>
  <c r="BE51"/>
  <c r="BE48"/>
  <c r="BN46"/>
  <c r="BM46"/>
  <c r="BL46"/>
  <c r="BK46"/>
  <c r="BJ46"/>
  <c r="BI46"/>
  <c r="BH46"/>
  <c r="BG46"/>
  <c r="BF46"/>
  <c r="BE46"/>
  <c r="BE43"/>
  <c r="BN41"/>
  <c r="BM41"/>
  <c r="BL41"/>
  <c r="BK41"/>
  <c r="BJ41"/>
  <c r="BI41"/>
  <c r="BH41"/>
  <c r="BG41"/>
  <c r="BF41"/>
  <c r="BE41"/>
  <c r="BE38"/>
  <c r="BN36"/>
  <c r="BM36"/>
  <c r="BL36"/>
  <c r="BK36"/>
  <c r="BJ36"/>
  <c r="BI36"/>
  <c r="BH36"/>
  <c r="BG36"/>
  <c r="BF36"/>
  <c r="BE36"/>
  <c r="BE33"/>
  <c r="BN31"/>
  <c r="BM31"/>
  <c r="BL31"/>
  <c r="BK31"/>
  <c r="BJ31"/>
  <c r="BI31"/>
  <c r="BH31"/>
  <c r="BG31"/>
  <c r="BF31"/>
  <c r="BE31"/>
  <c r="BE28"/>
  <c r="BN26"/>
  <c r="BM26"/>
  <c r="BL26"/>
  <c r="BK26"/>
  <c r="BJ26"/>
  <c r="BI26"/>
  <c r="BH26"/>
  <c r="BG26"/>
  <c r="BF26"/>
  <c r="BE26"/>
  <c r="BE23"/>
  <c r="BN21"/>
  <c r="BM21"/>
  <c r="BL21"/>
  <c r="BK21"/>
  <c r="BJ21"/>
  <c r="BI21"/>
  <c r="BH21"/>
  <c r="BG21"/>
  <c r="BF21"/>
  <c r="BE21"/>
  <c r="BE18"/>
  <c r="BN16"/>
  <c r="BM16"/>
  <c r="BL16"/>
  <c r="BK16"/>
  <c r="BJ16"/>
  <c r="BI16"/>
  <c r="BH16"/>
  <c r="BG16"/>
  <c r="BF16"/>
  <c r="BE16"/>
  <c r="BE13"/>
  <c r="BM11"/>
  <c r="BL11"/>
  <c r="BK11"/>
  <c r="BJ11"/>
  <c r="BI11"/>
  <c r="BH11"/>
  <c r="BG11"/>
  <c r="AA11" l="1"/>
  <c r="Y11"/>
  <c r="X11"/>
  <c r="W11"/>
  <c r="V11"/>
  <c r="U11"/>
  <c r="T11"/>
  <c r="BC71"/>
  <c r="BC51"/>
  <c r="BC66"/>
  <c r="BC61"/>
  <c r="BC56"/>
  <c r="BC46"/>
  <c r="BC41"/>
  <c r="BC36"/>
  <c r="BC31"/>
  <c r="BC11"/>
  <c r="BC26"/>
  <c r="BC21"/>
  <c r="BC16"/>
  <c r="B6"/>
  <c r="B8"/>
  <c r="AO73" l="1"/>
  <c r="AK73"/>
  <c r="AO71"/>
  <c r="AN71"/>
  <c r="AM71"/>
  <c r="AL71"/>
  <c r="AK71"/>
  <c r="AH71"/>
  <c r="AO68"/>
  <c r="AK68"/>
  <c r="AO66"/>
  <c r="AN66"/>
  <c r="AM66"/>
  <c r="AL66"/>
  <c r="AK66"/>
  <c r="AH66"/>
  <c r="AO63"/>
  <c r="AK63"/>
  <c r="AO61"/>
  <c r="AN61"/>
  <c r="AM61"/>
  <c r="AL61"/>
  <c r="AK61"/>
  <c r="AH61"/>
  <c r="AO58"/>
  <c r="AK58"/>
  <c r="AO56"/>
  <c r="AN56"/>
  <c r="AM56"/>
  <c r="AL56"/>
  <c r="AK56"/>
  <c r="AH56"/>
  <c r="AO53"/>
  <c r="AK53"/>
  <c r="AO51"/>
  <c r="AN51"/>
  <c r="AM51"/>
  <c r="AL51"/>
  <c r="AK51"/>
  <c r="AH51"/>
  <c r="AO48"/>
  <c r="AK48"/>
  <c r="AO46"/>
  <c r="AN46"/>
  <c r="AM46"/>
  <c r="AL46"/>
  <c r="AK46"/>
  <c r="AH46"/>
  <c r="AO43"/>
  <c r="AK43"/>
  <c r="AO41"/>
  <c r="AN41"/>
  <c r="AM41"/>
  <c r="AL41"/>
  <c r="AK41"/>
  <c r="AH41"/>
  <c r="AO38"/>
  <c r="AK38"/>
  <c r="AO36"/>
  <c r="AN36"/>
  <c r="AM36"/>
  <c r="AL36"/>
  <c r="AK36"/>
  <c r="AH36"/>
  <c r="AO33"/>
  <c r="AK33"/>
  <c r="AO31"/>
  <c r="AN31"/>
  <c r="AM31"/>
  <c r="AL31"/>
  <c r="AK31"/>
  <c r="AH31"/>
  <c r="AO28"/>
  <c r="AK28"/>
  <c r="AO26"/>
  <c r="AN26"/>
  <c r="AM26"/>
  <c r="AL26"/>
  <c r="AK26"/>
  <c r="AH26"/>
  <c r="AO23"/>
  <c r="AK23"/>
  <c r="AO21"/>
  <c r="AN21"/>
  <c r="AM21"/>
  <c r="AL21"/>
  <c r="AK21"/>
  <c r="AH21"/>
  <c r="AO18"/>
  <c r="AK18"/>
  <c r="AO16"/>
  <c r="AN16"/>
  <c r="AM16"/>
  <c r="AL16"/>
  <c r="AK16"/>
  <c r="AH16"/>
  <c r="AE16" l="1"/>
  <c r="S18" s="1"/>
  <c r="AE21"/>
  <c r="S23" s="1"/>
  <c r="AE26"/>
  <c r="S28" s="1"/>
  <c r="AE41"/>
  <c r="S43" s="1"/>
  <c r="AG25" i="31" s="1"/>
  <c r="AE46" i="3"/>
  <c r="S48" s="1"/>
  <c r="AG28" i="31" s="1"/>
  <c r="AE51" i="3"/>
  <c r="S53" s="1"/>
  <c r="AE56"/>
  <c r="AE61"/>
  <c r="S63" s="1"/>
  <c r="AE66"/>
  <c r="S68" s="1"/>
  <c r="S66" s="1"/>
  <c r="AE31"/>
  <c r="AI41"/>
  <c r="AS25" i="31" s="1"/>
  <c r="AW25" s="1"/>
  <c r="S26" i="3"/>
  <c r="AI26"/>
  <c r="S21"/>
  <c r="AI21"/>
  <c r="S16"/>
  <c r="AI16"/>
  <c r="S46"/>
  <c r="AE71"/>
  <c r="S73" s="1"/>
  <c r="S71" s="1"/>
  <c r="AE36"/>
  <c r="S38" s="1"/>
  <c r="S51"/>
  <c r="S61"/>
  <c r="AK13"/>
  <c r="AK11"/>
  <c r="S58" l="1"/>
  <c r="S56" s="1"/>
  <c r="S33"/>
  <c r="S31" s="1"/>
  <c r="S41"/>
  <c r="S36"/>
  <c r="AI36"/>
  <c r="AN11"/>
  <c r="AO13"/>
  <c r="AO11"/>
  <c r="AH11" l="1"/>
  <c r="BB11"/>
  <c r="BB71"/>
  <c r="BB66"/>
  <c r="BB61"/>
  <c r="BB56"/>
  <c r="BB51"/>
  <c r="BB46"/>
  <c r="BB41"/>
  <c r="BB36"/>
  <c r="BB31"/>
  <c r="BB26"/>
  <c r="BB21"/>
  <c r="BB16"/>
  <c r="AE13" l="1"/>
  <c r="AE11" s="1"/>
  <c r="S13" s="1"/>
  <c r="BA71"/>
  <c r="BA66"/>
  <c r="BA61"/>
  <c r="BA56"/>
  <c r="BA51"/>
  <c r="BA46"/>
  <c r="BA41"/>
  <c r="BA36"/>
  <c r="BA31"/>
  <c r="BA26"/>
  <c r="BA21"/>
  <c r="BA16"/>
  <c r="R9"/>
  <c r="BA11"/>
  <c r="S11" l="1"/>
  <c r="AI11"/>
  <c r="AC11"/>
  <c r="AM11" l="1"/>
  <c r="AL11"/>
  <c r="AD11" l="1"/>
  <c r="F9"/>
  <c r="C8"/>
  <c r="D9"/>
  <c r="E9"/>
  <c r="G9"/>
  <c r="H9"/>
  <c r="I9"/>
  <c r="J9"/>
  <c r="K9"/>
  <c r="L9"/>
  <c r="M9"/>
  <c r="N9"/>
  <c r="O9"/>
  <c r="P9"/>
  <c r="Q9"/>
  <c r="C9"/>
  <c r="E8"/>
  <c r="F8"/>
  <c r="G8"/>
  <c r="H8"/>
  <c r="I8"/>
  <c r="J8"/>
  <c r="K8"/>
  <c r="L8"/>
  <c r="M8"/>
  <c r="N8"/>
  <c r="O8"/>
  <c r="P8"/>
  <c r="Q8"/>
  <c r="D8"/>
  <c r="AW4" l="1"/>
  <c r="AZ73"/>
  <c r="AB71" s="1"/>
  <c r="AZ63"/>
  <c r="AB61" s="1"/>
  <c r="AZ53"/>
  <c r="AB51" s="1"/>
  <c r="AZ43"/>
  <c r="AB41" s="1"/>
  <c r="AZ33"/>
  <c r="AB31" s="1"/>
  <c r="AZ23"/>
  <c r="AB21" s="1"/>
  <c r="AZ68"/>
  <c r="AB66" s="1"/>
  <c r="AZ58"/>
  <c r="AB56" s="1"/>
  <c r="AZ48"/>
  <c r="AB46" s="1"/>
  <c r="AZ38"/>
  <c r="AB36" s="1"/>
  <c r="AZ28"/>
  <c r="AB26" s="1"/>
  <c r="AZ18"/>
  <c r="AB16" s="1"/>
  <c r="AZ13"/>
  <c r="AB11" s="1"/>
  <c r="AZ16" l="1"/>
  <c r="AZ36"/>
  <c r="AZ56"/>
  <c r="AZ31"/>
  <c r="AZ51"/>
  <c r="AZ71"/>
  <c r="AZ26"/>
  <c r="AZ46"/>
  <c r="AZ66"/>
  <c r="AZ21"/>
  <c r="AZ41"/>
  <c r="AZ61"/>
  <c r="AZ11"/>
</calcChain>
</file>

<file path=xl/sharedStrings.xml><?xml version="1.0" encoding="utf-8"?>
<sst xmlns="http://schemas.openxmlformats.org/spreadsheetml/2006/main" count="623" uniqueCount="152">
  <si>
    <t>ТЧ-11</t>
  </si>
  <si>
    <t>Цех, отдел, участок</t>
  </si>
  <si>
    <t>Дата составления</t>
  </si>
  <si>
    <t>№ п/п</t>
  </si>
  <si>
    <t>Фамилия, имя, отчество</t>
  </si>
  <si>
    <t>Количество дней</t>
  </si>
  <si>
    <t>Отработано часов</t>
  </si>
  <si>
    <t xml:space="preserve">Вид оплаты  </t>
  </si>
  <si>
    <t>код аналитического учёта</t>
  </si>
  <si>
    <t>Профессия должность (наименование)</t>
  </si>
  <si>
    <t>Производственная группа</t>
  </si>
  <si>
    <t>Категория персонала</t>
  </si>
  <si>
    <t>Табельный номер</t>
  </si>
  <si>
    <t>Тарифный разряд</t>
  </si>
  <si>
    <t>Часы работы за месяц</t>
  </si>
  <si>
    <t>отметки о явках и неявках на работу по числам месяца</t>
  </si>
  <si>
    <t>явок</t>
  </si>
  <si>
    <t>неявок</t>
  </si>
  <si>
    <t>из них</t>
  </si>
  <si>
    <t>-</t>
  </si>
  <si>
    <t>прогул</t>
  </si>
  <si>
    <t>текущий простой</t>
  </si>
  <si>
    <t>опоздание, преж-
девременный уход</t>
  </si>
  <si>
    <t>сдельно</t>
  </si>
  <si>
    <t>сверхурочные</t>
  </si>
  <si>
    <t>ночные</t>
  </si>
  <si>
    <t>целосменных простоев</t>
  </si>
  <si>
    <t>код</t>
  </si>
  <si>
    <t>Наименование
организации</t>
  </si>
  <si>
    <t>фактической работы</t>
  </si>
  <si>
    <t>трудовой отпуск</t>
  </si>
  <si>
    <t>учебный отпуск</t>
  </si>
  <si>
    <t>отпуск по беременности и родам</t>
  </si>
  <si>
    <t>временная нетрудоспособность</t>
  </si>
  <si>
    <t>прочие неявки, разрешённые законом</t>
  </si>
  <si>
    <t>выходные и праздничные дни</t>
  </si>
  <si>
    <t>с вредными и (или) опасными условиями труда</t>
  </si>
  <si>
    <t>процент начисления премии</t>
  </si>
  <si>
    <t>установленный КТУ</t>
  </si>
  <si>
    <t>Корреспондирующий счёт</t>
  </si>
  <si>
    <t>Т А Б Е Л Ь</t>
  </si>
  <si>
    <t>с разрешения администрации</t>
  </si>
  <si>
    <t>за</t>
  </si>
  <si>
    <t>г.</t>
  </si>
  <si>
    <t>сентябрь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</si>
  <si>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</si>
  <si>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</si>
  <si>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</si>
  <si>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</si>
  <si>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</si>
  <si>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</si>
  <si>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</si>
  <si>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</si>
  <si>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октябрь</t>
  </si>
  <si>
    <t>ноябрь</t>
  </si>
  <si>
    <t>декабрь</t>
  </si>
  <si>
    <t>Праздники</t>
  </si>
  <si>
    <t>Дополнительные нерабочие дни</t>
  </si>
  <si>
    <t>Работ и неявок</t>
  </si>
  <si>
    <t>Всго календарных дней</t>
  </si>
  <si>
    <t>Не отраб. часов</t>
  </si>
  <si>
    <t>3/3,1</t>
  </si>
  <si>
    <t>гос.пр., праздничные и выходные дни</t>
  </si>
  <si>
    <t>с вредными и (или) оп.усл. тр. сверх уст.нормы</t>
  </si>
  <si>
    <t>стпжировка</t>
  </si>
  <si>
    <t>--</t>
  </si>
  <si>
    <t>кол-во "--"</t>
  </si>
  <si>
    <t>кол-во чел.</t>
  </si>
  <si>
    <t>В</t>
  </si>
  <si>
    <t>Я</t>
  </si>
  <si>
    <t>служебные команд.</t>
  </si>
  <si>
    <t>команд. спорт., культ-мас.</t>
  </si>
  <si>
    <t>21,1/21,2</t>
  </si>
  <si>
    <t>факт.раб. без "к"; "ск" и др.</t>
  </si>
  <si>
    <t>25,1/25,1</t>
  </si>
  <si>
    <t>счет, субсчет</t>
  </si>
  <si>
    <t>15/15,1</t>
  </si>
  <si>
    <t xml:space="preserve">всего </t>
  </si>
  <si>
    <t xml:space="preserve">всего факт. явок </t>
  </si>
  <si>
    <t>0</t>
  </si>
  <si>
    <t>НС</t>
  </si>
  <si>
    <t>смена</t>
  </si>
  <si>
    <t>см</t>
  </si>
  <si>
    <t>о</t>
  </si>
  <si>
    <t>а</t>
  </si>
  <si>
    <t>у</t>
  </si>
  <si>
    <t>к</t>
  </si>
  <si>
    <t>ск</t>
  </si>
  <si>
    <t>д</t>
  </si>
  <si>
    <t>дм</t>
  </si>
  <si>
    <t>убз</t>
  </si>
  <si>
    <t>т</t>
  </si>
  <si>
    <t>х</t>
  </si>
  <si>
    <t>в</t>
  </si>
  <si>
    <t>я</t>
  </si>
  <si>
    <t>я/н</t>
  </si>
  <si>
    <t>г</t>
  </si>
  <si>
    <t>гч</t>
  </si>
  <si>
    <t>с</t>
  </si>
  <si>
    <t>н</t>
  </si>
  <si>
    <t>рп</t>
  </si>
  <si>
    <t>нс</t>
  </si>
  <si>
    <t>р</t>
  </si>
  <si>
    <t>ож</t>
  </si>
  <si>
    <t>мо</t>
  </si>
  <si>
    <t>гб</t>
  </si>
  <si>
    <t>гс</t>
  </si>
  <si>
    <t>б</t>
  </si>
  <si>
    <t>нб</t>
  </si>
  <si>
    <t>оа</t>
  </si>
  <si>
    <t>оад</t>
  </si>
  <si>
    <t>п</t>
  </si>
  <si>
    <t>вп</t>
  </si>
  <si>
    <t>оп</t>
  </si>
  <si>
    <t>ух</t>
  </si>
  <si>
    <t>нн</t>
  </si>
  <si>
    <t>сд</t>
  </si>
  <si>
    <t>до</t>
  </si>
  <si>
    <t>нр</t>
  </si>
  <si>
    <t>дж</t>
  </si>
  <si>
    <t>мк</t>
  </si>
  <si>
    <t>сх</t>
  </si>
  <si>
    <t>яп</t>
  </si>
  <si>
    <t>нп</t>
  </si>
  <si>
    <t>нсп</t>
  </si>
  <si>
    <t>ст</t>
  </si>
  <si>
    <t>я/г</t>
  </si>
  <si>
    <r>
      <t>v/</t>
    </r>
    <r>
      <rPr>
        <b/>
        <sz val="11"/>
        <rFont val="Times New Roman"/>
        <family val="1"/>
        <charset val="204"/>
      </rPr>
      <t>5</t>
    </r>
  </si>
  <si>
    <t>Структурное подразделение</t>
  </si>
  <si>
    <t>Примечание</t>
  </si>
  <si>
    <t>Профессия или должность</t>
  </si>
  <si>
    <t>ТЧ-11 (v/5)</t>
  </si>
  <si>
    <t>Форма ФТУ-3</t>
  </si>
  <si>
    <t>учета рабочего времени на работах с вредными и опасными условиями труда</t>
  </si>
  <si>
    <t>Итого дней с вредными и (или) опасными условиями труда</t>
  </si>
  <si>
    <t>Итого часов с вредными и (или) опасными условиями труда</t>
  </si>
  <si>
    <t>1. Гринько Александр Владимирович</t>
  </si>
  <si>
    <t>2. Клещев Сергей Дмитриевич</t>
  </si>
  <si>
    <t>3. Купрацевич Владимир Леонидович</t>
  </si>
  <si>
    <t>4. Петрушенко Виктор Федорович</t>
  </si>
  <si>
    <t>5. Телеш Александр Петрович</t>
  </si>
  <si>
    <t>6. Филиппов Дмитрий Григорьевич</t>
  </si>
  <si>
    <t>7. Хотянович Вячеслав Семенович</t>
  </si>
  <si>
    <t>слесарь по ремонту подв.состава</t>
  </si>
  <si>
    <t>4</t>
  </si>
  <si>
    <t>мастер</t>
  </si>
  <si>
    <t>06 Телеш</t>
  </si>
  <si>
    <t xml:space="preserve">учета использования рабочего времени </t>
  </si>
  <si>
    <t>О</t>
  </si>
  <si>
    <t>А</t>
  </si>
  <si>
    <t>Б</t>
  </si>
  <si>
    <t>СК</t>
  </si>
</sst>
</file>

<file path=xl/styles.xml><?xml version="1.0" encoding="utf-8"?>
<styleSheet xmlns="http://schemas.openxmlformats.org/spreadsheetml/2006/main">
  <numFmts count="7">
    <numFmt numFmtId="43" formatCode="_-* #,##0.00_р_._-;\-* #,##0.00_р_._-;_-* &quot;-&quot;??_р_._-;_-@_-"/>
    <numFmt numFmtId="164" formatCode="0_ ;\-0\ "/>
    <numFmt numFmtId="165" formatCode="#,##0.0"/>
    <numFmt numFmtId="166" formatCode="h:mm;@"/>
    <numFmt numFmtId="167" formatCode="d"/>
    <numFmt numFmtId="168" formatCode="[h]:mm:ss;@"/>
    <numFmt numFmtId="169" formatCode="[$-F400]h:mm:ss\ AM/PM"/>
  </numFmts>
  <fonts count="24">
    <font>
      <sz val="10"/>
      <name val="Arial Cyr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sz val="6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sz val="6"/>
      <name val="Arial Cyr"/>
      <charset val="204"/>
    </font>
    <font>
      <sz val="7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name val="Arial Cyr"/>
      <charset val="204"/>
    </font>
    <font>
      <b/>
      <i/>
      <u/>
      <sz val="12"/>
      <name val="Times New Roman"/>
      <family val="1"/>
      <charset val="204"/>
    </font>
    <font>
      <b/>
      <sz val="9"/>
      <name val="Arial Cyr"/>
      <charset val="204"/>
    </font>
    <font>
      <b/>
      <i/>
      <sz val="9"/>
      <name val="Arial Cyr"/>
      <charset val="204"/>
    </font>
    <font>
      <i/>
      <sz val="8"/>
      <name val="Arial Cyr"/>
      <charset val="204"/>
    </font>
    <font>
      <b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5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340">
    <xf numFmtId="0" fontId="0" fillId="0" borderId="0" xfId="0"/>
    <xf numFmtId="0" fontId="4" fillId="0" borderId="0" xfId="0" applyFont="1"/>
    <xf numFmtId="49" fontId="4" fillId="0" borderId="0" xfId="0" applyNumberFormat="1" applyFont="1"/>
    <xf numFmtId="0" fontId="4" fillId="0" borderId="0" xfId="0" applyFont="1" applyAlignment="1"/>
    <xf numFmtId="0" fontId="0" fillId="0" borderId="0" xfId="0" applyAlignment="1"/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5" fontId="4" fillId="0" borderId="0" xfId="0" applyNumberFormat="1" applyFont="1" applyAlignment="1"/>
    <xf numFmtId="165" fontId="4" fillId="0" borderId="0" xfId="0" applyNumberFormat="1" applyFont="1"/>
    <xf numFmtId="0" fontId="8" fillId="0" borderId="0" xfId="0" applyFont="1"/>
    <xf numFmtId="43" fontId="3" fillId="0" borderId="0" xfId="1" applyFont="1" applyAlignment="1">
      <alignment vertical="top"/>
    </xf>
    <xf numFmtId="43" fontId="3" fillId="0" borderId="0" xfId="1" applyFont="1" applyAlignment="1"/>
    <xf numFmtId="43" fontId="15" fillId="0" borderId="0" xfId="1" applyFont="1" applyAlignment="1">
      <alignment horizontal="center"/>
    </xf>
    <xf numFmtId="3" fontId="7" fillId="0" borderId="1" xfId="0" applyNumberFormat="1" applyFont="1" applyBorder="1" applyAlignment="1">
      <alignment horizontal="center" vertical="center" wrapText="1"/>
    </xf>
    <xf numFmtId="167" fontId="1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6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66" fontId="11" fillId="0" borderId="0" xfId="0" applyNumberFormat="1" applyFont="1" applyAlignment="1">
      <alignment horizontal="center" vertical="center"/>
    </xf>
    <xf numFmtId="168" fontId="7" fillId="0" borderId="0" xfId="0" applyNumberFormat="1" applyFont="1" applyAlignment="1">
      <alignment horizontal="center" vertical="center"/>
    </xf>
    <xf numFmtId="167" fontId="1" fillId="2" borderId="2" xfId="0" applyNumberFormat="1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9" fillId="4" borderId="1" xfId="0" applyFont="1" applyFill="1" applyBorder="1" applyAlignment="1" applyProtection="1">
      <alignment horizontal="left" vertical="center"/>
      <protection locked="0"/>
    </xf>
    <xf numFmtId="49" fontId="14" fillId="0" borderId="8" xfId="0" applyNumberFormat="1" applyFont="1" applyFill="1" applyBorder="1" applyAlignment="1" applyProtection="1">
      <alignment vertical="center"/>
      <protection locked="0"/>
    </xf>
    <xf numFmtId="49" fontId="14" fillId="0" borderId="6" xfId="0" applyNumberFormat="1" applyFont="1" applyBorder="1" applyAlignment="1" applyProtection="1">
      <alignment horizontal="center" vertical="center"/>
      <protection locked="0"/>
    </xf>
    <xf numFmtId="49" fontId="14" fillId="0" borderId="7" xfId="0" applyNumberFormat="1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left" vertical="center"/>
      <protection locked="0"/>
    </xf>
    <xf numFmtId="2" fontId="4" fillId="3" borderId="2" xfId="0" applyNumberFormat="1" applyFont="1" applyFill="1" applyBorder="1" applyAlignment="1" applyProtection="1">
      <alignment horizontal="center" vertical="center"/>
      <protection locked="0"/>
    </xf>
    <xf numFmtId="2" fontId="19" fillId="0" borderId="1" xfId="0" applyNumberFormat="1" applyFont="1" applyBorder="1" applyAlignment="1" applyProtection="1">
      <alignment horizontal="left" vertical="center"/>
      <protection locked="0"/>
    </xf>
    <xf numFmtId="20" fontId="8" fillId="3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49" fontId="7" fillId="2" borderId="2" xfId="0" applyNumberFormat="1" applyFont="1" applyFill="1" applyBorder="1" applyAlignment="1">
      <alignment horizontal="center" textRotation="90" readingOrder="1"/>
    </xf>
    <xf numFmtId="49" fontId="7" fillId="0" borderId="0" xfId="0" applyNumberFormat="1" applyFont="1" applyAlignment="1">
      <alignment horizontal="center" vertical="center" textRotation="90"/>
    </xf>
    <xf numFmtId="2" fontId="4" fillId="3" borderId="2" xfId="0" quotePrefix="1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textRotation="90" wrapText="1"/>
    </xf>
    <xf numFmtId="0" fontId="7" fillId="0" borderId="1" xfId="0" applyFont="1" applyBorder="1" applyAlignment="1">
      <alignment horizontal="center" textRotation="90"/>
    </xf>
    <xf numFmtId="0" fontId="7" fillId="0" borderId="2" xfId="0" applyFont="1" applyBorder="1" applyAlignment="1">
      <alignment horizontal="center" textRotation="90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textRotation="90"/>
    </xf>
    <xf numFmtId="165" fontId="7" fillId="0" borderId="2" xfId="0" applyNumberFormat="1" applyFont="1" applyBorder="1" applyAlignment="1">
      <alignment horizontal="center" textRotation="90"/>
    </xf>
    <xf numFmtId="14" fontId="7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textRotation="90"/>
    </xf>
    <xf numFmtId="0" fontId="20" fillId="3" borderId="2" xfId="0" applyFont="1" applyFill="1" applyBorder="1" applyProtection="1">
      <protection locked="0"/>
    </xf>
    <xf numFmtId="0" fontId="21" fillId="3" borderId="2" xfId="0" applyFont="1" applyFill="1" applyBorder="1" applyProtection="1">
      <protection locked="0"/>
    </xf>
    <xf numFmtId="0" fontId="4" fillId="0" borderId="2" xfId="0" applyFont="1" applyBorder="1" applyAlignment="1">
      <alignment vertical="center" wrapText="1"/>
    </xf>
    <xf numFmtId="43" fontId="23" fillId="5" borderId="1" xfId="0" applyNumberFormat="1" applyFont="1" applyFill="1" applyBorder="1" applyAlignment="1">
      <alignment horizontal="center" vertical="center" textRotation="90" wrapText="1"/>
    </xf>
    <xf numFmtId="168" fontId="4" fillId="0" borderId="0" xfId="0" applyNumberFormat="1" applyFont="1"/>
    <xf numFmtId="168" fontId="4" fillId="0" borderId="0" xfId="0" applyNumberFormat="1" applyFont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textRotation="90"/>
    </xf>
    <xf numFmtId="14" fontId="7" fillId="0" borderId="2" xfId="0" applyNumberFormat="1" applyFont="1" applyBorder="1" applyAlignment="1">
      <alignment horizontal="center" vertical="center" wrapText="1"/>
    </xf>
    <xf numFmtId="2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1" fillId="0" borderId="0" xfId="0" applyFont="1" applyAlignment="1" applyProtection="1">
      <alignment horizontal="left" vertical="center"/>
    </xf>
    <xf numFmtId="49" fontId="4" fillId="0" borderId="0" xfId="0" applyNumberFormat="1" applyFont="1" applyAlignment="1" applyProtection="1">
      <alignment horizontal="center" vertical="center"/>
    </xf>
    <xf numFmtId="49" fontId="4" fillId="0" borderId="0" xfId="0" applyNumberFormat="1" applyFont="1" applyProtection="1"/>
    <xf numFmtId="0" fontId="4" fillId="0" borderId="0" xfId="0" applyFont="1" applyProtection="1"/>
    <xf numFmtId="0" fontId="4" fillId="0" borderId="0" xfId="0" applyFont="1" applyAlignment="1" applyProtection="1"/>
    <xf numFmtId="0" fontId="4" fillId="0" borderId="0" xfId="0" applyFont="1" applyAlignment="1" applyProtection="1">
      <alignment vertical="center"/>
    </xf>
    <xf numFmtId="49" fontId="6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166" fontId="11" fillId="0" borderId="0" xfId="0" applyNumberFormat="1" applyFont="1" applyAlignment="1" applyProtection="1">
      <alignment horizontal="center" vertical="center"/>
    </xf>
    <xf numFmtId="168" fontId="7" fillId="0" borderId="0" xfId="0" applyNumberFormat="1" applyFont="1" applyAlignment="1" applyProtection="1">
      <alignment horizontal="center" vertical="center"/>
    </xf>
    <xf numFmtId="43" fontId="15" fillId="0" borderId="0" xfId="1" applyFont="1" applyAlignment="1" applyProtection="1">
      <alignment horizontal="center"/>
    </xf>
    <xf numFmtId="43" fontId="3" fillId="0" borderId="0" xfId="1" applyFont="1" applyAlignment="1" applyProtection="1"/>
    <xf numFmtId="43" fontId="3" fillId="0" borderId="0" xfId="1" applyFont="1" applyAlignment="1" applyProtection="1">
      <alignment vertical="top"/>
    </xf>
    <xf numFmtId="165" fontId="4" fillId="0" borderId="0" xfId="0" applyNumberFormat="1" applyFont="1" applyProtection="1"/>
    <xf numFmtId="43" fontId="23" fillId="5" borderId="1" xfId="0" applyNumberFormat="1" applyFont="1" applyFill="1" applyBorder="1" applyAlignment="1" applyProtection="1">
      <alignment horizontal="center" vertical="center" textRotation="90" wrapText="1"/>
    </xf>
    <xf numFmtId="167" fontId="1" fillId="2" borderId="2" xfId="0" applyNumberFormat="1" applyFont="1" applyFill="1" applyBorder="1" applyAlignment="1" applyProtection="1">
      <alignment horizontal="center" vertical="center"/>
    </xf>
    <xf numFmtId="20" fontId="8" fillId="3" borderId="2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14" fontId="9" fillId="0" borderId="2" xfId="0" applyNumberFormat="1" applyFont="1" applyFill="1" applyBorder="1" applyAlignment="1" applyProtection="1">
      <alignment horizontal="center" wrapText="1"/>
    </xf>
    <xf numFmtId="0" fontId="11" fillId="0" borderId="0" xfId="0" applyFont="1" applyAlignment="1" applyProtection="1">
      <alignment vertical="top" wrapText="1"/>
    </xf>
    <xf numFmtId="43" fontId="4" fillId="0" borderId="0" xfId="1" applyFont="1" applyAlignment="1" applyProtection="1"/>
    <xf numFmtId="14" fontId="9" fillId="0" borderId="0" xfId="0" applyNumberFormat="1" applyFont="1" applyFill="1" applyBorder="1" applyAlignment="1">
      <alignment horizontal="center" wrapText="1"/>
    </xf>
    <xf numFmtId="0" fontId="1" fillId="0" borderId="6" xfId="0" applyFont="1" applyBorder="1" applyAlignment="1" applyProtection="1"/>
    <xf numFmtId="0" fontId="1" fillId="0" borderId="7" xfId="0" applyFont="1" applyBorder="1" applyAlignment="1" applyProtection="1"/>
    <xf numFmtId="0" fontId="1" fillId="0" borderId="0" xfId="0" applyFont="1" applyBorder="1" applyAlignment="1">
      <alignment horizontal="center" textRotation="90" wrapText="1"/>
    </xf>
    <xf numFmtId="169" fontId="4" fillId="0" borderId="0" xfId="0" applyNumberFormat="1" applyFont="1"/>
    <xf numFmtId="0" fontId="1" fillId="0" borderId="8" xfId="0" applyFont="1" applyBorder="1" applyAlignment="1" applyProtection="1">
      <alignment wrapText="1"/>
    </xf>
    <xf numFmtId="0" fontId="1" fillId="0" borderId="6" xfId="0" applyFont="1" applyBorder="1" applyAlignment="1" applyProtection="1">
      <alignment wrapText="1"/>
    </xf>
    <xf numFmtId="0" fontId="1" fillId="0" borderId="7" xfId="0" applyFont="1" applyBorder="1" applyAlignment="1" applyProtection="1">
      <alignment wrapText="1"/>
    </xf>
    <xf numFmtId="167" fontId="1" fillId="0" borderId="2" xfId="0" applyNumberFormat="1" applyFont="1" applyFill="1" applyBorder="1" applyAlignment="1" applyProtection="1">
      <alignment vertical="center"/>
    </xf>
    <xf numFmtId="167" fontId="1" fillId="0" borderId="2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left" vertical="center"/>
    </xf>
    <xf numFmtId="0" fontId="19" fillId="0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165" fontId="1" fillId="0" borderId="4" xfId="0" applyNumberFormat="1" applyFont="1" applyBorder="1" applyAlignment="1" applyProtection="1">
      <alignment horizontal="center" textRotation="90"/>
    </xf>
    <xf numFmtId="3" fontId="1" fillId="0" borderId="2" xfId="0" applyNumberFormat="1" applyFont="1" applyBorder="1" applyAlignment="1" applyProtection="1">
      <alignment horizontal="center" vertical="center" wrapText="1"/>
    </xf>
    <xf numFmtId="0" fontId="19" fillId="5" borderId="8" xfId="0" applyFont="1" applyFill="1" applyBorder="1" applyAlignment="1" applyProtection="1">
      <alignment vertical="center"/>
    </xf>
    <xf numFmtId="0" fontId="19" fillId="5" borderId="6" xfId="0" applyFont="1" applyFill="1" applyBorder="1" applyAlignment="1" applyProtection="1">
      <alignment vertical="center"/>
    </xf>
    <xf numFmtId="0" fontId="19" fillId="5" borderId="7" xfId="0" applyFont="1" applyFill="1" applyBorder="1" applyAlignment="1" applyProtection="1">
      <alignment vertical="center"/>
    </xf>
    <xf numFmtId="0" fontId="20" fillId="3" borderId="2" xfId="0" applyFont="1" applyFill="1" applyBorder="1" applyProtection="1">
      <protection locked="0" hidden="1"/>
    </xf>
    <xf numFmtId="0" fontId="21" fillId="3" borderId="2" xfId="0" applyFont="1" applyFill="1" applyBorder="1" applyProtection="1">
      <protection locked="0" hidden="1"/>
    </xf>
    <xf numFmtId="49" fontId="14" fillId="0" borderId="6" xfId="0" applyNumberFormat="1" applyFont="1" applyFill="1" applyBorder="1" applyAlignment="1" applyProtection="1">
      <alignment vertical="center"/>
      <protection locked="0"/>
    </xf>
    <xf numFmtId="14" fontId="9" fillId="0" borderId="13" xfId="0" applyNumberFormat="1" applyFont="1" applyFill="1" applyBorder="1" applyAlignment="1" applyProtection="1">
      <alignment wrapText="1"/>
    </xf>
    <xf numFmtId="166" fontId="8" fillId="3" borderId="2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textRotation="90" wrapText="1"/>
    </xf>
    <xf numFmtId="0" fontId="1" fillId="0" borderId="5" xfId="0" applyFont="1" applyBorder="1" applyAlignment="1" applyProtection="1">
      <alignment horizontal="center" textRotation="9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top" wrapText="1"/>
    </xf>
    <xf numFmtId="0" fontId="1" fillId="0" borderId="13" xfId="0" applyFont="1" applyBorder="1" applyAlignment="1" applyProtection="1">
      <alignment horizontal="center" textRotation="90" wrapText="1"/>
    </xf>
    <xf numFmtId="0" fontId="1" fillId="0" borderId="4" xfId="0" applyFont="1" applyBorder="1" applyAlignment="1" applyProtection="1">
      <alignment horizontal="center" textRotation="90"/>
    </xf>
    <xf numFmtId="0" fontId="2" fillId="0" borderId="0" xfId="0" applyFont="1" applyAlignment="1" applyProtection="1">
      <alignment horizontal="center" vertical="center"/>
    </xf>
    <xf numFmtId="167" fontId="1" fillId="0" borderId="2" xfId="0" applyNumberFormat="1" applyFont="1" applyFill="1" applyBorder="1" applyAlignment="1">
      <alignment vertical="center"/>
    </xf>
    <xf numFmtId="167" fontId="1" fillId="0" borderId="2" xfId="0" applyNumberFormat="1" applyFont="1" applyFill="1" applyBorder="1" applyAlignment="1">
      <alignment horizontal="center" vertical="center"/>
    </xf>
    <xf numFmtId="20" fontId="8" fillId="6" borderId="2" xfId="0" applyNumberFormat="1" applyFont="1" applyFill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168" fontId="14" fillId="3" borderId="5" xfId="1" applyNumberFormat="1" applyFont="1" applyFill="1" applyBorder="1" applyAlignment="1" applyProtection="1">
      <alignment horizontal="center" vertical="center" textRotation="90"/>
      <protection locked="0"/>
    </xf>
    <xf numFmtId="168" fontId="14" fillId="3" borderId="4" xfId="1" applyNumberFormat="1" applyFont="1" applyFill="1" applyBorder="1" applyAlignment="1" applyProtection="1">
      <alignment horizontal="center" vertical="center" textRotation="90"/>
      <protection locked="0"/>
    </xf>
    <xf numFmtId="168" fontId="14" fillId="3" borderId="1" xfId="1" applyNumberFormat="1" applyFont="1" applyFill="1" applyBorder="1" applyAlignment="1" applyProtection="1">
      <alignment horizontal="center" vertical="center" textRotation="90"/>
      <protection locked="0"/>
    </xf>
    <xf numFmtId="168" fontId="14" fillId="0" borderId="5" xfId="1" applyNumberFormat="1" applyFont="1" applyFill="1" applyBorder="1" applyAlignment="1" applyProtection="1">
      <alignment horizontal="center" vertical="center" textRotation="90"/>
    </xf>
    <xf numFmtId="168" fontId="14" fillId="0" borderId="4" xfId="1" applyNumberFormat="1" applyFont="1" applyFill="1" applyBorder="1" applyAlignment="1" applyProtection="1">
      <alignment horizontal="center" vertical="center" textRotation="90"/>
    </xf>
    <xf numFmtId="168" fontId="14" fillId="0" borderId="1" xfId="1" applyNumberFormat="1" applyFont="1" applyFill="1" applyBorder="1" applyAlignment="1" applyProtection="1">
      <alignment horizontal="center" vertical="center" textRotation="90"/>
    </xf>
    <xf numFmtId="0" fontId="17" fillId="0" borderId="5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/>
    </xf>
    <xf numFmtId="1" fontId="4" fillId="0" borderId="2" xfId="0" applyNumberFormat="1" applyFont="1" applyBorder="1" applyAlignment="1" applyProtection="1">
      <alignment horizontal="center" vertical="center"/>
    </xf>
    <xf numFmtId="168" fontId="8" fillId="0" borderId="2" xfId="1" applyNumberFormat="1" applyFont="1" applyBorder="1" applyAlignment="1" applyProtection="1">
      <alignment horizontal="center" vertical="center" textRotation="90"/>
    </xf>
    <xf numFmtId="0" fontId="1" fillId="0" borderId="5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3" fontId="14" fillId="0" borderId="5" xfId="0" applyNumberFormat="1" applyFont="1" applyBorder="1" applyAlignment="1" applyProtection="1">
      <alignment horizontal="center"/>
    </xf>
    <xf numFmtId="3" fontId="14" fillId="0" borderId="4" xfId="0" applyNumberFormat="1" applyFont="1" applyBorder="1" applyAlignment="1" applyProtection="1">
      <alignment horizontal="center"/>
    </xf>
    <xf numFmtId="168" fontId="4" fillId="0" borderId="5" xfId="0" applyNumberFormat="1" applyFont="1" applyBorder="1" applyAlignment="1" applyProtection="1">
      <alignment horizontal="center" vertical="center" textRotation="90"/>
    </xf>
    <xf numFmtId="168" fontId="4" fillId="0" borderId="4" xfId="0" applyNumberFormat="1" applyFont="1" applyBorder="1" applyAlignment="1" applyProtection="1">
      <alignment horizontal="center" vertical="center" textRotation="90"/>
    </xf>
    <xf numFmtId="168" fontId="4" fillId="0" borderId="1" xfId="0" applyNumberFormat="1" applyFont="1" applyBorder="1" applyAlignment="1" applyProtection="1">
      <alignment horizontal="center" vertical="center" textRotation="90"/>
    </xf>
    <xf numFmtId="168" fontId="16" fillId="0" borderId="2" xfId="0" applyNumberFormat="1" applyFont="1" applyBorder="1" applyAlignment="1" applyProtection="1">
      <alignment horizontal="center" textRotation="90"/>
    </xf>
    <xf numFmtId="168" fontId="14" fillId="3" borderId="5" xfId="0" applyNumberFormat="1" applyFont="1" applyFill="1" applyBorder="1" applyAlignment="1" applyProtection="1">
      <alignment horizontal="center" vertical="center" textRotation="90"/>
      <protection locked="0"/>
    </xf>
    <xf numFmtId="168" fontId="14" fillId="3" borderId="4" xfId="0" applyNumberFormat="1" applyFont="1" applyFill="1" applyBorder="1" applyAlignment="1" applyProtection="1">
      <alignment horizontal="center" vertical="center" textRotation="90"/>
      <protection locked="0"/>
    </xf>
    <xf numFmtId="168" fontId="14" fillId="3" borderId="1" xfId="0" applyNumberFormat="1" applyFont="1" applyFill="1" applyBorder="1" applyAlignment="1" applyProtection="1">
      <alignment horizontal="center" vertical="center" textRotation="90"/>
      <protection locked="0"/>
    </xf>
    <xf numFmtId="168" fontId="14" fillId="3" borderId="5" xfId="0" applyNumberFormat="1" applyFont="1" applyFill="1" applyBorder="1" applyAlignment="1" applyProtection="1">
      <alignment horizontal="center" vertical="top" textRotation="90"/>
      <protection locked="0"/>
    </xf>
    <xf numFmtId="168" fontId="14" fillId="3" borderId="4" xfId="0" applyNumberFormat="1" applyFont="1" applyFill="1" applyBorder="1" applyAlignment="1" applyProtection="1">
      <alignment horizontal="center" vertical="top" textRotation="90"/>
      <protection locked="0"/>
    </xf>
    <xf numFmtId="168" fontId="14" fillId="3" borderId="1" xfId="0" applyNumberFormat="1" applyFont="1" applyFill="1" applyBorder="1" applyAlignment="1" applyProtection="1">
      <alignment horizontal="center" vertical="top" textRotation="90"/>
      <protection locked="0"/>
    </xf>
    <xf numFmtId="0" fontId="9" fillId="3" borderId="5" xfId="0" applyFont="1" applyFill="1" applyBorder="1" applyAlignment="1" applyProtection="1">
      <alignment horizontal="center" vertical="center" textRotation="90"/>
      <protection locked="0"/>
    </xf>
    <xf numFmtId="0" fontId="9" fillId="3" borderId="4" xfId="0" applyFont="1" applyFill="1" applyBorder="1" applyAlignment="1" applyProtection="1">
      <alignment horizontal="center" vertical="center" textRotation="90"/>
      <protection locked="0"/>
    </xf>
    <xf numFmtId="0" fontId="9" fillId="3" borderId="1" xfId="0" applyFont="1" applyFill="1" applyBorder="1" applyAlignment="1" applyProtection="1">
      <alignment horizontal="center" vertical="center" textRotation="90"/>
      <protection locked="0"/>
    </xf>
    <xf numFmtId="0" fontId="22" fillId="3" borderId="5" xfId="0" applyFont="1" applyFill="1" applyBorder="1" applyAlignment="1" applyProtection="1">
      <alignment horizontal="center" vertical="center" textRotation="90" wrapText="1"/>
      <protection locked="0"/>
    </xf>
    <xf numFmtId="0" fontId="22" fillId="3" borderId="4" xfId="0" applyFont="1" applyFill="1" applyBorder="1" applyAlignment="1" applyProtection="1">
      <alignment horizontal="center" vertical="center" textRotation="90" wrapText="1"/>
      <protection locked="0"/>
    </xf>
    <xf numFmtId="0" fontId="22" fillId="3" borderId="1" xfId="0" applyFont="1" applyFill="1" applyBorder="1" applyAlignment="1" applyProtection="1">
      <alignment horizontal="center" vertical="center" textRotation="90" wrapText="1"/>
      <protection locked="0"/>
    </xf>
    <xf numFmtId="49" fontId="9" fillId="3" borderId="5" xfId="0" applyNumberFormat="1" applyFont="1" applyFill="1" applyBorder="1" applyAlignment="1" applyProtection="1">
      <alignment horizontal="center" vertical="center" textRotation="90"/>
      <protection locked="0"/>
    </xf>
    <xf numFmtId="49" fontId="9" fillId="3" borderId="4" xfId="0" applyNumberFormat="1" applyFont="1" applyFill="1" applyBorder="1" applyAlignment="1" applyProtection="1">
      <alignment horizontal="center" vertical="center" textRotation="90"/>
      <protection locked="0"/>
    </xf>
    <xf numFmtId="49" fontId="9" fillId="3" borderId="1" xfId="0" applyNumberFormat="1" applyFont="1" applyFill="1" applyBorder="1" applyAlignment="1" applyProtection="1">
      <alignment horizontal="center" vertical="center" textRotation="90"/>
      <protection locked="0"/>
    </xf>
    <xf numFmtId="0" fontId="9" fillId="3" borderId="5" xfId="0" applyFont="1" applyFill="1" applyBorder="1" applyAlignment="1" applyProtection="1">
      <alignment horizontal="center" vertical="center" textRotation="90"/>
    </xf>
    <xf numFmtId="0" fontId="9" fillId="3" borderId="4" xfId="0" applyFont="1" applyFill="1" applyBorder="1" applyAlignment="1" applyProtection="1">
      <alignment horizontal="center" vertical="center" textRotation="90"/>
    </xf>
    <xf numFmtId="0" fontId="9" fillId="3" borderId="1" xfId="0" applyFont="1" applyFill="1" applyBorder="1" applyAlignment="1" applyProtection="1">
      <alignment horizontal="center" vertical="center" textRotation="90"/>
    </xf>
    <xf numFmtId="0" fontId="22" fillId="3" borderId="5" xfId="0" applyFont="1" applyFill="1" applyBorder="1" applyAlignment="1" applyProtection="1">
      <alignment horizontal="center" vertical="center" textRotation="90" wrapText="1"/>
      <protection locked="0" hidden="1"/>
    </xf>
    <xf numFmtId="0" fontId="22" fillId="3" borderId="4" xfId="0" applyFont="1" applyFill="1" applyBorder="1" applyAlignment="1" applyProtection="1">
      <alignment horizontal="center" vertical="center" textRotation="90" wrapText="1"/>
      <protection locked="0" hidden="1"/>
    </xf>
    <xf numFmtId="0" fontId="22" fillId="3" borderId="1" xfId="0" applyFont="1" applyFill="1" applyBorder="1" applyAlignment="1" applyProtection="1">
      <alignment horizontal="center" vertical="center" textRotation="90" wrapText="1"/>
      <protection locked="0" hidden="1"/>
    </xf>
    <xf numFmtId="49" fontId="9" fillId="3" borderId="5" xfId="0" applyNumberFormat="1" applyFont="1" applyFill="1" applyBorder="1" applyAlignment="1" applyProtection="1">
      <alignment horizontal="center" vertical="center" textRotation="90"/>
      <protection locked="0" hidden="1"/>
    </xf>
    <xf numFmtId="49" fontId="9" fillId="3" borderId="4" xfId="0" applyNumberFormat="1" applyFont="1" applyFill="1" applyBorder="1" applyAlignment="1" applyProtection="1">
      <alignment horizontal="center" vertical="center" textRotation="90"/>
      <protection locked="0" hidden="1"/>
    </xf>
    <xf numFmtId="49" fontId="9" fillId="3" borderId="1" xfId="0" applyNumberFormat="1" applyFont="1" applyFill="1" applyBorder="1" applyAlignment="1" applyProtection="1">
      <alignment horizontal="center" vertical="center" textRotation="90"/>
      <protection locked="0" hidden="1"/>
    </xf>
    <xf numFmtId="0" fontId="18" fillId="3" borderId="5" xfId="0" applyFont="1" applyFill="1" applyBorder="1" applyAlignment="1" applyProtection="1">
      <alignment horizontal="center" vertical="center" textRotation="90"/>
      <protection locked="0"/>
    </xf>
    <xf numFmtId="0" fontId="18" fillId="3" borderId="4" xfId="0" applyFont="1" applyFill="1" applyBorder="1" applyAlignment="1" applyProtection="1">
      <alignment horizontal="center" vertical="center" textRotation="90"/>
      <protection locked="0"/>
    </xf>
    <xf numFmtId="0" fontId="18" fillId="3" borderId="1" xfId="0" applyFont="1" applyFill="1" applyBorder="1" applyAlignment="1" applyProtection="1">
      <alignment horizontal="center" vertical="center" textRotation="90"/>
      <protection locked="0"/>
    </xf>
    <xf numFmtId="0" fontId="9" fillId="3" borderId="5" xfId="0" applyFont="1" applyFill="1" applyBorder="1" applyAlignment="1" applyProtection="1">
      <alignment horizontal="center" vertical="center" textRotation="90"/>
      <protection locked="0" hidden="1"/>
    </xf>
    <xf numFmtId="0" fontId="9" fillId="3" borderId="4" xfId="0" applyFont="1" applyFill="1" applyBorder="1" applyAlignment="1" applyProtection="1">
      <alignment horizontal="center" vertical="center" textRotation="90"/>
      <protection locked="0" hidden="1"/>
    </xf>
    <xf numFmtId="0" fontId="9" fillId="3" borderId="1" xfId="0" applyFont="1" applyFill="1" applyBorder="1" applyAlignment="1" applyProtection="1">
      <alignment horizontal="center" vertical="center" textRotation="90"/>
      <protection locked="0" hidden="1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 vertical="justify"/>
    </xf>
    <xf numFmtId="168" fontId="14" fillId="0" borderId="5" xfId="1" applyNumberFormat="1" applyFont="1" applyFill="1" applyBorder="1" applyAlignment="1" applyProtection="1">
      <alignment horizontal="center" vertical="center" textRotation="90"/>
    </xf>
    <xf numFmtId="168" fontId="14" fillId="0" borderId="4" xfId="1" applyNumberFormat="1" applyFont="1" applyFill="1" applyBorder="1" applyAlignment="1" applyProtection="1">
      <alignment horizontal="center" vertical="center" textRotation="90"/>
    </xf>
    <xf numFmtId="168" fontId="14" fillId="0" borderId="1" xfId="1" applyNumberFormat="1" applyFont="1" applyFill="1" applyBorder="1" applyAlignment="1" applyProtection="1">
      <alignment horizontal="center" vertical="center" textRotation="90"/>
    </xf>
    <xf numFmtId="168" fontId="16" fillId="0" borderId="2" xfId="0" applyNumberFormat="1" applyFont="1" applyBorder="1" applyAlignment="1" applyProtection="1">
      <alignment horizontal="center" textRotation="90"/>
    </xf>
    <xf numFmtId="0" fontId="17" fillId="0" borderId="5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/>
    </xf>
    <xf numFmtId="1" fontId="4" fillId="0" borderId="2" xfId="0" applyNumberFormat="1" applyFont="1" applyBorder="1" applyAlignment="1" applyProtection="1">
      <alignment horizontal="center" vertical="center"/>
    </xf>
    <xf numFmtId="168" fontId="8" fillId="0" borderId="2" xfId="1" applyNumberFormat="1" applyFont="1" applyBorder="1" applyAlignment="1" applyProtection="1">
      <alignment horizontal="center" vertical="center" textRotation="90"/>
    </xf>
    <xf numFmtId="0" fontId="1" fillId="0" borderId="5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168" fontId="14" fillId="3" borderId="5" xfId="1" applyNumberFormat="1" applyFont="1" applyFill="1" applyBorder="1" applyAlignment="1" applyProtection="1">
      <alignment horizontal="center" vertical="center" textRotation="90"/>
      <protection locked="0"/>
    </xf>
    <xf numFmtId="168" fontId="14" fillId="3" borderId="4" xfId="1" applyNumberFormat="1" applyFont="1" applyFill="1" applyBorder="1" applyAlignment="1" applyProtection="1">
      <alignment horizontal="center" vertical="center" textRotation="90"/>
      <protection locked="0"/>
    </xf>
    <xf numFmtId="168" fontId="14" fillId="3" borderId="1" xfId="1" applyNumberFormat="1" applyFont="1" applyFill="1" applyBorder="1" applyAlignment="1" applyProtection="1">
      <alignment horizontal="center" vertical="center" textRotation="90"/>
      <protection locked="0"/>
    </xf>
    <xf numFmtId="3" fontId="14" fillId="0" borderId="5" xfId="0" applyNumberFormat="1" applyFont="1" applyBorder="1" applyAlignment="1" applyProtection="1">
      <alignment horizontal="center"/>
    </xf>
    <xf numFmtId="3" fontId="14" fillId="0" borderId="4" xfId="0" applyNumberFormat="1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168" fontId="4" fillId="0" borderId="5" xfId="0" applyNumberFormat="1" applyFont="1" applyBorder="1" applyAlignment="1" applyProtection="1">
      <alignment horizontal="center" vertical="center" textRotation="90"/>
    </xf>
    <xf numFmtId="168" fontId="4" fillId="0" borderId="4" xfId="0" applyNumberFormat="1" applyFont="1" applyBorder="1" applyAlignment="1" applyProtection="1">
      <alignment horizontal="center" vertical="center" textRotation="90"/>
    </xf>
    <xf numFmtId="168" fontId="4" fillId="0" borderId="1" xfId="0" applyNumberFormat="1" applyFont="1" applyBorder="1" applyAlignment="1" applyProtection="1">
      <alignment horizontal="center" vertical="center" textRotation="90"/>
    </xf>
    <xf numFmtId="168" fontId="14" fillId="3" borderId="5" xfId="0" applyNumberFormat="1" applyFont="1" applyFill="1" applyBorder="1" applyAlignment="1" applyProtection="1">
      <alignment horizontal="center" vertical="center" textRotation="90"/>
      <protection locked="0"/>
    </xf>
    <xf numFmtId="168" fontId="14" fillId="3" borderId="4" xfId="0" applyNumberFormat="1" applyFont="1" applyFill="1" applyBorder="1" applyAlignment="1" applyProtection="1">
      <alignment horizontal="center" vertical="center" textRotation="90"/>
      <protection locked="0"/>
    </xf>
    <xf numFmtId="168" fontId="14" fillId="3" borderId="1" xfId="0" applyNumberFormat="1" applyFont="1" applyFill="1" applyBorder="1" applyAlignment="1" applyProtection="1">
      <alignment horizontal="center" vertical="center" textRotation="90"/>
      <protection locked="0"/>
    </xf>
    <xf numFmtId="168" fontId="14" fillId="3" borderId="5" xfId="0" applyNumberFormat="1" applyFont="1" applyFill="1" applyBorder="1" applyAlignment="1" applyProtection="1">
      <alignment horizontal="center" vertical="top" textRotation="90"/>
      <protection locked="0"/>
    </xf>
    <xf numFmtId="168" fontId="14" fillId="3" borderId="4" xfId="0" applyNumberFormat="1" applyFont="1" applyFill="1" applyBorder="1" applyAlignment="1" applyProtection="1">
      <alignment horizontal="center" vertical="top" textRotation="90"/>
      <protection locked="0"/>
    </xf>
    <xf numFmtId="168" fontId="14" fillId="3" borderId="1" xfId="0" applyNumberFormat="1" applyFont="1" applyFill="1" applyBorder="1" applyAlignment="1" applyProtection="1">
      <alignment horizontal="center" vertical="top" textRotation="90"/>
      <protection locked="0"/>
    </xf>
    <xf numFmtId="0" fontId="7" fillId="0" borderId="5" xfId="0" applyFont="1" applyBorder="1" applyAlignment="1">
      <alignment horizontal="center" textRotation="90" wrapText="1"/>
    </xf>
    <xf numFmtId="0" fontId="7" fillId="0" borderId="4" xfId="0" applyFont="1" applyBorder="1" applyAlignment="1">
      <alignment horizontal="center" textRotation="90" wrapText="1"/>
    </xf>
    <xf numFmtId="0" fontId="7" fillId="0" borderId="1" xfId="0" applyFont="1" applyBorder="1" applyAlignment="1">
      <alignment horizontal="center" textRotation="90" wrapText="1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 textRotation="90"/>
    </xf>
    <xf numFmtId="0" fontId="7" fillId="0" borderId="1" xfId="0" applyFont="1" applyBorder="1" applyAlignment="1">
      <alignment horizontal="center" textRotation="90"/>
    </xf>
    <xf numFmtId="0" fontId="4" fillId="6" borderId="15" xfId="0" applyFont="1" applyFill="1" applyBorder="1" applyAlignment="1">
      <alignment horizontal="center"/>
    </xf>
    <xf numFmtId="0" fontId="4" fillId="6" borderId="16" xfId="0" applyFont="1" applyFill="1" applyBorder="1" applyAlignment="1">
      <alignment horizontal="center"/>
    </xf>
    <xf numFmtId="43" fontId="15" fillId="3" borderId="9" xfId="1" applyFont="1" applyFill="1" applyBorder="1" applyAlignment="1" applyProtection="1">
      <alignment horizontal="center"/>
      <protection locked="0"/>
    </xf>
    <xf numFmtId="164" fontId="15" fillId="3" borderId="9" xfId="1" applyNumberFormat="1" applyFont="1" applyFill="1" applyBorder="1" applyAlignment="1" applyProtection="1">
      <alignment horizontal="center"/>
      <protection locked="0"/>
    </xf>
    <xf numFmtId="0" fontId="7" fillId="0" borderId="13" xfId="0" applyFont="1" applyBorder="1" applyAlignment="1">
      <alignment horizontal="center" textRotation="90" wrapText="1"/>
    </xf>
    <xf numFmtId="0" fontId="10" fillId="0" borderId="1" xfId="0" applyFont="1" applyBorder="1" applyAlignment="1">
      <alignment horizontal="center" textRotation="90" wrapText="1"/>
    </xf>
    <xf numFmtId="0" fontId="11" fillId="0" borderId="5" xfId="0" applyFont="1" applyBorder="1" applyAlignment="1">
      <alignment horizontal="left" textRotation="90" wrapText="1"/>
    </xf>
    <xf numFmtId="0" fontId="11" fillId="0" borderId="4" xfId="0" applyFont="1" applyBorder="1" applyAlignment="1">
      <alignment horizontal="left" textRotation="90" wrapText="1"/>
    </xf>
    <xf numFmtId="0" fontId="11" fillId="0" borderId="1" xfId="0" applyFont="1" applyBorder="1" applyAlignment="1">
      <alignment horizontal="left" textRotation="90" wrapText="1"/>
    </xf>
    <xf numFmtId="0" fontId="7" fillId="0" borderId="2" xfId="0" applyFont="1" applyBorder="1" applyAlignment="1">
      <alignment horizontal="center" textRotation="90"/>
    </xf>
    <xf numFmtId="0" fontId="1" fillId="0" borderId="1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49" fontId="2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horizontal="center" textRotation="90"/>
    </xf>
    <xf numFmtId="0" fontId="10" fillId="0" borderId="4" xfId="0" applyFont="1" applyBorder="1" applyAlignment="1">
      <alignment horizontal="center" textRotation="90"/>
    </xf>
    <xf numFmtId="0" fontId="10" fillId="0" borderId="1" xfId="0" applyFont="1" applyBorder="1" applyAlignment="1">
      <alignment horizontal="center" textRotation="90"/>
    </xf>
    <xf numFmtId="0" fontId="7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165" fontId="7" fillId="0" borderId="1" xfId="0" applyNumberFormat="1" applyFont="1" applyBorder="1" applyAlignment="1">
      <alignment horizontal="center" textRotation="90"/>
    </xf>
    <xf numFmtId="165" fontId="7" fillId="0" borderId="2" xfId="0" applyNumberFormat="1" applyFont="1" applyBorder="1" applyAlignment="1">
      <alignment horizontal="center" textRotation="90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14" fontId="9" fillId="0" borderId="2" xfId="0" applyNumberFormat="1" applyFont="1" applyFill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8" fillId="3" borderId="5" xfId="0" applyFont="1" applyFill="1" applyBorder="1" applyAlignment="1" applyProtection="1">
      <alignment vertical="center" textRotation="90"/>
      <protection locked="0" hidden="1"/>
    </xf>
    <xf numFmtId="0" fontId="18" fillId="3" borderId="4" xfId="0" applyFont="1" applyFill="1" applyBorder="1" applyAlignment="1" applyProtection="1">
      <alignment vertical="center" textRotation="90"/>
      <protection locked="0" hidden="1"/>
    </xf>
    <xf numFmtId="0" fontId="18" fillId="3" borderId="1" xfId="0" applyFont="1" applyFill="1" applyBorder="1" applyAlignment="1" applyProtection="1">
      <alignment vertical="center" textRotation="90"/>
      <protection locked="0" hidden="1"/>
    </xf>
    <xf numFmtId="0" fontId="9" fillId="3" borderId="5" xfId="0" applyFont="1" applyFill="1" applyBorder="1" applyAlignment="1" applyProtection="1">
      <alignment horizontal="center" vertical="center" textRotation="90"/>
      <protection locked="0" hidden="1"/>
    </xf>
    <xf numFmtId="0" fontId="9" fillId="3" borderId="4" xfId="0" applyFont="1" applyFill="1" applyBorder="1" applyAlignment="1" applyProtection="1">
      <alignment horizontal="center" vertical="center" textRotation="90"/>
      <protection locked="0" hidden="1"/>
    </xf>
    <xf numFmtId="0" fontId="9" fillId="3" borderId="1" xfId="0" applyFont="1" applyFill="1" applyBorder="1" applyAlignment="1" applyProtection="1">
      <alignment horizontal="center" vertical="center" textRotation="90"/>
      <protection locked="0" hidden="1"/>
    </xf>
    <xf numFmtId="0" fontId="9" fillId="3" borderId="5" xfId="0" applyFont="1" applyFill="1" applyBorder="1" applyAlignment="1" applyProtection="1">
      <alignment horizontal="center" vertical="center" textRotation="90"/>
    </xf>
    <xf numFmtId="0" fontId="9" fillId="3" borderId="4" xfId="0" applyFont="1" applyFill="1" applyBorder="1" applyAlignment="1" applyProtection="1">
      <alignment horizontal="center" vertical="center" textRotation="90"/>
    </xf>
    <xf numFmtId="0" fontId="9" fillId="3" borderId="1" xfId="0" applyFont="1" applyFill="1" applyBorder="1" applyAlignment="1" applyProtection="1">
      <alignment horizontal="center" vertical="center" textRotation="90"/>
    </xf>
    <xf numFmtId="0" fontId="22" fillId="3" borderId="5" xfId="0" applyFont="1" applyFill="1" applyBorder="1" applyAlignment="1" applyProtection="1">
      <alignment horizontal="center" vertical="center" textRotation="90" wrapText="1"/>
      <protection locked="0" hidden="1"/>
    </xf>
    <xf numFmtId="0" fontId="22" fillId="3" borderId="4" xfId="0" applyFont="1" applyFill="1" applyBorder="1" applyAlignment="1" applyProtection="1">
      <alignment horizontal="center" vertical="center" textRotation="90" wrapText="1"/>
      <protection locked="0" hidden="1"/>
    </xf>
    <xf numFmtId="0" fontId="22" fillId="3" borderId="1" xfId="0" applyFont="1" applyFill="1" applyBorder="1" applyAlignment="1" applyProtection="1">
      <alignment horizontal="center" vertical="center" textRotation="90" wrapText="1"/>
      <protection locked="0" hidden="1"/>
    </xf>
    <xf numFmtId="49" fontId="9" fillId="3" borderId="5" xfId="0" applyNumberFormat="1" applyFont="1" applyFill="1" applyBorder="1" applyAlignment="1" applyProtection="1">
      <alignment horizontal="center" vertical="center" textRotation="90"/>
      <protection locked="0" hidden="1"/>
    </xf>
    <xf numFmtId="49" fontId="9" fillId="3" borderId="4" xfId="0" applyNumberFormat="1" applyFont="1" applyFill="1" applyBorder="1" applyAlignment="1" applyProtection="1">
      <alignment horizontal="center" vertical="center" textRotation="90"/>
      <protection locked="0" hidden="1"/>
    </xf>
    <xf numFmtId="49" fontId="9" fillId="3" borderId="1" xfId="0" applyNumberFormat="1" applyFont="1" applyFill="1" applyBorder="1" applyAlignment="1" applyProtection="1">
      <alignment horizontal="center" vertical="center" textRotation="90"/>
      <protection locked="0" hidden="1"/>
    </xf>
    <xf numFmtId="164" fontId="23" fillId="5" borderId="2" xfId="0" applyNumberFormat="1" applyFont="1" applyFill="1" applyBorder="1" applyAlignment="1">
      <alignment horizontal="center" vertical="center" textRotation="90" wrapText="1"/>
    </xf>
    <xf numFmtId="0" fontId="23" fillId="5" borderId="2" xfId="0" applyFont="1" applyFill="1" applyBorder="1" applyAlignment="1">
      <alignment horizontal="center" vertical="center" textRotation="90" wrapText="1"/>
    </xf>
    <xf numFmtId="3" fontId="14" fillId="0" borderId="5" xfId="0" applyNumberFormat="1" applyFont="1" applyBorder="1" applyAlignment="1" applyProtection="1">
      <alignment horizontal="center" vertical="center"/>
    </xf>
    <xf numFmtId="3" fontId="14" fillId="0" borderId="4" xfId="0" applyNumberFormat="1" applyFont="1" applyBorder="1" applyAlignment="1" applyProtection="1">
      <alignment horizontal="center" vertical="center"/>
    </xf>
    <xf numFmtId="3" fontId="14" fillId="0" borderId="1" xfId="0" applyNumberFormat="1" applyFont="1" applyBorder="1" applyAlignment="1" applyProtection="1">
      <alignment horizontal="center" vertical="center"/>
    </xf>
    <xf numFmtId="168" fontId="16" fillId="0" borderId="5" xfId="0" applyNumberFormat="1" applyFont="1" applyBorder="1" applyAlignment="1" applyProtection="1">
      <alignment horizontal="center" textRotation="90"/>
    </xf>
    <xf numFmtId="168" fontId="16" fillId="0" borderId="4" xfId="0" applyNumberFormat="1" applyFont="1" applyBorder="1" applyAlignment="1" applyProtection="1">
      <alignment horizontal="center" textRotation="90"/>
    </xf>
    <xf numFmtId="168" fontId="16" fillId="0" borderId="1" xfId="0" applyNumberFormat="1" applyFont="1" applyBorder="1" applyAlignment="1" applyProtection="1">
      <alignment horizontal="center" textRotation="90"/>
    </xf>
    <xf numFmtId="168" fontId="16" fillId="0" borderId="2" xfId="0" applyNumberFormat="1" applyFont="1" applyBorder="1" applyAlignment="1" applyProtection="1">
      <alignment horizontal="center" vertical="center" textRotation="90"/>
    </xf>
    <xf numFmtId="168" fontId="14" fillId="3" borderId="2" xfId="0" applyNumberFormat="1" applyFont="1" applyFill="1" applyBorder="1" applyAlignment="1" applyProtection="1">
      <alignment horizontal="center" vertical="center" textRotation="90"/>
    </xf>
    <xf numFmtId="168" fontId="14" fillId="0" borderId="2" xfId="1" applyNumberFormat="1" applyFont="1" applyFill="1" applyBorder="1" applyAlignment="1" applyProtection="1">
      <alignment horizontal="center" vertical="center" textRotation="90"/>
    </xf>
    <xf numFmtId="168" fontId="14" fillId="3" borderId="2" xfId="1" applyNumberFormat="1" applyFont="1" applyFill="1" applyBorder="1" applyAlignment="1" applyProtection="1">
      <alignment horizontal="center" vertical="center" textRotation="90"/>
    </xf>
    <xf numFmtId="168" fontId="14" fillId="3" borderId="5" xfId="1" applyNumberFormat="1" applyFont="1" applyFill="1" applyBorder="1" applyAlignment="1" applyProtection="1">
      <alignment horizontal="center" vertical="center" textRotation="90"/>
    </xf>
    <xf numFmtId="168" fontId="14" fillId="3" borderId="4" xfId="1" applyNumberFormat="1" applyFont="1" applyFill="1" applyBorder="1" applyAlignment="1" applyProtection="1">
      <alignment horizontal="center" vertical="center" textRotation="90"/>
    </xf>
    <xf numFmtId="168" fontId="14" fillId="3" borderId="1" xfId="1" applyNumberFormat="1" applyFont="1" applyFill="1" applyBorder="1" applyAlignment="1" applyProtection="1">
      <alignment horizontal="center" vertical="center" textRotation="90"/>
    </xf>
    <xf numFmtId="0" fontId="22" fillId="3" borderId="2" xfId="0" applyFont="1" applyFill="1" applyBorder="1" applyAlignment="1" applyProtection="1">
      <alignment horizontal="center" vertical="center" textRotation="90" wrapText="1"/>
    </xf>
    <xf numFmtId="0" fontId="18" fillId="3" borderId="2" xfId="0" applyFont="1" applyFill="1" applyBorder="1" applyAlignment="1" applyProtection="1">
      <alignment horizontal="center" vertical="center" textRotation="90"/>
    </xf>
    <xf numFmtId="168" fontId="4" fillId="0" borderId="2" xfId="0" applyNumberFormat="1" applyFont="1" applyBorder="1" applyAlignment="1" applyProtection="1">
      <alignment horizontal="center" vertical="center" textRotation="90"/>
    </xf>
    <xf numFmtId="0" fontId="4" fillId="0" borderId="2" xfId="0" applyFont="1" applyBorder="1" applyAlignment="1" applyProtection="1">
      <alignment horizontal="center" vertical="center"/>
    </xf>
    <xf numFmtId="3" fontId="14" fillId="0" borderId="2" xfId="0" applyNumberFormat="1" applyFont="1" applyBorder="1" applyAlignment="1" applyProtection="1">
      <alignment horizontal="center" vertical="center"/>
    </xf>
    <xf numFmtId="1" fontId="17" fillId="0" borderId="2" xfId="0" applyNumberFormat="1" applyFont="1" applyBorder="1" applyAlignment="1" applyProtection="1">
      <alignment horizontal="center" vertical="center"/>
    </xf>
    <xf numFmtId="0" fontId="22" fillId="3" borderId="5" xfId="0" applyFont="1" applyFill="1" applyBorder="1" applyAlignment="1" applyProtection="1">
      <alignment horizontal="center" vertical="center" textRotation="90" wrapText="1"/>
    </xf>
    <xf numFmtId="0" fontId="22" fillId="3" borderId="4" xfId="0" applyFont="1" applyFill="1" applyBorder="1" applyAlignment="1" applyProtection="1">
      <alignment horizontal="center" vertical="center" textRotation="90" wrapText="1"/>
    </xf>
    <xf numFmtId="0" fontId="18" fillId="3" borderId="5" xfId="0" applyFont="1" applyFill="1" applyBorder="1" applyAlignment="1" applyProtection="1">
      <alignment horizontal="center" vertical="center" textRotation="90"/>
    </xf>
    <xf numFmtId="0" fontId="18" fillId="3" borderId="4" xfId="0" applyFont="1" applyFill="1" applyBorder="1" applyAlignment="1" applyProtection="1">
      <alignment horizontal="center" vertical="center" textRotation="90"/>
    </xf>
    <xf numFmtId="168" fontId="16" fillId="0" borderId="5" xfId="0" applyNumberFormat="1" applyFont="1" applyBorder="1" applyAlignment="1" applyProtection="1">
      <alignment horizontal="center" vertical="center" textRotation="90"/>
    </xf>
    <xf numFmtId="168" fontId="16" fillId="0" borderId="4" xfId="0" applyNumberFormat="1" applyFont="1" applyBorder="1" applyAlignment="1" applyProtection="1">
      <alignment horizontal="center" vertical="center" textRotation="90"/>
    </xf>
    <xf numFmtId="168" fontId="14" fillId="3" borderId="5" xfId="0" applyNumberFormat="1" applyFont="1" applyFill="1" applyBorder="1" applyAlignment="1" applyProtection="1">
      <alignment horizontal="center" vertical="center" textRotation="90"/>
    </xf>
    <xf numFmtId="168" fontId="14" fillId="3" borderId="4" xfId="0" applyNumberFormat="1" applyFont="1" applyFill="1" applyBorder="1" applyAlignment="1" applyProtection="1">
      <alignment horizontal="center" vertical="center" textRotation="90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justify"/>
    </xf>
    <xf numFmtId="0" fontId="15" fillId="0" borderId="0" xfId="0" applyFont="1" applyAlignment="1" applyProtection="1">
      <alignment horizontal="center"/>
    </xf>
    <xf numFmtId="43" fontId="15" fillId="3" borderId="9" xfId="1" applyFont="1" applyFill="1" applyBorder="1" applyAlignment="1" applyProtection="1">
      <alignment horizontal="center"/>
    </xf>
    <xf numFmtId="164" fontId="15" fillId="3" borderId="9" xfId="1" applyNumberFormat="1" applyFont="1" applyFill="1" applyBorder="1" applyAlignment="1" applyProtection="1">
      <alignment horizontal="center"/>
    </xf>
    <xf numFmtId="14" fontId="9" fillId="0" borderId="8" xfId="0" applyNumberFormat="1" applyFont="1" applyFill="1" applyBorder="1" applyAlignment="1" applyProtection="1">
      <alignment horizontal="center" wrapText="1"/>
    </xf>
    <xf numFmtId="14" fontId="9" fillId="0" borderId="7" xfId="0" applyNumberFormat="1" applyFont="1" applyFill="1" applyBorder="1" applyAlignment="1" applyProtection="1">
      <alignment horizontal="center" wrapText="1"/>
    </xf>
    <xf numFmtId="164" fontId="23" fillId="5" borderId="2" xfId="0" applyNumberFormat="1" applyFont="1" applyFill="1" applyBorder="1" applyAlignment="1" applyProtection="1">
      <alignment horizontal="center" vertical="center" textRotation="90" wrapText="1"/>
    </xf>
    <xf numFmtId="0" fontId="23" fillId="5" borderId="2" xfId="0" applyFont="1" applyFill="1" applyBorder="1" applyAlignment="1" applyProtection="1">
      <alignment horizontal="center" vertical="center" textRotation="90" wrapText="1"/>
    </xf>
    <xf numFmtId="0" fontId="1" fillId="0" borderId="8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textRotation="90" wrapText="1"/>
    </xf>
    <xf numFmtId="0" fontId="1" fillId="0" borderId="5" xfId="0" applyFont="1" applyBorder="1" applyAlignment="1" applyProtection="1">
      <alignment horizontal="center" textRotation="90" wrapText="1"/>
    </xf>
    <xf numFmtId="0" fontId="0" fillId="0" borderId="4" xfId="0" applyBorder="1"/>
    <xf numFmtId="0" fontId="1" fillId="0" borderId="10" xfId="0" applyFont="1" applyBorder="1" applyAlignment="1" applyProtection="1">
      <alignment horizontal="center" wrapText="1"/>
    </xf>
    <xf numFmtId="0" fontId="0" fillId="0" borderId="11" xfId="0" applyBorder="1"/>
    <xf numFmtId="0" fontId="0" fillId="0" borderId="12" xfId="0" applyBorder="1"/>
    <xf numFmtId="0" fontId="0" fillId="0" borderId="3" xfId="0" applyBorder="1"/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top" wrapText="1"/>
    </xf>
    <xf numFmtId="0" fontId="5" fillId="0" borderId="0" xfId="0" applyFont="1" applyAlignment="1" applyProtection="1">
      <alignment horizontal="center" vertical="center" wrapText="1"/>
    </xf>
    <xf numFmtId="2" fontId="2" fillId="3" borderId="9" xfId="0" applyNumberFormat="1" applyFont="1" applyFill="1" applyBorder="1" applyAlignment="1" applyProtection="1">
      <alignment horizontal="center" vertical="center" wrapText="1"/>
    </xf>
    <xf numFmtId="2" fontId="5" fillId="3" borderId="9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/>
    </xf>
    <xf numFmtId="0" fontId="1" fillId="0" borderId="10" xfId="0" applyFont="1" applyBorder="1" applyAlignment="1" applyProtection="1">
      <alignment horizontal="center" textRotation="90" wrapText="1"/>
    </xf>
    <xf numFmtId="0" fontId="0" fillId="0" borderId="17" xfId="0" applyBorder="1"/>
    <xf numFmtId="0" fontId="1" fillId="0" borderId="4" xfId="0" applyFont="1" applyBorder="1" applyAlignment="1" applyProtection="1">
      <alignment horizontal="center" textRotation="90" wrapText="1"/>
    </xf>
    <xf numFmtId="0" fontId="1" fillId="0" borderId="5" xfId="0" applyFont="1" applyBorder="1" applyAlignment="1" applyProtection="1">
      <alignment horizontal="center" textRotation="90"/>
    </xf>
    <xf numFmtId="0" fontId="1" fillId="0" borderId="4" xfId="0" applyFont="1" applyBorder="1" applyAlignment="1" applyProtection="1">
      <alignment horizontal="center" textRotation="90"/>
    </xf>
    <xf numFmtId="0" fontId="1" fillId="0" borderId="1" xfId="0" applyFont="1" applyBorder="1" applyAlignment="1" applyProtection="1">
      <alignment horizontal="center" textRotation="90" wrapText="1"/>
    </xf>
  </cellXfs>
  <cellStyles count="2">
    <cellStyle name="Обычный" xfId="0" builtinId="0"/>
    <cellStyle name="Финансовый" xfId="1" builtinId="3"/>
  </cellStyles>
  <dxfs count="122">
    <dxf>
      <fill>
        <patternFill>
          <bgColor rgb="FFFF5050"/>
        </patternFill>
      </fill>
    </dxf>
    <dxf>
      <font>
        <b/>
        <i val="0"/>
        <color auto="1"/>
        <name val="Cambria"/>
        <scheme val="none"/>
      </font>
      <fill>
        <patternFill patternType="solid">
          <fgColor rgb="FFFF0000"/>
          <bgColor rgb="FFFFB3B3"/>
        </patternFill>
      </fill>
    </dxf>
    <dxf>
      <fill>
        <patternFill>
          <bgColor rgb="FFFFFF99"/>
        </patternFill>
      </fill>
    </dxf>
    <dxf>
      <fill>
        <patternFill>
          <bgColor rgb="FFFFB3B3"/>
        </patternFill>
      </fill>
    </dxf>
    <dxf>
      <fill>
        <patternFill>
          <bgColor rgb="FFFFB3B3"/>
        </patternFill>
      </fill>
    </dxf>
    <dxf>
      <fill>
        <patternFill>
          <bgColor rgb="FFFFB3B3"/>
        </patternFill>
      </fill>
    </dxf>
    <dxf>
      <fill>
        <patternFill>
          <bgColor rgb="FFFFE285"/>
        </patternFill>
      </fill>
    </dxf>
    <dxf>
      <font>
        <b/>
        <i val="0"/>
      </font>
      <fill>
        <patternFill>
          <bgColor rgb="FF96CFDE"/>
        </patternFill>
      </fill>
    </dxf>
    <dxf>
      <fill>
        <patternFill>
          <bgColor theme="8" tint="0.39994506668294322"/>
        </patternFill>
      </fill>
    </dxf>
    <dxf>
      <font>
        <b/>
        <i val="0"/>
      </font>
      <fill>
        <patternFill>
          <bgColor rgb="FFCFAFE7"/>
        </patternFill>
      </fill>
    </dxf>
    <dxf>
      <font>
        <b/>
        <i val="0"/>
        <color auto="1"/>
        <name val="Cambria"/>
        <scheme val="none"/>
      </font>
      <fill>
        <patternFill patternType="solid">
          <fgColor rgb="FFFF0000"/>
          <bgColor rgb="FFFFB3B3"/>
        </patternFill>
      </fill>
    </dxf>
    <dxf>
      <fill>
        <patternFill>
          <bgColor rgb="FFFFFF99"/>
        </patternFill>
      </fill>
    </dxf>
    <dxf>
      <fill>
        <patternFill>
          <bgColor rgb="FFFFB3B3"/>
        </patternFill>
      </fill>
    </dxf>
    <dxf>
      <fill>
        <patternFill>
          <bgColor rgb="FFFFB3B3"/>
        </patternFill>
      </fill>
    </dxf>
    <dxf>
      <fill>
        <patternFill>
          <bgColor rgb="FFFFB3B3"/>
        </patternFill>
      </fill>
    </dxf>
    <dxf>
      <fill>
        <patternFill>
          <bgColor rgb="FFFFE285"/>
        </patternFill>
      </fill>
    </dxf>
    <dxf>
      <font>
        <b/>
        <i val="0"/>
      </font>
      <fill>
        <patternFill>
          <bgColor rgb="FF96CFDE"/>
        </patternFill>
      </fill>
    </dxf>
    <dxf>
      <fill>
        <patternFill>
          <bgColor theme="8" tint="0.39994506668294322"/>
        </patternFill>
      </fill>
    </dxf>
    <dxf>
      <font>
        <b/>
        <i val="0"/>
      </font>
      <fill>
        <patternFill>
          <bgColor rgb="FFCFAFE7"/>
        </patternFill>
      </fill>
    </dxf>
    <dxf>
      <fill>
        <patternFill>
          <bgColor rgb="FFD58D8B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8A662"/>
        </patternFill>
      </fill>
    </dxf>
    <dxf>
      <fill>
        <patternFill>
          <bgColor theme="3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AA0EF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ont>
        <b/>
        <i val="0"/>
        <color auto="1"/>
        <name val="Cambria"/>
        <scheme val="none"/>
      </font>
      <fill>
        <patternFill patternType="solid">
          <fgColor rgb="FFFF0000"/>
          <bgColor rgb="FFFFB3B3"/>
        </patternFill>
      </fill>
    </dxf>
    <dxf>
      <fill>
        <patternFill>
          <bgColor rgb="FFFFFF99"/>
        </patternFill>
      </fill>
    </dxf>
    <dxf>
      <fill>
        <patternFill>
          <bgColor rgb="FFFFB3B3"/>
        </patternFill>
      </fill>
    </dxf>
    <dxf>
      <fill>
        <patternFill>
          <bgColor rgb="FFFFB3B3"/>
        </patternFill>
      </fill>
    </dxf>
    <dxf>
      <fill>
        <patternFill>
          <bgColor rgb="FFFFB3B3"/>
        </patternFill>
      </fill>
    </dxf>
    <dxf>
      <fill>
        <patternFill>
          <bgColor rgb="FFF9AD6F"/>
        </patternFill>
      </fill>
    </dxf>
    <dxf>
      <font>
        <b/>
        <i val="0"/>
      </font>
      <fill>
        <patternFill>
          <bgColor rgb="FF96CFDE"/>
        </patternFill>
      </fill>
    </dxf>
    <dxf>
      <fill>
        <patternFill>
          <bgColor theme="8" tint="0.39994506668294322"/>
        </patternFill>
      </fill>
    </dxf>
    <dxf>
      <font>
        <b/>
        <i val="0"/>
      </font>
      <fill>
        <patternFill>
          <bgColor rgb="FFCFAFE7"/>
        </patternFill>
      </fill>
    </dxf>
    <dxf>
      <fill>
        <patternFill>
          <bgColor rgb="FFD58D8B"/>
        </patternFill>
      </fill>
    </dxf>
    <dxf>
      <fill>
        <patternFill patternType="lightUp">
          <fgColor theme="1" tint="0.499984740745262"/>
        </patternFill>
      </fill>
    </dxf>
    <dxf>
      <fill>
        <patternFill patternType="gray125">
          <fgColor theme="1" tint="0.499984740745262"/>
        </patternFill>
      </fill>
    </dxf>
    <dxf>
      <fill>
        <patternFill patternType="lightUp">
          <fgColor theme="1" tint="0.499984740745262"/>
        </patternFill>
      </fill>
    </dxf>
    <dxf>
      <font>
        <b/>
        <i val="0"/>
        <color auto="1"/>
        <name val="Cambria"/>
        <scheme val="none"/>
      </font>
      <fill>
        <patternFill patternType="solid">
          <fgColor rgb="FFFF0000"/>
          <bgColor rgb="FFFFB3B3"/>
        </patternFill>
      </fill>
    </dxf>
    <dxf>
      <fill>
        <patternFill>
          <bgColor rgb="FFFFFF99"/>
        </patternFill>
      </fill>
    </dxf>
    <dxf>
      <fill>
        <patternFill>
          <bgColor rgb="FFFFB3B3"/>
        </patternFill>
      </fill>
    </dxf>
    <dxf>
      <fill>
        <patternFill>
          <bgColor rgb="FFFFB3B3"/>
        </patternFill>
      </fill>
    </dxf>
    <dxf>
      <fill>
        <patternFill>
          <bgColor rgb="FFFFB3B3"/>
        </patternFill>
      </fill>
    </dxf>
    <dxf>
      <fill>
        <patternFill>
          <bgColor rgb="FFFFE285"/>
        </patternFill>
      </fill>
    </dxf>
    <dxf>
      <font>
        <b/>
        <i val="0"/>
      </font>
      <fill>
        <patternFill>
          <bgColor rgb="FF96CFDE"/>
        </patternFill>
      </fill>
    </dxf>
    <dxf>
      <fill>
        <patternFill>
          <bgColor theme="8" tint="0.39994506668294322"/>
        </patternFill>
      </fill>
    </dxf>
    <dxf>
      <font>
        <b/>
        <i val="0"/>
      </font>
      <fill>
        <patternFill>
          <bgColor rgb="FFCFAFE7"/>
        </patternFill>
      </fill>
    </dxf>
    <dxf>
      <font>
        <b/>
        <i val="0"/>
        <color auto="1"/>
        <name val="Cambria"/>
        <scheme val="none"/>
      </font>
      <fill>
        <patternFill patternType="solid">
          <fgColor rgb="FFFF0000"/>
          <bgColor rgb="FFFFB3B3"/>
        </patternFill>
      </fill>
    </dxf>
    <dxf>
      <fill>
        <patternFill>
          <bgColor rgb="FFFFFF99"/>
        </patternFill>
      </fill>
    </dxf>
    <dxf>
      <fill>
        <patternFill>
          <bgColor rgb="FFFFB3B3"/>
        </patternFill>
      </fill>
    </dxf>
    <dxf>
      <fill>
        <patternFill>
          <bgColor rgb="FFFFB3B3"/>
        </patternFill>
      </fill>
    </dxf>
    <dxf>
      <fill>
        <patternFill>
          <bgColor rgb="FFFFB3B3"/>
        </patternFill>
      </fill>
    </dxf>
    <dxf>
      <fill>
        <patternFill>
          <bgColor rgb="FFFFE285"/>
        </patternFill>
      </fill>
    </dxf>
    <dxf>
      <font>
        <b/>
        <i val="0"/>
      </font>
      <fill>
        <patternFill>
          <bgColor rgb="FF96CFDE"/>
        </patternFill>
      </fill>
    </dxf>
    <dxf>
      <fill>
        <patternFill>
          <bgColor theme="8" tint="0.39994506668294322"/>
        </patternFill>
      </fill>
    </dxf>
    <dxf>
      <font>
        <b/>
        <i val="0"/>
      </font>
      <fill>
        <patternFill>
          <bgColor rgb="FFCFAFE7"/>
        </patternFill>
      </fill>
    </dxf>
    <dxf>
      <fill>
        <patternFill>
          <bgColor rgb="FFD58D8B"/>
        </patternFill>
      </fill>
    </dxf>
    <dxf>
      <fill>
        <patternFill>
          <bgColor rgb="FFF8A662"/>
        </patternFill>
      </fill>
    </dxf>
    <dxf>
      <fill>
        <patternFill>
          <bgColor theme="3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AA0EF"/>
        </patternFill>
      </fill>
    </dxf>
    <dxf>
      <font>
        <b/>
        <i val="0"/>
        <color auto="1"/>
        <name val="Cambria"/>
        <scheme val="none"/>
      </font>
      <fill>
        <patternFill patternType="solid">
          <fgColor rgb="FFFF0000"/>
          <bgColor rgb="FFFFB3B3"/>
        </patternFill>
      </fill>
    </dxf>
    <dxf>
      <fill>
        <patternFill>
          <bgColor rgb="FFFFFF99"/>
        </patternFill>
      </fill>
    </dxf>
    <dxf>
      <fill>
        <patternFill>
          <bgColor rgb="FFFFB3B3"/>
        </patternFill>
      </fill>
    </dxf>
    <dxf>
      <fill>
        <patternFill>
          <bgColor rgb="FFFFB3B3"/>
        </patternFill>
      </fill>
    </dxf>
    <dxf>
      <fill>
        <patternFill>
          <bgColor rgb="FFFFB3B3"/>
        </patternFill>
      </fill>
    </dxf>
    <dxf>
      <fill>
        <patternFill>
          <bgColor rgb="FFF9AD6F"/>
        </patternFill>
      </fill>
    </dxf>
    <dxf>
      <font>
        <b/>
        <i val="0"/>
      </font>
      <fill>
        <patternFill>
          <bgColor rgb="FF96CFDE"/>
        </patternFill>
      </fill>
    </dxf>
    <dxf>
      <fill>
        <patternFill>
          <bgColor theme="8" tint="0.39994506668294322"/>
        </patternFill>
      </fill>
    </dxf>
    <dxf>
      <font>
        <b/>
        <i val="0"/>
      </font>
      <fill>
        <patternFill>
          <bgColor rgb="FFCFAFE7"/>
        </patternFill>
      </fill>
    </dxf>
    <dxf>
      <fill>
        <patternFill>
          <bgColor rgb="FFD58D8B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ont>
        <b/>
        <i val="0"/>
        <color auto="1"/>
        <name val="Cambria"/>
        <scheme val="none"/>
      </font>
      <fill>
        <patternFill patternType="solid">
          <fgColor rgb="FFFF0000"/>
          <bgColor rgb="FFFFB3B3"/>
        </patternFill>
      </fill>
    </dxf>
    <dxf>
      <fill>
        <patternFill>
          <bgColor rgb="FFFFFF99"/>
        </patternFill>
      </fill>
    </dxf>
    <dxf>
      <fill>
        <patternFill>
          <bgColor rgb="FFFFB3B3"/>
        </patternFill>
      </fill>
    </dxf>
    <dxf>
      <fill>
        <patternFill>
          <bgColor rgb="FFFFB3B3"/>
        </patternFill>
      </fill>
    </dxf>
    <dxf>
      <fill>
        <patternFill>
          <bgColor rgb="FFFFB3B3"/>
        </patternFill>
      </fill>
    </dxf>
    <dxf>
      <fill>
        <patternFill>
          <bgColor rgb="FFFFE285"/>
        </patternFill>
      </fill>
    </dxf>
    <dxf>
      <font>
        <b/>
        <i val="0"/>
      </font>
      <fill>
        <patternFill>
          <bgColor rgb="FF96CFDE"/>
        </patternFill>
      </fill>
    </dxf>
    <dxf>
      <fill>
        <patternFill>
          <bgColor theme="8" tint="0.39994506668294322"/>
        </patternFill>
      </fill>
    </dxf>
    <dxf>
      <font>
        <b/>
        <i val="0"/>
      </font>
      <fill>
        <patternFill>
          <bgColor rgb="FFCFAFE7"/>
        </patternFill>
      </fill>
    </dxf>
    <dxf>
      <font>
        <b/>
        <i val="0"/>
        <color auto="1"/>
        <name val="Cambria"/>
        <scheme val="none"/>
      </font>
      <fill>
        <patternFill patternType="solid">
          <fgColor rgb="FFFF0000"/>
          <bgColor rgb="FFFFB3B3"/>
        </patternFill>
      </fill>
    </dxf>
    <dxf>
      <fill>
        <patternFill>
          <bgColor rgb="FFFFFF99"/>
        </patternFill>
      </fill>
    </dxf>
    <dxf>
      <fill>
        <patternFill>
          <bgColor rgb="FFFFB3B3"/>
        </patternFill>
      </fill>
    </dxf>
    <dxf>
      <fill>
        <patternFill>
          <bgColor rgb="FFFFB3B3"/>
        </patternFill>
      </fill>
    </dxf>
    <dxf>
      <fill>
        <patternFill>
          <bgColor rgb="FFFFB3B3"/>
        </patternFill>
      </fill>
    </dxf>
    <dxf>
      <fill>
        <patternFill>
          <bgColor rgb="FFFFE285"/>
        </patternFill>
      </fill>
    </dxf>
    <dxf>
      <font>
        <b/>
        <i val="0"/>
      </font>
      <fill>
        <patternFill>
          <bgColor rgb="FF96CFDE"/>
        </patternFill>
      </fill>
    </dxf>
    <dxf>
      <fill>
        <patternFill>
          <bgColor theme="8" tint="0.39994506668294322"/>
        </patternFill>
      </fill>
    </dxf>
    <dxf>
      <font>
        <b/>
        <i val="0"/>
      </font>
      <fill>
        <patternFill>
          <bgColor rgb="FFCFAFE7"/>
        </patternFill>
      </fill>
    </dxf>
    <dxf>
      <fill>
        <patternFill>
          <bgColor rgb="FFD58D8B"/>
        </patternFill>
      </fill>
    </dxf>
    <dxf>
      <fill>
        <patternFill>
          <bgColor rgb="FFF8A662"/>
        </patternFill>
      </fill>
    </dxf>
    <dxf>
      <fill>
        <patternFill>
          <bgColor theme="3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AA0EF"/>
        </patternFill>
      </fill>
    </dxf>
    <dxf>
      <font>
        <b/>
        <i val="0"/>
        <color auto="1"/>
        <name val="Cambria"/>
        <scheme val="none"/>
      </font>
      <fill>
        <patternFill patternType="solid">
          <fgColor rgb="FFFF0000"/>
          <bgColor rgb="FFFFB3B3"/>
        </patternFill>
      </fill>
    </dxf>
    <dxf>
      <fill>
        <patternFill>
          <bgColor rgb="FFFFFF99"/>
        </patternFill>
      </fill>
    </dxf>
    <dxf>
      <fill>
        <patternFill>
          <bgColor rgb="FFFFB3B3"/>
        </patternFill>
      </fill>
    </dxf>
    <dxf>
      <fill>
        <patternFill>
          <bgColor rgb="FFFFB3B3"/>
        </patternFill>
      </fill>
    </dxf>
    <dxf>
      <fill>
        <patternFill>
          <bgColor rgb="FFFFB3B3"/>
        </patternFill>
      </fill>
    </dxf>
    <dxf>
      <fill>
        <patternFill>
          <bgColor rgb="FFF9AD6F"/>
        </patternFill>
      </fill>
    </dxf>
    <dxf>
      <font>
        <b/>
        <i val="0"/>
      </font>
      <fill>
        <patternFill>
          <bgColor rgb="FF96CFDE"/>
        </patternFill>
      </fill>
    </dxf>
    <dxf>
      <fill>
        <patternFill>
          <bgColor theme="8" tint="0.39994506668294322"/>
        </patternFill>
      </fill>
    </dxf>
    <dxf>
      <font>
        <b/>
        <i val="0"/>
      </font>
      <fill>
        <patternFill>
          <bgColor rgb="FFCFAFE7"/>
        </patternFill>
      </fill>
    </dxf>
    <dxf>
      <fill>
        <patternFill>
          <bgColor rgb="FFD58D8B"/>
        </patternFill>
      </fill>
    </dxf>
    <dxf>
      <fill>
        <patternFill patternType="lightUp">
          <fgColor theme="1" tint="0.499984740745262"/>
        </patternFill>
      </fill>
    </dxf>
  </dxfs>
  <tableStyles count="0" defaultTableStyle="TableStyleMedium9" defaultPivotStyle="PivotStyleLight16"/>
  <colors>
    <mruColors>
      <color rgb="FFFF5050"/>
      <color rgb="FFFAA0EF"/>
      <color rgb="FFF8A662"/>
      <color rgb="FFF9AD6F"/>
      <color rgb="FFD58D8B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/08.18/01.18-&#1058;&#1072;&#1073;&#1077;&#1083;&#1100;%20v.5%20&#1064;&#1072;&#1088;&#1072;&#1081;%20(&#1074;&#1088;&#1077;&#1076;&#1085;&#1086;&#1089;&#1090;&#1100;)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нормы времени"/>
      <sheetName val="Табель"/>
      <sheetName val="ТАБЕЛЬ новый"/>
      <sheetName val="Вредность"/>
      <sheetName val="справка ЭК"/>
    </sheetNames>
    <sheetDataSet>
      <sheetData sheetId="0">
        <row r="2">
          <cell r="A2" t="str">
            <v>январь</v>
          </cell>
          <cell r="B2">
            <v>1</v>
          </cell>
        </row>
        <row r="3">
          <cell r="A3" t="str">
            <v>февраль</v>
          </cell>
          <cell r="B3">
            <v>2</v>
          </cell>
        </row>
        <row r="4">
          <cell r="A4" t="str">
            <v>март</v>
          </cell>
          <cell r="B4">
            <v>3</v>
          </cell>
        </row>
        <row r="5">
          <cell r="A5" t="str">
            <v>апрель</v>
          </cell>
          <cell r="B5">
            <v>4</v>
          </cell>
        </row>
        <row r="6">
          <cell r="A6" t="str">
            <v>май</v>
          </cell>
          <cell r="B6">
            <v>5</v>
          </cell>
        </row>
        <row r="7">
          <cell r="A7" t="str">
            <v>июнь</v>
          </cell>
          <cell r="B7">
            <v>6</v>
          </cell>
        </row>
        <row r="8">
          <cell r="A8" t="str">
            <v>июль</v>
          </cell>
          <cell r="B8">
            <v>7</v>
          </cell>
        </row>
        <row r="9">
          <cell r="A9" t="str">
            <v>август</v>
          </cell>
          <cell r="B9">
            <v>8</v>
          </cell>
        </row>
        <row r="10">
          <cell r="A10" t="str">
            <v>сентябрь</v>
          </cell>
          <cell r="B10">
            <v>9</v>
          </cell>
        </row>
        <row r="11">
          <cell r="A11" t="str">
            <v>октябрь</v>
          </cell>
          <cell r="B11">
            <v>10</v>
          </cell>
        </row>
        <row r="12">
          <cell r="A12" t="str">
            <v>ноябрь</v>
          </cell>
          <cell r="B12">
            <v>11</v>
          </cell>
        </row>
        <row r="13">
          <cell r="A13" t="str">
            <v>декабрь</v>
          </cell>
          <cell r="B13">
            <v>12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E2" sqref="E2"/>
    </sheetView>
  </sheetViews>
  <sheetFormatPr defaultRowHeight="12.75"/>
  <cols>
    <col min="5" max="5" width="11.28515625" customWidth="1"/>
    <col min="6" max="6" width="15.42578125" customWidth="1"/>
  </cols>
  <sheetData>
    <row r="1" spans="1:6" ht="30.75" customHeight="1">
      <c r="E1" s="17" t="s">
        <v>56</v>
      </c>
      <c r="F1" s="17" t="s">
        <v>57</v>
      </c>
    </row>
    <row r="2" spans="1:6">
      <c r="A2" t="s">
        <v>45</v>
      </c>
      <c r="B2">
        <v>1</v>
      </c>
      <c r="C2">
        <v>2010</v>
      </c>
      <c r="E2" s="18">
        <v>42491</v>
      </c>
      <c r="F2" s="18">
        <v>42496</v>
      </c>
    </row>
    <row r="3" spans="1:6">
      <c r="A3" t="s">
        <v>46</v>
      </c>
      <c r="B3">
        <v>2</v>
      </c>
      <c r="C3">
        <v>2011</v>
      </c>
      <c r="E3" s="18">
        <v>42499</v>
      </c>
    </row>
    <row r="4" spans="1:6">
      <c r="A4" t="s">
        <v>47</v>
      </c>
      <c r="B4">
        <v>3</v>
      </c>
      <c r="C4">
        <v>2012</v>
      </c>
      <c r="E4" s="18">
        <v>42500</v>
      </c>
    </row>
    <row r="5" spans="1:6">
      <c r="A5" t="s">
        <v>48</v>
      </c>
      <c r="B5">
        <v>4</v>
      </c>
      <c r="C5">
        <v>2013</v>
      </c>
    </row>
    <row r="6" spans="1:6">
      <c r="A6" t="s">
        <v>49</v>
      </c>
      <c r="B6">
        <v>5</v>
      </c>
      <c r="C6">
        <v>2014</v>
      </c>
    </row>
    <row r="7" spans="1:6">
      <c r="A7" t="s">
        <v>50</v>
      </c>
      <c r="B7">
        <v>6</v>
      </c>
      <c r="C7">
        <v>2015</v>
      </c>
    </row>
    <row r="8" spans="1:6">
      <c r="A8" t="s">
        <v>51</v>
      </c>
      <c r="B8">
        <v>7</v>
      </c>
      <c r="C8">
        <v>2016</v>
      </c>
    </row>
    <row r="9" spans="1:6">
      <c r="A9" t="s">
        <v>52</v>
      </c>
      <c r="B9">
        <v>8</v>
      </c>
      <c r="C9">
        <v>2017</v>
      </c>
    </row>
    <row r="10" spans="1:6">
      <c r="A10" t="s">
        <v>44</v>
      </c>
      <c r="B10">
        <v>9</v>
      </c>
      <c r="C10">
        <v>2018</v>
      </c>
    </row>
    <row r="11" spans="1:6">
      <c r="A11" t="s">
        <v>53</v>
      </c>
      <c r="B11">
        <v>10</v>
      </c>
      <c r="C11">
        <v>2019</v>
      </c>
    </row>
    <row r="12" spans="1:6">
      <c r="A12" t="s">
        <v>54</v>
      </c>
      <c r="B12">
        <v>11</v>
      </c>
      <c r="C12">
        <v>2020</v>
      </c>
    </row>
    <row r="13" spans="1:6">
      <c r="A13" t="s">
        <v>55</v>
      </c>
      <c r="B13">
        <v>12</v>
      </c>
      <c r="C13">
        <v>2021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N75"/>
  <sheetViews>
    <sheetView showZeros="0" view="pageBreakPreview" topLeftCell="B1" zoomScaleSheetLayoutView="100" workbookViewId="0">
      <pane ySplit="9" topLeftCell="A10" activePane="bottomLeft" state="frozen"/>
      <selection activeCell="B1" sqref="B1"/>
      <selection pane="bottomLeft" activeCell="R71" sqref="R71"/>
    </sheetView>
  </sheetViews>
  <sheetFormatPr defaultRowHeight="12.75"/>
  <cols>
    <col min="1" max="1" width="1.85546875" style="1" hidden="1" customWidth="1"/>
    <col min="2" max="2" width="3.5703125" style="27" customWidth="1"/>
    <col min="3" max="3" width="5" style="20" customWidth="1"/>
    <col min="4" max="17" width="5" style="8" customWidth="1"/>
    <col min="18" max="18" width="5.140625" style="23" customWidth="1"/>
    <col min="19" max="19" width="3.28515625" style="2" customWidth="1"/>
    <col min="20" max="20" width="3" style="1" customWidth="1"/>
    <col min="21" max="21" width="3.5703125" style="1" customWidth="1"/>
    <col min="22" max="23" width="2.42578125" style="1" customWidth="1"/>
    <col min="24" max="24" width="3" style="1" customWidth="1"/>
    <col min="25" max="26" width="2.85546875" style="1" customWidth="1"/>
    <col min="27" max="27" width="2.5703125" style="1" customWidth="1"/>
    <col min="28" max="28" width="3" style="1" customWidth="1"/>
    <col min="29" max="29" width="2.140625" style="1" customWidth="1"/>
    <col min="30" max="30" width="2.42578125" style="1" customWidth="1"/>
    <col min="31" max="31" width="3.140625" style="1" customWidth="1"/>
    <col min="32" max="32" width="2.28515625" style="1" customWidth="1"/>
    <col min="33" max="33" width="2.42578125" style="1" customWidth="1"/>
    <col min="34" max="34" width="2" style="1" customWidth="1"/>
    <col min="35" max="36" width="2.5703125" style="1" customWidth="1"/>
    <col min="37" max="37" width="3.42578125" style="1" customWidth="1"/>
    <col min="38" max="40" width="2.42578125" style="10" customWidth="1"/>
    <col min="41" max="41" width="3.42578125" style="10" customWidth="1"/>
    <col min="42" max="42" width="2" style="1" customWidth="1"/>
    <col min="43" max="43" width="5.7109375" style="11" customWidth="1"/>
    <col min="44" max="44" width="7.140625" style="11" customWidth="1"/>
    <col min="45" max="45" width="3.7109375" style="43" customWidth="1"/>
    <col min="46" max="46" width="2.28515625" style="1" customWidth="1"/>
    <col min="47" max="47" width="2" style="1" customWidth="1"/>
    <col min="48" max="48" width="2.42578125" style="1" customWidth="1"/>
    <col min="49" max="49" width="2" style="1" customWidth="1"/>
    <col min="50" max="50" width="2.140625" style="1" customWidth="1"/>
    <col min="51" max="51" width="2.7109375" style="1" customWidth="1"/>
    <col min="52" max="52" width="3.7109375" style="1" customWidth="1"/>
    <col min="53" max="53" width="13.140625" style="1" hidden="1" customWidth="1"/>
    <col min="54" max="54" width="6.5703125" style="1" hidden="1" customWidth="1"/>
    <col min="55" max="55" width="9.140625" style="1" hidden="1" customWidth="1"/>
    <col min="56" max="56" width="5.140625" style="61" hidden="1" customWidth="1"/>
    <col min="57" max="66" width="3.7109375" style="1" hidden="1" customWidth="1"/>
    <col min="67" max="16384" width="9.140625" style="1"/>
  </cols>
  <sheetData>
    <row r="1" spans="2:66" ht="26.25" customHeight="1" thickBot="1">
      <c r="C1" s="229" t="s">
        <v>28</v>
      </c>
      <c r="D1" s="230"/>
      <c r="E1" s="230"/>
      <c r="F1" s="230"/>
      <c r="H1" s="236" t="s">
        <v>0</v>
      </c>
      <c r="I1" s="236"/>
      <c r="J1" s="236"/>
      <c r="K1" s="236"/>
      <c r="L1" s="236"/>
      <c r="M1" s="236"/>
      <c r="N1" s="236"/>
      <c r="O1" s="22"/>
      <c r="AF1" s="3"/>
      <c r="AG1" s="3"/>
      <c r="AH1" s="3"/>
      <c r="AI1" s="3"/>
      <c r="AJ1" s="3"/>
      <c r="AK1" s="3"/>
      <c r="AL1" s="9"/>
      <c r="AM1" s="9"/>
      <c r="AN1" s="9"/>
      <c r="AO1" s="9"/>
      <c r="AP1" s="45"/>
      <c r="AQ1" s="45"/>
      <c r="AR1" s="45"/>
      <c r="AS1" s="45"/>
      <c r="AT1" s="45"/>
      <c r="AY1" s="216" t="s">
        <v>127</v>
      </c>
      <c r="AZ1" s="217"/>
      <c r="BC1" s="56"/>
      <c r="BD1" s="60"/>
    </row>
    <row r="2" spans="2:66" ht="17.25" customHeight="1">
      <c r="C2" s="229" t="s">
        <v>1</v>
      </c>
      <c r="D2" s="231"/>
      <c r="E2" s="231"/>
      <c r="F2" s="231"/>
      <c r="G2" s="231"/>
      <c r="H2" s="232" t="s">
        <v>146</v>
      </c>
      <c r="I2" s="232"/>
      <c r="J2" s="232"/>
      <c r="K2" s="233"/>
      <c r="L2" s="233"/>
      <c r="M2" s="233"/>
      <c r="N2" s="233"/>
      <c r="O2" s="178" t="s">
        <v>40</v>
      </c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3"/>
      <c r="BC2" s="56"/>
      <c r="BD2" s="60" t="s">
        <v>83</v>
      </c>
    </row>
    <row r="3" spans="2:66" ht="15" customHeight="1">
      <c r="D3" s="21"/>
      <c r="E3" s="19"/>
      <c r="F3" s="19"/>
      <c r="H3" s="47"/>
      <c r="M3" s="179" t="s">
        <v>147</v>
      </c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U3" s="179"/>
      <c r="AV3" s="179"/>
      <c r="AW3" s="179"/>
      <c r="BC3" s="56"/>
      <c r="BD3" s="60" t="s">
        <v>84</v>
      </c>
    </row>
    <row r="4" spans="2:66" ht="24" customHeight="1">
      <c r="D4" s="24"/>
      <c r="E4" s="25"/>
      <c r="S4" s="257" t="s">
        <v>42</v>
      </c>
      <c r="T4" s="257"/>
      <c r="U4" s="218" t="s">
        <v>52</v>
      </c>
      <c r="V4" s="218"/>
      <c r="W4" s="218"/>
      <c r="X4" s="218"/>
      <c r="Y4" s="218"/>
      <c r="Z4" s="218"/>
      <c r="AA4" s="14"/>
      <c r="AB4" s="219">
        <v>2018</v>
      </c>
      <c r="AC4" s="219"/>
      <c r="AD4" s="219"/>
      <c r="AE4" s="14" t="s">
        <v>43</v>
      </c>
      <c r="AF4" s="14"/>
      <c r="AG4" s="13"/>
      <c r="AH4" s="12"/>
      <c r="AI4" s="12"/>
      <c r="AJ4" s="12"/>
      <c r="AK4" s="12"/>
      <c r="AL4" s="12"/>
      <c r="AM4" s="12"/>
      <c r="AN4" s="12"/>
      <c r="AO4" s="12"/>
      <c r="AP4" s="244" t="s">
        <v>2</v>
      </c>
      <c r="AQ4" s="245"/>
      <c r="AR4" s="245"/>
      <c r="AS4" s="245"/>
      <c r="AT4" s="245"/>
      <c r="AU4" s="245"/>
      <c r="AV4" s="245"/>
      <c r="AW4" s="256">
        <f>EOMONTH(C8,0)</f>
        <v>43343</v>
      </c>
      <c r="AX4" s="256"/>
      <c r="AY4" s="256"/>
      <c r="AZ4" s="256"/>
      <c r="BA4" s="4"/>
      <c r="BC4" s="56"/>
      <c r="BD4" s="60" t="s">
        <v>85</v>
      </c>
    </row>
    <row r="5" spans="2:66" ht="20.25" hidden="1" customHeight="1">
      <c r="BC5" s="56"/>
      <c r="BD5" s="60" t="s">
        <v>86</v>
      </c>
    </row>
    <row r="6" spans="2:66" ht="16.5" customHeight="1">
      <c r="B6" s="276">
        <f>AB4</f>
        <v>2018</v>
      </c>
      <c r="C6" s="249" t="s">
        <v>4</v>
      </c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1"/>
      <c r="S6" s="211" t="s">
        <v>5</v>
      </c>
      <c r="T6" s="213"/>
      <c r="U6" s="213"/>
      <c r="V6" s="213"/>
      <c r="W6" s="213"/>
      <c r="X6" s="213"/>
      <c r="Y6" s="213"/>
      <c r="Z6" s="213"/>
      <c r="AA6" s="212"/>
      <c r="AB6" s="208" t="s">
        <v>35</v>
      </c>
      <c r="AC6" s="252" t="s">
        <v>60</v>
      </c>
      <c r="AD6" s="253"/>
      <c r="AE6" s="222" t="s">
        <v>78</v>
      </c>
      <c r="AF6" s="226" t="s">
        <v>6</v>
      </c>
      <c r="AG6" s="227"/>
      <c r="AH6" s="227"/>
      <c r="AI6" s="227"/>
      <c r="AJ6" s="227"/>
      <c r="AK6" s="227"/>
      <c r="AL6" s="227"/>
      <c r="AM6" s="227"/>
      <c r="AN6" s="227"/>
      <c r="AO6" s="228"/>
      <c r="AP6" s="208" t="s">
        <v>7</v>
      </c>
      <c r="AQ6" s="240" t="s">
        <v>39</v>
      </c>
      <c r="AR6" s="241"/>
      <c r="AS6" s="208" t="s">
        <v>9</v>
      </c>
      <c r="AT6" s="214" t="s">
        <v>10</v>
      </c>
      <c r="AU6" s="214" t="s">
        <v>11</v>
      </c>
      <c r="AV6" s="214" t="s">
        <v>12</v>
      </c>
      <c r="AW6" s="214" t="s">
        <v>13</v>
      </c>
      <c r="AX6" s="214" t="s">
        <v>38</v>
      </c>
      <c r="AY6" s="214" t="s">
        <v>14</v>
      </c>
      <c r="AZ6" s="208" t="s">
        <v>58</v>
      </c>
      <c r="BC6" s="56"/>
      <c r="BD6" s="60" t="s">
        <v>87</v>
      </c>
      <c r="BE6" s="211" t="s">
        <v>5</v>
      </c>
      <c r="BF6" s="213"/>
      <c r="BG6" s="213"/>
      <c r="BH6" s="213"/>
      <c r="BI6" s="213"/>
      <c r="BJ6" s="213"/>
      <c r="BK6" s="213"/>
      <c r="BL6" s="213"/>
      <c r="BM6" s="212"/>
      <c r="BN6" s="208" t="s">
        <v>35</v>
      </c>
    </row>
    <row r="7" spans="2:66" ht="23.25" customHeight="1">
      <c r="B7" s="277"/>
      <c r="C7" s="249" t="s">
        <v>15</v>
      </c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1"/>
      <c r="S7" s="211" t="s">
        <v>16</v>
      </c>
      <c r="T7" s="212"/>
      <c r="U7" s="211" t="s">
        <v>17</v>
      </c>
      <c r="V7" s="213"/>
      <c r="W7" s="213"/>
      <c r="X7" s="213"/>
      <c r="Y7" s="213"/>
      <c r="Z7" s="213"/>
      <c r="AA7" s="212"/>
      <c r="AB7" s="209"/>
      <c r="AC7" s="254"/>
      <c r="AD7" s="255"/>
      <c r="AE7" s="223"/>
      <c r="AF7" s="246" t="s">
        <v>18</v>
      </c>
      <c r="AG7" s="246"/>
      <c r="AH7" s="246"/>
      <c r="AI7" s="246"/>
      <c r="AJ7" s="246"/>
      <c r="AK7" s="246"/>
      <c r="AL7" s="246"/>
      <c r="AM7" s="246"/>
      <c r="AN7" s="246"/>
      <c r="AO7" s="246"/>
      <c r="AP7" s="209"/>
      <c r="AQ7" s="242"/>
      <c r="AR7" s="243"/>
      <c r="AS7" s="234"/>
      <c r="AT7" s="237"/>
      <c r="AU7" s="237"/>
      <c r="AV7" s="237"/>
      <c r="AW7" s="237"/>
      <c r="AX7" s="237"/>
      <c r="AY7" s="238"/>
      <c r="AZ7" s="209"/>
      <c r="BC7" s="56"/>
      <c r="BD7" s="60" t="s">
        <v>88</v>
      </c>
      <c r="BE7" s="211" t="s">
        <v>16</v>
      </c>
      <c r="BF7" s="212"/>
      <c r="BG7" s="211" t="s">
        <v>17</v>
      </c>
      <c r="BH7" s="213"/>
      <c r="BI7" s="213"/>
      <c r="BJ7" s="213"/>
      <c r="BK7" s="213"/>
      <c r="BL7" s="213"/>
      <c r="BM7" s="212"/>
      <c r="BN7" s="209"/>
    </row>
    <row r="8" spans="2:66" ht="66.75" customHeight="1">
      <c r="B8" s="55" t="str">
        <f>U4</f>
        <v>август</v>
      </c>
      <c r="C8" s="123">
        <f>DATE($AB$4,VLOOKUP($U$4,'нормы времени'!$A$2:$B$13,2,0),1)</f>
        <v>43313</v>
      </c>
      <c r="D8" s="16">
        <f>DATE($AB$4,VLOOKUP($U$4,'нормы времени'!$A$2:$B$13,2,0),1+COLUMN(A:A))</f>
        <v>43314</v>
      </c>
      <c r="E8" s="16">
        <f>DATE($AB$4,VLOOKUP($U$4,'нормы времени'!$A$2:$B$13,2,0),1+COLUMN(B:B))</f>
        <v>43315</v>
      </c>
      <c r="F8" s="16">
        <f>DATE($AB$4,VLOOKUP($U$4,'нормы времени'!$A$2:$B$13,2,0),1+COLUMN(C:C))</f>
        <v>43316</v>
      </c>
      <c r="G8" s="16">
        <f>DATE($AB$4,VLOOKUP($U$4,'нормы времени'!$A$2:$B$13,2,0),1+COLUMN(D:D))</f>
        <v>43317</v>
      </c>
      <c r="H8" s="16">
        <f>DATE($AB$4,VLOOKUP($U$4,'нормы времени'!$A$2:$B$13,2,0),1+COLUMN(E:E))</f>
        <v>43318</v>
      </c>
      <c r="I8" s="124">
        <f>DATE($AB$4,VLOOKUP($U$4,'нормы времени'!$A$2:$B$13,2,0),1+COLUMN(F:F))</f>
        <v>43319</v>
      </c>
      <c r="J8" s="16">
        <f>DATE($AB$4,VLOOKUP($U$4,'нормы времени'!$A$2:$B$13,2,0),1+COLUMN(G:G))</f>
        <v>43320</v>
      </c>
      <c r="K8" s="16">
        <f>DATE($AB$4,VLOOKUP($U$4,'нормы времени'!$A$2:$B$13,2,0),1+COLUMN(H:H))</f>
        <v>43321</v>
      </c>
      <c r="L8" s="16">
        <f>DATE($AB$4,VLOOKUP($U$4,'нормы времени'!$A$2:$B$13,2,0),1+COLUMN(I:I))</f>
        <v>43322</v>
      </c>
      <c r="M8" s="16">
        <f>DATE($AB$4,VLOOKUP($U$4,'нормы времени'!$A$2:$B$13,2,0),1+COLUMN(J:J))</f>
        <v>43323</v>
      </c>
      <c r="N8" s="16">
        <f>DATE($AB$4,VLOOKUP($U$4,'нормы времени'!$A$2:$B$13,2,0),1+COLUMN(K:K))</f>
        <v>43324</v>
      </c>
      <c r="O8" s="16">
        <f>DATE($AB$4,VLOOKUP($U$4,'нормы времени'!$A$2:$B$13,2,0),1+COLUMN(L:L))</f>
        <v>43325</v>
      </c>
      <c r="P8" s="16">
        <f>DATE($AB$4,VLOOKUP($U$4,'нормы времени'!$A$2:$B$13,2,0),1+COLUMN(M:M))</f>
        <v>43326</v>
      </c>
      <c r="Q8" s="16">
        <f>DATE($AB$4,VLOOKUP($U$4,'нормы времени'!$A$2:$B$13,2,0),1+COLUMN(N:N))</f>
        <v>43327</v>
      </c>
      <c r="R8" s="16" t="s">
        <v>19</v>
      </c>
      <c r="S8" s="38" t="s">
        <v>73</v>
      </c>
      <c r="T8" s="208" t="s">
        <v>26</v>
      </c>
      <c r="U8" s="208" t="s">
        <v>30</v>
      </c>
      <c r="V8" s="214" t="s">
        <v>31</v>
      </c>
      <c r="W8" s="208" t="s">
        <v>32</v>
      </c>
      <c r="X8" s="208" t="s">
        <v>33</v>
      </c>
      <c r="Y8" s="214" t="s">
        <v>34</v>
      </c>
      <c r="Z8" s="214" t="s">
        <v>41</v>
      </c>
      <c r="AA8" s="214" t="s">
        <v>20</v>
      </c>
      <c r="AB8" s="209"/>
      <c r="AC8" s="214" t="s">
        <v>21</v>
      </c>
      <c r="AD8" s="208" t="s">
        <v>22</v>
      </c>
      <c r="AE8" s="224"/>
      <c r="AF8" s="220" t="s">
        <v>23</v>
      </c>
      <c r="AG8" s="237" t="s">
        <v>24</v>
      </c>
      <c r="AH8" s="215" t="s">
        <v>25</v>
      </c>
      <c r="AI8" s="215" t="s">
        <v>36</v>
      </c>
      <c r="AJ8" s="215" t="s">
        <v>63</v>
      </c>
      <c r="AK8" s="48" t="s">
        <v>70</v>
      </c>
      <c r="AL8" s="247" t="s">
        <v>62</v>
      </c>
      <c r="AM8" s="247" t="s">
        <v>64</v>
      </c>
      <c r="AN8" s="247" t="s">
        <v>33</v>
      </c>
      <c r="AO8" s="49" t="s">
        <v>30</v>
      </c>
      <c r="AP8" s="209"/>
      <c r="AQ8" s="208" t="s">
        <v>75</v>
      </c>
      <c r="AR8" s="208" t="s">
        <v>8</v>
      </c>
      <c r="AS8" s="235"/>
      <c r="AT8" s="237"/>
      <c r="AU8" s="237"/>
      <c r="AV8" s="237"/>
      <c r="AW8" s="237"/>
      <c r="AX8" s="215"/>
      <c r="AY8" s="238"/>
      <c r="AZ8" s="210"/>
      <c r="BC8" s="56">
        <v>0.27777777777777779</v>
      </c>
      <c r="BD8" s="60" t="s">
        <v>89</v>
      </c>
      <c r="BE8" s="58" t="s">
        <v>73</v>
      </c>
      <c r="BF8" s="208" t="s">
        <v>26</v>
      </c>
      <c r="BG8" s="208" t="s">
        <v>30</v>
      </c>
      <c r="BH8" s="214" t="s">
        <v>31</v>
      </c>
      <c r="BI8" s="208" t="s">
        <v>32</v>
      </c>
      <c r="BJ8" s="208" t="s">
        <v>33</v>
      </c>
      <c r="BK8" s="214" t="s">
        <v>34</v>
      </c>
      <c r="BL8" s="214" t="s">
        <v>41</v>
      </c>
      <c r="BM8" s="214" t="s">
        <v>20</v>
      </c>
      <c r="BN8" s="209"/>
    </row>
    <row r="9" spans="2:66" ht="67.5" customHeight="1">
      <c r="B9" s="54" t="s">
        <v>3</v>
      </c>
      <c r="C9" s="26">
        <f>DATE($AB$4,VLOOKUP($U$4,'нормы времени'!$A$2:$B$13,2,0),16)</f>
        <v>43328</v>
      </c>
      <c r="D9" s="16">
        <f>DATE($AB$4,VLOOKUP($U$4,'нормы времени'!$A$2:$B$13,2,0),16+COLUMN(A:A))</f>
        <v>43329</v>
      </c>
      <c r="E9" s="16">
        <f>DATE($AB$4,VLOOKUP($U$4,'нормы времени'!$A$2:$B$13,2,0),16+COLUMN(B:B))</f>
        <v>43330</v>
      </c>
      <c r="F9" s="16">
        <f>DATE($AB$4,VLOOKUP($U$4,'нормы времени'!$A$2:$B$13,2,0),16+COLUMN(C:C))</f>
        <v>43331</v>
      </c>
      <c r="G9" s="16">
        <f>DATE($AB$4,VLOOKUP($U$4,'нормы времени'!$A$2:$B$13,2,0),16+COLUMN(D:D))</f>
        <v>43332</v>
      </c>
      <c r="H9" s="16">
        <f>DATE($AB$4,VLOOKUP($U$4,'нормы времени'!$A$2:$B$13,2,0),16+COLUMN(E:E))</f>
        <v>43333</v>
      </c>
      <c r="I9" s="16">
        <f>DATE($AB$4,VLOOKUP($U$4,'нормы времени'!$A$2:$B$13,2,0),16+COLUMN(F:F))</f>
        <v>43334</v>
      </c>
      <c r="J9" s="16">
        <f>DATE($AB$4,VLOOKUP($U$4,'нормы времени'!$A$2:$B$13,2,0),16+COLUMN(G:G))</f>
        <v>43335</v>
      </c>
      <c r="K9" s="16">
        <f>DATE($AB$4,VLOOKUP($U$4,'нормы времени'!$A$2:$B$13,2,0),16+COLUMN(H:H))</f>
        <v>43336</v>
      </c>
      <c r="L9" s="16">
        <f>DATE($AB$4,VLOOKUP($U$4,'нормы времени'!$A$2:$B$13,2,0),16+COLUMN(I:I))</f>
        <v>43337</v>
      </c>
      <c r="M9" s="16">
        <f>DATE($AB$4,VLOOKUP($U$4,'нормы времени'!$A$2:$B$13,2,0),16+COLUMN(J:J))</f>
        <v>43338</v>
      </c>
      <c r="N9" s="16">
        <f>DATE($AB$4,VLOOKUP($U$4,'нормы времени'!$A$2:$B$13,2,0),16+COLUMN(K:K))</f>
        <v>43339</v>
      </c>
      <c r="O9" s="16">
        <f>DATE($AB$4,VLOOKUP($U$4,'нормы времени'!$A$2:$B$13,2,0),16+COLUMN(L:L))</f>
        <v>43340</v>
      </c>
      <c r="P9" s="16">
        <f>DATE($AB$4,VLOOKUP($U$4,'нормы времени'!$A$2:$B$13,2,0),16+COLUMN(M:M))</f>
        <v>43341</v>
      </c>
      <c r="Q9" s="16">
        <f>DATE($AB$4,VLOOKUP($U$4,'нормы времени'!$A$2:$B$13,2,0),16+COLUMN(N:N))</f>
        <v>43342</v>
      </c>
      <c r="R9" s="16">
        <f>DATE($AB$4,VLOOKUP($U$4,'нормы времени'!$A$2:$B$13,2,0),16+COLUMN(O:O))</f>
        <v>43343</v>
      </c>
      <c r="S9" s="37" t="s">
        <v>29</v>
      </c>
      <c r="T9" s="210"/>
      <c r="U9" s="210"/>
      <c r="V9" s="215"/>
      <c r="W9" s="210"/>
      <c r="X9" s="210"/>
      <c r="Y9" s="215"/>
      <c r="Z9" s="215"/>
      <c r="AA9" s="215"/>
      <c r="AB9" s="210"/>
      <c r="AC9" s="215"/>
      <c r="AD9" s="210"/>
      <c r="AE9" s="51" t="s">
        <v>77</v>
      </c>
      <c r="AF9" s="221"/>
      <c r="AG9" s="215"/>
      <c r="AH9" s="225"/>
      <c r="AI9" s="225"/>
      <c r="AJ9" s="225"/>
      <c r="AK9" s="48" t="s">
        <v>71</v>
      </c>
      <c r="AL9" s="248"/>
      <c r="AM9" s="248"/>
      <c r="AN9" s="248"/>
      <c r="AO9" s="49" t="s">
        <v>31</v>
      </c>
      <c r="AP9" s="210"/>
      <c r="AQ9" s="210"/>
      <c r="AR9" s="210"/>
      <c r="AS9" s="40" t="s">
        <v>27</v>
      </c>
      <c r="AT9" s="215"/>
      <c r="AU9" s="215"/>
      <c r="AV9" s="215"/>
      <c r="AW9" s="215"/>
      <c r="AX9" s="41" t="s">
        <v>37</v>
      </c>
      <c r="AY9" s="239"/>
      <c r="AZ9" s="42" t="s">
        <v>59</v>
      </c>
      <c r="BC9" s="56">
        <v>0.33333333333333331</v>
      </c>
      <c r="BD9" s="60" t="s">
        <v>90</v>
      </c>
      <c r="BE9" s="37" t="s">
        <v>29</v>
      </c>
      <c r="BF9" s="210"/>
      <c r="BG9" s="210"/>
      <c r="BH9" s="215"/>
      <c r="BI9" s="210"/>
      <c r="BJ9" s="210"/>
      <c r="BK9" s="215"/>
      <c r="BL9" s="215"/>
      <c r="BM9" s="215"/>
      <c r="BN9" s="210"/>
    </row>
    <row r="10" spans="2:66" s="8" customFormat="1" ht="15.75" customHeight="1">
      <c r="B10" s="6">
        <v>1</v>
      </c>
      <c r="C10" s="258">
        <v>2</v>
      </c>
      <c r="D10" s="259"/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60"/>
      <c r="S10" s="50" t="s">
        <v>61</v>
      </c>
      <c r="T10" s="5">
        <v>4</v>
      </c>
      <c r="U10" s="5">
        <v>5</v>
      </c>
      <c r="V10" s="6">
        <v>6</v>
      </c>
      <c r="W10" s="7">
        <v>7</v>
      </c>
      <c r="X10" s="7">
        <v>8</v>
      </c>
      <c r="Y10" s="7">
        <v>9</v>
      </c>
      <c r="Z10" s="7">
        <v>10</v>
      </c>
      <c r="AA10" s="7">
        <v>11</v>
      </c>
      <c r="AB10" s="7">
        <v>12</v>
      </c>
      <c r="AC10" s="7">
        <v>13</v>
      </c>
      <c r="AD10" s="7">
        <v>14</v>
      </c>
      <c r="AE10" s="7" t="s">
        <v>76</v>
      </c>
      <c r="AF10" s="7">
        <v>16</v>
      </c>
      <c r="AG10" s="7">
        <v>17</v>
      </c>
      <c r="AH10" s="7">
        <v>18</v>
      </c>
      <c r="AI10" s="7">
        <v>19</v>
      </c>
      <c r="AJ10" s="7">
        <v>20</v>
      </c>
      <c r="AK10" s="7" t="s">
        <v>72</v>
      </c>
      <c r="AL10" s="15">
        <v>22</v>
      </c>
      <c r="AM10" s="15">
        <v>23</v>
      </c>
      <c r="AN10" s="15">
        <v>24</v>
      </c>
      <c r="AO10" s="15" t="s">
        <v>74</v>
      </c>
      <c r="AP10" s="7">
        <v>26</v>
      </c>
      <c r="AQ10" s="7">
        <v>27</v>
      </c>
      <c r="AR10" s="7">
        <v>28</v>
      </c>
      <c r="AS10" s="7">
        <v>29</v>
      </c>
      <c r="AT10" s="7">
        <v>30</v>
      </c>
      <c r="AU10" s="7">
        <v>31</v>
      </c>
      <c r="AV10" s="7">
        <v>32</v>
      </c>
      <c r="AW10" s="7">
        <v>33</v>
      </c>
      <c r="AX10" s="7">
        <v>34</v>
      </c>
      <c r="AY10" s="7">
        <v>35</v>
      </c>
      <c r="AZ10" s="7">
        <v>36</v>
      </c>
      <c r="BA10" s="46" t="s">
        <v>66</v>
      </c>
      <c r="BB10" s="46" t="s">
        <v>67</v>
      </c>
      <c r="BC10" s="57" t="s">
        <v>81</v>
      </c>
      <c r="BD10" s="60" t="s">
        <v>91</v>
      </c>
      <c r="BE10" s="59" t="s">
        <v>61</v>
      </c>
      <c r="BF10" s="5">
        <v>4</v>
      </c>
      <c r="BG10" s="5">
        <v>5</v>
      </c>
      <c r="BH10" s="6">
        <v>6</v>
      </c>
      <c r="BI10" s="7">
        <v>7</v>
      </c>
      <c r="BJ10" s="7">
        <v>8</v>
      </c>
      <c r="BK10" s="7">
        <v>9</v>
      </c>
      <c r="BL10" s="7">
        <v>10</v>
      </c>
      <c r="BM10" s="7">
        <v>11</v>
      </c>
      <c r="BN10" s="7">
        <v>12</v>
      </c>
    </row>
    <row r="11" spans="2:66" ht="32.1" customHeight="1">
      <c r="B11" s="28" t="s">
        <v>136</v>
      </c>
      <c r="C11" s="29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1"/>
      <c r="S11" s="194">
        <f>IFERROR(S13-COUNTIF(C12:R12:C14:R14,"к")*1,"--")</f>
        <v>15</v>
      </c>
      <c r="T11" s="196">
        <f>COUNTIF(C12:R12:C14:R14,"п")*1</f>
        <v>0</v>
      </c>
      <c r="U11" s="196">
        <f>COUNTIF(C12:R12:C14:R14,"о")*1</f>
        <v>2</v>
      </c>
      <c r="V11" s="196">
        <f>COUNTIF(C12:R12:C14:R14,"у")*1+COUNTIF(C12:R12:C14:R14,"убз")*1</f>
        <v>0</v>
      </c>
      <c r="W11" s="196">
        <f>COUNTIF(C12:R12:C14:R14,"р")*1</f>
        <v>0</v>
      </c>
      <c r="X11" s="196">
        <f>COUNTIF(C12:R12:C14:R14,"б")*1+COUNTIF(C12:R12:C14:R14,"нб")*1</f>
        <v>2</v>
      </c>
      <c r="Y11" s="196">
        <f>COUNTIF(C12:R12:C14:R14,"д")*1+COUNTIF(C12:R12:C14:R14,"гч")*1+COUNTIF(C12:R12:C14:R14,"мо")*1+COUNTIF(C12:R12:C14:R14,"дм")*1+COUNTIF(C12:R12:C14:R14,"х")*1+COUNTIF(C12:R12:C14:R14,"ож")*1+COUNTIF(C12:R12:C14:R14,"г")*1+COUNTIF(C12:R12:C14:R14,"гб")*1+COUNTIF(C12:R12:C14:R14,"гс")*1+COUNTIF(C12:R12:C14:R14,"х")*1+COUNTIF(C12:R12:C14:R14,"сх")*1+COUNTIF(C12:R12:C14:R14,"нр")*1++COUNTIF(C12:R12:C14:R14,"га")*1</f>
        <v>0</v>
      </c>
      <c r="Z11" s="196">
        <f>COUNTIF(C12:R12:C14:R14,"а")*1+COUNTIF(C12:R12:C14:R14,"оа")*1+COUNTIF(C12:R12:C14:R14,"оад")*1+COUNTIF(C12:R12:C14:R14,"ск")*1</f>
        <v>6</v>
      </c>
      <c r="AA11" s="196">
        <f>COUNTIF(C12:R12:C14:R14,"пр")*1+COUNTIF(C12:R12:C14:R14,"нн")*1+COUNTIF(C12:R12:C14:R14,"аа")*1</f>
        <v>0</v>
      </c>
      <c r="AB11" s="196">
        <f>IFERROR(AZ13-S13-T11-U11-V11-W11-X11-Y11-Z11-AA11-BA11,"--")</f>
        <v>6</v>
      </c>
      <c r="AC11" s="199">
        <f>SUMIF(C12:R12:C14:R14,"нм",C13:R13:C15:R15)+SUMIF(C12:R12:C14:R14,"вп",C13:R13:C15:R15)</f>
        <v>0</v>
      </c>
      <c r="AD11" s="199">
        <f>SUMIF(C12:R12:C14:R14,"оп",C13:R13:C15:R15)+SUMIF(C12:R12:C14:R14,"ух",C13:R13:C15:R15)</f>
        <v>0</v>
      </c>
      <c r="AE11" s="183">
        <f>AE13-AK11-AK13-SUMIF(C12:R12:C14:R14,"п",C13:R13:C15:R15)-SUMIF(C12:R12:C14:R14,"о",C13:R13:C15:R15)-SUMIF(C12:R12:C14:R14,"у",C13:R13:C15:R15)-SUMIF(C12:R12:C14:R14,"убз",C13:R13:C15:R15)-SUMIF(C12:R12:C14:R14,"р",C13:R13:C15:R15)-SUMIF(C12:R12:C14:R14,"б",C13:R13:C15:R15)-SUMIF(C12:R12:C14:R14,"т",C13:R13:C15:R15)-SUMIF(C12:R12:C14:R14,"ож",C13:R13:C15:R15)-SUMIF(C12:R12:C14:R14,"г",C13:R13:C15:R15)-SUMIF(C12:R12:C14:R14,"гч",C13:R13:C15:R15)-SUMIF(C12:R12:C14:R14,"гб",C13:R13:C15:R15)-SUMIF(C12:R12:C14:R14,"гс",C13:R13:C15:R15)-SUMIF(C12:R12:C14:R14,"мо",C13:R13:C15:R15)-SUMIF(C12:R12:C14:R14,"д",C13:R13:C15:R15)-SUMIF(C12:R12:C14:R14,"дм",C13:R13:C15:R15)-SUMIF(C12:R12:C14:R14,"до",C13:R13:C15:R15)-SUMIF(C12:R12:C14:R14,"нр",C13:R13:C15:R15)-SUMIF(C12:R12:C14:R14,"сх",C13:R13:C15:R15)-SUMIF(C12:R12:C14:R14,"х",C13:R13:C15:R15)-SUMIF(C12:R12:C14:R14,"а",C13:R13:C15:R15)-SUMIF(C12:R12:C14:R14,"оа",C13:R13:C15:R15)-SUMIF(C12:R12:C14:R14,"оад",C13:R13:C15:R15)-SUMIF(C12:R12:C14:R14,"нн",C13:R13:C15:R15)-SUMIF(C12:R12:C14:R14,"пр",C13:R13:C15:R15)-SUMIF(C12:R12:C14:R14,"вп",C13:R13:C15:R15)-SUMIF(C12:R12:C14:R14,"нм",C13:R13:C15:R15)-SUMIF(C12:R12:C14:R14,"оп",C13:R13:C15:R15)-SUMIF(C12:R12:C14:R14,"ух",C13:R13:C15:R15)-SUMIF(C12:R12:C14:R14,"в",C13:R13:C15:R15)-SUMIF(C12:R12:C14:R14,"нб",C13:R13:C15:R15)</f>
        <v>3.9444444444444446</v>
      </c>
      <c r="AF11" s="202"/>
      <c r="AG11" s="205"/>
      <c r="AH11" s="180">
        <f>SUMIF(C12:R12:C14:R14,"нс",C13:R13:C15:R15)+SUMIF(C12:R12:C14:R14,"н",C13:R13:C15:R15)+SUMIF(C12:R12:C14:R14,"нсп",C13:R13:C15:R15)+SUMIF(C12:R12:C14:R14,"нп",C13:R13:C15:R15)</f>
        <v>1.5833333333333333</v>
      </c>
      <c r="AI11" s="191">
        <f>AE11</f>
        <v>3.9444444444444446</v>
      </c>
      <c r="AJ11" s="191"/>
      <c r="AK11" s="183">
        <f>SUMIF(C12:R12:C14:R14,"К",C13:R13:C15:R15)</f>
        <v>0</v>
      </c>
      <c r="AL11" s="180">
        <f>SUMIF(C12:R12:C14:R14,"яп",C13:R13:C15:R15)+SUMIF(C12:R12:C14:R14,"нп",C13:R13:C15:R15)+SUMIF(C12:R12:C14:R14,"нсп",C13:R13:C15:R15)+SUMIF(C12:R12:C14:R14,"рп",C13:R13:C15:R15)</f>
        <v>0</v>
      </c>
      <c r="AM11" s="180">
        <f>SUMIF(C12:R12:C14:R14,"ст",C13:R13:C15:R15)</f>
        <v>0</v>
      </c>
      <c r="AN11" s="180">
        <f>SUMIF(C12:R12:C14:R14,"б",C13:R13:C15:R15)+SUMIF(C12:R12:C14:R14,"р",C13:R13:C15:R15)+SUMIF(C12:R12:C14:R14,"нб",C13:R13:C15:R15)</f>
        <v>0.30555555555555552</v>
      </c>
      <c r="AO11" s="183">
        <f>SUMIF(C12:R12:C14:R14,"о",C13:R13:C15:R15)</f>
        <v>0.63888888888888895</v>
      </c>
      <c r="AP11" s="107">
        <v>4</v>
      </c>
      <c r="AQ11" s="108">
        <v>2001</v>
      </c>
      <c r="AR11" s="108">
        <v>1621</v>
      </c>
      <c r="AS11" s="270" t="s">
        <v>143</v>
      </c>
      <c r="AT11" s="273" t="s">
        <v>144</v>
      </c>
      <c r="AU11" s="264">
        <v>5</v>
      </c>
      <c r="AV11" s="261">
        <v>3421</v>
      </c>
      <c r="AW11" s="264">
        <v>5</v>
      </c>
      <c r="AX11" s="267"/>
      <c r="AY11" s="36"/>
      <c r="AZ11" s="184">
        <f>AZ13-COUNTIF(C12:R12:C14:R14,"--")*1-COUNTIF(C12:R12:C14:R14,"убз")*1-COUNTIF(C12:R12:C14:R14,"р")*1-COUNTIF(C12:R12:C14:R14,"ож")*1-COUNTIF(C12:R12:C14:R14,"д")*1-COUNTIF(C12:R12:C14:R14,"гс")*1-COUNTIF(C12:R12:C14:R14,"б")*1-COUNTIF(C12:R12:C14:R14,"нб")*1-COUNTIF(C12:R12:C14:R14,"х")*1-COUNTIF(C12:R12:C14:R14,"дм")*1-COUNTIF(C12:R12:C14:R14,"а")*1-COUNTIF(C12:R12:C14:R14,"аа")*1--COUNTIF(C12:R12:C14:R14,"га")*1</f>
        <v>24</v>
      </c>
      <c r="BA11" s="1">
        <f>(COUNTIF(C12:R12:C14:R14,"--")*1)</f>
        <v>0</v>
      </c>
      <c r="BB11" s="1">
        <f>IF(B11&gt;0,1,0)</f>
        <v>1</v>
      </c>
      <c r="BC11" s="56">
        <f>IF(B12="еж",$BC$9,IF(B12="см",$BC$8,0))</f>
        <v>0.27777777777777779</v>
      </c>
      <c r="BD11" s="60" t="s">
        <v>92</v>
      </c>
      <c r="BE11" s="194">
        <f>COUNTIF(C12:R12:C14:R14,"я")*1+COUNTIF(C12:R12:C14:R14,"нс")*1+COUNTIF(C12:R12:C14:R14,"нсп")*1+COUNTIF(C12:R12:C14:R14,"нп")*1+COUNTIF(C12:R12:C14:R14,"яп")*1+COUNTIF(C12:R12:C14:R14,"н")*1+COUNTIF(C12:R12:C14:R14,"ян")*1++COUNTIF(C12:R12:C14:R14,"оп")*1+COUNTIF(C12:R12:C14:R14,"ух")*1+COUNTIF(C12:R12:C14:R14,"я/н")*1</f>
        <v>12</v>
      </c>
      <c r="BF11" s="196">
        <f>COUNTIF(C12:R12:C14:R14,"п")*1</f>
        <v>0</v>
      </c>
      <c r="BG11" s="196">
        <f>COUNTIF(C12:R12:C14:R14,"о")*1</f>
        <v>2</v>
      </c>
      <c r="BH11" s="196">
        <f>COUNTIF(C12:R12:C14:R14,"у")*1+COUNTIF(C12:R12:C14:R14,"убз")*1</f>
        <v>0</v>
      </c>
      <c r="BI11" s="196">
        <f>COUNTIF(C12:R12:C14:R14,"р")*1</f>
        <v>0</v>
      </c>
      <c r="BJ11" s="196">
        <f>COUNTIF(C12:R12:C14:R14,"б")*1+COUNTIF(C12:R12:C14:R14,"нб")*1</f>
        <v>2</v>
      </c>
      <c r="BK11" s="196">
        <f>COUNTIF(C12:R12:C14:R14,"д")*1+COUNTIF(C12:R12:C14:R14,"гч")*1+COUNTIF(C12:R12:C14:R14,"мо")*1+COUNTIF(C12:R12:C14:R14,"дм")*1+COUNTIF(C12:R12:C14:R14,"х")*1+COUNTIF(C12:R12:C14:R14,"ож")*1+COUNTIF(C12:R12:C14:R14,"г")*1+COUNTIF(C12:R12:C14:R14,"гб")*1+COUNTIF(C12:R12:C14:R14,"гс")*1+COUNTIF(C12:R12:C14:R14,"х")*1+COUNTIF(C12:R12:C14:R14,"сх")*1+COUNTIF(C12:R12:C14:R14,"нр")*1++COUNTIF(C12:R12:C14:R14,"га")*1</f>
        <v>0</v>
      </c>
      <c r="BL11" s="196">
        <f>COUNTIF(C12:R12:C14:R14,"а")*1+COUNTIF(C12:R12:C14:R14,"оа")*1+COUNTIF(C12:R12:C14:R14,"оад")*1</f>
        <v>5</v>
      </c>
      <c r="BM11" s="196">
        <f>COUNTIF(C12:R12:C14:R14,"пр")*1+COUNTIF(C12:R12:C14:R14,"нн")*1+COUNTIF(C12:R12:C14:R14,"аа")*1</f>
        <v>0</v>
      </c>
      <c r="BN11" s="196">
        <f>COUNTIF(C12:R12:C14:R14,"в")*1+COUNTIF(C12:R12:C14:R14,"сд")*1+COUNTIF(C12:R12:C14:R14,"до")*1</f>
        <v>9</v>
      </c>
    </row>
    <row r="12" spans="2:66" ht="15" customHeight="1">
      <c r="B12" s="32" t="s">
        <v>82</v>
      </c>
      <c r="C12" s="33" t="s">
        <v>80</v>
      </c>
      <c r="D12" s="33" t="s">
        <v>80</v>
      </c>
      <c r="E12" s="33" t="s">
        <v>68</v>
      </c>
      <c r="F12" s="33" t="s">
        <v>69</v>
      </c>
      <c r="G12" s="33" t="s">
        <v>80</v>
      </c>
      <c r="H12" s="33" t="s">
        <v>149</v>
      </c>
      <c r="I12" s="33" t="s">
        <v>68</v>
      </c>
      <c r="J12" s="33" t="s">
        <v>68</v>
      </c>
      <c r="K12" s="33" t="s">
        <v>149</v>
      </c>
      <c r="L12" s="33" t="s">
        <v>149</v>
      </c>
      <c r="M12" s="33" t="s">
        <v>68</v>
      </c>
      <c r="N12" s="33" t="s">
        <v>69</v>
      </c>
      <c r="O12" s="33" t="s">
        <v>80</v>
      </c>
      <c r="P12" s="33" t="s">
        <v>80</v>
      </c>
      <c r="Q12" s="33" t="s">
        <v>68</v>
      </c>
      <c r="R12" s="33"/>
      <c r="S12" s="195"/>
      <c r="T12" s="197"/>
      <c r="U12" s="197"/>
      <c r="V12" s="197"/>
      <c r="W12" s="197"/>
      <c r="X12" s="197"/>
      <c r="Y12" s="197"/>
      <c r="Z12" s="197"/>
      <c r="AA12" s="197"/>
      <c r="AB12" s="197"/>
      <c r="AC12" s="200"/>
      <c r="AD12" s="200"/>
      <c r="AE12" s="183"/>
      <c r="AF12" s="203"/>
      <c r="AG12" s="206"/>
      <c r="AH12" s="181"/>
      <c r="AI12" s="192"/>
      <c r="AJ12" s="192"/>
      <c r="AK12" s="183"/>
      <c r="AL12" s="181"/>
      <c r="AM12" s="181"/>
      <c r="AN12" s="181"/>
      <c r="AO12" s="183"/>
      <c r="AP12" s="107"/>
      <c r="AQ12" s="108">
        <v>2001</v>
      </c>
      <c r="AR12" s="108">
        <v>2051</v>
      </c>
      <c r="AS12" s="271"/>
      <c r="AT12" s="274"/>
      <c r="AU12" s="265"/>
      <c r="AV12" s="262"/>
      <c r="AW12" s="265"/>
      <c r="AX12" s="268"/>
      <c r="AY12" s="36"/>
      <c r="AZ12" s="185"/>
      <c r="BC12" s="56"/>
      <c r="BD12" s="60" t="s">
        <v>93</v>
      </c>
      <c r="BE12" s="195"/>
      <c r="BF12" s="197"/>
      <c r="BG12" s="197"/>
      <c r="BH12" s="197"/>
      <c r="BI12" s="197"/>
      <c r="BJ12" s="197"/>
      <c r="BK12" s="197"/>
      <c r="BL12" s="197"/>
      <c r="BM12" s="197"/>
      <c r="BN12" s="197"/>
    </row>
    <row r="13" spans="2:66" s="8" customFormat="1" ht="15" customHeight="1">
      <c r="B13" s="34"/>
      <c r="C13" s="35">
        <v>0.16666666666666666</v>
      </c>
      <c r="D13" s="35">
        <v>0.30555555555555552</v>
      </c>
      <c r="E13" s="35"/>
      <c r="F13" s="35">
        <v>0.47222222222222227</v>
      </c>
      <c r="G13" s="35">
        <v>0.16666666666666666</v>
      </c>
      <c r="H13" s="35">
        <v>0.30555555555555552</v>
      </c>
      <c r="I13" s="35"/>
      <c r="J13" s="35">
        <v>0.47222222222222227</v>
      </c>
      <c r="K13" s="35">
        <v>0.16666666666666666</v>
      </c>
      <c r="L13" s="35">
        <v>0.30555555555555552</v>
      </c>
      <c r="M13" s="35"/>
      <c r="N13" s="35">
        <v>0.47222222222222227</v>
      </c>
      <c r="O13" s="35">
        <v>0.16666666666666666</v>
      </c>
      <c r="P13" s="35">
        <v>0.30555555555555552</v>
      </c>
      <c r="Q13" s="35"/>
      <c r="R13" s="35"/>
      <c r="S13" s="186">
        <f>IFERROR(ROUND(IF(B12="еж",(AE11+AK13+AK11-AG11)/BC11,(AE11+AK13+AK11-AG11)/BC11),0),"--")</f>
        <v>15</v>
      </c>
      <c r="T13" s="197"/>
      <c r="U13" s="197"/>
      <c r="V13" s="197"/>
      <c r="W13" s="197"/>
      <c r="X13" s="197"/>
      <c r="Y13" s="197"/>
      <c r="Z13" s="197"/>
      <c r="AA13" s="197"/>
      <c r="AB13" s="197"/>
      <c r="AC13" s="200"/>
      <c r="AD13" s="200"/>
      <c r="AE13" s="187">
        <f>SUM(C13:R13,C15:R15)</f>
        <v>7.0833333333333339</v>
      </c>
      <c r="AF13" s="203"/>
      <c r="AG13" s="206"/>
      <c r="AH13" s="181"/>
      <c r="AI13" s="192"/>
      <c r="AJ13" s="192"/>
      <c r="AK13" s="187">
        <f>SUMIF(C12:R12:C14:R14,"ск",C13:R13:C15:R15)</f>
        <v>0.16666666666666666</v>
      </c>
      <c r="AL13" s="181"/>
      <c r="AM13" s="181"/>
      <c r="AN13" s="181"/>
      <c r="AO13" s="187">
        <f>SUMIF(C12:R12:C14:R14,"у",C13:R13:C15:R15)+SUMIF(C12:R12:C14:R14,"убз",C13:R13:C15:R15)</f>
        <v>0</v>
      </c>
      <c r="AP13" s="107"/>
      <c r="AQ13" s="108">
        <v>2001</v>
      </c>
      <c r="AR13" s="108">
        <v>1911</v>
      </c>
      <c r="AS13" s="271"/>
      <c r="AT13" s="274"/>
      <c r="AU13" s="265"/>
      <c r="AV13" s="262"/>
      <c r="AW13" s="265"/>
      <c r="AX13" s="268"/>
      <c r="AY13" s="36"/>
      <c r="AZ13" s="188">
        <f>DAY(EOMONTH($C$8,0))</f>
        <v>31</v>
      </c>
      <c r="BB13" s="1"/>
      <c r="BC13" s="57"/>
      <c r="BD13" s="60" t="s">
        <v>94</v>
      </c>
      <c r="BE13" s="186">
        <f>COUNTIF(C12:R12:C14:R14,"я")*1+COUNTIF(C12:R12:C14:R14,"нс")*1+COUNTIF(C12:R12:C14:R14,"нсп")*1+COUNTIF(C12:R12:C14:R14,"нп")*1+COUNTIF(C12:R12:C14:R14,"яп")*1+COUNTIF(C12:R12:C14:R14,"н")*1+COUNTIF(C12:R12:C14:R14,"к")*1+COUNTIF(C12:R12:C14:R14,"ск")*1+COUNTIF(C12:R12:C14:R14,"оп")*1+COUNTIF(C12:R12:C14:R14,"ух")*1+COUNTIF(C12:R12:C14:R14,"я/н")*1</f>
        <v>13</v>
      </c>
      <c r="BF13" s="197"/>
      <c r="BG13" s="197"/>
      <c r="BH13" s="197"/>
      <c r="BI13" s="197"/>
      <c r="BJ13" s="197"/>
      <c r="BK13" s="197"/>
      <c r="BL13" s="197"/>
      <c r="BM13" s="197"/>
      <c r="BN13" s="197"/>
    </row>
    <row r="14" spans="2:66" ht="15" customHeight="1">
      <c r="B14" s="32"/>
      <c r="C14" s="33" t="s">
        <v>69</v>
      </c>
      <c r="D14" s="33" t="s">
        <v>149</v>
      </c>
      <c r="E14" s="33" t="s">
        <v>149</v>
      </c>
      <c r="F14" s="33" t="s">
        <v>68</v>
      </c>
      <c r="G14" s="33" t="s">
        <v>69</v>
      </c>
      <c r="H14" s="33" t="s">
        <v>151</v>
      </c>
      <c r="I14" s="33" t="s">
        <v>150</v>
      </c>
      <c r="J14" s="33" t="s">
        <v>150</v>
      </c>
      <c r="K14" s="33" t="s">
        <v>148</v>
      </c>
      <c r="L14" s="33" t="s">
        <v>148</v>
      </c>
      <c r="M14" s="33" t="s">
        <v>68</v>
      </c>
      <c r="N14" s="33" t="s">
        <v>68</v>
      </c>
      <c r="O14" s="33" t="s">
        <v>69</v>
      </c>
      <c r="P14" s="33" t="s">
        <v>80</v>
      </c>
      <c r="Q14" s="33" t="s">
        <v>80</v>
      </c>
      <c r="R14" s="33" t="s">
        <v>68</v>
      </c>
      <c r="S14" s="186"/>
      <c r="T14" s="197"/>
      <c r="U14" s="197"/>
      <c r="V14" s="197"/>
      <c r="W14" s="197"/>
      <c r="X14" s="197"/>
      <c r="Y14" s="197"/>
      <c r="Z14" s="197"/>
      <c r="AA14" s="197"/>
      <c r="AB14" s="197"/>
      <c r="AC14" s="200"/>
      <c r="AD14" s="200"/>
      <c r="AE14" s="187"/>
      <c r="AF14" s="203"/>
      <c r="AG14" s="206"/>
      <c r="AH14" s="181"/>
      <c r="AI14" s="192"/>
      <c r="AJ14" s="192"/>
      <c r="AK14" s="187"/>
      <c r="AL14" s="181"/>
      <c r="AM14" s="181"/>
      <c r="AN14" s="181"/>
      <c r="AO14" s="187"/>
      <c r="AP14" s="107"/>
      <c r="AQ14" s="108"/>
      <c r="AR14" s="108"/>
      <c r="AS14" s="271"/>
      <c r="AT14" s="274"/>
      <c r="AU14" s="265"/>
      <c r="AV14" s="262"/>
      <c r="AW14" s="265"/>
      <c r="AX14" s="268"/>
      <c r="AY14" s="36"/>
      <c r="AZ14" s="189"/>
      <c r="BC14" s="56"/>
      <c r="BD14" s="60" t="s">
        <v>95</v>
      </c>
      <c r="BE14" s="186"/>
      <c r="BF14" s="197"/>
      <c r="BG14" s="197"/>
      <c r="BH14" s="197"/>
      <c r="BI14" s="197"/>
      <c r="BJ14" s="197"/>
      <c r="BK14" s="197"/>
      <c r="BL14" s="197"/>
      <c r="BM14" s="197"/>
      <c r="BN14" s="197"/>
    </row>
    <row r="15" spans="2:66" ht="15" customHeight="1">
      <c r="B15" s="32"/>
      <c r="C15" s="35">
        <v>0.47222222222222227</v>
      </c>
      <c r="D15" s="35">
        <v>0.16666666666666666</v>
      </c>
      <c r="E15" s="35">
        <v>0.30555555555555552</v>
      </c>
      <c r="F15" s="35"/>
      <c r="G15" s="35">
        <v>0.47222222222222227</v>
      </c>
      <c r="H15" s="35">
        <v>0.16666666666666666</v>
      </c>
      <c r="I15" s="35">
        <v>0.30555555555555552</v>
      </c>
      <c r="J15" s="35"/>
      <c r="K15" s="35">
        <v>0.47222222222222227</v>
      </c>
      <c r="L15" s="35">
        <v>0.16666666666666666</v>
      </c>
      <c r="M15" s="35">
        <v>0.30555555555555552</v>
      </c>
      <c r="N15" s="35"/>
      <c r="O15" s="35">
        <v>0.47222222222222227</v>
      </c>
      <c r="P15" s="35">
        <v>0.16666666666666666</v>
      </c>
      <c r="Q15" s="35">
        <v>0.30555555555555552</v>
      </c>
      <c r="R15" s="35"/>
      <c r="S15" s="186"/>
      <c r="T15" s="198"/>
      <c r="U15" s="198"/>
      <c r="V15" s="198"/>
      <c r="W15" s="198"/>
      <c r="X15" s="198"/>
      <c r="Y15" s="198"/>
      <c r="Z15" s="198"/>
      <c r="AA15" s="198"/>
      <c r="AB15" s="198"/>
      <c r="AC15" s="201"/>
      <c r="AD15" s="201"/>
      <c r="AE15" s="187"/>
      <c r="AF15" s="204"/>
      <c r="AG15" s="207"/>
      <c r="AH15" s="182"/>
      <c r="AI15" s="193"/>
      <c r="AJ15" s="193"/>
      <c r="AK15" s="187"/>
      <c r="AL15" s="182"/>
      <c r="AM15" s="182"/>
      <c r="AN15" s="182"/>
      <c r="AO15" s="187"/>
      <c r="AP15" s="107"/>
      <c r="AQ15" s="108"/>
      <c r="AR15" s="108"/>
      <c r="AS15" s="272"/>
      <c r="AT15" s="275"/>
      <c r="AU15" s="266"/>
      <c r="AV15" s="263"/>
      <c r="AW15" s="266"/>
      <c r="AX15" s="269"/>
      <c r="AY15" s="36"/>
      <c r="AZ15" s="190"/>
      <c r="BC15" s="56"/>
      <c r="BD15" s="60" t="s">
        <v>96</v>
      </c>
      <c r="BE15" s="186"/>
      <c r="BF15" s="198"/>
      <c r="BG15" s="198"/>
      <c r="BH15" s="198"/>
      <c r="BI15" s="198"/>
      <c r="BJ15" s="198"/>
      <c r="BK15" s="198"/>
      <c r="BL15" s="198"/>
      <c r="BM15" s="198"/>
      <c r="BN15" s="198"/>
    </row>
    <row r="16" spans="2:66" ht="32.1" customHeight="1">
      <c r="B16" s="28" t="s">
        <v>137</v>
      </c>
      <c r="C16" s="29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1"/>
      <c r="S16" s="194">
        <f>IFERROR(S18-COUNTIF(C17:R17:C19:R19,"к")*1,"--")</f>
        <v>14</v>
      </c>
      <c r="T16" s="196">
        <f>COUNTIF(C17:R17:C19:R19,"п")*1</f>
        <v>0</v>
      </c>
      <c r="U16" s="196">
        <f>COUNTIF(C17:R17:C19:R19,"о")*1</f>
        <v>5</v>
      </c>
      <c r="V16" s="196">
        <f>COUNTIF(C17:R17:C19:R19,"у")*1+COUNTIF(C17:R17:C19:R19,"убз")*1</f>
        <v>0</v>
      </c>
      <c r="W16" s="196">
        <f>COUNTIF(C17:R17:C19:R19,"р")*1</f>
        <v>0</v>
      </c>
      <c r="X16" s="196">
        <f>COUNTIF(C17:R17:C19:R19,"б")*1+COUNTIF(C17:R17:C19:R19,"нб")*1</f>
        <v>6</v>
      </c>
      <c r="Y16" s="196">
        <f>COUNTIF(C17:R17:C19:R19,"д")*1+COUNTIF(C17:R17:C19:R19,"гч")*1+COUNTIF(C17:R17:C19:R19,"мо")*1+COUNTIF(C17:R17:C19:R19,"дм")*1+COUNTIF(C17:R17:C19:R19,"х")*1+COUNTIF(C17:R17:C19:R19,"ож")*1+COUNTIF(C17:R17:C19:R19,"г")*1+COUNTIF(C17:R17:C19:R19,"гб")*1+COUNTIF(C17:R17:C19:R19,"гс")*1+COUNTIF(C17:R17:C19:R19,"х")*1+COUNTIF(C17:R17:C19:R19,"сх")*1+COUNTIF(C17:R17:C19:R19,"нр")*1++COUNTIF(C17:R17:C19:R19,"га")*1</f>
        <v>0</v>
      </c>
      <c r="Z16" s="196">
        <f>COUNTIF(C17:R17:C19:R19,"а")*1+COUNTIF(C17:R17:C19:R19,"оа")*1+COUNTIF(C17:R17:C19:R19,"оад")*1+COUNTIF(C17:R17:C19:R19,"ск")*1</f>
        <v>1</v>
      </c>
      <c r="AA16" s="196">
        <f>COUNTIF(C17:R17:C19:R19,"пр")*1+COUNTIF(C17:R17:C19:R19,"нн")*1+COUNTIF(C17:R17:C19:R19,"аа")*1</f>
        <v>0</v>
      </c>
      <c r="AB16" s="196">
        <f t="shared" ref="AB16" si="0">IFERROR(AZ18-S18-T16-U16-V16-W16-X16-Y16-Z16-AA16-BA16,"--")</f>
        <v>5</v>
      </c>
      <c r="AC16" s="199">
        <f>SUMIF(C17:R17:C19:R19,"нм",C18:R18:C20:R20)+SUMIF(C17:R17:C19:R19,"вп",C18:R18:C20:R20)</f>
        <v>0</v>
      </c>
      <c r="AD16" s="199">
        <f>SUMIF(C17:R17:C19:R19,"оп",C18:R18:C20:R20)+SUMIF(C17:R17:C19:R19,"ух",C18:R18:C20:R20)</f>
        <v>0</v>
      </c>
      <c r="AE16" s="183">
        <f>AE18-AK16-AK18-SUMIF(C17:R17:C19:R19,"п",C18:R18:C20:R20)-SUMIF(C17:R17:C19:R19,"о",C18:R18:C20:R20)-SUMIF(C17:R17:C19:R19,"у",C18:R18:C20:R20)-SUMIF(C17:R17:C19:R19,"убз",C18:R18:C20:R20)-SUMIF(C17:R17:C19:R19,"р",C18:R18:C20:R20)-SUMIF(C17:R17:C19:R19,"б",C18:R18:C20:R20)-SUMIF(C17:R17:C19:R19,"т",C18:R18:C20:R20)-SUMIF(C17:R17:C19:R19,"ож",C18:R18:C20:R20)-SUMIF(C17:R17:C19:R19,"г",C18:R18:C20:R20)-SUMIF(C17:R17:C19:R19,"гч",C18:R18:C20:R20)-SUMIF(C17:R17:C19:R19,"гб",C18:R18:C20:R20)-SUMIF(C17:R17:C19:R19,"гс",C18:R18:C20:R20)-SUMIF(C17:R17:C19:R19,"мо",C18:R18:C20:R20)-SUMIF(C17:R17:C19:R19,"д",C18:R18:C20:R20)-SUMIF(C17:R17:C19:R19,"дм",C18:R18:C20:R20)-SUMIF(C17:R17:C19:R19,"до",C18:R18:C20:R20)-SUMIF(C17:R17:C19:R19,"нр",C18:R18:C20:R20)-SUMIF(C17:R17:C19:R19,"сх",C18:R18:C20:R20)-SUMIF(C17:R17:C19:R19,"х",C18:R18:C20:R20)-SUMIF(C17:R17:C19:R19,"а",C18:R18:C20:R20)-SUMIF(C17:R17:C19:R19,"оа",C18:R18:C20:R20)-SUMIF(C17:R17:C19:R19,"оад",C18:R18:C20:R20)-SUMIF(C17:R17:C19:R19,"нн",C18:R18:C20:R20)-SUMIF(C17:R17:C19:R19,"пр",C18:R18:C20:R20)-SUMIF(C17:R17:C19:R19,"вп",C18:R18:C20:R20)-SUMIF(C17:R17:C19:R19,"нм",C18:R18:C20:R20)-SUMIF(C17:R17:C19:R19,"оп",C18:R18:C20:R20)-SUMIF(C17:R17:C19:R19,"ух",C18:R18:C20:R20)-SUMIF(C17:R17:C19:R19,"в",C18:R18:C20:R20)-SUMIF(C17:R17:C19:R19,"нб",C18:R18:C20:R20)</f>
        <v>3.7777777777777795</v>
      </c>
      <c r="AF16" s="202"/>
      <c r="AG16" s="205"/>
      <c r="AH16" s="180">
        <f>SUMIF(C17:R17:C19:R19,"нс",C18:R18:C20:R20)+SUMIF(C17:R17:C19:R19,"н",C18:R18:C20:R20)+SUMIF(C17:R17:C19:R19,"нсп",C18:R18:C20:R20)+SUMIF(C17:R17:C19:R19,"нп",C18:R18:C20:R20)</f>
        <v>2.3611111111111112</v>
      </c>
      <c r="AI16" s="191">
        <f>AE16</f>
        <v>3.7777777777777795</v>
      </c>
      <c r="AJ16" s="191"/>
      <c r="AK16" s="183">
        <f>SUMIF(C17:R17:C19:R19,"К",C18:R18:C20:R20)</f>
        <v>0</v>
      </c>
      <c r="AL16" s="180">
        <f>SUMIF(C17:R17:C19:R19,"яп",C18:R18:C20:R20)+SUMIF(C17:R17:C19:R19,"нп",C18:R18:C20:R20)+SUMIF(C17:R17:C19:R19,"нсп",C18:R18:C20:R20)+SUMIF(C17:R17:C19:R19,"рп",C18:R18:C20:R20)</f>
        <v>0</v>
      </c>
      <c r="AM16" s="180">
        <f>SUMIF(C17:R17:C19:R19,"ст",C18:R18:C20:R20)</f>
        <v>0</v>
      </c>
      <c r="AN16" s="180">
        <f>SUMIF(C17:R17:C19:R19,"б",C18:R18:C20:R20)+SUMIF(C17:R17:C19:R19,"р",C18:R18:C20:R20)+SUMIF(C17:R17:C19:R19,"нб",C18:R18:C20:R20)</f>
        <v>1.5277777777777779</v>
      </c>
      <c r="AO16" s="183">
        <f>SUMIF(C17:R17:C19:R19,"о",C18:R18:C20:R20)</f>
        <v>1.3750000000000002</v>
      </c>
      <c r="AP16" s="107">
        <v>4</v>
      </c>
      <c r="AQ16" s="108">
        <v>2001</v>
      </c>
      <c r="AR16" s="108">
        <v>1621</v>
      </c>
      <c r="AS16" s="270" t="s">
        <v>143</v>
      </c>
      <c r="AT16" s="273" t="s">
        <v>144</v>
      </c>
      <c r="AU16" s="264">
        <v>5</v>
      </c>
      <c r="AV16" s="261">
        <v>2781</v>
      </c>
      <c r="AW16" s="264">
        <v>5</v>
      </c>
      <c r="AX16" s="267"/>
      <c r="AY16" s="36"/>
      <c r="AZ16" s="184">
        <f>AZ18-COUNTIF(C17:R17:C19:R19,"--")*1-COUNTIF(C17:R17:C19:R19,"убз")*1-COUNTIF(C17:R17:C19:R19,"р")*1-COUNTIF(C17:R17:C19:R19,"ож")*1-COUNTIF(C17:R17:C19:R19,"д")*1-COUNTIF(C17:R17:C19:R19,"гс")*1-COUNTIF(C17:R17:C19:R19,"б")*1-COUNTIF(C17:R17:C19:R19,"нб")*1-COUNTIF(C17:R17:C19:R19,"х")*1-COUNTIF(C17:R17:C19:R19,"дм")*1-COUNTIF(C17:R17:C19:R19,"а")*1-COUNTIF(C17:R17:C19:R19,"аа")*1--COUNTIF(C17:R17:C19:R19,"га")*1</f>
        <v>24</v>
      </c>
      <c r="BA16" s="1">
        <f>(COUNTIF(C17:R17:C19:R19,"--")*1)</f>
        <v>0</v>
      </c>
      <c r="BB16" s="1">
        <f t="shared" ref="BB16" si="1">IF(B16&gt;0,1,0)</f>
        <v>1</v>
      </c>
      <c r="BC16" s="56">
        <f>IF(B17="еж",$BC$9,IF(B17="см",$BC$8,0))</f>
        <v>0.27777777777777779</v>
      </c>
      <c r="BD16" s="60" t="s">
        <v>97</v>
      </c>
      <c r="BE16" s="194">
        <f>COUNTIF(C17:R17:C19:R19,"я")*1+COUNTIF(C17:R17:C19:R19,"нс")*1+COUNTIF(C17:R17:C19:R19,"нсп")*1+COUNTIF(C17:R17:C19:R19,"нп")*1+COUNTIF(C17:R17:C19:R19,"яп")*1+COUNTIF(C17:R17:C19:R19,"н")*1+COUNTIF(C17:R17:C19:R19,"ян")*1++COUNTIF(C17:R17:C19:R19,"оп")*1+COUNTIF(C17:R17:C19:R19,"ух")*1+COUNTIF(C17:R17:C19:R19,"я/н")*1</f>
        <v>13</v>
      </c>
      <c r="BF16" s="196">
        <f>COUNTIF(C17:R17:C19:R19,"п")*1</f>
        <v>0</v>
      </c>
      <c r="BG16" s="196">
        <f>COUNTIF(C17:R17:C19:R19,"о")*1</f>
        <v>5</v>
      </c>
      <c r="BH16" s="196">
        <f>COUNTIF(C17:R17:C19:R19,"у")*1+COUNTIF(C17:R17:C19:R19,"убз")*1</f>
        <v>0</v>
      </c>
      <c r="BI16" s="196">
        <f>COUNTIF(C17:R17:C19:R19,"р")*1</f>
        <v>0</v>
      </c>
      <c r="BJ16" s="196">
        <f>COUNTIF(C17:R17:C19:R19,"б")*1+COUNTIF(C17:R17:C19:R19,"нб")*1</f>
        <v>6</v>
      </c>
      <c r="BK16" s="196">
        <f>COUNTIF(C17:R17:C19:R19,"д")*1+COUNTIF(C17:R17:C19:R19,"гч")*1+COUNTIF(C17:R17:C19:R19,"мо")*1+COUNTIF(C17:R17:C19:R19,"дм")*1+COUNTIF(C17:R17:C19:R19,"х")*1+COUNTIF(C17:R17:C19:R19,"ож")*1+COUNTIF(C17:R17:C19:R19,"г")*1+COUNTIF(C17:R17:C19:R19,"гб")*1+COUNTIF(C17:R17:C19:R19,"гс")*1+COUNTIF(C17:R17:C19:R19,"х")*1+COUNTIF(C17:R17:C19:R19,"сх")*1+COUNTIF(C17:R17:C19:R19,"нр")*1++COUNTIF(C17:R17:C19:R19,"га")*1</f>
        <v>0</v>
      </c>
      <c r="BL16" s="196">
        <f>COUNTIF(C17:R17:C19:R19,"а")*1+COUNTIF(C17:R17:C19:R19,"оа")*1+COUNTIF(C17:R17:C19:R19,"оад")*1</f>
        <v>1</v>
      </c>
      <c r="BM16" s="196">
        <f>COUNTIF(C17:R17:C19:R19,"пр")*1+COUNTIF(C17:R17:C19:R19,"нн")*1+COUNTIF(C17:R17:C19:R19,"аа")*1</f>
        <v>0</v>
      </c>
      <c r="BN16" s="196">
        <f>COUNTIF(C17:R17:C19:R19,"в")*1+COUNTIF(C17:R17:C19:R19,"сд")*1+COUNTIF(C17:R17:C19:R19,"до")*1</f>
        <v>6</v>
      </c>
    </row>
    <row r="17" spans="2:66" ht="15" customHeight="1">
      <c r="B17" s="32" t="s">
        <v>82</v>
      </c>
      <c r="C17" s="33" t="s">
        <v>80</v>
      </c>
      <c r="D17" s="33" t="s">
        <v>80</v>
      </c>
      <c r="E17" s="33" t="s">
        <v>68</v>
      </c>
      <c r="F17" s="33" t="s">
        <v>149</v>
      </c>
      <c r="G17" s="33" t="s">
        <v>80</v>
      </c>
      <c r="H17" s="33" t="s">
        <v>80</v>
      </c>
      <c r="I17" s="33" t="s">
        <v>68</v>
      </c>
      <c r="J17" s="33" t="s">
        <v>150</v>
      </c>
      <c r="K17" s="33" t="s">
        <v>150</v>
      </c>
      <c r="L17" s="33" t="s">
        <v>150</v>
      </c>
      <c r="M17" s="33" t="s">
        <v>68</v>
      </c>
      <c r="N17" s="33" t="s">
        <v>69</v>
      </c>
      <c r="O17" s="33" t="s">
        <v>80</v>
      </c>
      <c r="P17" s="33" t="s">
        <v>80</v>
      </c>
      <c r="Q17" s="33" t="s">
        <v>68</v>
      </c>
      <c r="R17" s="33"/>
      <c r="S17" s="195"/>
      <c r="T17" s="197"/>
      <c r="U17" s="197"/>
      <c r="V17" s="197"/>
      <c r="W17" s="197"/>
      <c r="X17" s="197"/>
      <c r="Y17" s="197"/>
      <c r="Z17" s="197"/>
      <c r="AA17" s="197"/>
      <c r="AB17" s="197"/>
      <c r="AC17" s="200"/>
      <c r="AD17" s="200"/>
      <c r="AE17" s="183"/>
      <c r="AF17" s="203"/>
      <c r="AG17" s="206"/>
      <c r="AH17" s="181"/>
      <c r="AI17" s="192"/>
      <c r="AJ17" s="192"/>
      <c r="AK17" s="183"/>
      <c r="AL17" s="181"/>
      <c r="AM17" s="181"/>
      <c r="AN17" s="181"/>
      <c r="AO17" s="183"/>
      <c r="AP17" s="107"/>
      <c r="AQ17" s="108">
        <v>2001</v>
      </c>
      <c r="AR17" s="108">
        <v>2051</v>
      </c>
      <c r="AS17" s="271"/>
      <c r="AT17" s="274"/>
      <c r="AU17" s="265"/>
      <c r="AV17" s="262"/>
      <c r="AW17" s="265"/>
      <c r="AX17" s="268"/>
      <c r="AY17" s="36"/>
      <c r="AZ17" s="185"/>
      <c r="BC17" s="56"/>
      <c r="BD17" s="60" t="s">
        <v>98</v>
      </c>
      <c r="BE17" s="195"/>
      <c r="BF17" s="197"/>
      <c r="BG17" s="197"/>
      <c r="BH17" s="197"/>
      <c r="BI17" s="197"/>
      <c r="BJ17" s="197"/>
      <c r="BK17" s="197"/>
      <c r="BL17" s="197"/>
      <c r="BM17" s="197"/>
      <c r="BN17" s="197"/>
    </row>
    <row r="18" spans="2:66" ht="15" customHeight="1">
      <c r="B18" s="34"/>
      <c r="C18" s="35">
        <v>0.16666666666666666</v>
      </c>
      <c r="D18" s="35">
        <v>0.30555555555555552</v>
      </c>
      <c r="E18" s="35"/>
      <c r="F18" s="35">
        <v>0.47222222222222227</v>
      </c>
      <c r="G18" s="35">
        <v>0.16666666666666666</v>
      </c>
      <c r="H18" s="35">
        <v>0.30555555555555552</v>
      </c>
      <c r="I18" s="35"/>
      <c r="J18" s="35">
        <v>0.47222222222222227</v>
      </c>
      <c r="K18" s="35">
        <v>0.16666666666666666</v>
      </c>
      <c r="L18" s="35">
        <v>0.30555555555555552</v>
      </c>
      <c r="M18" s="35"/>
      <c r="N18" s="35">
        <v>0.47222222222222227</v>
      </c>
      <c r="O18" s="35">
        <v>0.16666666666666666</v>
      </c>
      <c r="P18" s="35">
        <v>0.30555555555555552</v>
      </c>
      <c r="Q18" s="35"/>
      <c r="R18" s="35"/>
      <c r="S18" s="186">
        <f>IFERROR(ROUND(IF(B17="еж",(AE16+AK18+AK16-AG16)/BC16,(AE16+AK18+AK16-AG16)/BC16),0),"--")</f>
        <v>14</v>
      </c>
      <c r="T18" s="197"/>
      <c r="U18" s="197"/>
      <c r="V18" s="197"/>
      <c r="W18" s="197"/>
      <c r="X18" s="197"/>
      <c r="Y18" s="197"/>
      <c r="Z18" s="197"/>
      <c r="AA18" s="197"/>
      <c r="AB18" s="197"/>
      <c r="AC18" s="200"/>
      <c r="AD18" s="200"/>
      <c r="AE18" s="187">
        <f t="shared" ref="AE18" si="2">SUM(C18:R18,C20:R20)</f>
        <v>7.1527777777777795</v>
      </c>
      <c r="AF18" s="203"/>
      <c r="AG18" s="206"/>
      <c r="AH18" s="181"/>
      <c r="AI18" s="192"/>
      <c r="AJ18" s="192"/>
      <c r="AK18" s="187">
        <f>SUMIF(C17:R17:C19:R19,"ск",C18:R18:C20:R20)</f>
        <v>0</v>
      </c>
      <c r="AL18" s="181"/>
      <c r="AM18" s="181"/>
      <c r="AN18" s="181"/>
      <c r="AO18" s="187">
        <f>SUMIF(C17:R17:C19:R19,"у",C18:R18:C20:R20)+SUMIF(C17:R17:C19:R19,"убз",C18:R18:C20:R20)</f>
        <v>0</v>
      </c>
      <c r="AP18" s="107"/>
      <c r="AQ18" s="108">
        <v>2001</v>
      </c>
      <c r="AR18" s="108">
        <v>1911</v>
      </c>
      <c r="AS18" s="271"/>
      <c r="AT18" s="274"/>
      <c r="AU18" s="265"/>
      <c r="AV18" s="262"/>
      <c r="AW18" s="265"/>
      <c r="AX18" s="268"/>
      <c r="AY18" s="36"/>
      <c r="AZ18" s="188">
        <f t="shared" ref="AZ18" si="3">DAY(EOMONTH($C$8,0))</f>
        <v>31</v>
      </c>
      <c r="BC18" s="56"/>
      <c r="BD18" s="60" t="s">
        <v>99</v>
      </c>
      <c r="BE18" s="186">
        <f>COUNTIF(C17:R17:C19:R19,"я")*1+COUNTIF(C17:R17:C19:R19,"нс")*1+COUNTIF(C17:R17:C19:R19,"нсп")*1+COUNTIF(C17:R17:C19:R19,"нп")*1+COUNTIF(C17:R17:C19:R19,"яп")*1+COUNTIF(C17:R17:C19:R19,"н")*1+COUNTIF(C17:R17:C19:R19,"к")*1+COUNTIF(C17:R17:C19:R19,"ск")*1+COUNTIF(C17:R17:C19:R19,"оп")*1+COUNTIF(C17:R17:C19:R19,"ух")*1+COUNTIF(C17:R17:C19:R19,"я/н")*1</f>
        <v>13</v>
      </c>
      <c r="BF18" s="197"/>
      <c r="BG18" s="197"/>
      <c r="BH18" s="197"/>
      <c r="BI18" s="197"/>
      <c r="BJ18" s="197"/>
      <c r="BK18" s="197"/>
      <c r="BL18" s="197"/>
      <c r="BM18" s="197"/>
      <c r="BN18" s="197"/>
    </row>
    <row r="19" spans="2:66" ht="15" customHeight="1">
      <c r="B19" s="32"/>
      <c r="C19" s="33" t="s">
        <v>69</v>
      </c>
      <c r="D19" s="33" t="s">
        <v>80</v>
      </c>
      <c r="E19" s="33" t="s">
        <v>80</v>
      </c>
      <c r="F19" s="33" t="s">
        <v>68</v>
      </c>
      <c r="G19" s="33" t="s">
        <v>69</v>
      </c>
      <c r="H19" s="33" t="s">
        <v>80</v>
      </c>
      <c r="I19" s="33" t="s">
        <v>80</v>
      </c>
      <c r="J19" s="33" t="s">
        <v>68</v>
      </c>
      <c r="K19" s="33" t="s">
        <v>148</v>
      </c>
      <c r="L19" s="33" t="s">
        <v>148</v>
      </c>
      <c r="M19" s="33" t="s">
        <v>150</v>
      </c>
      <c r="N19" s="33" t="s">
        <v>150</v>
      </c>
      <c r="O19" s="33" t="s">
        <v>150</v>
      </c>
      <c r="P19" s="33" t="s">
        <v>148</v>
      </c>
      <c r="Q19" s="33" t="s">
        <v>148</v>
      </c>
      <c r="R19" s="33" t="s">
        <v>148</v>
      </c>
      <c r="S19" s="186"/>
      <c r="T19" s="197"/>
      <c r="U19" s="197"/>
      <c r="V19" s="197"/>
      <c r="W19" s="197"/>
      <c r="X19" s="197"/>
      <c r="Y19" s="197"/>
      <c r="Z19" s="197"/>
      <c r="AA19" s="197"/>
      <c r="AB19" s="197"/>
      <c r="AC19" s="200"/>
      <c r="AD19" s="200"/>
      <c r="AE19" s="187"/>
      <c r="AF19" s="203"/>
      <c r="AG19" s="206"/>
      <c r="AH19" s="181"/>
      <c r="AI19" s="192"/>
      <c r="AJ19" s="192"/>
      <c r="AK19" s="187"/>
      <c r="AL19" s="181"/>
      <c r="AM19" s="181"/>
      <c r="AN19" s="181"/>
      <c r="AO19" s="187"/>
      <c r="AP19" s="107"/>
      <c r="AQ19" s="108"/>
      <c r="AR19" s="108"/>
      <c r="AS19" s="271"/>
      <c r="AT19" s="274"/>
      <c r="AU19" s="265"/>
      <c r="AV19" s="262"/>
      <c r="AW19" s="265"/>
      <c r="AX19" s="268"/>
      <c r="AY19" s="36"/>
      <c r="AZ19" s="189"/>
      <c r="BC19" s="56"/>
      <c r="BD19" s="60" t="s">
        <v>100</v>
      </c>
      <c r="BE19" s="186"/>
      <c r="BF19" s="197"/>
      <c r="BG19" s="197"/>
      <c r="BH19" s="197"/>
      <c r="BI19" s="197"/>
      <c r="BJ19" s="197"/>
      <c r="BK19" s="197"/>
      <c r="BL19" s="197"/>
      <c r="BM19" s="197"/>
      <c r="BN19" s="197"/>
    </row>
    <row r="20" spans="2:66" ht="15" customHeight="1">
      <c r="B20" s="32"/>
      <c r="C20" s="35">
        <v>0.47222222222222227</v>
      </c>
      <c r="D20" s="35">
        <v>0.16666666666666666</v>
      </c>
      <c r="E20" s="35">
        <v>0.30555555555555552</v>
      </c>
      <c r="F20" s="35"/>
      <c r="G20" s="35">
        <v>0.47222222222222227</v>
      </c>
      <c r="H20" s="35">
        <v>0.16666666666666666</v>
      </c>
      <c r="I20" s="35">
        <v>0.30555555555555552</v>
      </c>
      <c r="J20" s="35"/>
      <c r="K20" s="35">
        <v>0.29166666666666669</v>
      </c>
      <c r="L20" s="35">
        <v>0.20833333333333334</v>
      </c>
      <c r="M20" s="35"/>
      <c r="N20" s="35">
        <v>0.29166666666666669</v>
      </c>
      <c r="O20" s="35">
        <v>0.29166666666666669</v>
      </c>
      <c r="P20" s="35">
        <v>0.29166666666666669</v>
      </c>
      <c r="Q20" s="35">
        <v>0.29166666666666669</v>
      </c>
      <c r="R20" s="35">
        <v>0.29166666666666669</v>
      </c>
      <c r="S20" s="186"/>
      <c r="T20" s="198"/>
      <c r="U20" s="198"/>
      <c r="V20" s="198"/>
      <c r="W20" s="198"/>
      <c r="X20" s="198"/>
      <c r="Y20" s="198"/>
      <c r="Z20" s="198"/>
      <c r="AA20" s="198"/>
      <c r="AB20" s="198"/>
      <c r="AC20" s="201"/>
      <c r="AD20" s="201"/>
      <c r="AE20" s="187"/>
      <c r="AF20" s="204"/>
      <c r="AG20" s="207"/>
      <c r="AH20" s="182"/>
      <c r="AI20" s="193"/>
      <c r="AJ20" s="193"/>
      <c r="AK20" s="187"/>
      <c r="AL20" s="182"/>
      <c r="AM20" s="182"/>
      <c r="AN20" s="182"/>
      <c r="AO20" s="187"/>
      <c r="AP20" s="107"/>
      <c r="AQ20" s="108"/>
      <c r="AR20" s="108"/>
      <c r="AS20" s="272"/>
      <c r="AT20" s="275"/>
      <c r="AU20" s="266"/>
      <c r="AV20" s="263"/>
      <c r="AW20" s="266"/>
      <c r="AX20" s="269"/>
      <c r="AY20" s="36"/>
      <c r="AZ20" s="190"/>
      <c r="BC20" s="56"/>
      <c r="BD20" s="60" t="s">
        <v>101</v>
      </c>
      <c r="BE20" s="186"/>
      <c r="BF20" s="198"/>
      <c r="BG20" s="198"/>
      <c r="BH20" s="198"/>
      <c r="BI20" s="198"/>
      <c r="BJ20" s="198"/>
      <c r="BK20" s="198"/>
      <c r="BL20" s="198"/>
      <c r="BM20" s="198"/>
      <c r="BN20" s="198"/>
    </row>
    <row r="21" spans="2:66" ht="32.1" customHeight="1">
      <c r="B21" s="28" t="s">
        <v>138</v>
      </c>
      <c r="C21" s="29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1"/>
      <c r="S21" s="194">
        <f>IFERROR(S23-COUNTIF(C22:R22:C24:R24,"к")*1,"--")</f>
        <v>9</v>
      </c>
      <c r="T21" s="196">
        <f>COUNTIF(C22:R22:C24:R24,"п")*1</f>
        <v>0</v>
      </c>
      <c r="U21" s="196">
        <f>COUNTIF(C22:R22:C24:R24,"о")*1</f>
        <v>0</v>
      </c>
      <c r="V21" s="196">
        <f>COUNTIF(C22:R22:C24:R24,"у")*1+COUNTIF(C22:R22:C24:R24,"убз")*1</f>
        <v>0</v>
      </c>
      <c r="W21" s="196">
        <f>COUNTIF(C22:R22:C24:R24,"р")*1</f>
        <v>0</v>
      </c>
      <c r="X21" s="196">
        <f>COUNTIF(C22:R22:C24:R24,"б")*1+COUNTIF(C22:R22:C24:R24,"нб")*1</f>
        <v>0</v>
      </c>
      <c r="Y21" s="196">
        <f>COUNTIF(C22:R22:C24:R24,"д")*1+COUNTIF(C22:R22:C24:R24,"гч")*1+COUNTIF(C22:R22:C24:R24,"мо")*1+COUNTIF(C22:R22:C24:R24,"дм")*1+COUNTIF(C22:R22:C24:R24,"х")*1+COUNTIF(C22:R22:C24:R24,"ож")*1+COUNTIF(C22:R22:C24:R24,"г")*1+COUNTIF(C22:R22:C24:R24,"гб")*1+COUNTIF(C22:R22:C24:R24,"гс")*1+COUNTIF(C22:R22:C24:R24,"х")*1+COUNTIF(C22:R22:C24:R24,"сх")*1+COUNTIF(C22:R22:C24:R24,"нр")*1++COUNTIF(C22:R22:C24:R24,"га")*1</f>
        <v>0</v>
      </c>
      <c r="Z21" s="196">
        <f>COUNTIF(C22:R22:C24:R24,"а")*1+COUNTIF(C22:R22:C24:R24,"оа")*1+COUNTIF(C22:R22:C24:R24,"оад")*1+COUNTIF(C22:R22:C24:R24,"ск")*1</f>
        <v>19</v>
      </c>
      <c r="AA21" s="196">
        <f>COUNTIF(C22:R22:C24:R24,"пр")*1+COUNTIF(C22:R22:C24:R24,"нн")*1+COUNTIF(C22:R22:C24:R24,"аа")*1</f>
        <v>0</v>
      </c>
      <c r="AB21" s="196">
        <f t="shared" ref="AB21" si="4">IFERROR(AZ23-S23-T21-U21-V21-W21-X21-Y21-Z21-AA21-BA21,"--")</f>
        <v>3</v>
      </c>
      <c r="AC21" s="199">
        <f>SUMIF(C22:R22:C24:R24,"нм",C23:R23:C25:R25)+SUMIF(C22:R22:C24:R24,"вп",C23:R23:C25:R25)</f>
        <v>0</v>
      </c>
      <c r="AD21" s="199">
        <f>SUMIF(C22:R22:C24:R24,"оп",C23:R23:C25:R25)+SUMIF(C22:R22:C24:R24,"ух",C23:R23:C25:R25)</f>
        <v>0</v>
      </c>
      <c r="AE21" s="183">
        <f>AE23-AK21-AK23-SUMIF(C22:R22:C24:R24,"п",C23:R23:C25:R25)-SUMIF(C22:R22:C24:R24,"о",C23:R23:C25:R25)-SUMIF(C22:R22:C24:R24,"у",C23:R23:C25:R25)-SUMIF(C22:R22:C24:R24,"убз",C23:R23:C25:R25)-SUMIF(C22:R22:C24:R24,"р",C23:R23:C25:R25)-SUMIF(C22:R22:C24:R24,"б",C23:R23:C25:R25)-SUMIF(C22:R22:C24:R24,"т",C23:R23:C25:R25)-SUMIF(C22:R22:C24:R24,"ож",C23:R23:C25:R25)-SUMIF(C22:R22:C24:R24,"г",C23:R23:C25:R25)-SUMIF(C22:R22:C24:R24,"гч",C23:R23:C25:R25)-SUMIF(C22:R22:C24:R24,"гб",C23:R23:C25:R25)-SUMIF(C22:R22:C24:R24,"гс",C23:R23:C25:R25)-SUMIF(C22:R22:C24:R24,"мо",C23:R23:C25:R25)-SUMIF(C22:R22:C24:R24,"д",C23:R23:C25:R25)-SUMIF(C22:R22:C24:R24,"дм",C23:R23:C25:R25)-SUMIF(C22:R22:C24:R24,"до",C23:R23:C25:R25)-SUMIF(C22:R22:C24:R24,"нр",C23:R23:C25:R25)-SUMIF(C22:R22:C24:R24,"сх",C23:R23:C25:R25)-SUMIF(C22:R22:C24:R24,"х",C23:R23:C25:R25)-SUMIF(C22:R22:C24:R24,"а",C23:R23:C25:R25)-SUMIF(C22:R22:C24:R24,"оа",C23:R23:C25:R25)-SUMIF(C22:R22:C24:R24,"оад",C23:R23:C25:R25)-SUMIF(C22:R22:C24:R24,"нн",C23:R23:C25:R25)-SUMIF(C22:R22:C24:R24,"пр",C23:R23:C25:R25)-SUMIF(C22:R22:C24:R24,"вп",C23:R23:C25:R25)-SUMIF(C22:R22:C24:R24,"нм",C23:R23:C25:R25)-SUMIF(C22:R22:C24:R24,"оп",C23:R23:C25:R25)-SUMIF(C22:R22:C24:R24,"ух",C23:R23:C25:R25)-SUMIF(C22:R22:C24:R24,"в",C23:R23:C25:R25)-SUMIF(C22:R22:C24:R24,"нб",C23:R23:C25:R25)</f>
        <v>2.3611111111111125</v>
      </c>
      <c r="AF21" s="202"/>
      <c r="AG21" s="205"/>
      <c r="AH21" s="180">
        <f>SUMIF(C22:R22:C24:R24,"нс",C23:R23:C25:R25)+SUMIF(C22:R22:C24:R24,"н",C23:R23:C25:R25)+SUMIF(C22:R22:C24:R24,"нсп",C23:R23:C25:R25)+SUMIF(C22:R22:C24:R24,"нп",C23:R23:C25:R25)</f>
        <v>1.4166666666666667</v>
      </c>
      <c r="AI21" s="191">
        <f>AE21</f>
        <v>2.3611111111111125</v>
      </c>
      <c r="AJ21" s="191"/>
      <c r="AK21" s="183">
        <f>SUMIF(C22:R22:C24:R24,"К",C23:R23:C25:R25)</f>
        <v>0</v>
      </c>
      <c r="AL21" s="180">
        <f>SUMIF(C22:R22:C24:R24,"яп",C23:R23:C25:R25)+SUMIF(C22:R22:C24:R24,"нп",C23:R23:C25:R25)+SUMIF(C22:R22:C24:R24,"нсп",C23:R23:C25:R25)+SUMIF(C22:R22:C24:R24,"рп",C23:R23:C25:R25)</f>
        <v>0</v>
      </c>
      <c r="AM21" s="180">
        <f>SUMIF(C22:R22:C24:R24,"ст",C23:R23:C25:R25)</f>
        <v>0</v>
      </c>
      <c r="AN21" s="180">
        <f>SUMIF(C22:R22:C24:R24,"б",C23:R23:C25:R25)+SUMIF(C22:R22:C24:R24,"р",C23:R23:C25:R25)+SUMIF(C22:R22:C24:R24,"нб",C23:R23:C25:R25)</f>
        <v>0</v>
      </c>
      <c r="AO21" s="183">
        <f>SUMIF(C22:R22:C24:R24,"о",C23:R23:C25:R25)</f>
        <v>0</v>
      </c>
      <c r="AP21" s="107">
        <v>4</v>
      </c>
      <c r="AQ21" s="108">
        <v>2001</v>
      </c>
      <c r="AR21" s="108">
        <v>1621</v>
      </c>
      <c r="AS21" s="270" t="s">
        <v>143</v>
      </c>
      <c r="AT21" s="273" t="s">
        <v>144</v>
      </c>
      <c r="AU21" s="264">
        <v>5</v>
      </c>
      <c r="AV21" s="261">
        <v>3893</v>
      </c>
      <c r="AW21" s="264">
        <v>5</v>
      </c>
      <c r="AX21" s="267"/>
      <c r="AY21" s="36"/>
      <c r="AZ21" s="184">
        <f>AZ23-COUNTIF(C22:R22:C24:R24,"--")*1-COUNTIF(C22:R22:C24:R24,"убз")*1-COUNTIF(C22:R22:C24:R24,"р")*1-COUNTIF(C22:R22:C24:R24,"ож")*1-COUNTIF(C22:R22:C24:R24,"д")*1-COUNTIF(C22:R22:C24:R24,"гс")*1-COUNTIF(C22:R22:C24:R24,"б")*1-COUNTIF(C22:R22:C24:R24,"нб")*1-COUNTIF(C22:R22:C24:R24,"х")*1-COUNTIF(C22:R22:C24:R24,"дм")*1-COUNTIF(C22:R22:C24:R24,"а")*1-COUNTIF(C22:R22:C24:R24,"аа")*1--COUNTIF(C22:R22:C24:R24,"га")*1</f>
        <v>12</v>
      </c>
      <c r="BA21" s="1">
        <f>(COUNTIF(C22:R22:C24:R24,"--")*1)</f>
        <v>0</v>
      </c>
      <c r="BB21" s="1">
        <f t="shared" ref="BB21" si="5">IF(B21&gt;0,1,0)</f>
        <v>1</v>
      </c>
      <c r="BC21" s="56">
        <f>IF(B22="еж",$BC$9,IF(B22="см",$BC$8,0))</f>
        <v>0.27777777777777779</v>
      </c>
      <c r="BD21" s="60" t="s">
        <v>102</v>
      </c>
      <c r="BE21" s="194">
        <f>COUNTIF(C22:R22:C24:R24,"я")*1+COUNTIF(C22:R22:C24:R24,"нс")*1+COUNTIF(C22:R22:C24:R24,"нсп")*1+COUNTIF(C22:R22:C24:R24,"нп")*1+COUNTIF(C22:R22:C24:R24,"яп")*1+COUNTIF(C22:R22:C24:R24,"н")*1+COUNTIF(C22:R22:C24:R24,"ян")*1++COUNTIF(C22:R22:C24:R24,"оп")*1+COUNTIF(C22:R22:C24:R24,"ух")*1+COUNTIF(C22:R22:C24:R24,"я/н")*1</f>
        <v>8</v>
      </c>
      <c r="BF21" s="196">
        <f>COUNTIF(C22:R22:C24:R24,"п")*1</f>
        <v>0</v>
      </c>
      <c r="BG21" s="196">
        <f>COUNTIF(C22:R22:C24:R24,"о")*1</f>
        <v>0</v>
      </c>
      <c r="BH21" s="196">
        <f>COUNTIF(C22:R22:C24:R24,"у")*1+COUNTIF(C22:R22:C24:R24,"убз")*1</f>
        <v>0</v>
      </c>
      <c r="BI21" s="196">
        <f>COUNTIF(C22:R22:C24:R24,"р")*1</f>
        <v>0</v>
      </c>
      <c r="BJ21" s="196">
        <f>COUNTIF(C22:R22:C24:R24,"б")*1+COUNTIF(C22:R22:C24:R24,"нб")*1</f>
        <v>0</v>
      </c>
      <c r="BK21" s="196">
        <f>COUNTIF(C22:R22:C24:R24,"д")*1+COUNTIF(C22:R22:C24:R24,"гч")*1+COUNTIF(C22:R22:C24:R24,"мо")*1+COUNTIF(C22:R22:C24:R24,"дм")*1+COUNTIF(C22:R22:C24:R24,"х")*1+COUNTIF(C22:R22:C24:R24,"ож")*1+COUNTIF(C22:R22:C24:R24,"г")*1+COUNTIF(C22:R22:C24:R24,"гб")*1+COUNTIF(C22:R22:C24:R24,"гс")*1+COUNTIF(C22:R22:C24:R24,"х")*1+COUNTIF(C22:R22:C24:R24,"сх")*1+COUNTIF(C22:R22:C24:R24,"нр")*1++COUNTIF(C22:R22:C24:R24,"га")*1</f>
        <v>0</v>
      </c>
      <c r="BL21" s="196">
        <f>COUNTIF(C22:R22:C24:R24,"а")*1+COUNTIF(C22:R22:C24:R24,"оа")*1+COUNTIF(C22:R22:C24:R24,"оад")*1</f>
        <v>19</v>
      </c>
      <c r="BM21" s="196">
        <f>COUNTIF(C22:R22:C24:R24,"пр")*1+COUNTIF(C22:R22:C24:R24,"нн")*1+COUNTIF(C22:R22:C24:R24,"аа")*1</f>
        <v>0</v>
      </c>
      <c r="BN21" s="196">
        <f>COUNTIF(C22:R22:C24:R24,"в")*1+COUNTIF(C22:R22:C24:R24,"сд")*1+COUNTIF(C22:R22:C24:R24,"до")*1</f>
        <v>4</v>
      </c>
    </row>
    <row r="22" spans="2:66" ht="15" customHeight="1">
      <c r="B22" s="32" t="s">
        <v>82</v>
      </c>
      <c r="C22" s="33" t="s">
        <v>80</v>
      </c>
      <c r="D22" s="33" t="s">
        <v>80</v>
      </c>
      <c r="E22" s="33" t="s">
        <v>68</v>
      </c>
      <c r="F22" s="33" t="s">
        <v>149</v>
      </c>
      <c r="G22" s="33" t="s">
        <v>149</v>
      </c>
      <c r="H22" s="33" t="s">
        <v>149</v>
      </c>
      <c r="I22" s="33" t="s">
        <v>149</v>
      </c>
      <c r="J22" s="33" t="s">
        <v>149</v>
      </c>
      <c r="K22" s="33" t="s">
        <v>149</v>
      </c>
      <c r="L22" s="33" t="s">
        <v>149</v>
      </c>
      <c r="M22" s="33" t="s">
        <v>149</v>
      </c>
      <c r="N22" s="33" t="s">
        <v>149</v>
      </c>
      <c r="O22" s="33" t="s">
        <v>149</v>
      </c>
      <c r="P22" s="33" t="s">
        <v>149</v>
      </c>
      <c r="Q22" s="33" t="s">
        <v>149</v>
      </c>
      <c r="R22" s="33"/>
      <c r="S22" s="195"/>
      <c r="T22" s="197"/>
      <c r="U22" s="197"/>
      <c r="V22" s="197"/>
      <c r="W22" s="197"/>
      <c r="X22" s="197"/>
      <c r="Y22" s="197"/>
      <c r="Z22" s="197"/>
      <c r="AA22" s="197"/>
      <c r="AB22" s="197"/>
      <c r="AC22" s="200"/>
      <c r="AD22" s="200"/>
      <c r="AE22" s="183"/>
      <c r="AF22" s="203"/>
      <c r="AG22" s="206"/>
      <c r="AH22" s="181"/>
      <c r="AI22" s="192"/>
      <c r="AJ22" s="192"/>
      <c r="AK22" s="183"/>
      <c r="AL22" s="181"/>
      <c r="AM22" s="181"/>
      <c r="AN22" s="181"/>
      <c r="AO22" s="183"/>
      <c r="AP22" s="107"/>
      <c r="AQ22" s="108">
        <v>2001</v>
      </c>
      <c r="AR22" s="108">
        <v>2051</v>
      </c>
      <c r="AS22" s="271"/>
      <c r="AT22" s="274"/>
      <c r="AU22" s="265"/>
      <c r="AV22" s="262"/>
      <c r="AW22" s="265"/>
      <c r="AX22" s="268"/>
      <c r="AY22" s="36"/>
      <c r="AZ22" s="185"/>
      <c r="BC22" s="56"/>
      <c r="BD22" s="60" t="s">
        <v>103</v>
      </c>
      <c r="BE22" s="195"/>
      <c r="BF22" s="197"/>
      <c r="BG22" s="197"/>
      <c r="BH22" s="197"/>
      <c r="BI22" s="197"/>
      <c r="BJ22" s="197"/>
      <c r="BK22" s="197"/>
      <c r="BL22" s="197"/>
      <c r="BM22" s="197"/>
      <c r="BN22" s="197"/>
    </row>
    <row r="23" spans="2:66" ht="15" customHeight="1">
      <c r="B23" s="34"/>
      <c r="C23" s="35">
        <v>0.16666666666666666</v>
      </c>
      <c r="D23" s="35">
        <v>0.30555555555555552</v>
      </c>
      <c r="E23" s="35"/>
      <c r="F23" s="35">
        <v>0.47222222222222227</v>
      </c>
      <c r="G23" s="35">
        <v>0.16666666666666666</v>
      </c>
      <c r="H23" s="35">
        <v>0.30555555555555552</v>
      </c>
      <c r="I23" s="35"/>
      <c r="J23" s="35">
        <v>0.47222222222222227</v>
      </c>
      <c r="K23" s="35">
        <v>0.16666666666666666</v>
      </c>
      <c r="L23" s="35">
        <v>0.30555555555555552</v>
      </c>
      <c r="M23" s="35"/>
      <c r="N23" s="35">
        <v>0.47222222222222227</v>
      </c>
      <c r="O23" s="35">
        <v>0.16666666666666666</v>
      </c>
      <c r="P23" s="35">
        <v>0.30555555555555552</v>
      </c>
      <c r="Q23" s="35"/>
      <c r="R23" s="35"/>
      <c r="S23" s="186">
        <f>IFERROR(ROUND(IF(B22="еж",(AE21+AK23+AK21-AG21)/BC21,(AE21+AK23+AK21-AG21)/BC21),0),"--")</f>
        <v>9</v>
      </c>
      <c r="T23" s="197"/>
      <c r="U23" s="197"/>
      <c r="V23" s="197"/>
      <c r="W23" s="197"/>
      <c r="X23" s="197"/>
      <c r="Y23" s="197"/>
      <c r="Z23" s="197"/>
      <c r="AA23" s="197"/>
      <c r="AB23" s="197"/>
      <c r="AC23" s="200"/>
      <c r="AD23" s="200"/>
      <c r="AE23" s="187">
        <f t="shared" ref="AE23" si="6">SUM(C23:R23,C25:R25)</f>
        <v>7.0833333333333339</v>
      </c>
      <c r="AF23" s="203"/>
      <c r="AG23" s="206"/>
      <c r="AH23" s="181"/>
      <c r="AI23" s="192"/>
      <c r="AJ23" s="192"/>
      <c r="AK23" s="187">
        <f>SUMIF(C22:R22:C24:R24,"ск",C23:R23:C25:R25)</f>
        <v>0</v>
      </c>
      <c r="AL23" s="181"/>
      <c r="AM23" s="181"/>
      <c r="AN23" s="181"/>
      <c r="AO23" s="187">
        <f>SUMIF(C22:R22:C24:R24,"у",C23:R23:C25:R25)+SUMIF(C22:R22:C24:R24,"убз",C23:R23:C25:R25)</f>
        <v>0</v>
      </c>
      <c r="AP23" s="107"/>
      <c r="AQ23" s="108">
        <v>2001</v>
      </c>
      <c r="AR23" s="108">
        <v>1911</v>
      </c>
      <c r="AS23" s="271"/>
      <c r="AT23" s="274"/>
      <c r="AU23" s="265"/>
      <c r="AV23" s="262"/>
      <c r="AW23" s="265"/>
      <c r="AX23" s="268"/>
      <c r="AY23" s="36"/>
      <c r="AZ23" s="188">
        <f t="shared" ref="AZ23" si="7">DAY(EOMONTH($C$8,0))</f>
        <v>31</v>
      </c>
      <c r="BA23" s="44"/>
      <c r="BC23" s="56"/>
      <c r="BD23" s="60" t="s">
        <v>104</v>
      </c>
      <c r="BE23" s="186">
        <f>COUNTIF(C22:R22:C24:R24,"я")*1+COUNTIF(C22:R22:C24:R24,"нс")*1+COUNTIF(C22:R22:C24:R24,"нсп")*1+COUNTIF(C22:R22:C24:R24,"нп")*1+COUNTIF(C22:R22:C24:R24,"яп")*1+COUNTIF(C22:R22:C24:R24,"н")*1+COUNTIF(C22:R22:C24:R24,"к")*1+COUNTIF(C22:R22:C24:R24,"ск")*1+COUNTIF(C22:R22:C24:R24,"оп")*1+COUNTIF(C22:R22:C24:R24,"ух")*1+COUNTIF(C22:R22:C24:R24,"я/н")*1</f>
        <v>8</v>
      </c>
      <c r="BF23" s="197"/>
      <c r="BG23" s="197"/>
      <c r="BH23" s="197"/>
      <c r="BI23" s="197"/>
      <c r="BJ23" s="197"/>
      <c r="BK23" s="197"/>
      <c r="BL23" s="197"/>
      <c r="BM23" s="197"/>
      <c r="BN23" s="197"/>
    </row>
    <row r="24" spans="2:66" ht="15" customHeight="1">
      <c r="B24" s="32"/>
      <c r="C24" s="33" t="s">
        <v>149</v>
      </c>
      <c r="D24" s="33" t="s">
        <v>149</v>
      </c>
      <c r="E24" s="33" t="s">
        <v>149</v>
      </c>
      <c r="F24" s="33" t="s">
        <v>149</v>
      </c>
      <c r="G24" s="33" t="s">
        <v>149</v>
      </c>
      <c r="H24" s="33" t="s">
        <v>149</v>
      </c>
      <c r="I24" s="33" t="s">
        <v>149</v>
      </c>
      <c r="J24" s="33" t="s">
        <v>68</v>
      </c>
      <c r="K24" s="33" t="s">
        <v>69</v>
      </c>
      <c r="L24" s="33" t="s">
        <v>80</v>
      </c>
      <c r="M24" s="33" t="s">
        <v>80</v>
      </c>
      <c r="N24" s="33" t="s">
        <v>68</v>
      </c>
      <c r="O24" s="33" t="s">
        <v>69</v>
      </c>
      <c r="P24" s="33" t="s">
        <v>80</v>
      </c>
      <c r="Q24" s="33" t="s">
        <v>80</v>
      </c>
      <c r="R24" s="33" t="s">
        <v>68</v>
      </c>
      <c r="S24" s="186"/>
      <c r="T24" s="197"/>
      <c r="U24" s="197"/>
      <c r="V24" s="197"/>
      <c r="W24" s="197"/>
      <c r="X24" s="197"/>
      <c r="Y24" s="197"/>
      <c r="Z24" s="197"/>
      <c r="AA24" s="197"/>
      <c r="AB24" s="197"/>
      <c r="AC24" s="200"/>
      <c r="AD24" s="200"/>
      <c r="AE24" s="187"/>
      <c r="AF24" s="203"/>
      <c r="AG24" s="206"/>
      <c r="AH24" s="181"/>
      <c r="AI24" s="192"/>
      <c r="AJ24" s="192"/>
      <c r="AK24" s="187"/>
      <c r="AL24" s="181"/>
      <c r="AM24" s="181"/>
      <c r="AN24" s="181"/>
      <c r="AO24" s="187"/>
      <c r="AP24" s="107"/>
      <c r="AQ24" s="108"/>
      <c r="AR24" s="108"/>
      <c r="AS24" s="271"/>
      <c r="AT24" s="274"/>
      <c r="AU24" s="265"/>
      <c r="AV24" s="262"/>
      <c r="AW24" s="265"/>
      <c r="AX24" s="268"/>
      <c r="AY24" s="36"/>
      <c r="AZ24" s="189"/>
      <c r="BC24" s="56"/>
      <c r="BD24" s="60" t="s">
        <v>105</v>
      </c>
      <c r="BE24" s="186"/>
      <c r="BF24" s="197"/>
      <c r="BG24" s="197"/>
      <c r="BH24" s="197"/>
      <c r="BI24" s="197"/>
      <c r="BJ24" s="197"/>
      <c r="BK24" s="197"/>
      <c r="BL24" s="197"/>
      <c r="BM24" s="197"/>
      <c r="BN24" s="197"/>
    </row>
    <row r="25" spans="2:66" ht="15" customHeight="1">
      <c r="B25" s="32"/>
      <c r="C25" s="35">
        <v>0.47222222222222227</v>
      </c>
      <c r="D25" s="35">
        <v>0.16666666666666666</v>
      </c>
      <c r="E25" s="35">
        <v>0.30555555555555552</v>
      </c>
      <c r="F25" s="35"/>
      <c r="G25" s="35">
        <v>0.47222222222222227</v>
      </c>
      <c r="H25" s="35">
        <v>0.16666666666666666</v>
      </c>
      <c r="I25" s="35">
        <v>0.30555555555555552</v>
      </c>
      <c r="J25" s="35"/>
      <c r="K25" s="35">
        <v>0.47222222222222227</v>
      </c>
      <c r="L25" s="35">
        <v>0.16666666666666666</v>
      </c>
      <c r="M25" s="35">
        <v>0.30555555555555552</v>
      </c>
      <c r="N25" s="35"/>
      <c r="O25" s="35">
        <v>0.47222222222222227</v>
      </c>
      <c r="P25" s="35">
        <v>0.16666666666666666</v>
      </c>
      <c r="Q25" s="35">
        <v>0.30555555555555552</v>
      </c>
      <c r="R25" s="35"/>
      <c r="S25" s="186"/>
      <c r="T25" s="198"/>
      <c r="U25" s="198"/>
      <c r="V25" s="198"/>
      <c r="W25" s="198"/>
      <c r="X25" s="198"/>
      <c r="Y25" s="198"/>
      <c r="Z25" s="198"/>
      <c r="AA25" s="198"/>
      <c r="AB25" s="198"/>
      <c r="AC25" s="201"/>
      <c r="AD25" s="201"/>
      <c r="AE25" s="187"/>
      <c r="AF25" s="204"/>
      <c r="AG25" s="207"/>
      <c r="AH25" s="182"/>
      <c r="AI25" s="193"/>
      <c r="AJ25" s="193"/>
      <c r="AK25" s="187"/>
      <c r="AL25" s="182"/>
      <c r="AM25" s="182"/>
      <c r="AN25" s="182"/>
      <c r="AO25" s="187"/>
      <c r="AP25" s="107"/>
      <c r="AQ25" s="108"/>
      <c r="AR25" s="108"/>
      <c r="AS25" s="272"/>
      <c r="AT25" s="275"/>
      <c r="AU25" s="266"/>
      <c r="AV25" s="263"/>
      <c r="AW25" s="266"/>
      <c r="AX25" s="269"/>
      <c r="AY25" s="36"/>
      <c r="AZ25" s="190"/>
      <c r="BC25" s="56"/>
      <c r="BD25" s="60" t="s">
        <v>106</v>
      </c>
      <c r="BE25" s="186"/>
      <c r="BF25" s="198"/>
      <c r="BG25" s="198"/>
      <c r="BH25" s="198"/>
      <c r="BI25" s="198"/>
      <c r="BJ25" s="198"/>
      <c r="BK25" s="198"/>
      <c r="BL25" s="198"/>
      <c r="BM25" s="198"/>
      <c r="BN25" s="198"/>
    </row>
    <row r="26" spans="2:66" ht="32.1" customHeight="1">
      <c r="B26" s="28" t="s">
        <v>139</v>
      </c>
      <c r="C26" s="29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1"/>
      <c r="S26" s="194">
        <f>IFERROR(S28-COUNTIF(C27:R27:C29:R29,"к")*1,"--")</f>
        <v>17</v>
      </c>
      <c r="T26" s="196">
        <f>COUNTIF(C27:R27:C29:R29,"п")*1</f>
        <v>0</v>
      </c>
      <c r="U26" s="196">
        <f>COUNTIF(C27:R27:C29:R29,"о")*1</f>
        <v>0</v>
      </c>
      <c r="V26" s="196">
        <f>COUNTIF(C27:R27:C29:R29,"у")*1+COUNTIF(C27:R27:C29:R29,"убз")*1</f>
        <v>0</v>
      </c>
      <c r="W26" s="196">
        <f>COUNTIF(C27:R27:C29:R29,"р")*1</f>
        <v>0</v>
      </c>
      <c r="X26" s="196">
        <f>COUNTIF(C27:R27:C29:R29,"б")*1+COUNTIF(C27:R27:C29:R29,"нб")*1</f>
        <v>0</v>
      </c>
      <c r="Y26" s="196">
        <f>COUNTIF(C27:R27:C29:R29,"д")*1+COUNTIF(C27:R27:C29:R29,"гч")*1+COUNTIF(C27:R27:C29:R29,"мо")*1+COUNTIF(C27:R27:C29:R29,"дм")*1+COUNTIF(C27:R27:C29:R29,"х")*1+COUNTIF(C27:R27:C29:R29,"ож")*1+COUNTIF(C27:R27:C29:R29,"г")*1+COUNTIF(C27:R27:C29:R29,"гб")*1+COUNTIF(C27:R27:C29:R29,"гс")*1+COUNTIF(C27:R27:C29:R29,"х")*1+COUNTIF(C27:R27:C29:R29,"сх")*1+COUNTIF(C27:R27:C29:R29,"нр")*1++COUNTIF(C27:R27:C29:R29,"га")*1</f>
        <v>0</v>
      </c>
      <c r="Z26" s="196">
        <f>COUNTIF(C27:R27:C29:R29,"а")*1+COUNTIF(C27:R27:C29:R29,"оа")*1+COUNTIF(C27:R27:C29:R29,"оад")*1+COUNTIF(C27:R27:C29:R29,"ск")*1</f>
        <v>1</v>
      </c>
      <c r="AA26" s="196">
        <f>COUNTIF(C27:R27:C29:R29,"пр")*1+COUNTIF(C27:R27:C29:R29,"нн")*1+COUNTIF(C27:R27:C29:R29,"аа")*1</f>
        <v>0</v>
      </c>
      <c r="AB26" s="196">
        <f t="shared" ref="AB26" si="8">IFERROR(AZ28-S28-T26-U26-V26-W26-X26-Y26-Z26-AA26-BA26,"--")</f>
        <v>13</v>
      </c>
      <c r="AC26" s="199">
        <f>SUMIF(C27:R27:C29:R29,"нм",C28:R28:C30:R30)+SUMIF(C27:R27:C29:R29,"вп",C28:R28:C30:R30)</f>
        <v>0</v>
      </c>
      <c r="AD26" s="199">
        <f>SUMIF(C27:R27:C29:R29,"оп",C28:R28:C30:R30)+SUMIF(C27:R27:C29:R29,"ух",C28:R28:C30:R30)</f>
        <v>0</v>
      </c>
      <c r="AE26" s="183">
        <f>AE28-AK26-AK28-SUMIF(C27:R27:C29:R29,"п",C28:R28:C30:R30)-SUMIF(C27:R27:C29:R29,"о",C28:R28:C30:R30)-SUMIF(C27:R27:C29:R29,"у",C28:R28:C30:R30)-SUMIF(C27:R27:C29:R29,"убз",C28:R28:C30:R30)-SUMIF(C27:R27:C29:R29,"р",C28:R28:C30:R30)-SUMIF(C27:R27:C29:R29,"б",C28:R28:C30:R30)-SUMIF(C27:R27:C29:R29,"т",C28:R28:C30:R30)-SUMIF(C27:R27:C29:R29,"ож",C28:R28:C30:R30)-SUMIF(C27:R27:C29:R29,"г",C28:R28:C30:R30)-SUMIF(C27:R27:C29:R29,"гч",C28:R28:C30:R30)-SUMIF(C27:R27:C29:R29,"гб",C28:R28:C30:R30)-SUMIF(C27:R27:C29:R29,"гс",C28:R28:C30:R30)-SUMIF(C27:R27:C29:R29,"мо",C28:R28:C30:R30)-SUMIF(C27:R27:C29:R29,"д",C28:R28:C30:R30)-SUMIF(C27:R27:C29:R29,"дм",C28:R28:C30:R30)-SUMIF(C27:R27:C29:R29,"до",C28:R28:C30:R30)-SUMIF(C27:R27:C29:R29,"нр",C28:R28:C30:R30)-SUMIF(C27:R27:C29:R29,"сх",C28:R28:C30:R30)-SUMIF(C27:R27:C29:R29,"х",C28:R28:C30:R30)-SUMIF(C27:R27:C29:R29,"а",C28:R28:C30:R30)-SUMIF(C27:R27:C29:R29,"оа",C28:R28:C30:R30)-SUMIF(C27:R27:C29:R29,"оад",C28:R28:C30:R30)-SUMIF(C27:R27:C29:R29,"нн",C28:R28:C30:R30)-SUMIF(C27:R27:C29:R29,"пр",C28:R28:C30:R30)-SUMIF(C27:R27:C29:R29,"вп",C28:R28:C30:R30)-SUMIF(C27:R27:C29:R29,"нм",C28:R28:C30:R30)-SUMIF(C27:R27:C29:R29,"оп",C28:R28:C30:R30)-SUMIF(C27:R27:C29:R29,"ух",C28:R28:C30:R30)-SUMIF(C27:R27:C29:R29,"в",C28:R28:C30:R30)-SUMIF(C27:R27:C29:R29,"нб",C28:R28:C30:R30)</f>
        <v>4.7222222222222214</v>
      </c>
      <c r="AF26" s="202"/>
      <c r="AG26" s="205"/>
      <c r="AH26" s="180">
        <f>SUMIF(C27:R27:C29:R29,"нс",C28:R28:C30:R30)+SUMIF(C27:R27:C29:R29,"н",C28:R28:C30:R30)+SUMIF(C27:R27:C29:R29,"нсп",C28:R28:C30:R30)+SUMIF(C27:R27:C29:R29,"нп",C28:R28:C30:R30)</f>
        <v>2.833333333333333</v>
      </c>
      <c r="AI26" s="191">
        <f>AE26</f>
        <v>4.7222222222222214</v>
      </c>
      <c r="AJ26" s="191"/>
      <c r="AK26" s="183">
        <f>SUMIF(C27:R27:C29:R29,"К",C28:R28:C30:R30)</f>
        <v>0</v>
      </c>
      <c r="AL26" s="180">
        <f>SUMIF(C27:R27:C29:R29,"яп",C28:R28:C30:R30)+SUMIF(C27:R27:C29:R29,"нп",C28:R28:C30:R30)+SUMIF(C27:R27:C29:R29,"нсп",C28:R28:C30:R30)+SUMIF(C27:R27:C29:R29,"рп",C28:R28:C30:R30)</f>
        <v>0</v>
      </c>
      <c r="AM26" s="180">
        <f>SUMIF(C27:R27:C29:R29,"ст",C28:R28:C30:R30)</f>
        <v>0</v>
      </c>
      <c r="AN26" s="180">
        <f>SUMIF(C27:R27:C29:R29,"б",C28:R28:C30:R30)+SUMIF(C27:R27:C29:R29,"р",C28:R28:C30:R30)+SUMIF(C27:R27:C29:R29,"нб",C28:R28:C30:R30)</f>
        <v>0</v>
      </c>
      <c r="AO26" s="183">
        <f>SUMIF(C27:R27:C29:R29,"о",C28:R28:C30:R30)</f>
        <v>0</v>
      </c>
      <c r="AP26" s="107">
        <v>4</v>
      </c>
      <c r="AQ26" s="108">
        <v>2001</v>
      </c>
      <c r="AR26" s="108">
        <v>1621</v>
      </c>
      <c r="AS26" s="270" t="s">
        <v>143</v>
      </c>
      <c r="AT26" s="273" t="s">
        <v>144</v>
      </c>
      <c r="AU26" s="264">
        <v>5</v>
      </c>
      <c r="AV26" s="261">
        <v>3808</v>
      </c>
      <c r="AW26" s="264">
        <v>4</v>
      </c>
      <c r="AX26" s="267"/>
      <c r="AY26" s="36"/>
      <c r="AZ26" s="184">
        <f>AZ28-COUNTIF(C27:R27:C29:R29,"--")*1-COUNTIF(C27:R27:C29:R29,"убз")*1-COUNTIF(C27:R27:C29:R29,"р")*1-COUNTIF(C27:R27:C29:R29,"ож")*1-COUNTIF(C27:R27:C29:R29,"д")*1-COUNTIF(C27:R27:C29:R29,"гс")*1-COUNTIF(C27:R27:C29:R29,"б")*1-COUNTIF(C27:R27:C29:R29,"нб")*1-COUNTIF(C27:R27:C29:R29,"х")*1-COUNTIF(C27:R27:C29:R29,"дм")*1-COUNTIF(C27:R27:C29:R29,"а")*1-COUNTIF(C27:R27:C29:R29,"аа")*1--COUNTIF(C27:R27:C29:R29,"га")*1</f>
        <v>30</v>
      </c>
      <c r="BA26" s="1">
        <f>(COUNTIF(C27:R27:C29:R29,"--")*1)</f>
        <v>0</v>
      </c>
      <c r="BB26" s="1">
        <f t="shared" ref="BB26" si="9">IF(B26&gt;0,1,0)</f>
        <v>1</v>
      </c>
      <c r="BC26" s="56">
        <f>IF(B27="еж",$BC$9,IF(B27="см",$BC$8,0))</f>
        <v>0.27777777777777779</v>
      </c>
      <c r="BD26" s="60" t="s">
        <v>107</v>
      </c>
      <c r="BE26" s="194">
        <f>COUNTIF(C27:R27:C29:R29,"я")*1+COUNTIF(C27:R27:C29:R29,"нс")*1+COUNTIF(C27:R27:C29:R29,"нсп")*1+COUNTIF(C27:R27:C29:R29,"нп")*1+COUNTIF(C27:R27:C29:R29,"яп")*1+COUNTIF(C27:R27:C29:R29,"н")*1+COUNTIF(C27:R27:C29:R29,"ян")*1++COUNTIF(C27:R27:C29:R29,"оп")*1+COUNTIF(C27:R27:C29:R29,"ух")*1+COUNTIF(C27:R27:C29:R29,"я/н")*1</f>
        <v>16</v>
      </c>
      <c r="BF26" s="196">
        <f>COUNTIF(C27:R27:C29:R29,"п")*1</f>
        <v>0</v>
      </c>
      <c r="BG26" s="196">
        <f>COUNTIF(C27:R27:C29:R29,"о")*1</f>
        <v>0</v>
      </c>
      <c r="BH26" s="196">
        <f>COUNTIF(C27:R27:C29:R29,"у")*1+COUNTIF(C27:R27:C29:R29,"убз")*1</f>
        <v>0</v>
      </c>
      <c r="BI26" s="196">
        <f>COUNTIF(C27:R27:C29:R29,"р")*1</f>
        <v>0</v>
      </c>
      <c r="BJ26" s="196">
        <f>COUNTIF(C27:R27:C29:R29,"б")*1+COUNTIF(C27:R27:C29:R29,"нб")*1</f>
        <v>0</v>
      </c>
      <c r="BK26" s="196">
        <f>COUNTIF(C27:R27:C29:R29,"д")*1+COUNTIF(C27:R27:C29:R29,"гч")*1+COUNTIF(C27:R27:C29:R29,"мо")*1+COUNTIF(C27:R27:C29:R29,"дм")*1+COUNTIF(C27:R27:C29:R29,"х")*1+COUNTIF(C27:R27:C29:R29,"ож")*1+COUNTIF(C27:R27:C29:R29,"г")*1+COUNTIF(C27:R27:C29:R29,"гб")*1+COUNTIF(C27:R27:C29:R29,"гс")*1+COUNTIF(C27:R27:C29:R29,"х")*1+COUNTIF(C27:R27:C29:R29,"сх")*1+COUNTIF(C27:R27:C29:R29,"нр")*1++COUNTIF(C27:R27:C29:R29,"га")*1</f>
        <v>0</v>
      </c>
      <c r="BL26" s="196">
        <f>COUNTIF(C27:R27:C29:R29,"а")*1+COUNTIF(C27:R27:C29:R29,"оа")*1+COUNTIF(C27:R27:C29:R29,"оад")*1</f>
        <v>1</v>
      </c>
      <c r="BM26" s="196">
        <f>COUNTIF(C27:R27:C29:R29,"пр")*1+COUNTIF(C27:R27:C29:R29,"нн")*1+COUNTIF(C27:R27:C29:R29,"аа")*1</f>
        <v>0</v>
      </c>
      <c r="BN26" s="196">
        <f>COUNTIF(C27:R27:C29:R29,"в")*1+COUNTIF(C27:R27:C29:R29,"сд")*1+COUNTIF(C27:R27:C29:R29,"до")*1</f>
        <v>14</v>
      </c>
    </row>
    <row r="27" spans="2:66" ht="15" customHeight="1">
      <c r="B27" s="32" t="s">
        <v>82</v>
      </c>
      <c r="C27" s="33" t="s">
        <v>80</v>
      </c>
      <c r="D27" s="33" t="s">
        <v>80</v>
      </c>
      <c r="E27" s="33" t="s">
        <v>149</v>
      </c>
      <c r="F27" s="33" t="s">
        <v>68</v>
      </c>
      <c r="G27" s="33" t="s">
        <v>68</v>
      </c>
      <c r="H27" s="33" t="s">
        <v>68</v>
      </c>
      <c r="I27" s="33" t="s">
        <v>68</v>
      </c>
      <c r="J27" s="33" t="s">
        <v>68</v>
      </c>
      <c r="K27" s="33" t="s">
        <v>68</v>
      </c>
      <c r="L27" s="33" t="s">
        <v>68</v>
      </c>
      <c r="M27" s="33" t="s">
        <v>68</v>
      </c>
      <c r="N27" s="33" t="s">
        <v>68</v>
      </c>
      <c r="O27" s="33" t="s">
        <v>80</v>
      </c>
      <c r="P27" s="33" t="s">
        <v>80</v>
      </c>
      <c r="Q27" s="33" t="s">
        <v>68</v>
      </c>
      <c r="R27" s="33"/>
      <c r="S27" s="195"/>
      <c r="T27" s="197"/>
      <c r="U27" s="197"/>
      <c r="V27" s="197"/>
      <c r="W27" s="197"/>
      <c r="X27" s="197"/>
      <c r="Y27" s="197"/>
      <c r="Z27" s="197"/>
      <c r="AA27" s="197"/>
      <c r="AB27" s="197"/>
      <c r="AC27" s="200"/>
      <c r="AD27" s="200"/>
      <c r="AE27" s="183"/>
      <c r="AF27" s="203"/>
      <c r="AG27" s="206"/>
      <c r="AH27" s="181"/>
      <c r="AI27" s="192"/>
      <c r="AJ27" s="192"/>
      <c r="AK27" s="183"/>
      <c r="AL27" s="181"/>
      <c r="AM27" s="181"/>
      <c r="AN27" s="181"/>
      <c r="AO27" s="183"/>
      <c r="AP27" s="107"/>
      <c r="AQ27" s="108">
        <v>2001</v>
      </c>
      <c r="AR27" s="108">
        <v>2051</v>
      </c>
      <c r="AS27" s="271"/>
      <c r="AT27" s="274"/>
      <c r="AU27" s="265"/>
      <c r="AV27" s="262"/>
      <c r="AW27" s="265"/>
      <c r="AX27" s="268"/>
      <c r="AY27" s="36"/>
      <c r="AZ27" s="185"/>
      <c r="BC27" s="56"/>
      <c r="BD27" s="60" t="s">
        <v>108</v>
      </c>
      <c r="BE27" s="195"/>
      <c r="BF27" s="197"/>
      <c r="BG27" s="197"/>
      <c r="BH27" s="197"/>
      <c r="BI27" s="197"/>
      <c r="BJ27" s="197"/>
      <c r="BK27" s="197"/>
      <c r="BL27" s="197"/>
      <c r="BM27" s="197"/>
      <c r="BN27" s="197"/>
    </row>
    <row r="28" spans="2:66" ht="15" customHeight="1">
      <c r="B28" s="34"/>
      <c r="C28" s="35">
        <v>0.16666666666666666</v>
      </c>
      <c r="D28" s="35">
        <v>0.30555555555555552</v>
      </c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>
        <v>0.16666666666666666</v>
      </c>
      <c r="P28" s="35">
        <v>0.30555555555555552</v>
      </c>
      <c r="Q28" s="35"/>
      <c r="R28" s="35"/>
      <c r="S28" s="186">
        <f>IFERROR(ROUND(IF(B27="еж",(AE26+AK28+AK26-AG26)/BC26,(AE26+AK28+AK26-AG26)/BC26),0),"--")</f>
        <v>17</v>
      </c>
      <c r="T28" s="197"/>
      <c r="U28" s="197"/>
      <c r="V28" s="197"/>
      <c r="W28" s="197"/>
      <c r="X28" s="197"/>
      <c r="Y28" s="197"/>
      <c r="Z28" s="197"/>
      <c r="AA28" s="197"/>
      <c r="AB28" s="197"/>
      <c r="AC28" s="200"/>
      <c r="AD28" s="200"/>
      <c r="AE28" s="187">
        <f t="shared" ref="AE28" si="10">SUM(C28:R28,C30:R30)</f>
        <v>4.7222222222222214</v>
      </c>
      <c r="AF28" s="203"/>
      <c r="AG28" s="206"/>
      <c r="AH28" s="181"/>
      <c r="AI28" s="192"/>
      <c r="AJ28" s="192"/>
      <c r="AK28" s="187">
        <f>SUMIF(C27:R27:C29:R29,"ск",C28:R28:C30:R30)</f>
        <v>0</v>
      </c>
      <c r="AL28" s="181"/>
      <c r="AM28" s="181"/>
      <c r="AN28" s="181"/>
      <c r="AO28" s="187">
        <f>SUMIF(C27:R27:C29:R29,"у",C28:R28:C30:R30)+SUMIF(C27:R27:C29:R29,"убз",C28:R28:C30:R30)</f>
        <v>0</v>
      </c>
      <c r="AP28" s="107"/>
      <c r="AQ28" s="108">
        <v>2001</v>
      </c>
      <c r="AR28" s="108">
        <v>1911</v>
      </c>
      <c r="AS28" s="271"/>
      <c r="AT28" s="274"/>
      <c r="AU28" s="265"/>
      <c r="AV28" s="262"/>
      <c r="AW28" s="265"/>
      <c r="AX28" s="268"/>
      <c r="AY28" s="36"/>
      <c r="AZ28" s="188">
        <f t="shared" ref="AZ28" si="11">DAY(EOMONTH($C$8,0))</f>
        <v>31</v>
      </c>
      <c r="BC28" s="56"/>
      <c r="BD28" s="60" t="s">
        <v>109</v>
      </c>
      <c r="BE28" s="186">
        <f>COUNTIF(C27:R27:C29:R29,"я")*1+COUNTIF(C27:R27:C29:R29,"нс")*1+COUNTIF(C27:R27:C29:R29,"нсп")*1+COUNTIF(C27:R27:C29:R29,"нп")*1+COUNTIF(C27:R27:C29:R29,"яп")*1+COUNTIF(C27:R27:C29:R29,"н")*1+COUNTIF(C27:R27:C29:R29,"к")*1+COUNTIF(C27:R27:C29:R29,"ск")*1+COUNTIF(C27:R27:C29:R29,"оп")*1+COUNTIF(C27:R27:C29:R29,"ух")*1+COUNTIF(C27:R27:C29:R29,"я/н")*1</f>
        <v>16</v>
      </c>
      <c r="BF28" s="197"/>
      <c r="BG28" s="197"/>
      <c r="BH28" s="197"/>
      <c r="BI28" s="197"/>
      <c r="BJ28" s="197"/>
      <c r="BK28" s="197"/>
      <c r="BL28" s="197"/>
      <c r="BM28" s="197"/>
      <c r="BN28" s="197"/>
    </row>
    <row r="29" spans="2:66" ht="15" customHeight="1">
      <c r="B29" s="32"/>
      <c r="C29" s="33" t="s">
        <v>69</v>
      </c>
      <c r="D29" s="33" t="s">
        <v>80</v>
      </c>
      <c r="E29" s="33" t="s">
        <v>80</v>
      </c>
      <c r="F29" s="33" t="s">
        <v>68</v>
      </c>
      <c r="G29" s="33" t="s">
        <v>69</v>
      </c>
      <c r="H29" s="33" t="s">
        <v>80</v>
      </c>
      <c r="I29" s="33" t="s">
        <v>80</v>
      </c>
      <c r="J29" s="33" t="s">
        <v>68</v>
      </c>
      <c r="K29" s="33" t="s">
        <v>69</v>
      </c>
      <c r="L29" s="33" t="s">
        <v>80</v>
      </c>
      <c r="M29" s="33" t="s">
        <v>80</v>
      </c>
      <c r="N29" s="33" t="s">
        <v>68</v>
      </c>
      <c r="O29" s="33" t="s">
        <v>69</v>
      </c>
      <c r="P29" s="33" t="s">
        <v>80</v>
      </c>
      <c r="Q29" s="33" t="s">
        <v>80</v>
      </c>
      <c r="R29" s="33" t="s">
        <v>68</v>
      </c>
      <c r="S29" s="186"/>
      <c r="T29" s="197"/>
      <c r="U29" s="197"/>
      <c r="V29" s="197"/>
      <c r="W29" s="197"/>
      <c r="X29" s="197"/>
      <c r="Y29" s="197"/>
      <c r="Z29" s="197"/>
      <c r="AA29" s="197"/>
      <c r="AB29" s="197"/>
      <c r="AC29" s="200"/>
      <c r="AD29" s="200"/>
      <c r="AE29" s="187"/>
      <c r="AF29" s="203"/>
      <c r="AG29" s="206"/>
      <c r="AH29" s="181"/>
      <c r="AI29" s="192"/>
      <c r="AJ29" s="192"/>
      <c r="AK29" s="187"/>
      <c r="AL29" s="181"/>
      <c r="AM29" s="181"/>
      <c r="AN29" s="181"/>
      <c r="AO29" s="187"/>
      <c r="AP29" s="107"/>
      <c r="AQ29" s="108"/>
      <c r="AR29" s="108"/>
      <c r="AS29" s="271"/>
      <c r="AT29" s="274"/>
      <c r="AU29" s="265"/>
      <c r="AV29" s="262"/>
      <c r="AW29" s="265"/>
      <c r="AX29" s="268"/>
      <c r="AY29" s="36"/>
      <c r="AZ29" s="189"/>
      <c r="BC29" s="56"/>
      <c r="BD29" s="60" t="s">
        <v>110</v>
      </c>
      <c r="BE29" s="186"/>
      <c r="BF29" s="197"/>
      <c r="BG29" s="197"/>
      <c r="BH29" s="197"/>
      <c r="BI29" s="197"/>
      <c r="BJ29" s="197"/>
      <c r="BK29" s="197"/>
      <c r="BL29" s="197"/>
      <c r="BM29" s="197"/>
      <c r="BN29" s="197"/>
    </row>
    <row r="30" spans="2:66" ht="15" customHeight="1">
      <c r="B30" s="32"/>
      <c r="C30" s="35">
        <v>0.47222222222222227</v>
      </c>
      <c r="D30" s="35">
        <v>0.16666666666666666</v>
      </c>
      <c r="E30" s="35">
        <v>0.30555555555555552</v>
      </c>
      <c r="F30" s="35"/>
      <c r="G30" s="35">
        <v>0.47222222222222227</v>
      </c>
      <c r="H30" s="35">
        <v>0.16666666666666666</v>
      </c>
      <c r="I30" s="35">
        <v>0.30555555555555552</v>
      </c>
      <c r="J30" s="35"/>
      <c r="K30" s="35">
        <v>0.47222222222222227</v>
      </c>
      <c r="L30" s="35">
        <v>0.16666666666666666</v>
      </c>
      <c r="M30" s="35">
        <v>0.30555555555555552</v>
      </c>
      <c r="N30" s="35"/>
      <c r="O30" s="35">
        <v>0.47222222222222227</v>
      </c>
      <c r="P30" s="35">
        <v>0.16666666666666666</v>
      </c>
      <c r="Q30" s="35">
        <v>0.30555555555555552</v>
      </c>
      <c r="R30" s="35"/>
      <c r="S30" s="186"/>
      <c r="T30" s="198"/>
      <c r="U30" s="198"/>
      <c r="V30" s="198"/>
      <c r="W30" s="198"/>
      <c r="X30" s="198"/>
      <c r="Y30" s="198"/>
      <c r="Z30" s="198"/>
      <c r="AA30" s="198"/>
      <c r="AB30" s="198"/>
      <c r="AC30" s="201"/>
      <c r="AD30" s="201"/>
      <c r="AE30" s="187"/>
      <c r="AF30" s="204"/>
      <c r="AG30" s="207"/>
      <c r="AH30" s="182"/>
      <c r="AI30" s="193"/>
      <c r="AJ30" s="193"/>
      <c r="AK30" s="187"/>
      <c r="AL30" s="182"/>
      <c r="AM30" s="182"/>
      <c r="AN30" s="182"/>
      <c r="AO30" s="187"/>
      <c r="AP30" s="107"/>
      <c r="AQ30" s="108"/>
      <c r="AR30" s="108"/>
      <c r="AS30" s="272"/>
      <c r="AT30" s="275"/>
      <c r="AU30" s="266"/>
      <c r="AV30" s="263"/>
      <c r="AW30" s="266"/>
      <c r="AX30" s="269"/>
      <c r="AY30" s="36"/>
      <c r="AZ30" s="190"/>
      <c r="BC30" s="56"/>
      <c r="BD30" s="60" t="s">
        <v>111</v>
      </c>
      <c r="BE30" s="186"/>
      <c r="BF30" s="198"/>
      <c r="BG30" s="198"/>
      <c r="BH30" s="198"/>
      <c r="BI30" s="198"/>
      <c r="BJ30" s="198"/>
      <c r="BK30" s="198"/>
      <c r="BL30" s="198"/>
      <c r="BM30" s="198"/>
      <c r="BN30" s="198"/>
    </row>
    <row r="31" spans="2:66" ht="32.1" customHeight="1">
      <c r="B31" s="28" t="s">
        <v>140</v>
      </c>
      <c r="C31" s="29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1"/>
      <c r="S31" s="194">
        <f>IFERROR(S33-COUNTIF(C32:R32:C34:R34,"к")*1,"--")</f>
        <v>26</v>
      </c>
      <c r="T31" s="196">
        <f>COUNTIF(C32:R32:C34:R34,"п")*1</f>
        <v>0</v>
      </c>
      <c r="U31" s="196">
        <f>COUNTIF(C32:R32:C34:R34,"о")*1</f>
        <v>0</v>
      </c>
      <c r="V31" s="196">
        <f>COUNTIF(C32:R32:C34:R34,"у")*1+COUNTIF(C32:R32:C34:R34,"убз")*1</f>
        <v>0</v>
      </c>
      <c r="W31" s="196">
        <f>COUNTIF(C32:R32:C34:R34,"р")*1</f>
        <v>0</v>
      </c>
      <c r="X31" s="196">
        <f>COUNTIF(C32:R32:C34:R34,"б")*1+COUNTIF(C32:R32:C34:R34,"нб")*1</f>
        <v>0</v>
      </c>
      <c r="Y31" s="196">
        <f>COUNTIF(C32:R32:C34:R34,"д")*1+COUNTIF(C32:R32:C34:R34,"гч")*1+COUNTIF(C32:R32:C34:R34,"мо")*1+COUNTIF(C32:R32:C34:R34,"дм")*1+COUNTIF(C32:R32:C34:R34,"х")*1+COUNTIF(C32:R32:C34:R34,"ож")*1+COUNTIF(C32:R32:C34:R34,"г")*1+COUNTIF(C32:R32:C34:R34,"гб")*1+COUNTIF(C32:R32:C34:R34,"гс")*1+COUNTIF(C32:R32:C34:R34,"х")*1+COUNTIF(C32:R32:C34:R34,"сх")*1+COUNTIF(C32:R32:C34:R34,"нр")*1++COUNTIF(C32:R32:C34:R34,"га")*1</f>
        <v>0</v>
      </c>
      <c r="Z31" s="196">
        <f>COUNTIF(C32:R32:C34:R34,"а")*1+COUNTIF(C32:R32:C34:R34,"оа")*1+COUNTIF(C32:R32:C34:R34,"оад")*1+COUNTIF(C32:R32:C34:R34,"ск")*1</f>
        <v>0</v>
      </c>
      <c r="AA31" s="196">
        <f>COUNTIF(C32:R32:C34:R34,"пр")*1+COUNTIF(C32:R32:C34:R34,"нн")*1+COUNTIF(C32:R32:C34:R34,"аа")*1</f>
        <v>0</v>
      </c>
      <c r="AB31" s="196">
        <f t="shared" ref="AB31" si="12">IFERROR(AZ33-S33-T31-U31-V31-W31-X31-Y31-Z31-AA31-BA31,"--")</f>
        <v>5</v>
      </c>
      <c r="AC31" s="199">
        <f>SUMIF(C32:R32:C34:R34,"нм",C33:R33:C35:R35)+SUMIF(C32:R32:C34:R34,"вп",C33:R33:C35:R35)</f>
        <v>0</v>
      </c>
      <c r="AD31" s="199">
        <f>SUMIF(C32:R32:C34:R34,"оп",C33:R33:C35:R35)+SUMIF(C32:R32:C34:R34,"ух",C33:R33:C35:R35)</f>
        <v>0</v>
      </c>
      <c r="AE31" s="183">
        <f>AE33-AK31-AK33-SUMIF(C32:R32:C34:R34,"п",C33:R33:C35:R35)-SUMIF(C32:R32:C34:R34,"о",C33:R33:C35:R35)-SUMIF(C32:R32:C34:R34,"у",C33:R33:C35:R35)-SUMIF(C32:R32:C34:R34,"убз",C33:R33:C35:R35)-SUMIF(C32:R32:C34:R34,"р",C33:R33:C35:R35)-SUMIF(C32:R32:C34:R34,"б",C33:R33:C35:R35)-SUMIF(C32:R32:C34:R34,"т",C33:R33:C35:R35)-SUMIF(C32:R32:C34:R34,"ож",C33:R33:C35:R35)-SUMIF(C32:R32:C34:R34,"г",C33:R33:C35:R35)-SUMIF(C32:R32:C34:R34,"гч",C33:R33:C35:R35)-SUMIF(C32:R32:C34:R34,"гб",C33:R33:C35:R35)-SUMIF(C32:R32:C34:R34,"гс",C33:R33:C35:R35)-SUMIF(C32:R32:C34:R34,"мо",C33:R33:C35:R35)-SUMIF(C32:R32:C34:R34,"д",C33:R33:C35:R35)-SUMIF(C32:R32:C34:R34,"дм",C33:R33:C35:R35)-SUMIF(C32:R32:C34:R34,"до",C33:R33:C35:R35)-SUMIF(C32:R32:C34:R34,"нр",C33:R33:C35:R35)-SUMIF(C32:R32:C34:R34,"сх",C33:R33:C35:R35)-SUMIF(C32:R32:C34:R34,"х",C33:R33:C35:R35)-SUMIF(C32:R32:C34:R34,"а",C33:R33:C35:R35)-SUMIF(C32:R32:C34:R34,"оа",C33:R33:C35:R35)-SUMIF(C32:R32:C34:R34,"оад",C33:R33:C35:R35)-SUMIF(C32:R32:C34:R34,"нн",C33:R33:C35:R35)-SUMIF(C32:R32:C34:R34,"пр",C33:R33:C35:R35)-SUMIF(C32:R32:C34:R34,"вп",C33:R33:C35:R35)-SUMIF(C32:R32:C34:R34,"нм",C33:R33:C35:R35)-SUMIF(C32:R32:C34:R34,"оп",C33:R33:C35:R35)-SUMIF(C32:R32:C34:R34,"ух",C33:R33:C35:R35)-SUMIF(C32:R32:C34:R34,"в",C33:R33:C35:R35)-SUMIF(C32:R32:C34:R34,"нб",C33:R33:C35:R35)</f>
        <v>7.0833333333333339</v>
      </c>
      <c r="AF31" s="202"/>
      <c r="AG31" s="205"/>
      <c r="AH31" s="180">
        <f>SUMIF(C32:R32:C34:R34,"нс",C33:R33:C35:R35)+SUMIF(C32:R32:C34:R34,"н",C33:R33:C35:R35)+SUMIF(C32:R32:C34:R34,"нсп",C33:R33:C35:R35)+SUMIF(C32:R32:C34:R34,"нп",C33:R33:C35:R35)</f>
        <v>3.7777777777777768</v>
      </c>
      <c r="AI31" s="191"/>
      <c r="AJ31" s="191"/>
      <c r="AK31" s="183">
        <f>SUMIF(C32:R32:C34:R34,"К",C33:R33:C35:R35)</f>
        <v>0</v>
      </c>
      <c r="AL31" s="180">
        <f>SUMIF(C32:R32:C34:R34,"яп",C33:R33:C35:R35)+SUMIF(C32:R32:C34:R34,"нп",C33:R33:C35:R35)+SUMIF(C32:R32:C34:R34,"нсп",C33:R33:C35:R35)+SUMIF(C32:R32:C34:R34,"рп",C33:R33:C35:R35)</f>
        <v>0</v>
      </c>
      <c r="AM31" s="180">
        <f>SUMIF(C32:R32:C34:R34,"ст",C33:R33:C35:R35)</f>
        <v>0</v>
      </c>
      <c r="AN31" s="180">
        <f>SUMIF(C32:R32:C34:R34,"б",C33:R33:C35:R35)+SUMIF(C32:R32:C34:R34,"р",C33:R33:C35:R35)+SUMIF(C32:R32:C34:R34,"нб",C33:R33:C35:R35)</f>
        <v>0</v>
      </c>
      <c r="AO31" s="183">
        <f>SUMIF(C32:R32:C34:R34,"о",C33:R33:C35:R35)</f>
        <v>0</v>
      </c>
      <c r="AP31" s="107">
        <v>4</v>
      </c>
      <c r="AQ31" s="108">
        <v>2501</v>
      </c>
      <c r="AR31" s="108">
        <v>7271</v>
      </c>
      <c r="AS31" s="270" t="s">
        <v>145</v>
      </c>
      <c r="AT31" s="273" t="s">
        <v>79</v>
      </c>
      <c r="AU31" s="264">
        <v>1</v>
      </c>
      <c r="AV31" s="261">
        <v>864</v>
      </c>
      <c r="AW31" s="264">
        <v>15</v>
      </c>
      <c r="AX31" s="267"/>
      <c r="AY31" s="36"/>
      <c r="AZ31" s="184">
        <f>AZ33-COUNTIF(C32:R32:C34:R34,"--")*1-COUNTIF(C32:R32:C34:R34,"убз")*1-COUNTIF(C32:R32:C34:R34,"р")*1-COUNTIF(C32:R32:C34:R34,"ож")*1-COUNTIF(C32:R32:C34:R34,"д")*1-COUNTIF(C32:R32:C34:R34,"гс")*1-COUNTIF(C32:R32:C34:R34,"б")*1-COUNTIF(C32:R32:C34:R34,"нб")*1-COUNTIF(C32:R32:C34:R34,"х")*1-COUNTIF(C32:R32:C34:R34,"дм")*1-COUNTIF(C32:R32:C34:R34,"а")*1-COUNTIF(C32:R32:C34:R34,"аа")*1--COUNTIF(C32:R32:C34:R34,"га")*1</f>
        <v>31</v>
      </c>
      <c r="BA31" s="1">
        <f>(COUNTIF(C32:R32:C34:R34,"--")*1)</f>
        <v>0</v>
      </c>
      <c r="BB31" s="1">
        <f t="shared" ref="BB31" si="13">IF(B31&gt;0,1,0)</f>
        <v>1</v>
      </c>
      <c r="BC31" s="56">
        <f>IF(B32="еж",$BC$9,IF(B32="см",$BC$8,0))</f>
        <v>0.27777777777777779</v>
      </c>
      <c r="BD31" s="60" t="s">
        <v>112</v>
      </c>
      <c r="BE31" s="194">
        <f>COUNTIF(C32:R32:C34:R34,"я")*1+COUNTIF(C32:R32:C34:R34,"нс")*1+COUNTIF(C32:R32:C34:R34,"нсп")*1+COUNTIF(C32:R32:C34:R34,"нп")*1+COUNTIF(C32:R32:C34:R34,"яп")*1+COUNTIF(C32:R32:C34:R34,"н")*1+COUNTIF(C32:R32:C34:R34,"ян")*1++COUNTIF(C32:R32:C34:R34,"оп")*1+COUNTIF(C32:R32:C34:R34,"ух")*1+COUNTIF(C32:R32:C34:R34,"я/н")*1</f>
        <v>23</v>
      </c>
      <c r="BF31" s="196">
        <f>COUNTIF(C32:R32:C34:R34,"п")*1</f>
        <v>0</v>
      </c>
      <c r="BG31" s="196">
        <f>COUNTIF(C32:R32:C34:R34,"о")*1</f>
        <v>0</v>
      </c>
      <c r="BH31" s="196">
        <f>COUNTIF(C32:R32:C34:R34,"у")*1+COUNTIF(C32:R32:C34:R34,"убз")*1</f>
        <v>0</v>
      </c>
      <c r="BI31" s="196">
        <f>COUNTIF(C32:R32:C34:R34,"р")*1</f>
        <v>0</v>
      </c>
      <c r="BJ31" s="196">
        <f>COUNTIF(C32:R32:C34:R34,"б")*1+COUNTIF(C32:R32:C34:R34,"нб")*1</f>
        <v>0</v>
      </c>
      <c r="BK31" s="196">
        <f>COUNTIF(C32:R32:C34:R34,"д")*1+COUNTIF(C32:R32:C34:R34,"гч")*1+COUNTIF(C32:R32:C34:R34,"мо")*1+COUNTIF(C32:R32:C34:R34,"дм")*1+COUNTIF(C32:R32:C34:R34,"х")*1+COUNTIF(C32:R32:C34:R34,"ож")*1+COUNTIF(C32:R32:C34:R34,"г")*1+COUNTIF(C32:R32:C34:R34,"гб")*1+COUNTIF(C32:R32:C34:R34,"гс")*1+COUNTIF(C32:R32:C34:R34,"х")*1+COUNTIF(C32:R32:C34:R34,"сх")*1+COUNTIF(C32:R32:C34:R34,"нр")*1++COUNTIF(C32:R32:C34:R34,"га")*1</f>
        <v>0</v>
      </c>
      <c r="BL31" s="196">
        <f>COUNTIF(C32:R32:C34:R34,"а")*1+COUNTIF(C32:R32:C34:R34,"оа")*1+COUNTIF(C32:R32:C34:R34,"оад")*1</f>
        <v>0</v>
      </c>
      <c r="BM31" s="196">
        <f>COUNTIF(C32:R32:C34:R34,"пр")*1+COUNTIF(C32:R32:C34:R34,"нн")*1+COUNTIF(C32:R32:C34:R34,"аа")*1</f>
        <v>0</v>
      </c>
      <c r="BN31" s="196">
        <f>COUNTIF(C32:R32:C34:R34,"в")*1+COUNTIF(C32:R32:C34:R34,"сд")*1+COUNTIF(C32:R32:C34:R34,"до")*1</f>
        <v>8</v>
      </c>
    </row>
    <row r="32" spans="2:66" ht="15" customHeight="1">
      <c r="B32" s="32" t="s">
        <v>82</v>
      </c>
      <c r="C32" s="33" t="s">
        <v>80</v>
      </c>
      <c r="D32" s="33" t="s">
        <v>80</v>
      </c>
      <c r="E32" s="33" t="s">
        <v>68</v>
      </c>
      <c r="F32" s="33" t="s">
        <v>69</v>
      </c>
      <c r="G32" s="33" t="s">
        <v>80</v>
      </c>
      <c r="H32" s="33" t="s">
        <v>80</v>
      </c>
      <c r="I32" s="33" t="s">
        <v>68</v>
      </c>
      <c r="J32" s="33" t="s">
        <v>69</v>
      </c>
      <c r="K32" s="33" t="s">
        <v>80</v>
      </c>
      <c r="L32" s="33" t="s">
        <v>80</v>
      </c>
      <c r="M32" s="33" t="s">
        <v>68</v>
      </c>
      <c r="N32" s="33" t="s">
        <v>69</v>
      </c>
      <c r="O32" s="33" t="s">
        <v>80</v>
      </c>
      <c r="P32" s="33" t="s">
        <v>80</v>
      </c>
      <c r="Q32" s="33" t="s">
        <v>68</v>
      </c>
      <c r="R32" s="33"/>
      <c r="S32" s="195"/>
      <c r="T32" s="197"/>
      <c r="U32" s="197"/>
      <c r="V32" s="197"/>
      <c r="W32" s="197"/>
      <c r="X32" s="197"/>
      <c r="Y32" s="197"/>
      <c r="Z32" s="197"/>
      <c r="AA32" s="197"/>
      <c r="AB32" s="197"/>
      <c r="AC32" s="200"/>
      <c r="AD32" s="200"/>
      <c r="AE32" s="183"/>
      <c r="AF32" s="203"/>
      <c r="AG32" s="206"/>
      <c r="AH32" s="181"/>
      <c r="AI32" s="192"/>
      <c r="AJ32" s="192"/>
      <c r="AK32" s="183"/>
      <c r="AL32" s="181"/>
      <c r="AM32" s="181"/>
      <c r="AN32" s="181"/>
      <c r="AO32" s="183"/>
      <c r="AP32" s="107"/>
      <c r="AQ32" s="108"/>
      <c r="AR32" s="108"/>
      <c r="AS32" s="271"/>
      <c r="AT32" s="274"/>
      <c r="AU32" s="265"/>
      <c r="AV32" s="262"/>
      <c r="AW32" s="265"/>
      <c r="AX32" s="268"/>
      <c r="AY32" s="36"/>
      <c r="AZ32" s="185"/>
      <c r="BC32" s="56"/>
      <c r="BD32" s="60" t="s">
        <v>113</v>
      </c>
      <c r="BE32" s="195"/>
      <c r="BF32" s="197"/>
      <c r="BG32" s="197"/>
      <c r="BH32" s="197"/>
      <c r="BI32" s="197"/>
      <c r="BJ32" s="197"/>
      <c r="BK32" s="197"/>
      <c r="BL32" s="197"/>
      <c r="BM32" s="197"/>
      <c r="BN32" s="197"/>
    </row>
    <row r="33" spans="2:66" ht="15" customHeight="1">
      <c r="B33" s="34"/>
      <c r="C33" s="35">
        <v>0.16666666666666666</v>
      </c>
      <c r="D33" s="35">
        <v>0.30555555555555552</v>
      </c>
      <c r="E33" s="35"/>
      <c r="F33" s="35">
        <v>0.47222222222222227</v>
      </c>
      <c r="G33" s="35">
        <v>0.16666666666666666</v>
      </c>
      <c r="H33" s="35">
        <v>0.30555555555555552</v>
      </c>
      <c r="I33" s="35"/>
      <c r="J33" s="35">
        <v>0.47222222222222227</v>
      </c>
      <c r="K33" s="35">
        <v>0.16666666666666666</v>
      </c>
      <c r="L33" s="35">
        <v>0.30555555555555552</v>
      </c>
      <c r="M33" s="35"/>
      <c r="N33" s="35">
        <v>0.47222222222222227</v>
      </c>
      <c r="O33" s="35">
        <v>0.16666666666666666</v>
      </c>
      <c r="P33" s="35">
        <v>0.30555555555555552</v>
      </c>
      <c r="Q33" s="35"/>
      <c r="R33" s="35"/>
      <c r="S33" s="186">
        <f>IFERROR(ROUND(IF(B32="еж",(AE31+AK33+AK31-AG31)/BC31,(AE31+AK33+AK31-AG31)/BC31),0),"--")</f>
        <v>26</v>
      </c>
      <c r="T33" s="197"/>
      <c r="U33" s="197"/>
      <c r="V33" s="197"/>
      <c r="W33" s="197"/>
      <c r="X33" s="197"/>
      <c r="Y33" s="197"/>
      <c r="Z33" s="197"/>
      <c r="AA33" s="197"/>
      <c r="AB33" s="197"/>
      <c r="AC33" s="200"/>
      <c r="AD33" s="200"/>
      <c r="AE33" s="187">
        <f t="shared" ref="AE33" si="14">SUM(C33:R33,C35:R35)</f>
        <v>7.0833333333333339</v>
      </c>
      <c r="AF33" s="203"/>
      <c r="AG33" s="206"/>
      <c r="AH33" s="181"/>
      <c r="AI33" s="192"/>
      <c r="AJ33" s="192"/>
      <c r="AK33" s="187">
        <f>SUMIF(C32:R32:C34:R34,"ск",C33:R33:C35:R35)</f>
        <v>0</v>
      </c>
      <c r="AL33" s="181"/>
      <c r="AM33" s="181"/>
      <c r="AN33" s="181"/>
      <c r="AO33" s="187">
        <f>SUMIF(C32:R32:C34:R34,"у",C33:R33:C35:R35)+SUMIF(C32:R32:C34:R34,"убз",C33:R33:C35:R35)</f>
        <v>0</v>
      </c>
      <c r="AP33" s="107"/>
      <c r="AQ33" s="108"/>
      <c r="AR33" s="108"/>
      <c r="AS33" s="271"/>
      <c r="AT33" s="274"/>
      <c r="AU33" s="265"/>
      <c r="AV33" s="262"/>
      <c r="AW33" s="265"/>
      <c r="AX33" s="268"/>
      <c r="AY33" s="36"/>
      <c r="AZ33" s="188">
        <f t="shared" ref="AZ33" si="15">DAY(EOMONTH($C$8,0))</f>
        <v>31</v>
      </c>
      <c r="BA33" s="44"/>
      <c r="BC33" s="57"/>
      <c r="BD33" s="60" t="s">
        <v>114</v>
      </c>
      <c r="BE33" s="186">
        <f>COUNTIF(C32:R32:C34:R34,"я")*1+COUNTIF(C32:R32:C34:R34,"нс")*1+COUNTIF(C32:R32:C34:R34,"нсп")*1+COUNTIF(C32:R32:C34:R34,"нп")*1+COUNTIF(C32:R32:C34:R34,"яп")*1+COUNTIF(C32:R32:C34:R34,"н")*1+COUNTIF(C32:R32:C34:R34,"к")*1+COUNTIF(C32:R32:C34:R34,"ск")*1+COUNTIF(C32:R32:C34:R34,"оп")*1+COUNTIF(C32:R32:C34:R34,"ух")*1+COUNTIF(C32:R32:C34:R34,"я/н")*1</f>
        <v>23</v>
      </c>
      <c r="BF33" s="197"/>
      <c r="BG33" s="197"/>
      <c r="BH33" s="197"/>
      <c r="BI33" s="197"/>
      <c r="BJ33" s="197"/>
      <c r="BK33" s="197"/>
      <c r="BL33" s="197"/>
      <c r="BM33" s="197"/>
      <c r="BN33" s="197"/>
    </row>
    <row r="34" spans="2:66" ht="15" customHeight="1">
      <c r="B34" s="32"/>
      <c r="C34" s="33" t="s">
        <v>69</v>
      </c>
      <c r="D34" s="33" t="s">
        <v>80</v>
      </c>
      <c r="E34" s="33" t="s">
        <v>80</v>
      </c>
      <c r="F34" s="33" t="s">
        <v>68</v>
      </c>
      <c r="G34" s="33" t="s">
        <v>69</v>
      </c>
      <c r="H34" s="33" t="s">
        <v>80</v>
      </c>
      <c r="I34" s="33" t="s">
        <v>80</v>
      </c>
      <c r="J34" s="33" t="s">
        <v>68</v>
      </c>
      <c r="K34" s="33" t="s">
        <v>69</v>
      </c>
      <c r="L34" s="33" t="s">
        <v>80</v>
      </c>
      <c r="M34" s="33" t="s">
        <v>80</v>
      </c>
      <c r="N34" s="33" t="s">
        <v>68</v>
      </c>
      <c r="O34" s="33" t="s">
        <v>69</v>
      </c>
      <c r="P34" s="33" t="s">
        <v>80</v>
      </c>
      <c r="Q34" s="33" t="s">
        <v>80</v>
      </c>
      <c r="R34" s="33" t="s">
        <v>68</v>
      </c>
      <c r="S34" s="186"/>
      <c r="T34" s="197"/>
      <c r="U34" s="197"/>
      <c r="V34" s="197"/>
      <c r="W34" s="197"/>
      <c r="X34" s="197"/>
      <c r="Y34" s="197"/>
      <c r="Z34" s="197"/>
      <c r="AA34" s="197"/>
      <c r="AB34" s="197"/>
      <c r="AC34" s="200"/>
      <c r="AD34" s="200"/>
      <c r="AE34" s="187"/>
      <c r="AF34" s="203"/>
      <c r="AG34" s="206"/>
      <c r="AH34" s="181"/>
      <c r="AI34" s="192"/>
      <c r="AJ34" s="192"/>
      <c r="AK34" s="187"/>
      <c r="AL34" s="181"/>
      <c r="AM34" s="181"/>
      <c r="AN34" s="181"/>
      <c r="AO34" s="187"/>
      <c r="AP34" s="107"/>
      <c r="AQ34" s="108"/>
      <c r="AR34" s="108"/>
      <c r="AS34" s="271"/>
      <c r="AT34" s="274"/>
      <c r="AU34" s="265"/>
      <c r="AV34" s="262"/>
      <c r="AW34" s="265"/>
      <c r="AX34" s="268"/>
      <c r="AY34" s="36"/>
      <c r="AZ34" s="189"/>
      <c r="BC34" s="56"/>
      <c r="BD34" s="60" t="s">
        <v>115</v>
      </c>
      <c r="BE34" s="186"/>
      <c r="BF34" s="197"/>
      <c r="BG34" s="197"/>
      <c r="BH34" s="197"/>
      <c r="BI34" s="197"/>
      <c r="BJ34" s="197"/>
      <c r="BK34" s="197"/>
      <c r="BL34" s="197"/>
      <c r="BM34" s="197"/>
      <c r="BN34" s="197"/>
    </row>
    <row r="35" spans="2:66" ht="15" customHeight="1">
      <c r="B35" s="32"/>
      <c r="C35" s="35">
        <v>0.47222222222222227</v>
      </c>
      <c r="D35" s="35">
        <v>0.16666666666666666</v>
      </c>
      <c r="E35" s="35">
        <v>0.30555555555555552</v>
      </c>
      <c r="F35" s="35"/>
      <c r="G35" s="35">
        <v>0.47222222222222227</v>
      </c>
      <c r="H35" s="35">
        <v>0.16666666666666666</v>
      </c>
      <c r="I35" s="35">
        <v>0.30555555555555552</v>
      </c>
      <c r="J35" s="35"/>
      <c r="K35" s="35">
        <v>0.47222222222222227</v>
      </c>
      <c r="L35" s="35">
        <v>0.16666666666666666</v>
      </c>
      <c r="M35" s="35">
        <v>0.30555555555555552</v>
      </c>
      <c r="N35" s="35"/>
      <c r="O35" s="35">
        <v>0.47222222222222227</v>
      </c>
      <c r="P35" s="35">
        <v>0.16666666666666666</v>
      </c>
      <c r="Q35" s="35">
        <v>0.30555555555555552</v>
      </c>
      <c r="R35" s="35"/>
      <c r="S35" s="186"/>
      <c r="T35" s="198"/>
      <c r="U35" s="198"/>
      <c r="V35" s="198"/>
      <c r="W35" s="198"/>
      <c r="X35" s="198"/>
      <c r="Y35" s="198"/>
      <c r="Z35" s="198"/>
      <c r="AA35" s="198"/>
      <c r="AB35" s="198"/>
      <c r="AC35" s="201"/>
      <c r="AD35" s="201"/>
      <c r="AE35" s="187"/>
      <c r="AF35" s="204"/>
      <c r="AG35" s="207"/>
      <c r="AH35" s="182"/>
      <c r="AI35" s="193"/>
      <c r="AJ35" s="193"/>
      <c r="AK35" s="187"/>
      <c r="AL35" s="182"/>
      <c r="AM35" s="182"/>
      <c r="AN35" s="182"/>
      <c r="AO35" s="187"/>
      <c r="AP35" s="107"/>
      <c r="AQ35" s="108"/>
      <c r="AR35" s="108"/>
      <c r="AS35" s="272"/>
      <c r="AT35" s="275"/>
      <c r="AU35" s="266"/>
      <c r="AV35" s="263"/>
      <c r="AW35" s="266"/>
      <c r="AX35" s="269"/>
      <c r="AY35" s="36"/>
      <c r="AZ35" s="190"/>
      <c r="BC35" s="56"/>
      <c r="BD35" s="60" t="s">
        <v>116</v>
      </c>
      <c r="BE35" s="186"/>
      <c r="BF35" s="198"/>
      <c r="BG35" s="198"/>
      <c r="BH35" s="198"/>
      <c r="BI35" s="198"/>
      <c r="BJ35" s="198"/>
      <c r="BK35" s="198"/>
      <c r="BL35" s="198"/>
      <c r="BM35" s="198"/>
      <c r="BN35" s="198"/>
    </row>
    <row r="36" spans="2:66" ht="32.1" customHeight="1">
      <c r="B36" s="28" t="s">
        <v>141</v>
      </c>
      <c r="C36" s="29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1"/>
      <c r="S36" s="194">
        <f>IFERROR(S38-COUNTIF(C37:R37:C39:R39,"к")*1,"--")</f>
        <v>3</v>
      </c>
      <c r="T36" s="196">
        <f>COUNTIF(C37:R37:C39:R39,"п")*1</f>
        <v>0</v>
      </c>
      <c r="U36" s="196">
        <f>COUNTIF(C37:R37:C39:R39,"о")*1</f>
        <v>19</v>
      </c>
      <c r="V36" s="196">
        <f>COUNTIF(C37:R37:C39:R39,"у")*1+COUNTIF(C37:R37:C39:R39,"убз")*1</f>
        <v>0</v>
      </c>
      <c r="W36" s="196">
        <f>COUNTIF(C37:R37:C39:R39,"р")*1</f>
        <v>0</v>
      </c>
      <c r="X36" s="196">
        <f>COUNTIF(C37:R37:C39:R39,"б")*1+COUNTIF(C37:R37:C39:R39,"нб")*1</f>
        <v>7</v>
      </c>
      <c r="Y36" s="196">
        <f>COUNTIF(C37:R37:C39:R39,"д")*1+COUNTIF(C37:R37:C39:R39,"гч")*1+COUNTIF(C37:R37:C39:R39,"мо")*1+COUNTIF(C37:R37:C39:R39,"дм")*1+COUNTIF(C37:R37:C39:R39,"х")*1+COUNTIF(C37:R37:C39:R39,"ож")*1+COUNTIF(C37:R37:C39:R39,"г")*1+COUNTIF(C37:R37:C39:R39,"гб")*1+COUNTIF(C37:R37:C39:R39,"гс")*1+COUNTIF(C37:R37:C39:R39,"х")*1+COUNTIF(C37:R37:C39:R39,"сх")*1+COUNTIF(C37:R37:C39:R39,"нр")*1++COUNTIF(C37:R37:C39:R39,"га")*1</f>
        <v>0</v>
      </c>
      <c r="Z36" s="196">
        <f>COUNTIF(C37:R37:C39:R39,"а")*1+COUNTIF(C37:R37:C39:R39,"оа")*1+COUNTIF(C37:R37:C39:R39,"оад")*1+COUNTIF(C37:R37:C39:R39,"ск")*1</f>
        <v>0</v>
      </c>
      <c r="AA36" s="196">
        <f>COUNTIF(C37:R37:C39:R39,"пр")*1+COUNTIF(C37:R37:C39:R39,"нн")*1+COUNTIF(C37:R37:C39:R39,"аа")*1</f>
        <v>0</v>
      </c>
      <c r="AB36" s="196">
        <f t="shared" ref="AB36" si="16">IFERROR(AZ38-S38-T36-U36-V36-W36-X36-Y36-Z36-AA36-BA36,"--")</f>
        <v>2</v>
      </c>
      <c r="AC36" s="199">
        <f>SUMIF(C37:R37:C39:R39,"нм",C38:R38:C40:R40)+SUMIF(C37:R37:C39:R39,"вп",C38:R38:C40:R40)</f>
        <v>0</v>
      </c>
      <c r="AD36" s="199">
        <f>SUMIF(C37:R37:C39:R39,"оп",C38:R38:C40:R40)+SUMIF(C37:R37:C39:R39,"ух",C38:R38:C40:R40)</f>
        <v>0</v>
      </c>
      <c r="AE36" s="183">
        <f>AE38-AK36-AK38-SUMIF(C37:R37:C39:R39,"п",C38:R38:C40:R40)-SUMIF(C37:R37:C39:R39,"о",C38:R38:C40:R40)-SUMIF(C37:R37:C39:R39,"у",C38:R38:C40:R40)-SUMIF(C37:R37:C39:R39,"убз",C38:R38:C40:R40)-SUMIF(C37:R37:C39:R39,"р",C38:R38:C40:R40)-SUMIF(C37:R37:C39:R39,"б",C38:R38:C40:R40)-SUMIF(C37:R37:C39:R39,"т",C38:R38:C40:R40)-SUMIF(C37:R37:C39:R39,"ож",C38:R38:C40:R40)-SUMIF(C37:R37:C39:R39,"г",C38:R38:C40:R40)-SUMIF(C37:R37:C39:R39,"гч",C38:R38:C40:R40)-SUMIF(C37:R37:C39:R39,"гб",C38:R38:C40:R40)-SUMIF(C37:R37:C39:R39,"гс",C38:R38:C40:R40)-SUMIF(C37:R37:C39:R39,"мо",C38:R38:C40:R40)-SUMIF(C37:R37:C39:R39,"д",C38:R38:C40:R40)-SUMIF(C37:R37:C39:R39,"дм",C38:R38:C40:R40)-SUMIF(C37:R37:C39:R39,"до",C38:R38:C40:R40)-SUMIF(C37:R37:C39:R39,"нр",C38:R38:C40:R40)-SUMIF(C37:R37:C39:R39,"сх",C38:R38:C40:R40)-SUMIF(C37:R37:C39:R39,"х",C38:R38:C40:R40)-SUMIF(C37:R37:C39:R39,"а",C38:R38:C40:R40)-SUMIF(C37:R37:C39:R39,"оа",C38:R38:C40:R40)-SUMIF(C37:R37:C39:R39,"оад",C38:R38:C40:R40)-SUMIF(C37:R37:C39:R39,"нн",C38:R38:C40:R40)-SUMIF(C37:R37:C39:R39,"пр",C38:R38:C40:R40)-SUMIF(C37:R37:C39:R39,"вп",C38:R38:C40:R40)-SUMIF(C37:R37:C39:R39,"нм",C38:R38:C40:R40)-SUMIF(C37:R37:C39:R39,"оп",C38:R38:C40:R40)-SUMIF(C37:R37:C39:R39,"ух",C38:R38:C40:R40)-SUMIF(C37:R37:C39:R39,"в",C38:R38:C40:R40)-SUMIF(C37:R37:C39:R39,"нб",C38:R38:C40:R40)</f>
        <v>0.94444444444444486</v>
      </c>
      <c r="AF36" s="202"/>
      <c r="AG36" s="205"/>
      <c r="AH36" s="180">
        <f>SUMIF(C37:R37:C39:R39,"нс",C38:R38:C40:R40)+SUMIF(C37:R37:C39:R39,"н",C38:R38:C40:R40)+SUMIF(C37:R37:C39:R39,"нсп",C38:R38:C40:R40)+SUMIF(C37:R37:C39:R39,"нп",C38:R38:C40:R40)</f>
        <v>0.47222222222222221</v>
      </c>
      <c r="AI36" s="191">
        <f>AE36</f>
        <v>0.94444444444444486</v>
      </c>
      <c r="AJ36" s="191"/>
      <c r="AK36" s="183">
        <f>SUMIF(C37:R37:C39:R39,"К",C38:R38:C40:R40)</f>
        <v>0</v>
      </c>
      <c r="AL36" s="180">
        <f>SUMIF(C37:R37:C39:R39,"яп",C38:R38:C40:R40)+SUMIF(C37:R37:C39:R39,"нп",C38:R38:C40:R40)+SUMIF(C37:R37:C39:R39,"нсп",C38:R38:C40:R40)+SUMIF(C37:R37:C39:R39,"рп",C38:R38:C40:R40)</f>
        <v>0</v>
      </c>
      <c r="AM36" s="180">
        <f>SUMIF(C37:R37:C39:R39,"ст",C38:R38:C40:R40)</f>
        <v>0</v>
      </c>
      <c r="AN36" s="180">
        <f>SUMIF(C37:R37:C39:R39,"б",C38:R38:C40:R40)+SUMIF(C37:R37:C39:R39,"р",C38:R38:C40:R40)+SUMIF(C37:R37:C39:R39,"нб",C38:R38:C40:R40)</f>
        <v>1.8888888888888891</v>
      </c>
      <c r="AO36" s="183">
        <f>SUMIF(C37:R37:C39:R39,"о",C38:R38:C40:R40)</f>
        <v>4.4166666666666661</v>
      </c>
      <c r="AP36" s="107">
        <v>4</v>
      </c>
      <c r="AQ36" s="108">
        <v>2001</v>
      </c>
      <c r="AR36" s="108">
        <v>1621</v>
      </c>
      <c r="AS36" s="270" t="s">
        <v>143</v>
      </c>
      <c r="AT36" s="273" t="s">
        <v>144</v>
      </c>
      <c r="AU36" s="264">
        <v>5</v>
      </c>
      <c r="AV36" s="261">
        <v>2710</v>
      </c>
      <c r="AW36" s="264">
        <v>5</v>
      </c>
      <c r="AX36" s="267"/>
      <c r="AY36" s="36"/>
      <c r="AZ36" s="184">
        <f>AZ38-COUNTIF(C37:R37:C39:R39,"--")*1-COUNTIF(C37:R37:C39:R39,"убз")*1-COUNTIF(C37:R37:C39:R39,"р")*1-COUNTIF(C37:R37:C39:R39,"ож")*1-COUNTIF(C37:R37:C39:R39,"д")*1-COUNTIF(C37:R37:C39:R39,"гс")*1-COUNTIF(C37:R37:C39:R39,"б")*1-COUNTIF(C37:R37:C39:R39,"нб")*1-COUNTIF(C37:R37:C39:R39,"х")*1-COUNTIF(C37:R37:C39:R39,"дм")*1-COUNTIF(C37:R37:C39:R39,"а")*1-COUNTIF(C37:R37:C39:R39,"аа")*1--COUNTIF(C37:R37:C39:R39,"га")*1</f>
        <v>24</v>
      </c>
      <c r="BA36" s="1">
        <f>(COUNTIF(C37:R37:C39:R39,"--")*1)</f>
        <v>0</v>
      </c>
      <c r="BB36" s="1">
        <f t="shared" ref="BB36" si="17">IF(B36&gt;0,1,0)</f>
        <v>1</v>
      </c>
      <c r="BC36" s="56">
        <f>IF(B37="еж",$BC$9,IF(B37="см",$BC$8,0))</f>
        <v>0.27777777777777779</v>
      </c>
      <c r="BD36" s="60" t="s">
        <v>117</v>
      </c>
      <c r="BE36" s="194">
        <f>COUNTIF(C37:R37:C39:R39,"я")*1+COUNTIF(C37:R37:C39:R39,"нс")*1+COUNTIF(C37:R37:C39:R39,"нсп")*1+COUNTIF(C37:R37:C39:R39,"нп")*1+COUNTIF(C37:R37:C39:R39,"яп")*1+COUNTIF(C37:R37:C39:R39,"н")*1+COUNTIF(C37:R37:C39:R39,"ян")*1++COUNTIF(C37:R37:C39:R39,"оп")*1+COUNTIF(C37:R37:C39:R39,"ух")*1+COUNTIF(C37:R37:C39:R39,"я/н")*1</f>
        <v>3</v>
      </c>
      <c r="BF36" s="196">
        <f>COUNTIF(C37:R37:C39:R39,"п")*1</f>
        <v>0</v>
      </c>
      <c r="BG36" s="196">
        <f>COUNTIF(C37:R37:C39:R39,"о")*1</f>
        <v>19</v>
      </c>
      <c r="BH36" s="196">
        <f>COUNTIF(C37:R37:C39:R39,"у")*1+COUNTIF(C37:R37:C39:R39,"убз")*1</f>
        <v>0</v>
      </c>
      <c r="BI36" s="196">
        <f>COUNTIF(C37:R37:C39:R39,"р")*1</f>
        <v>0</v>
      </c>
      <c r="BJ36" s="196">
        <f>COUNTIF(C37:R37:C39:R39,"б")*1+COUNTIF(C37:R37:C39:R39,"нб")*1</f>
        <v>7</v>
      </c>
      <c r="BK36" s="196">
        <f>COUNTIF(C37:R37:C39:R39,"д")*1+COUNTIF(C37:R37:C39:R39,"гч")*1+COUNTIF(C37:R37:C39:R39,"мо")*1+COUNTIF(C37:R37:C39:R39,"дм")*1+COUNTIF(C37:R37:C39:R39,"х")*1+COUNTIF(C37:R37:C39:R39,"ож")*1+COUNTIF(C37:R37:C39:R39,"г")*1+COUNTIF(C37:R37:C39:R39,"гб")*1+COUNTIF(C37:R37:C39:R39,"гс")*1+COUNTIF(C37:R37:C39:R39,"х")*1+COUNTIF(C37:R37:C39:R39,"сх")*1+COUNTIF(C37:R37:C39:R39,"нр")*1++COUNTIF(C37:R37:C39:R39,"га")*1</f>
        <v>0</v>
      </c>
      <c r="BL36" s="196">
        <f>COUNTIF(C37:R37:C39:R39,"а")*1+COUNTIF(C37:R37:C39:R39,"оа")*1+COUNTIF(C37:R37:C39:R39,"оад")*1</f>
        <v>0</v>
      </c>
      <c r="BM36" s="196">
        <f>COUNTIF(C37:R37:C39:R39,"пр")*1+COUNTIF(C37:R37:C39:R39,"нн")*1+COUNTIF(C37:R37:C39:R39,"аа")*1</f>
        <v>0</v>
      </c>
      <c r="BN36" s="196">
        <f>COUNTIF(C37:R37:C39:R39,"в")*1+COUNTIF(C37:R37:C39:R39,"сд")*1+COUNTIF(C37:R37:C39:R39,"до")*1</f>
        <v>2</v>
      </c>
    </row>
    <row r="37" spans="2:66" ht="15" customHeight="1">
      <c r="B37" s="32" t="s">
        <v>82</v>
      </c>
      <c r="C37" s="33" t="s">
        <v>148</v>
      </c>
      <c r="D37" s="33" t="s">
        <v>148</v>
      </c>
      <c r="E37" s="33" t="s">
        <v>148</v>
      </c>
      <c r="F37" s="33" t="s">
        <v>148</v>
      </c>
      <c r="G37" s="33" t="s">
        <v>148</v>
      </c>
      <c r="H37" s="33" t="s">
        <v>148</v>
      </c>
      <c r="I37" s="33" t="s">
        <v>148</v>
      </c>
      <c r="J37" s="33" t="s">
        <v>148</v>
      </c>
      <c r="K37" s="33" t="s">
        <v>148</v>
      </c>
      <c r="L37" s="33" t="s">
        <v>148</v>
      </c>
      <c r="M37" s="33" t="s">
        <v>148</v>
      </c>
      <c r="N37" s="33" t="s">
        <v>148</v>
      </c>
      <c r="O37" s="33" t="s">
        <v>148</v>
      </c>
      <c r="P37" s="33" t="s">
        <v>148</v>
      </c>
      <c r="Q37" s="33" t="s">
        <v>148</v>
      </c>
      <c r="R37" s="33"/>
      <c r="S37" s="195"/>
      <c r="T37" s="197"/>
      <c r="U37" s="197"/>
      <c r="V37" s="197"/>
      <c r="W37" s="197"/>
      <c r="X37" s="197"/>
      <c r="Y37" s="197"/>
      <c r="Z37" s="197"/>
      <c r="AA37" s="197"/>
      <c r="AB37" s="197"/>
      <c r="AC37" s="200"/>
      <c r="AD37" s="200"/>
      <c r="AE37" s="183"/>
      <c r="AF37" s="203"/>
      <c r="AG37" s="206"/>
      <c r="AH37" s="181"/>
      <c r="AI37" s="192"/>
      <c r="AJ37" s="192"/>
      <c r="AK37" s="183"/>
      <c r="AL37" s="181"/>
      <c r="AM37" s="181"/>
      <c r="AN37" s="181"/>
      <c r="AO37" s="183"/>
      <c r="AP37" s="107"/>
      <c r="AQ37" s="108">
        <v>2001</v>
      </c>
      <c r="AR37" s="108">
        <v>2051</v>
      </c>
      <c r="AS37" s="271"/>
      <c r="AT37" s="274"/>
      <c r="AU37" s="265"/>
      <c r="AV37" s="262"/>
      <c r="AW37" s="265"/>
      <c r="AX37" s="268"/>
      <c r="AY37" s="36"/>
      <c r="AZ37" s="185"/>
      <c r="BC37" s="56"/>
      <c r="BD37" s="60" t="s">
        <v>118</v>
      </c>
      <c r="BE37" s="195"/>
      <c r="BF37" s="197"/>
      <c r="BG37" s="197"/>
      <c r="BH37" s="197"/>
      <c r="BI37" s="197"/>
      <c r="BJ37" s="197"/>
      <c r="BK37" s="197"/>
      <c r="BL37" s="197"/>
      <c r="BM37" s="197"/>
      <c r="BN37" s="197"/>
    </row>
    <row r="38" spans="2:66" ht="15" customHeight="1">
      <c r="B38" s="34"/>
      <c r="C38" s="35">
        <v>0.29166666666666669</v>
      </c>
      <c r="D38" s="35">
        <v>0.29166666666666669</v>
      </c>
      <c r="E38" s="35">
        <v>0.29166666666666669</v>
      </c>
      <c r="F38" s="35">
        <v>0.20833333333333334</v>
      </c>
      <c r="G38" s="35"/>
      <c r="H38" s="35">
        <v>0.29166666666666669</v>
      </c>
      <c r="I38" s="35">
        <v>0.29166666666666669</v>
      </c>
      <c r="J38" s="35">
        <v>0.29166666666666669</v>
      </c>
      <c r="K38" s="35">
        <v>0.29166666666666669</v>
      </c>
      <c r="L38" s="35">
        <v>0.29166666666666669</v>
      </c>
      <c r="M38" s="35">
        <v>0.20833333333333334</v>
      </c>
      <c r="N38" s="35"/>
      <c r="O38" s="35">
        <v>0.29166666666666669</v>
      </c>
      <c r="P38" s="35">
        <v>0.29166666666666669</v>
      </c>
      <c r="Q38" s="35">
        <v>0.29166666666666669</v>
      </c>
      <c r="R38" s="35"/>
      <c r="S38" s="186">
        <f>IFERROR(ROUND(IF(B37="еж",(AE36+AK38+AK36-AG36)/BC36,(AE36+AK38+AK36-AG36)/BC36),0),"--")</f>
        <v>3</v>
      </c>
      <c r="T38" s="197"/>
      <c r="U38" s="197"/>
      <c r="V38" s="197"/>
      <c r="W38" s="197"/>
      <c r="X38" s="197"/>
      <c r="Y38" s="197"/>
      <c r="Z38" s="197"/>
      <c r="AA38" s="197"/>
      <c r="AB38" s="197"/>
      <c r="AC38" s="200"/>
      <c r="AD38" s="200"/>
      <c r="AE38" s="187">
        <f t="shared" ref="AE38" si="18">SUM(C38:R38,C40:R40)</f>
        <v>7.25</v>
      </c>
      <c r="AF38" s="203"/>
      <c r="AG38" s="206"/>
      <c r="AH38" s="181"/>
      <c r="AI38" s="192"/>
      <c r="AJ38" s="192"/>
      <c r="AK38" s="187">
        <f>SUMIF(C37:R37:C39:R39,"ск",C38:R38:C40:R40)</f>
        <v>0</v>
      </c>
      <c r="AL38" s="181"/>
      <c r="AM38" s="181"/>
      <c r="AN38" s="181"/>
      <c r="AO38" s="187">
        <f>SUMIF(C37:R37:C39:R39,"у",C38:R38:C40:R40)+SUMIF(C37:R37:C39:R39,"убз",C38:R38:C40:R40)</f>
        <v>0</v>
      </c>
      <c r="AP38" s="107"/>
      <c r="AQ38" s="108">
        <v>2001</v>
      </c>
      <c r="AR38" s="108">
        <v>1911</v>
      </c>
      <c r="AS38" s="271"/>
      <c r="AT38" s="274"/>
      <c r="AU38" s="265"/>
      <c r="AV38" s="262"/>
      <c r="AW38" s="265"/>
      <c r="AX38" s="268"/>
      <c r="AY38" s="36"/>
      <c r="AZ38" s="188">
        <f t="shared" ref="AZ38" si="19">DAY(EOMONTH($C$8,0))</f>
        <v>31</v>
      </c>
      <c r="BC38" s="56"/>
      <c r="BD38" s="60" t="s">
        <v>119</v>
      </c>
      <c r="BE38" s="186">
        <f>COUNTIF(C37:R37:C39:R39,"я")*1+COUNTIF(C37:R37:C39:R39,"нс")*1+COUNTIF(C37:R37:C39:R39,"нсп")*1+COUNTIF(C37:R37:C39:R39,"нп")*1+COUNTIF(C37:R37:C39:R39,"яп")*1+COUNTIF(C37:R37:C39:R39,"н")*1+COUNTIF(C37:R37:C39:R39,"к")*1+COUNTIF(C37:R37:C39:R39,"ск")*1+COUNTIF(C37:R37:C39:R39,"оп")*1+COUNTIF(C37:R37:C39:R39,"ух")*1+COUNTIF(C37:R37:C39:R39,"я/н")*1</f>
        <v>3</v>
      </c>
      <c r="BF38" s="197"/>
      <c r="BG38" s="197"/>
      <c r="BH38" s="197"/>
      <c r="BI38" s="197"/>
      <c r="BJ38" s="197"/>
      <c r="BK38" s="197"/>
      <c r="BL38" s="197"/>
      <c r="BM38" s="197"/>
      <c r="BN38" s="197"/>
    </row>
    <row r="39" spans="2:66" ht="15" customHeight="1">
      <c r="B39" s="32"/>
      <c r="C39" s="33" t="s">
        <v>148</v>
      </c>
      <c r="D39" s="33" t="s">
        <v>148</v>
      </c>
      <c r="E39" s="33" t="s">
        <v>148</v>
      </c>
      <c r="F39" s="33" t="s">
        <v>148</v>
      </c>
      <c r="G39" s="33" t="s">
        <v>150</v>
      </c>
      <c r="H39" s="33" t="s">
        <v>150</v>
      </c>
      <c r="I39" s="33" t="s">
        <v>150</v>
      </c>
      <c r="J39" s="33" t="s">
        <v>150</v>
      </c>
      <c r="K39" s="33" t="s">
        <v>150</v>
      </c>
      <c r="L39" s="33" t="s">
        <v>150</v>
      </c>
      <c r="M39" s="33" t="s">
        <v>150</v>
      </c>
      <c r="N39" s="33" t="s">
        <v>68</v>
      </c>
      <c r="O39" s="33" t="s">
        <v>69</v>
      </c>
      <c r="P39" s="33" t="s">
        <v>80</v>
      </c>
      <c r="Q39" s="33" t="s">
        <v>80</v>
      </c>
      <c r="R39" s="33" t="s">
        <v>68</v>
      </c>
      <c r="S39" s="186"/>
      <c r="T39" s="197"/>
      <c r="U39" s="197"/>
      <c r="V39" s="197"/>
      <c r="W39" s="197"/>
      <c r="X39" s="197"/>
      <c r="Y39" s="197"/>
      <c r="Z39" s="197"/>
      <c r="AA39" s="197"/>
      <c r="AB39" s="197"/>
      <c r="AC39" s="200"/>
      <c r="AD39" s="200"/>
      <c r="AE39" s="187"/>
      <c r="AF39" s="203"/>
      <c r="AG39" s="206"/>
      <c r="AH39" s="181"/>
      <c r="AI39" s="192"/>
      <c r="AJ39" s="192"/>
      <c r="AK39" s="187"/>
      <c r="AL39" s="181"/>
      <c r="AM39" s="181"/>
      <c r="AN39" s="181"/>
      <c r="AO39" s="187"/>
      <c r="AP39" s="107"/>
      <c r="AQ39" s="108"/>
      <c r="AR39" s="108"/>
      <c r="AS39" s="271"/>
      <c r="AT39" s="274"/>
      <c r="AU39" s="265"/>
      <c r="AV39" s="262"/>
      <c r="AW39" s="265"/>
      <c r="AX39" s="268"/>
      <c r="AY39" s="36"/>
      <c r="AZ39" s="189"/>
      <c r="BC39" s="56"/>
      <c r="BD39" s="60" t="s">
        <v>120</v>
      </c>
      <c r="BE39" s="186"/>
      <c r="BF39" s="197"/>
      <c r="BG39" s="197"/>
      <c r="BH39" s="197"/>
      <c r="BI39" s="197"/>
      <c r="BJ39" s="197"/>
      <c r="BK39" s="197"/>
      <c r="BL39" s="197"/>
      <c r="BM39" s="197"/>
      <c r="BN39" s="197"/>
    </row>
    <row r="40" spans="2:66" ht="15" customHeight="1">
      <c r="B40" s="32"/>
      <c r="C40" s="35">
        <v>0.29166666666666669</v>
      </c>
      <c r="D40" s="35">
        <v>0.29166666666666669</v>
      </c>
      <c r="E40" s="35">
        <v>0.20833333333333334</v>
      </c>
      <c r="F40" s="35"/>
      <c r="G40" s="35">
        <v>0.47222222222222227</v>
      </c>
      <c r="H40" s="35">
        <v>0.16666666666666666</v>
      </c>
      <c r="I40" s="35">
        <v>0.30555555555555552</v>
      </c>
      <c r="J40" s="35"/>
      <c r="K40" s="35">
        <v>0.47222222222222227</v>
      </c>
      <c r="L40" s="35">
        <v>0.16666666666666666</v>
      </c>
      <c r="M40" s="35">
        <v>0.30555555555555552</v>
      </c>
      <c r="N40" s="35"/>
      <c r="O40" s="35">
        <v>0.47222222222222227</v>
      </c>
      <c r="P40" s="35">
        <v>0.16666666666666666</v>
      </c>
      <c r="Q40" s="35">
        <v>0.30555555555555552</v>
      </c>
      <c r="R40" s="35"/>
      <c r="S40" s="186"/>
      <c r="T40" s="198"/>
      <c r="U40" s="198"/>
      <c r="V40" s="198"/>
      <c r="W40" s="198"/>
      <c r="X40" s="198"/>
      <c r="Y40" s="198"/>
      <c r="Z40" s="198"/>
      <c r="AA40" s="198"/>
      <c r="AB40" s="198"/>
      <c r="AC40" s="201"/>
      <c r="AD40" s="201"/>
      <c r="AE40" s="187"/>
      <c r="AF40" s="204"/>
      <c r="AG40" s="207"/>
      <c r="AH40" s="182"/>
      <c r="AI40" s="193"/>
      <c r="AJ40" s="193"/>
      <c r="AK40" s="187"/>
      <c r="AL40" s="182"/>
      <c r="AM40" s="182"/>
      <c r="AN40" s="182"/>
      <c r="AO40" s="187"/>
      <c r="AP40" s="107"/>
      <c r="AQ40" s="108"/>
      <c r="AR40" s="108"/>
      <c r="AS40" s="272"/>
      <c r="AT40" s="275"/>
      <c r="AU40" s="266"/>
      <c r="AV40" s="263"/>
      <c r="AW40" s="266"/>
      <c r="AX40" s="269"/>
      <c r="AY40" s="36"/>
      <c r="AZ40" s="190"/>
      <c r="BC40" s="56"/>
      <c r="BD40" s="60" t="s">
        <v>121</v>
      </c>
      <c r="BE40" s="186"/>
      <c r="BF40" s="198"/>
      <c r="BG40" s="198"/>
      <c r="BH40" s="198"/>
      <c r="BI40" s="198"/>
      <c r="BJ40" s="198"/>
      <c r="BK40" s="198"/>
      <c r="BL40" s="198"/>
      <c r="BM40" s="198"/>
      <c r="BN40" s="198"/>
    </row>
    <row r="41" spans="2:66" ht="32.1" customHeight="1">
      <c r="B41" s="28" t="s">
        <v>142</v>
      </c>
      <c r="C41" s="29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1"/>
      <c r="S41" s="194">
        <f>IFERROR(S43-COUNTIF(C42:R42:C44:R44,"к")*1,"--")</f>
        <v>14</v>
      </c>
      <c r="T41" s="196">
        <f>COUNTIF(C42:R42:C44:R44,"п")*1</f>
        <v>0</v>
      </c>
      <c r="U41" s="196">
        <f>COUNTIF(C42:R42:C44:R44,"о")*1</f>
        <v>6</v>
      </c>
      <c r="V41" s="196">
        <f>COUNTIF(C42:R42:C44:R44,"у")*1+COUNTIF(C42:R42:C44:R44,"убз")*1</f>
        <v>0</v>
      </c>
      <c r="W41" s="196">
        <f>COUNTIF(C42:R42:C44:R44,"р")*1</f>
        <v>0</v>
      </c>
      <c r="X41" s="196">
        <f>COUNTIF(C42:R42:C44:R44,"б")*1+COUNTIF(C42:R42:C44:R44,"нб")*1</f>
        <v>5</v>
      </c>
      <c r="Y41" s="196">
        <f>COUNTIF(C42:R42:C44:R44,"д")*1+COUNTIF(C42:R42:C44:R44,"гч")*1+COUNTIF(C42:R42:C44:R44,"мо")*1+COUNTIF(C42:R42:C44:R44,"дм")*1+COUNTIF(C42:R42:C44:R44,"х")*1+COUNTIF(C42:R42:C44:R44,"ож")*1+COUNTIF(C42:R42:C44:R44,"г")*1+COUNTIF(C42:R42:C44:R44,"гб")*1+COUNTIF(C42:R42:C44:R44,"гс")*1+COUNTIF(C42:R42:C44:R44,"х")*1+COUNTIF(C42:R42:C44:R44,"сх")*1+COUNTIF(C42:R42:C44:R44,"нр")*1++COUNTIF(C42:R42:C44:R44,"га")*1</f>
        <v>0</v>
      </c>
      <c r="Z41" s="196">
        <f>COUNTIF(C42:R42:C44:R44,"а")*1+COUNTIF(C42:R42:C44:R44,"оа")*1+COUNTIF(C42:R42:C44:R44,"оад")*1+COUNTIF(C42:R42:C44:R44,"ск")*1</f>
        <v>1</v>
      </c>
      <c r="AA41" s="196">
        <f>COUNTIF(C42:R42:C44:R44,"пр")*1+COUNTIF(C42:R42:C44:R44,"нн")*1+COUNTIF(C42:R42:C44:R44,"аа")*1</f>
        <v>0</v>
      </c>
      <c r="AB41" s="196">
        <f t="shared" ref="AB41" si="20">IFERROR(AZ43-S43-T41-U41-V41-W41-X41-Y41-Z41-AA41-BA41,"--")</f>
        <v>5</v>
      </c>
      <c r="AC41" s="199">
        <f>SUMIF(C42:R42:C44:R44,"нм",C43:R43:C45:R45)+SUMIF(C42:R42:C44:R44,"вп",C43:R43:C45:R45)</f>
        <v>0</v>
      </c>
      <c r="AD41" s="199">
        <f>SUMIF(C42:R42:C44:R44,"оп",C43:R43:C45:R45)+SUMIF(C42:R42:C44:R44,"ух",C43:R43:C45:R45)</f>
        <v>0</v>
      </c>
      <c r="AE41" s="183">
        <f>AE43-AK41-AK43-SUMIF(C42:R42:C44:R44,"п",C43:R43:C45:R45)-SUMIF(C42:R42:C44:R44,"о",C43:R43:C45:R45)-SUMIF(C42:R42:C44:R44,"у",C43:R43:C45:R45)-SUMIF(C42:R42:C44:R44,"убз",C43:R43:C45:R45)-SUMIF(C42:R42:C44:R44,"р",C43:R43:C45:R45)-SUMIF(C42:R42:C44:R44,"б",C43:R43:C45:R45)-SUMIF(C42:R42:C44:R44,"т",C43:R43:C45:R45)-SUMIF(C42:R42:C44:R44,"ож",C43:R43:C45:R45)-SUMIF(C42:R42:C44:R44,"г",C43:R43:C45:R45)-SUMIF(C42:R42:C44:R44,"гч",C43:R43:C45:R45)-SUMIF(C42:R42:C44:R44,"гб",C43:R43:C45:R45)-SUMIF(C42:R42:C44:R44,"гс",C43:R43:C45:R45)-SUMIF(C42:R42:C44:R44,"мо",C43:R43:C45:R45)-SUMIF(C42:R42:C44:R44,"д",C43:R43:C45:R45)-SUMIF(C42:R42:C44:R44,"дм",C43:R43:C45:R45)-SUMIF(C42:R42:C44:R44,"до",C43:R43:C45:R45)-SUMIF(C42:R42:C44:R44,"нр",C43:R43:C45:R45)-SUMIF(C42:R42:C44:R44,"сх",C43:R43:C45:R45)-SUMIF(C42:R42:C44:R44,"х",C43:R43:C45:R45)-SUMIF(C42:R42:C44:R44,"а",C43:R43:C45:R45)-SUMIF(C42:R42:C44:R44,"оа",C43:R43:C45:R45)-SUMIF(C42:R42:C44:R44,"оад",C43:R43:C45:R45)-SUMIF(C42:R42:C44:R44,"нн",C43:R43:C45:R45)-SUMIF(C42:R42:C44:R44,"пр",C43:R43:C45:R45)-SUMIF(C42:R42:C44:R44,"вп",C43:R43:C45:R45)-SUMIF(C42:R42:C44:R44,"нм",C43:R43:C45:R45)-SUMIF(C42:R42:C44:R44,"оп",C43:R43:C45:R45)-SUMIF(C42:R42:C44:R44,"ух",C43:R43:C45:R45)-SUMIF(C42:R42:C44:R44,"в",C43:R43:C45:R45)-SUMIF(C42:R42:C44:R44,"нб",C43:R43:C45:R45)</f>
        <v>3.9444444444444438</v>
      </c>
      <c r="AF41" s="202"/>
      <c r="AG41" s="205"/>
      <c r="AH41" s="180">
        <f>SUMIF(C42:R42:C44:R44,"нс",C43:R43:C45:R45)+SUMIF(C42:R42:C44:R44,"н",C43:R43:C45:R45)+SUMIF(C42:R42:C44:R44,"нсп",C43:R43:C45:R45)+SUMIF(C42:R42:C44:R44,"нп",C43:R43:C45:R45)</f>
        <v>2.0555555555555554</v>
      </c>
      <c r="AI41" s="191">
        <f>AE41</f>
        <v>3.9444444444444438</v>
      </c>
      <c r="AJ41" s="191"/>
      <c r="AK41" s="183">
        <f>SUMIF(C42:R42:C44:R44,"К",C43:R43:C45:R45)</f>
        <v>0</v>
      </c>
      <c r="AL41" s="180">
        <f>SUMIF(C42:R42:C44:R44,"яп",C43:R43:C45:R45)+SUMIF(C42:R42:C44:R44,"нп",C43:R43:C45:R45)+SUMIF(C42:R42:C44:R44,"нсп",C43:R43:C45:R45)+SUMIF(C42:R42:C44:R44,"рп",C43:R43:C45:R45)</f>
        <v>0</v>
      </c>
      <c r="AM41" s="180">
        <f>SUMIF(C42:R42:C44:R44,"ст",C43:R43:C45:R45)</f>
        <v>0</v>
      </c>
      <c r="AN41" s="180">
        <f>SUMIF(C42:R42:C44:R44,"б",C43:R43:C45:R45)+SUMIF(C42:R42:C44:R44,"р",C43:R43:C45:R45)+SUMIF(C42:R42:C44:R44,"нб",C43:R43:C45:R45)</f>
        <v>0.94444444444444442</v>
      </c>
      <c r="AO41" s="183">
        <f>SUMIF(C42:R42:C44:R44,"о",C43:R43:C45:R45)</f>
        <v>1.4166666666666667</v>
      </c>
      <c r="AP41" s="107">
        <v>4</v>
      </c>
      <c r="AQ41" s="108">
        <v>2001</v>
      </c>
      <c r="AR41" s="108">
        <v>1621</v>
      </c>
      <c r="AS41" s="270" t="s">
        <v>143</v>
      </c>
      <c r="AT41" s="273" t="s">
        <v>144</v>
      </c>
      <c r="AU41" s="264">
        <v>5</v>
      </c>
      <c r="AV41" s="261">
        <v>2677</v>
      </c>
      <c r="AW41" s="264">
        <v>5</v>
      </c>
      <c r="AX41" s="267"/>
      <c r="AY41" s="36"/>
      <c r="AZ41" s="184">
        <f>AZ43-COUNTIF(C42:R42:C44:R44,"--")*1-COUNTIF(C42:R42:C44:R44,"убз")*1-COUNTIF(C42:R42:C44:R44,"р")*1-COUNTIF(C42:R42:C44:R44,"ож")*1-COUNTIF(C42:R42:C44:R44,"д")*1-COUNTIF(C42:R42:C44:R44,"гс")*1-COUNTIF(C42:R42:C44:R44,"б")*1-COUNTIF(C42:R42:C44:R44,"нб")*1-COUNTIF(C42:R42:C44:R44,"х")*1-COUNTIF(C42:R42:C44:R44,"дм")*1-COUNTIF(C42:R42:C44:R44,"а")*1-COUNTIF(C42:R42:C44:R44,"аа")*1--COUNTIF(C42:R42:C44:R44,"га")*1</f>
        <v>25</v>
      </c>
      <c r="BA41" s="1">
        <f>(COUNTIF(C42:R42:C44:R44,"--")*1)</f>
        <v>0</v>
      </c>
      <c r="BB41" s="1">
        <f t="shared" ref="BB41" si="21">IF(B41&gt;0,1,0)</f>
        <v>1</v>
      </c>
      <c r="BC41" s="56">
        <f>IF(B42="еж",$BC$9,IF(B42="см",$BC$8,0))</f>
        <v>0.27777777777777779</v>
      </c>
      <c r="BD41" s="60" t="s">
        <v>122</v>
      </c>
      <c r="BE41" s="194">
        <f>COUNTIF(C42:R42:C44:R44,"я")*1+COUNTIF(C42:R42:C44:R44,"нс")*1+COUNTIF(C42:R42:C44:R44,"нсп")*1+COUNTIF(C42:R42:C44:R44,"нп")*1+COUNTIF(C42:R42:C44:R44,"яп")*1+COUNTIF(C42:R42:C44:R44,"н")*1+COUNTIF(C42:R42:C44:R44,"ян")*1++COUNTIF(C42:R42:C44:R44,"оп")*1+COUNTIF(C42:R42:C44:R44,"ух")*1+COUNTIF(C42:R42:C44:R44,"я/н")*1</f>
        <v>13</v>
      </c>
      <c r="BF41" s="196">
        <f>COUNTIF(C42:R42:C44:R44,"п")*1</f>
        <v>0</v>
      </c>
      <c r="BG41" s="196">
        <f>COUNTIF(C42:R42:C44:R44,"о")*1</f>
        <v>6</v>
      </c>
      <c r="BH41" s="196">
        <f>COUNTIF(C42:R42:C44:R44,"у")*1+COUNTIF(C42:R42:C44:R44,"убз")*1</f>
        <v>0</v>
      </c>
      <c r="BI41" s="196">
        <f>COUNTIF(C42:R42:C44:R44,"р")*1</f>
        <v>0</v>
      </c>
      <c r="BJ41" s="196">
        <f>COUNTIF(C42:R42:C44:R44,"б")*1+COUNTIF(C42:R42:C44:R44,"нб")*1</f>
        <v>5</v>
      </c>
      <c r="BK41" s="196">
        <f>COUNTIF(C42:R42:C44:R44,"д")*1+COUNTIF(C42:R42:C44:R44,"гч")*1+COUNTIF(C42:R42:C44:R44,"мо")*1+COUNTIF(C42:R42:C44:R44,"дм")*1+COUNTIF(C42:R42:C44:R44,"х")*1+COUNTIF(C42:R42:C44:R44,"ож")*1+COUNTIF(C42:R42:C44:R44,"г")*1+COUNTIF(C42:R42:C44:R44,"гб")*1+COUNTIF(C42:R42:C44:R44,"гс")*1+COUNTIF(C42:R42:C44:R44,"х")*1+COUNTIF(C42:R42:C44:R44,"сх")*1+COUNTIF(C42:R42:C44:R44,"нр")*1++COUNTIF(C42:R42:C44:R44,"га")*1</f>
        <v>0</v>
      </c>
      <c r="BL41" s="196">
        <f>COUNTIF(C42:R42:C44:R44,"а")*1+COUNTIF(C42:R42:C44:R44,"оа")*1+COUNTIF(C42:R42:C44:R44,"оад")*1</f>
        <v>1</v>
      </c>
      <c r="BM41" s="196">
        <f>COUNTIF(C42:R42:C44:R44,"пр")*1+COUNTIF(C42:R42:C44:R44,"нн")*1+COUNTIF(C42:R42:C44:R44,"аа")*1</f>
        <v>0</v>
      </c>
      <c r="BN41" s="196">
        <f>COUNTIF(C42:R42:C44:R44,"в")*1+COUNTIF(C42:R42:C44:R44,"сд")*1+COUNTIF(C42:R42:C44:R44,"до")*1</f>
        <v>6</v>
      </c>
    </row>
    <row r="42" spans="2:66" ht="15" customHeight="1">
      <c r="B42" s="32" t="s">
        <v>82</v>
      </c>
      <c r="C42" s="33" t="s">
        <v>80</v>
      </c>
      <c r="D42" s="33" t="s">
        <v>149</v>
      </c>
      <c r="E42" s="33" t="s">
        <v>150</v>
      </c>
      <c r="F42" s="33" t="s">
        <v>150</v>
      </c>
      <c r="G42" s="33" t="s">
        <v>150</v>
      </c>
      <c r="H42" s="33" t="s">
        <v>150</v>
      </c>
      <c r="I42" s="33" t="s">
        <v>150</v>
      </c>
      <c r="J42" s="33" t="s">
        <v>68</v>
      </c>
      <c r="K42" s="33" t="s">
        <v>148</v>
      </c>
      <c r="L42" s="33" t="s">
        <v>148</v>
      </c>
      <c r="M42" s="33" t="s">
        <v>148</v>
      </c>
      <c r="N42" s="33" t="s">
        <v>148</v>
      </c>
      <c r="O42" s="33" t="s">
        <v>148</v>
      </c>
      <c r="P42" s="33" t="s">
        <v>148</v>
      </c>
      <c r="Q42" s="33" t="s">
        <v>68</v>
      </c>
      <c r="R42" s="33"/>
      <c r="S42" s="195"/>
      <c r="T42" s="197"/>
      <c r="U42" s="197"/>
      <c r="V42" s="197"/>
      <c r="W42" s="197"/>
      <c r="X42" s="197"/>
      <c r="Y42" s="197"/>
      <c r="Z42" s="197"/>
      <c r="AA42" s="197"/>
      <c r="AB42" s="197"/>
      <c r="AC42" s="200"/>
      <c r="AD42" s="200"/>
      <c r="AE42" s="183"/>
      <c r="AF42" s="203"/>
      <c r="AG42" s="206"/>
      <c r="AH42" s="181"/>
      <c r="AI42" s="192"/>
      <c r="AJ42" s="192"/>
      <c r="AK42" s="183"/>
      <c r="AL42" s="181"/>
      <c r="AM42" s="181"/>
      <c r="AN42" s="181"/>
      <c r="AO42" s="183"/>
      <c r="AP42" s="107"/>
      <c r="AQ42" s="108">
        <v>2001</v>
      </c>
      <c r="AR42" s="108">
        <v>2051</v>
      </c>
      <c r="AS42" s="271"/>
      <c r="AT42" s="274"/>
      <c r="AU42" s="265"/>
      <c r="AV42" s="262"/>
      <c r="AW42" s="265"/>
      <c r="AX42" s="268"/>
      <c r="AY42" s="36"/>
      <c r="AZ42" s="185"/>
      <c r="BC42" s="56"/>
      <c r="BD42" s="60" t="s">
        <v>123</v>
      </c>
      <c r="BE42" s="195"/>
      <c r="BF42" s="197"/>
      <c r="BG42" s="197"/>
      <c r="BH42" s="197"/>
      <c r="BI42" s="197"/>
      <c r="BJ42" s="197"/>
      <c r="BK42" s="197"/>
      <c r="BL42" s="197"/>
      <c r="BM42" s="197"/>
      <c r="BN42" s="197"/>
    </row>
    <row r="43" spans="2:66" ht="15" customHeight="1">
      <c r="B43" s="34"/>
      <c r="C43" s="35">
        <v>0.16666666666666666</v>
      </c>
      <c r="D43" s="35">
        <v>0.30555555555555552</v>
      </c>
      <c r="E43" s="35"/>
      <c r="F43" s="35">
        <v>0.47222222222222227</v>
      </c>
      <c r="G43" s="35">
        <v>0.16666666666666666</v>
      </c>
      <c r="H43" s="35">
        <v>0.30555555555555552</v>
      </c>
      <c r="I43" s="35"/>
      <c r="J43" s="35"/>
      <c r="K43" s="35">
        <v>0.16666666666666666</v>
      </c>
      <c r="L43" s="35">
        <v>0.30555555555555552</v>
      </c>
      <c r="M43" s="35"/>
      <c r="N43" s="35">
        <v>0.47222222222222227</v>
      </c>
      <c r="O43" s="35">
        <v>0.16666666666666666</v>
      </c>
      <c r="P43" s="35">
        <v>0.30555555555555552</v>
      </c>
      <c r="Q43" s="35"/>
      <c r="R43" s="35"/>
      <c r="S43" s="186">
        <f>IFERROR(ROUND(IF(B42="еж",(AE41+AK43+AK41-AG41)/BC41,(AE41+AK43+AK41-AG41)/BC41),0),"--")</f>
        <v>14</v>
      </c>
      <c r="T43" s="197"/>
      <c r="U43" s="197"/>
      <c r="V43" s="197"/>
      <c r="W43" s="197"/>
      <c r="X43" s="197"/>
      <c r="Y43" s="197"/>
      <c r="Z43" s="197"/>
      <c r="AA43" s="197"/>
      <c r="AB43" s="197"/>
      <c r="AC43" s="200"/>
      <c r="AD43" s="200"/>
      <c r="AE43" s="187">
        <f t="shared" ref="AE43" si="22">SUM(C43:R43,C45:R45)</f>
        <v>6.6111111111111107</v>
      </c>
      <c r="AF43" s="203"/>
      <c r="AG43" s="206"/>
      <c r="AH43" s="181"/>
      <c r="AI43" s="192"/>
      <c r="AJ43" s="192"/>
      <c r="AK43" s="187">
        <f>SUMIF(C42:R42:C44:R44,"ск",C43:R43:C45:R45)</f>
        <v>0</v>
      </c>
      <c r="AL43" s="181"/>
      <c r="AM43" s="181"/>
      <c r="AN43" s="181"/>
      <c r="AO43" s="187">
        <f>SUMIF(C42:R42:C44:R44,"у",C43:R43:C45:R45)+SUMIF(C42:R42:C44:R44,"убз",C43:R43:C45:R45)</f>
        <v>0</v>
      </c>
      <c r="AP43" s="107"/>
      <c r="AQ43" s="108">
        <v>2001</v>
      </c>
      <c r="AR43" s="108">
        <v>1911</v>
      </c>
      <c r="AS43" s="271"/>
      <c r="AT43" s="274"/>
      <c r="AU43" s="265"/>
      <c r="AV43" s="262"/>
      <c r="AW43" s="265"/>
      <c r="AX43" s="268"/>
      <c r="AY43" s="36"/>
      <c r="AZ43" s="188">
        <f t="shared" ref="AZ43" si="23">DAY(EOMONTH($C$8,0))</f>
        <v>31</v>
      </c>
      <c r="BA43" s="44"/>
      <c r="BC43" s="56"/>
      <c r="BD43" s="60" t="s">
        <v>124</v>
      </c>
      <c r="BE43" s="186">
        <f>COUNTIF(C42:R42:C44:R44,"я")*1+COUNTIF(C42:R42:C44:R44,"нс")*1+COUNTIF(C42:R42:C44:R44,"нсп")*1+COUNTIF(C42:R42:C44:R44,"нп")*1+COUNTIF(C42:R42:C44:R44,"яп")*1+COUNTIF(C42:R42:C44:R44,"н")*1+COUNTIF(C42:R42:C44:R44,"к")*1+COUNTIF(C42:R42:C44:R44,"ск")*1+COUNTIF(C42:R42:C44:R44,"оп")*1+COUNTIF(C42:R42:C44:R44,"ух")*1+COUNTIF(C42:R42:C44:R44,"я/н")*1</f>
        <v>13</v>
      </c>
      <c r="BF43" s="197"/>
      <c r="BG43" s="197"/>
      <c r="BH43" s="197"/>
      <c r="BI43" s="197"/>
      <c r="BJ43" s="197"/>
      <c r="BK43" s="197"/>
      <c r="BL43" s="197"/>
      <c r="BM43" s="197"/>
      <c r="BN43" s="197"/>
    </row>
    <row r="44" spans="2:66" ht="15" customHeight="1">
      <c r="B44" s="32"/>
      <c r="C44" s="33" t="s">
        <v>69</v>
      </c>
      <c r="D44" s="33" t="s">
        <v>80</v>
      </c>
      <c r="E44" s="33" t="s">
        <v>80</v>
      </c>
      <c r="F44" s="33" t="s">
        <v>68</v>
      </c>
      <c r="G44" s="33" t="s">
        <v>69</v>
      </c>
      <c r="H44" s="33" t="s">
        <v>80</v>
      </c>
      <c r="I44" s="33" t="s">
        <v>80</v>
      </c>
      <c r="J44" s="33" t="s">
        <v>68</v>
      </c>
      <c r="K44" s="33" t="s">
        <v>69</v>
      </c>
      <c r="L44" s="33" t="s">
        <v>80</v>
      </c>
      <c r="M44" s="33" t="s">
        <v>80</v>
      </c>
      <c r="N44" s="33" t="s">
        <v>68</v>
      </c>
      <c r="O44" s="33" t="s">
        <v>69</v>
      </c>
      <c r="P44" s="33" t="s">
        <v>80</v>
      </c>
      <c r="Q44" s="33" t="s">
        <v>80</v>
      </c>
      <c r="R44" s="33" t="s">
        <v>68</v>
      </c>
      <c r="S44" s="186"/>
      <c r="T44" s="197"/>
      <c r="U44" s="197"/>
      <c r="V44" s="197"/>
      <c r="W44" s="197"/>
      <c r="X44" s="197"/>
      <c r="Y44" s="197"/>
      <c r="Z44" s="197"/>
      <c r="AA44" s="197"/>
      <c r="AB44" s="197"/>
      <c r="AC44" s="200"/>
      <c r="AD44" s="200"/>
      <c r="AE44" s="187"/>
      <c r="AF44" s="203"/>
      <c r="AG44" s="206"/>
      <c r="AH44" s="181"/>
      <c r="AI44" s="192"/>
      <c r="AJ44" s="192"/>
      <c r="AK44" s="187"/>
      <c r="AL44" s="181"/>
      <c r="AM44" s="181"/>
      <c r="AN44" s="181"/>
      <c r="AO44" s="187"/>
      <c r="AP44" s="107"/>
      <c r="AQ44" s="108"/>
      <c r="AR44" s="108"/>
      <c r="AS44" s="271"/>
      <c r="AT44" s="274"/>
      <c r="AU44" s="265"/>
      <c r="AV44" s="262"/>
      <c r="AW44" s="265"/>
      <c r="AX44" s="268"/>
      <c r="AY44" s="36"/>
      <c r="AZ44" s="189"/>
      <c r="BC44" s="56"/>
      <c r="BD44" s="60" t="s">
        <v>125</v>
      </c>
      <c r="BE44" s="186"/>
      <c r="BF44" s="197"/>
      <c r="BG44" s="197"/>
      <c r="BH44" s="197"/>
      <c r="BI44" s="197"/>
      <c r="BJ44" s="197"/>
      <c r="BK44" s="197"/>
      <c r="BL44" s="197"/>
      <c r="BM44" s="197"/>
      <c r="BN44" s="197"/>
    </row>
    <row r="45" spans="2:66" ht="15" customHeight="1">
      <c r="B45" s="32"/>
      <c r="C45" s="35">
        <v>0.47222222222222227</v>
      </c>
      <c r="D45" s="35">
        <v>0.16666666666666666</v>
      </c>
      <c r="E45" s="35">
        <v>0.30555555555555552</v>
      </c>
      <c r="F45" s="35"/>
      <c r="G45" s="35">
        <v>0.47222222222222227</v>
      </c>
      <c r="H45" s="35">
        <v>0.16666666666666666</v>
      </c>
      <c r="I45" s="35">
        <v>0.30555555555555552</v>
      </c>
      <c r="J45" s="35"/>
      <c r="K45" s="35">
        <v>0.47222222222222227</v>
      </c>
      <c r="L45" s="35">
        <v>0.16666666666666666</v>
      </c>
      <c r="M45" s="35">
        <v>0.30555555555555552</v>
      </c>
      <c r="N45" s="35"/>
      <c r="O45" s="35">
        <v>0.47222222222222227</v>
      </c>
      <c r="P45" s="35">
        <v>0.16666666666666666</v>
      </c>
      <c r="Q45" s="35">
        <v>0.30555555555555552</v>
      </c>
      <c r="R45" s="35"/>
      <c r="S45" s="186"/>
      <c r="T45" s="198"/>
      <c r="U45" s="198"/>
      <c r="V45" s="198"/>
      <c r="W45" s="198"/>
      <c r="X45" s="198"/>
      <c r="Y45" s="198"/>
      <c r="Z45" s="198"/>
      <c r="AA45" s="198"/>
      <c r="AB45" s="198"/>
      <c r="AC45" s="201"/>
      <c r="AD45" s="201"/>
      <c r="AE45" s="187"/>
      <c r="AF45" s="204"/>
      <c r="AG45" s="207"/>
      <c r="AH45" s="182"/>
      <c r="AI45" s="193"/>
      <c r="AJ45" s="193"/>
      <c r="AK45" s="187"/>
      <c r="AL45" s="182"/>
      <c r="AM45" s="182"/>
      <c r="AN45" s="182"/>
      <c r="AO45" s="187"/>
      <c r="AP45" s="107"/>
      <c r="AQ45" s="108"/>
      <c r="AR45" s="108"/>
      <c r="AS45" s="272"/>
      <c r="AT45" s="275"/>
      <c r="AU45" s="266"/>
      <c r="AV45" s="263"/>
      <c r="AW45" s="266"/>
      <c r="AX45" s="269"/>
      <c r="AY45" s="36"/>
      <c r="AZ45" s="190"/>
      <c r="BC45" s="56"/>
      <c r="BD45" s="60" t="s">
        <v>126</v>
      </c>
      <c r="BE45" s="186"/>
      <c r="BF45" s="198"/>
      <c r="BG45" s="198"/>
      <c r="BH45" s="198"/>
      <c r="BI45" s="198"/>
      <c r="BJ45" s="198"/>
      <c r="BK45" s="198"/>
      <c r="BL45" s="198"/>
      <c r="BM45" s="198"/>
      <c r="BN45" s="198"/>
    </row>
    <row r="46" spans="2:66" ht="32.1" customHeight="1">
      <c r="B46" s="28"/>
      <c r="C46" s="29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1"/>
      <c r="S46" s="194" t="str">
        <f>IFERROR(S48-COUNTIF(C47:R47:C49:R49,"к")*1,"--")</f>
        <v>--</v>
      </c>
      <c r="T46" s="196">
        <f>COUNTIF(C47:R47:C49:R49,"п")*1</f>
        <v>0</v>
      </c>
      <c r="U46" s="196">
        <f>COUNTIF(C47:R47:C49:R49,"о")*1</f>
        <v>0</v>
      </c>
      <c r="V46" s="196">
        <f>COUNTIF(C47:R47:C49:R49,"у")*1+COUNTIF(C47:R47:C49:R49,"убз")*1</f>
        <v>0</v>
      </c>
      <c r="W46" s="196">
        <f>COUNTIF(C47:R47:C49:R49,"р")*1</f>
        <v>0</v>
      </c>
      <c r="X46" s="196">
        <f>COUNTIF(C47:R47:C49:R49,"б")*1+COUNTIF(C47:R47:C49:R49,"нб")*1</f>
        <v>0</v>
      </c>
      <c r="Y46" s="196">
        <f>COUNTIF(C47:R47:C49:R49,"д")*1+COUNTIF(C47:R47:C49:R49,"гч")*1+COUNTIF(C47:R47:C49:R49,"мо")*1+COUNTIF(C47:R47:C49:R49,"дм")*1+COUNTIF(C47:R47:C49:R49,"х")*1+COUNTIF(C47:R47:C49:R49,"ож")*1+COUNTIF(C47:R47:C49:R49,"г")*1+COUNTIF(C47:R47:C49:R49,"гб")*1+COUNTIF(C47:R47:C49:R49,"гс")*1+COUNTIF(C47:R47:C49:R49,"х")*1+COUNTIF(C47:R47:C49:R49,"сх")*1+COUNTIF(C47:R47:C49:R49,"нр")*1++COUNTIF(C47:R47:C49:R49,"га")*1</f>
        <v>0</v>
      </c>
      <c r="Z46" s="196">
        <f>COUNTIF(C47:R47:C49:R49,"а")*1+COUNTIF(C47:R47:C49:R49,"оа")*1+COUNTIF(C47:R47:C49:R49,"оад")*1+COUNTIF(C47:R47:C49:R49,"ск")*1</f>
        <v>0</v>
      </c>
      <c r="AA46" s="196">
        <f>COUNTIF(C47:R47:C49:R49,"пр")*1+COUNTIF(C47:R47:C49:R49,"нн")*1+COUNTIF(C47:R47:C49:R49,"аа")*1</f>
        <v>0</v>
      </c>
      <c r="AB46" s="196" t="str">
        <f t="shared" ref="AB46" si="24">IFERROR(AZ48-S48-T46-U46-V46-W46-X46-Y46-Z46-AA46-BA46,"--")</f>
        <v>--</v>
      </c>
      <c r="AC46" s="199">
        <f>SUMIF(C47:R47:C49:R49,"нм",C48:R48:C50:R50)+SUMIF(C47:R47:C49:R49,"вп",C48:R48:C50:R50)</f>
        <v>0</v>
      </c>
      <c r="AD46" s="199">
        <f>SUMIF(C47:R47:C49:R49,"оп",C48:R48:C50:R50)+SUMIF(C47:R47:C49:R49,"ух",C48:R48:C50:R50)</f>
        <v>0</v>
      </c>
      <c r="AE46" s="183">
        <f>AE48-AK46-AK48-SUMIF(C47:R47:C49:R49,"п",C48:R48:C50:R50)-SUMIF(C47:R47:C49:R49,"о",C48:R48:C50:R50)-SUMIF(C47:R47:C49:R49,"у",C48:R48:C50:R50)-SUMIF(C47:R47:C49:R49,"убз",C48:R48:C50:R50)-SUMIF(C47:R47:C49:R49,"р",C48:R48:C50:R50)-SUMIF(C47:R47:C49:R49,"б",C48:R48:C50:R50)-SUMIF(C47:R47:C49:R49,"т",C48:R48:C50:R50)-SUMIF(C47:R47:C49:R49,"ож",C48:R48:C50:R50)-SUMIF(C47:R47:C49:R49,"г",C48:R48:C50:R50)-SUMIF(C47:R47:C49:R49,"гч",C48:R48:C50:R50)-SUMIF(C47:R47:C49:R49,"гб",C48:R48:C50:R50)-SUMIF(C47:R47:C49:R49,"гс",C48:R48:C50:R50)-SUMIF(C47:R47:C49:R49,"мо",C48:R48:C50:R50)-SUMIF(C47:R47:C49:R49,"д",C48:R48:C50:R50)-SUMIF(C47:R47:C49:R49,"дм",C48:R48:C50:R50)-SUMIF(C47:R47:C49:R49,"до",C48:R48:C50:R50)-SUMIF(C47:R47:C49:R49,"нр",C48:R48:C50:R50)-SUMIF(C47:R47:C49:R49,"сх",C48:R48:C50:R50)-SUMIF(C47:R47:C49:R49,"х",C48:R48:C50:R50)-SUMIF(C47:R47:C49:R49,"а",C48:R48:C50:R50)-SUMIF(C47:R47:C49:R49,"оа",C48:R48:C50:R50)-SUMIF(C47:R47:C49:R49,"оад",C48:R48:C50:R50)-SUMIF(C47:R47:C49:R49,"нн",C48:R48:C50:R50)-SUMIF(C47:R47:C49:R49,"пр",C48:R48:C50:R50)-SUMIF(C47:R47:C49:R49,"вп",C48:R48:C50:R50)-SUMIF(C47:R47:C49:R49,"нм",C48:R48:C50:R50)-SUMIF(C47:R47:C49:R49,"оп",C48:R48:C50:R50)-SUMIF(C47:R47:C49:R49,"ух",C48:R48:C50:R50)-SUMIF(C47:R47:C49:R49,"в",C48:R48:C50:R50)-SUMIF(C47:R47:C49:R49,"нб",C48:R48:C50:R50)</f>
        <v>0</v>
      </c>
      <c r="AF46" s="202"/>
      <c r="AG46" s="205"/>
      <c r="AH46" s="180">
        <f>SUMIF(C47:R47:C49:R49,"нс",C48:R48:C50:R50)+SUMIF(C47:R47:C49:R49,"н",C48:R48:C50:R50)+SUMIF(C47:R47:C49:R49,"нсп",C48:R48:C50:R50)+SUMIF(C47:R47:C49:R49,"нп",C48:R48:C50:R50)</f>
        <v>0</v>
      </c>
      <c r="AI46" s="191"/>
      <c r="AJ46" s="191"/>
      <c r="AK46" s="183">
        <f>SUMIF(C47:R47:C49:R49,"К",C48:R48:C50:R50)</f>
        <v>0</v>
      </c>
      <c r="AL46" s="180">
        <f>SUMIF(C47:R47:C49:R49,"яп",C48:R48:C50:R50)+SUMIF(C47:R47:C49:R49,"нп",C48:R48:C50:R50)+SUMIF(C47:R47:C49:R49,"нсп",C48:R48:C50:R50)+SUMIF(C47:R47:C49:R49,"рп",C48:R48:C50:R50)</f>
        <v>0</v>
      </c>
      <c r="AM46" s="180">
        <f>SUMIF(C47:R47:C49:R49,"ст",C48:R48:C50:R50)</f>
        <v>0</v>
      </c>
      <c r="AN46" s="180">
        <f>SUMIF(C47:R47:C49:R49,"б",C48:R48:C50:R50)+SUMIF(C47:R47:C49:R49,"р",C48:R48:C50:R50)+SUMIF(C47:R47:C49:R49,"нб",C48:R48:C50:R50)</f>
        <v>0</v>
      </c>
      <c r="AO46" s="183">
        <f>SUMIF(C47:R47:C49:R49,"о",C48:R48:C50:R50)</f>
        <v>0</v>
      </c>
      <c r="AP46" s="107"/>
      <c r="AQ46" s="108"/>
      <c r="AR46" s="108"/>
      <c r="AS46" s="270"/>
      <c r="AT46" s="273"/>
      <c r="AU46" s="264"/>
      <c r="AV46" s="261"/>
      <c r="AW46" s="264"/>
      <c r="AX46" s="267"/>
      <c r="AY46" s="36"/>
      <c r="AZ46" s="184">
        <f>AZ48-COUNTIF(C47:R47:C49:R49,"--")*1-COUNTIF(C47:R47:C49:R49,"убз")*1-COUNTIF(C47:R47:C49:R49,"р")*1-COUNTIF(C47:R47:C49:R49,"ож")*1-COUNTIF(C47:R47:C49:R49,"д")*1-COUNTIF(C47:R47:C49:R49,"гс")*1-COUNTIF(C47:R47:C49:R49,"б")*1-COUNTIF(C47:R47:C49:R49,"нб")*1-COUNTIF(C47:R47:C49:R49,"х")*1-COUNTIF(C47:R47:C49:R49,"дм")*1-COUNTIF(C47:R47:C49:R49,"а")*1-COUNTIF(C47:R47:C49:R49,"аа")*1--COUNTIF(C47:R47:C49:R49,"га")*1</f>
        <v>0</v>
      </c>
      <c r="BA46" s="1">
        <f>(COUNTIF(C47:R47:C49:R49,"--")*1)</f>
        <v>31</v>
      </c>
      <c r="BB46" s="1">
        <f t="shared" ref="BB46" si="25">IF(B46&gt;0,1,0)</f>
        <v>0</v>
      </c>
      <c r="BC46" s="56">
        <f>IF(B47="еж",$BC$9,IF(B47="см",$BC$8,0))</f>
        <v>0</v>
      </c>
      <c r="BD46" s="60" t="s">
        <v>117</v>
      </c>
      <c r="BE46" s="194">
        <f>COUNTIF(C47:R47:C49:R49,"я")*1+COUNTIF(C47:R47:C49:R49,"нс")*1+COUNTIF(C47:R47:C49:R49,"нсп")*1+COUNTIF(C47:R47:C49:R49,"нп")*1+COUNTIF(C47:R47:C49:R49,"яп")*1+COUNTIF(C47:R47:C49:R49,"н")*1+COUNTIF(C47:R47:C49:R49,"ян")*1++COUNTIF(C47:R47:C49:R49,"оп")*1+COUNTIF(C47:R47:C49:R49,"ух")*1+COUNTIF(C47:R47:C49:R49,"я/н")*1</f>
        <v>0</v>
      </c>
      <c r="BF46" s="196">
        <f>COUNTIF(C47:R47:C49:R49,"п")*1</f>
        <v>0</v>
      </c>
      <c r="BG46" s="196">
        <f>COUNTIF(C47:R47:C49:R49,"о")*1</f>
        <v>0</v>
      </c>
      <c r="BH46" s="196">
        <f>COUNTIF(C47:R47:C49:R49,"у")*1+COUNTIF(C47:R47:C49:R49,"убз")*1</f>
        <v>0</v>
      </c>
      <c r="BI46" s="196">
        <f>COUNTIF(C47:R47:C49:R49,"р")*1</f>
        <v>0</v>
      </c>
      <c r="BJ46" s="196">
        <f>COUNTIF(C47:R47:C49:R49,"б")*1+COUNTIF(C47:R47:C49:R49,"нб")*1</f>
        <v>0</v>
      </c>
      <c r="BK46" s="196">
        <f>COUNTIF(C47:R47:C49:R49,"д")*1+COUNTIF(C47:R47:C49:R49,"гч")*1+COUNTIF(C47:R47:C49:R49,"мо")*1+COUNTIF(C47:R47:C49:R49,"дм")*1+COUNTIF(C47:R47:C49:R49,"х")*1+COUNTIF(C47:R47:C49:R49,"ож")*1+COUNTIF(C47:R47:C49:R49,"г")*1+COUNTIF(C47:R47:C49:R49,"гб")*1+COUNTIF(C47:R47:C49:R49,"гс")*1+COUNTIF(C47:R47:C49:R49,"х")*1+COUNTIF(C47:R47:C49:R49,"сх")*1+COUNTIF(C47:R47:C49:R49,"нр")*1++COUNTIF(C47:R47:C49:R49,"га")*1</f>
        <v>0</v>
      </c>
      <c r="BL46" s="196">
        <f>COUNTIF(C47:R47:C49:R49,"а")*1+COUNTIF(C47:R47:C49:R49,"оа")*1+COUNTIF(C47:R47:C49:R49,"оад")*1</f>
        <v>0</v>
      </c>
      <c r="BM46" s="196">
        <f>COUNTIF(C47:R47:C49:R49,"пр")*1+COUNTIF(C47:R47:C49:R49,"нн")*1+COUNTIF(C47:R47:C49:R49,"аа")*1</f>
        <v>0</v>
      </c>
      <c r="BN46" s="196">
        <f>COUNTIF(C47:R47:C49:R49,"в")*1+COUNTIF(C47:R47:C49:R49,"сд")*1+COUNTIF(C47:R47:C49:R49,"до")*1</f>
        <v>0</v>
      </c>
    </row>
    <row r="47" spans="2:66" ht="15" customHeight="1">
      <c r="B47" s="32"/>
      <c r="C47" s="39" t="s">
        <v>65</v>
      </c>
      <c r="D47" s="39" t="s">
        <v>65</v>
      </c>
      <c r="E47" s="39" t="s">
        <v>65</v>
      </c>
      <c r="F47" s="39" t="s">
        <v>65</v>
      </c>
      <c r="G47" s="39" t="s">
        <v>65</v>
      </c>
      <c r="H47" s="39" t="s">
        <v>65</v>
      </c>
      <c r="I47" s="39" t="s">
        <v>65</v>
      </c>
      <c r="J47" s="39" t="s">
        <v>65</v>
      </c>
      <c r="K47" s="39" t="s">
        <v>65</v>
      </c>
      <c r="L47" s="39" t="s">
        <v>65</v>
      </c>
      <c r="M47" s="39" t="s">
        <v>65</v>
      </c>
      <c r="N47" s="39" t="s">
        <v>65</v>
      </c>
      <c r="O47" s="39" t="s">
        <v>65</v>
      </c>
      <c r="P47" s="39" t="s">
        <v>65</v>
      </c>
      <c r="Q47" s="39" t="s">
        <v>65</v>
      </c>
      <c r="R47" s="33"/>
      <c r="S47" s="195"/>
      <c r="T47" s="197"/>
      <c r="U47" s="197"/>
      <c r="V47" s="197"/>
      <c r="W47" s="197"/>
      <c r="X47" s="197"/>
      <c r="Y47" s="197"/>
      <c r="Z47" s="197"/>
      <c r="AA47" s="197"/>
      <c r="AB47" s="197"/>
      <c r="AC47" s="200"/>
      <c r="AD47" s="200"/>
      <c r="AE47" s="183"/>
      <c r="AF47" s="203"/>
      <c r="AG47" s="206"/>
      <c r="AH47" s="181"/>
      <c r="AI47" s="192"/>
      <c r="AJ47" s="192"/>
      <c r="AK47" s="183"/>
      <c r="AL47" s="181"/>
      <c r="AM47" s="181"/>
      <c r="AN47" s="181"/>
      <c r="AO47" s="183"/>
      <c r="AP47" s="107"/>
      <c r="AQ47" s="108"/>
      <c r="AR47" s="108"/>
      <c r="AS47" s="271"/>
      <c r="AT47" s="274"/>
      <c r="AU47" s="265"/>
      <c r="AV47" s="262"/>
      <c r="AW47" s="265"/>
      <c r="AX47" s="268"/>
      <c r="AY47" s="36"/>
      <c r="AZ47" s="185"/>
      <c r="BC47" s="56"/>
      <c r="BD47" s="62" t="s">
        <v>65</v>
      </c>
      <c r="BE47" s="195"/>
      <c r="BF47" s="197"/>
      <c r="BG47" s="197"/>
      <c r="BH47" s="197"/>
      <c r="BI47" s="197"/>
      <c r="BJ47" s="197"/>
      <c r="BK47" s="197"/>
      <c r="BL47" s="197"/>
      <c r="BM47" s="197"/>
      <c r="BN47" s="197"/>
    </row>
    <row r="48" spans="2:66" ht="15" customHeight="1">
      <c r="B48" s="34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186" t="str">
        <f>IFERROR(ROUND(IF(B47="еж",(AE46+AK48+AK46-AG46)/BC46,(AE46+AK48+AK46-AG46)/BC46),0),"--")</f>
        <v>--</v>
      </c>
      <c r="T48" s="197"/>
      <c r="U48" s="197"/>
      <c r="V48" s="197"/>
      <c r="W48" s="197"/>
      <c r="X48" s="197"/>
      <c r="Y48" s="197"/>
      <c r="Z48" s="197"/>
      <c r="AA48" s="197"/>
      <c r="AB48" s="197"/>
      <c r="AC48" s="200"/>
      <c r="AD48" s="200"/>
      <c r="AE48" s="187">
        <f t="shared" ref="AE48" si="26">SUM(C48:R48,C50:R50)</f>
        <v>0</v>
      </c>
      <c r="AF48" s="203"/>
      <c r="AG48" s="206"/>
      <c r="AH48" s="181"/>
      <c r="AI48" s="192"/>
      <c r="AJ48" s="192"/>
      <c r="AK48" s="187">
        <f>SUMIF(C47:R47:C49:R49,"ск",C48:R48:C50:R50)</f>
        <v>0</v>
      </c>
      <c r="AL48" s="181"/>
      <c r="AM48" s="181"/>
      <c r="AN48" s="181"/>
      <c r="AO48" s="187">
        <f>SUMIF(C47:R47:C49:R49,"у",C48:R48:C50:R50)+SUMIF(C47:R47:C49:R49,"убз",C48:R48:C50:R50)</f>
        <v>0</v>
      </c>
      <c r="AP48" s="107"/>
      <c r="AQ48" s="108"/>
      <c r="AR48" s="108"/>
      <c r="AS48" s="271"/>
      <c r="AT48" s="274"/>
      <c r="AU48" s="265"/>
      <c r="AV48" s="262"/>
      <c r="AW48" s="265"/>
      <c r="AX48" s="268"/>
      <c r="AY48" s="36"/>
      <c r="AZ48" s="188">
        <f t="shared" ref="AZ48" si="27">DAY(EOMONTH($C$8,0))</f>
        <v>31</v>
      </c>
      <c r="BC48" s="56"/>
      <c r="BE48" s="186">
        <f>COUNTIF(C47:R47:C49:R49,"я")*1+COUNTIF(C47:R47:C49:R49,"нс")*1+COUNTIF(C47:R47:C49:R49,"нсп")*1+COUNTIF(C47:R47:C49:R49,"нп")*1+COUNTIF(C47:R47:C49:R49,"яп")*1+COUNTIF(C47:R47:C49:R49,"н")*1+COUNTIF(C47:R47:C49:R49,"к")*1+COUNTIF(C47:R47:C49:R49,"ск")*1+COUNTIF(C47:R47:C49:R49,"оп")*1+COUNTIF(C47:R47:C49:R49,"ух")*1+COUNTIF(C47:R47:C49:R49,"я/н")*1</f>
        <v>0</v>
      </c>
      <c r="BF48" s="197"/>
      <c r="BG48" s="197"/>
      <c r="BH48" s="197"/>
      <c r="BI48" s="197"/>
      <c r="BJ48" s="197"/>
      <c r="BK48" s="197"/>
      <c r="BL48" s="197"/>
      <c r="BM48" s="197"/>
      <c r="BN48" s="197"/>
    </row>
    <row r="49" spans="2:66" ht="15" customHeight="1">
      <c r="B49" s="32"/>
      <c r="C49" s="39" t="s">
        <v>65</v>
      </c>
      <c r="D49" s="39" t="s">
        <v>65</v>
      </c>
      <c r="E49" s="39" t="s">
        <v>65</v>
      </c>
      <c r="F49" s="39" t="s">
        <v>65</v>
      </c>
      <c r="G49" s="39" t="s">
        <v>65</v>
      </c>
      <c r="H49" s="39" t="s">
        <v>65</v>
      </c>
      <c r="I49" s="39" t="s">
        <v>65</v>
      </c>
      <c r="J49" s="39" t="s">
        <v>65</v>
      </c>
      <c r="K49" s="39" t="s">
        <v>65</v>
      </c>
      <c r="L49" s="39" t="s">
        <v>65</v>
      </c>
      <c r="M49" s="39" t="s">
        <v>65</v>
      </c>
      <c r="N49" s="39" t="s">
        <v>65</v>
      </c>
      <c r="O49" s="39" t="s">
        <v>65</v>
      </c>
      <c r="P49" s="39" t="s">
        <v>65</v>
      </c>
      <c r="Q49" s="39" t="s">
        <v>65</v>
      </c>
      <c r="R49" s="39" t="s">
        <v>65</v>
      </c>
      <c r="S49" s="186"/>
      <c r="T49" s="197"/>
      <c r="U49" s="197"/>
      <c r="V49" s="197"/>
      <c r="W49" s="197"/>
      <c r="X49" s="197"/>
      <c r="Y49" s="197"/>
      <c r="Z49" s="197"/>
      <c r="AA49" s="197"/>
      <c r="AB49" s="197"/>
      <c r="AC49" s="200"/>
      <c r="AD49" s="200"/>
      <c r="AE49" s="187"/>
      <c r="AF49" s="203"/>
      <c r="AG49" s="206"/>
      <c r="AH49" s="181"/>
      <c r="AI49" s="192"/>
      <c r="AJ49" s="192"/>
      <c r="AK49" s="187"/>
      <c r="AL49" s="181"/>
      <c r="AM49" s="181"/>
      <c r="AN49" s="181"/>
      <c r="AO49" s="187"/>
      <c r="AP49" s="107"/>
      <c r="AQ49" s="108"/>
      <c r="AR49" s="108"/>
      <c r="AS49" s="271"/>
      <c r="AT49" s="274"/>
      <c r="AU49" s="265"/>
      <c r="AV49" s="262"/>
      <c r="AW49" s="265"/>
      <c r="AX49" s="268"/>
      <c r="AY49" s="36"/>
      <c r="AZ49" s="189"/>
      <c r="BC49" s="56"/>
      <c r="BE49" s="186"/>
      <c r="BF49" s="197"/>
      <c r="BG49" s="197"/>
      <c r="BH49" s="197"/>
      <c r="BI49" s="197"/>
      <c r="BJ49" s="197"/>
      <c r="BK49" s="197"/>
      <c r="BL49" s="197"/>
      <c r="BM49" s="197"/>
      <c r="BN49" s="197"/>
    </row>
    <row r="50" spans="2:66" ht="15" customHeight="1">
      <c r="B50" s="32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186"/>
      <c r="T50" s="198"/>
      <c r="U50" s="198"/>
      <c r="V50" s="198"/>
      <c r="W50" s="198"/>
      <c r="X50" s="198"/>
      <c r="Y50" s="198"/>
      <c r="Z50" s="198"/>
      <c r="AA50" s="198"/>
      <c r="AB50" s="198"/>
      <c r="AC50" s="201"/>
      <c r="AD50" s="201"/>
      <c r="AE50" s="187"/>
      <c r="AF50" s="204"/>
      <c r="AG50" s="207"/>
      <c r="AH50" s="182"/>
      <c r="AI50" s="193"/>
      <c r="AJ50" s="193"/>
      <c r="AK50" s="187"/>
      <c r="AL50" s="182"/>
      <c r="AM50" s="182"/>
      <c r="AN50" s="182"/>
      <c r="AO50" s="187"/>
      <c r="AP50" s="107"/>
      <c r="AQ50" s="108"/>
      <c r="AR50" s="108"/>
      <c r="AS50" s="272"/>
      <c r="AT50" s="275"/>
      <c r="AU50" s="266"/>
      <c r="AV50" s="263"/>
      <c r="AW50" s="266"/>
      <c r="AX50" s="269"/>
      <c r="AY50" s="36"/>
      <c r="AZ50" s="190"/>
      <c r="BC50" s="56"/>
      <c r="BE50" s="186"/>
      <c r="BF50" s="198"/>
      <c r="BG50" s="198"/>
      <c r="BH50" s="198"/>
      <c r="BI50" s="198"/>
      <c r="BJ50" s="198"/>
      <c r="BK50" s="198"/>
      <c r="BL50" s="198"/>
      <c r="BM50" s="198"/>
      <c r="BN50" s="198"/>
    </row>
    <row r="51" spans="2:66" ht="32.1" customHeight="1">
      <c r="B51" s="28"/>
      <c r="C51" s="29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1"/>
      <c r="S51" s="142" t="str">
        <f>IFERROR(S53-COUNTIF(C52:R52:C54:R54,"к")*1,"--")</f>
        <v>--</v>
      </c>
      <c r="T51" s="126">
        <f>COUNTIF(C52:R52:C54:R54,"п")*1</f>
        <v>0</v>
      </c>
      <c r="U51" s="126">
        <f>COUNTIF(C52:R52:C54:R54,"о")*1</f>
        <v>0</v>
      </c>
      <c r="V51" s="126">
        <f>COUNTIF(C52:R52:C54:R54,"у")*1+COUNTIF(C52:R52:C54:R54,"убз")*1</f>
        <v>0</v>
      </c>
      <c r="W51" s="126">
        <f>COUNTIF(C52:R52:C54:R54,"р")*1</f>
        <v>0</v>
      </c>
      <c r="X51" s="126">
        <f>COUNTIF(C52:R52:C54:R54,"б")*1+COUNTIF(C52:R52:C54:R54,"нб")*1</f>
        <v>0</v>
      </c>
      <c r="Y51" s="126">
        <f>COUNTIF(C52:R52:C54:R54,"д")*1+COUNTIF(C52:R52:C54:R54,"гч")*1+COUNTIF(C52:R52:C54:R54,"мо")*1+COUNTIF(C52:R52:C54:R54,"дм")*1+COUNTIF(C52:R52:C54:R54,"х")*1+COUNTIF(C52:R52:C54:R54,"ож")*1+COUNTIF(C52:R52:C54:R54,"г")*1+COUNTIF(C52:R52:C54:R54,"гб")*1+COUNTIF(C52:R52:C54:R54,"гс")*1+COUNTIF(C52:R52:C54:R54,"х")*1+COUNTIF(C52:R52:C54:R54,"сх")*1+COUNTIF(C52:R52:C54:R54,"нр")*1++COUNTIF(C52:R52:C54:R54,"га")*1</f>
        <v>0</v>
      </c>
      <c r="Z51" s="126">
        <f>COUNTIF(C52:R52:C54:R54,"а")*1+COUNTIF(C52:R52:C54:R54,"оа")*1+COUNTIF(C52:R52:C54:R54,"оад")*1+COUNTIF(C52:R52:C54:R54,"ск")*1</f>
        <v>0</v>
      </c>
      <c r="AA51" s="126">
        <f>COUNTIF(C52:R52:C54:R54,"пр")*1+COUNTIF(C52:R52:C54:R54,"нн")*1+COUNTIF(C52:R52:C54:R54,"аа")*1</f>
        <v>0</v>
      </c>
      <c r="AB51" s="126" t="str">
        <f t="shared" ref="AB51" si="28">IFERROR(AZ53-S53-T51-U51-V51-W51-X51-Y51-Z51-AA51-BA51,"--")</f>
        <v>--</v>
      </c>
      <c r="AC51" s="144">
        <f>SUMIF(C52:R52:C54:R54,"нм",C53:R53:C55:R55)+SUMIF(C52:R52:C54:R54,"вп",C53:R53:C55:R55)</f>
        <v>0</v>
      </c>
      <c r="AD51" s="144">
        <f>SUMIF(C52:R52:C54:R54,"оп",C53:R53:C55:R55)+SUMIF(C52:R52:C54:R54,"ух",C53:R53:C55:R55)</f>
        <v>0</v>
      </c>
      <c r="AE51" s="147">
        <f>AE53-AK51-AK53-SUMIF(C52:R52:C54:R54,"п",C53:R53:C55:R55)-SUMIF(C52:R52:C54:R54,"о",C53:R53:C55:R55)-SUMIF(C52:R52:C54:R54,"у",C53:R53:C55:R55)-SUMIF(C52:R52:C54:R54,"убз",C53:R53:C55:R55)-SUMIF(C52:R52:C54:R54,"р",C53:R53:C55:R55)-SUMIF(C52:R52:C54:R54,"б",C53:R53:C55:R55)-SUMIF(C52:R52:C54:R54,"т",C53:R53:C55:R55)-SUMIF(C52:R52:C54:R54,"ож",C53:R53:C55:R55)-SUMIF(C52:R52:C54:R54,"г",C53:R53:C55:R55)-SUMIF(C52:R52:C54:R54,"гч",C53:R53:C55:R55)-SUMIF(C52:R52:C54:R54,"гб",C53:R53:C55:R55)-SUMIF(C52:R52:C54:R54,"гс",C53:R53:C55:R55)-SUMIF(C52:R52:C54:R54,"мо",C53:R53:C55:R55)-SUMIF(C52:R52:C54:R54,"д",C53:R53:C55:R55)-SUMIF(C52:R52:C54:R54,"дм",C53:R53:C55:R55)-SUMIF(C52:R52:C54:R54,"до",C53:R53:C55:R55)-SUMIF(C52:R52:C54:R54,"нр",C53:R53:C55:R55)-SUMIF(C52:R52:C54:R54,"сх",C53:R53:C55:R55)-SUMIF(C52:R52:C54:R54,"х",C53:R53:C55:R55)-SUMIF(C52:R52:C54:R54,"а",C53:R53:C55:R55)-SUMIF(C52:R52:C54:R54,"оа",C53:R53:C55:R55)-SUMIF(C52:R52:C54:R54,"оад",C53:R53:C55:R55)-SUMIF(C52:R52:C54:R54,"нн",C53:R53:C55:R55)-SUMIF(C52:R52:C54:R54,"пр",C53:R53:C55:R55)-SUMIF(C52:R52:C54:R54,"вп",C53:R53:C55:R55)-SUMIF(C52:R52:C54:R54,"нм",C53:R53:C55:R55)-SUMIF(C52:R52:C54:R54,"оп",C53:R53:C55:R55)-SUMIF(C52:R52:C54:R54,"ух",C53:R53:C55:R55)-SUMIF(C52:R52:C54:R54,"в",C53:R53:C55:R55)-SUMIF(C52:R52:C54:R54,"нб",C53:R53:C55:R55)</f>
        <v>0</v>
      </c>
      <c r="AF51" s="148"/>
      <c r="AG51" s="151"/>
      <c r="AH51" s="132">
        <f>SUMIF(C52:R52:C54:R54,"нс",C53:R53:C55:R55)+SUMIF(C52:R52:C54:R54,"н",C53:R53:C55:R55)+SUMIF(C52:R52:C54:R54,"нсп",C53:R53:C55:R55)+SUMIF(C52:R52:C54:R54,"нп",C53:R53:C55:R55)</f>
        <v>0</v>
      </c>
      <c r="AI51" s="129"/>
      <c r="AJ51" s="129"/>
      <c r="AK51" s="147">
        <f>SUMIF(C52:R52:C54:R54,"К",C53:R53:C55:R55)</f>
        <v>0</v>
      </c>
      <c r="AL51" s="132">
        <f>SUMIF(C52:R52:C54:R54,"яп",C53:R53:C55:R55)+SUMIF(C52:R52:C54:R54,"нп",C53:R53:C55:R55)+SUMIF(C52:R52:C54:R54,"нсп",C53:R53:C55:R55)+SUMIF(C52:R52:C54:R54,"рп",C53:R53:C55:R55)</f>
        <v>0</v>
      </c>
      <c r="AM51" s="132">
        <f>SUMIF(C52:R52:C54:R54,"ст",C53:R53:C55:R55)</f>
        <v>0</v>
      </c>
      <c r="AN51" s="132">
        <f>SUMIF(C52:R52:C54:R54,"б",C53:R53:C55:R55)+SUMIF(C52:R52:C54:R54,"р",C53:R53:C55:R55)+SUMIF(C52:R52:C54:R54,"нб",C53:R53:C55:R55)</f>
        <v>0</v>
      </c>
      <c r="AO51" s="147">
        <f>SUMIF(C52:R52:C54:R54,"о",C53:R53:C55:R55)</f>
        <v>0</v>
      </c>
      <c r="AP51" s="107"/>
      <c r="AQ51" s="108"/>
      <c r="AR51" s="108"/>
      <c r="AS51" s="166"/>
      <c r="AT51" s="169"/>
      <c r="AU51" s="175"/>
      <c r="AV51" s="172"/>
      <c r="AW51" s="154"/>
      <c r="AX51" s="163"/>
      <c r="AY51" s="36"/>
      <c r="AZ51" s="135">
        <f>AZ53-COUNTIF(C52:R52:C54:R54,"--")*1-COUNTIF(C52:R52:C54:R54,"убз")*1-COUNTIF(C52:R52:C54:R54,"р")*1-COUNTIF(C52:R52:C54:R54,"ож")*1-COUNTIF(C52:R52:C54:R54,"д")*1-COUNTIF(C52:R52:C54:R54,"гс")*1-COUNTIF(C52:R52:C54:R54,"б")*1-COUNTIF(C52:R52:C54:R54,"нб")*1-COUNTIF(C52:R52:C54:R54,"х")*1-COUNTIF(C52:R52:C54:R54,"дм")*1-COUNTIF(C52:R52:C54:R54,"а")*1-COUNTIF(C52:R52:C54:R54,"аа")*1--COUNTIF(C52:R52:C54:R54,"га")*1</f>
        <v>0</v>
      </c>
      <c r="BA51" s="1">
        <f>(COUNTIF(C52:R52:C54:R54,"--")*1)</f>
        <v>31</v>
      </c>
      <c r="BB51" s="1">
        <f t="shared" ref="BB51" si="29">IF(B51&gt;0,1,0)</f>
        <v>0</v>
      </c>
      <c r="BC51" s="56">
        <f>IF(B52="еж",$BC$9,IF(B52="см",$BC$8,0))</f>
        <v>0</v>
      </c>
      <c r="BE51" s="142">
        <f>COUNTIF(C52:R52:C54:R54,"я")*1+COUNTIF(C52:R52:C54:R54,"нс")*1+COUNTIF(C52:R52:C54:R54,"нсп")*1+COUNTIF(C52:R52:C54:R54,"нп")*1+COUNTIF(C52:R52:C54:R54,"яп")*1+COUNTIF(C52:R52:C54:R54,"н")*1+COUNTIF(C52:R52:C54:R54,"ян")*1++COUNTIF(C52:R52:C54:R54,"оп")*1+COUNTIF(C52:R52:C54:R54,"ух")*1+COUNTIF(C52:R52:C54:R54,"я/н")*1</f>
        <v>0</v>
      </c>
      <c r="BF51" s="126">
        <f>COUNTIF(C52:R52:C54:R54,"п")*1</f>
        <v>0</v>
      </c>
      <c r="BG51" s="126">
        <f>COUNTIF(C52:R52:C54:R54,"о")*1</f>
        <v>0</v>
      </c>
      <c r="BH51" s="126">
        <f>COUNTIF(C52:R52:C54:R54,"у")*1+COUNTIF(C52:R52:C54:R54,"убз")*1</f>
        <v>0</v>
      </c>
      <c r="BI51" s="126">
        <f>COUNTIF(C52:R52:C54:R54,"р")*1</f>
        <v>0</v>
      </c>
      <c r="BJ51" s="126">
        <f>COUNTIF(C52:R52:C54:R54,"б")*1+COUNTIF(C52:R52:C54:R54,"нб")*1</f>
        <v>0</v>
      </c>
      <c r="BK51" s="126">
        <f>COUNTIF(C52:R52:C54:R54,"д")*1+COUNTIF(C52:R52:C54:R54,"гч")*1+COUNTIF(C52:R52:C54:R54,"мо")*1+COUNTIF(C52:R52:C54:R54,"дм")*1+COUNTIF(C52:R52:C54:R54,"х")*1+COUNTIF(C52:R52:C54:R54,"ож")*1+COUNTIF(C52:R52:C54:R54,"г")*1+COUNTIF(C52:R52:C54:R54,"гб")*1+COUNTIF(C52:R52:C54:R54,"гс")*1+COUNTIF(C52:R52:C54:R54,"х")*1+COUNTIF(C52:R52:C54:R54,"сх")*1+COUNTIF(C52:R52:C54:R54,"нр")*1++COUNTIF(C52:R52:C54:R54,"га")*1</f>
        <v>0</v>
      </c>
      <c r="BL51" s="126">
        <f>COUNTIF(C52:R52:C54:R54,"а")*1+COUNTIF(C52:R52:C54:R54,"оа")*1+COUNTIF(C52:R52:C54:R54,"оад")*1</f>
        <v>0</v>
      </c>
      <c r="BM51" s="126">
        <f>COUNTIF(C52:R52:C54:R54,"пр")*1+COUNTIF(C52:R52:C54:R54,"нн")*1+COUNTIF(C52:R52:C54:R54,"аа")*1</f>
        <v>0</v>
      </c>
      <c r="BN51" s="126">
        <f>COUNTIF(C52:R52:C54:R54,"в")*1+COUNTIF(C52:R52:C54:R54,"сд")*1+COUNTIF(C52:R52:C54:R54,"до")*1</f>
        <v>0</v>
      </c>
    </row>
    <row r="52" spans="2:66" ht="15" customHeight="1">
      <c r="B52" s="32"/>
      <c r="C52" s="39" t="s">
        <v>65</v>
      </c>
      <c r="D52" s="39" t="s">
        <v>65</v>
      </c>
      <c r="E52" s="39" t="s">
        <v>65</v>
      </c>
      <c r="F52" s="39" t="s">
        <v>65</v>
      </c>
      <c r="G52" s="39" t="s">
        <v>65</v>
      </c>
      <c r="H52" s="39" t="s">
        <v>65</v>
      </c>
      <c r="I52" s="39" t="s">
        <v>65</v>
      </c>
      <c r="J52" s="39" t="s">
        <v>65</v>
      </c>
      <c r="K52" s="39" t="s">
        <v>65</v>
      </c>
      <c r="L52" s="39" t="s">
        <v>65</v>
      </c>
      <c r="M52" s="39" t="s">
        <v>65</v>
      </c>
      <c r="N52" s="39" t="s">
        <v>65</v>
      </c>
      <c r="O52" s="39" t="s">
        <v>65</v>
      </c>
      <c r="P52" s="39" t="s">
        <v>65</v>
      </c>
      <c r="Q52" s="39" t="s">
        <v>65</v>
      </c>
      <c r="R52" s="33"/>
      <c r="S52" s="143"/>
      <c r="T52" s="127"/>
      <c r="U52" s="127"/>
      <c r="V52" s="127"/>
      <c r="W52" s="127"/>
      <c r="X52" s="127"/>
      <c r="Y52" s="127"/>
      <c r="Z52" s="127"/>
      <c r="AA52" s="127"/>
      <c r="AB52" s="127"/>
      <c r="AC52" s="145"/>
      <c r="AD52" s="145"/>
      <c r="AE52" s="147"/>
      <c r="AF52" s="149"/>
      <c r="AG52" s="152"/>
      <c r="AH52" s="133"/>
      <c r="AI52" s="130"/>
      <c r="AJ52" s="130"/>
      <c r="AK52" s="147"/>
      <c r="AL52" s="133"/>
      <c r="AM52" s="133"/>
      <c r="AN52" s="133"/>
      <c r="AO52" s="147"/>
      <c r="AP52" s="107"/>
      <c r="AQ52" s="108"/>
      <c r="AR52" s="108"/>
      <c r="AS52" s="167"/>
      <c r="AT52" s="170"/>
      <c r="AU52" s="176"/>
      <c r="AV52" s="173"/>
      <c r="AW52" s="155"/>
      <c r="AX52" s="164"/>
      <c r="AY52" s="36"/>
      <c r="AZ52" s="136"/>
      <c r="BC52" s="56"/>
      <c r="BE52" s="143"/>
      <c r="BF52" s="127"/>
      <c r="BG52" s="127"/>
      <c r="BH52" s="127"/>
      <c r="BI52" s="127"/>
      <c r="BJ52" s="127"/>
      <c r="BK52" s="127"/>
      <c r="BL52" s="127"/>
      <c r="BM52" s="127"/>
      <c r="BN52" s="127"/>
    </row>
    <row r="53" spans="2:66" ht="15" customHeight="1">
      <c r="B53" s="34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137" t="str">
        <f>IFERROR(ROUND(IF(B52="еж",(AE51+AK53+AK51-AG51)/BC51,(AE51+AK53+AK51-AG51)/BC51),0),"--")</f>
        <v>--</v>
      </c>
      <c r="T53" s="127"/>
      <c r="U53" s="127"/>
      <c r="V53" s="127"/>
      <c r="W53" s="127"/>
      <c r="X53" s="127"/>
      <c r="Y53" s="127"/>
      <c r="Z53" s="127"/>
      <c r="AA53" s="127"/>
      <c r="AB53" s="127"/>
      <c r="AC53" s="145"/>
      <c r="AD53" s="145"/>
      <c r="AE53" s="138">
        <f t="shared" ref="AE53" si="30">SUM(C53:R53,C55:R55)</f>
        <v>0</v>
      </c>
      <c r="AF53" s="149"/>
      <c r="AG53" s="152"/>
      <c r="AH53" s="133"/>
      <c r="AI53" s="130"/>
      <c r="AJ53" s="130"/>
      <c r="AK53" s="138">
        <f>SUMIF(C52:R52:C54:R54,"ск",C53:R53:C55:R55)</f>
        <v>0</v>
      </c>
      <c r="AL53" s="133"/>
      <c r="AM53" s="133"/>
      <c r="AN53" s="133"/>
      <c r="AO53" s="138">
        <f>SUMIF(C52:R52:C54:R54,"у",C53:R53:C55:R55)+SUMIF(C52:R52:C54:R54,"убз",C53:R53:C55:R55)</f>
        <v>0</v>
      </c>
      <c r="AP53" s="107"/>
      <c r="AQ53" s="108"/>
      <c r="AR53" s="108"/>
      <c r="AS53" s="167"/>
      <c r="AT53" s="170"/>
      <c r="AU53" s="176"/>
      <c r="AV53" s="173"/>
      <c r="AW53" s="155"/>
      <c r="AX53" s="164"/>
      <c r="AY53" s="36"/>
      <c r="AZ53" s="139">
        <f t="shared" ref="AZ53" si="31">DAY(EOMONTH($C$8,0))</f>
        <v>31</v>
      </c>
      <c r="BA53" s="44"/>
      <c r="BC53" s="57"/>
      <c r="BE53" s="137">
        <f>COUNTIF(C52:R52:C54:R54,"я")*1+COUNTIF(C52:R52:C54:R54,"нс")*1+COUNTIF(C52:R52:C54:R54,"нсп")*1+COUNTIF(C52:R52:C54:R54,"нп")*1+COUNTIF(C52:R52:C54:R54,"яп")*1+COUNTIF(C52:R52:C54:R54,"н")*1+COUNTIF(C52:R52:C54:R54,"к")*1+COUNTIF(C52:R52:C54:R54,"ск")*1+COUNTIF(C52:R52:C54:R54,"оп")*1+COUNTIF(C52:R52:C54:R54,"ух")*1+COUNTIF(C52:R52:C54:R54,"я/н")*1</f>
        <v>0</v>
      </c>
      <c r="BF53" s="127"/>
      <c r="BG53" s="127"/>
      <c r="BH53" s="127"/>
      <c r="BI53" s="127"/>
      <c r="BJ53" s="127"/>
      <c r="BK53" s="127"/>
      <c r="BL53" s="127"/>
      <c r="BM53" s="127"/>
      <c r="BN53" s="127"/>
    </row>
    <row r="54" spans="2:66" ht="15" customHeight="1">
      <c r="B54" s="32"/>
      <c r="C54" s="39" t="s">
        <v>65</v>
      </c>
      <c r="D54" s="39" t="s">
        <v>65</v>
      </c>
      <c r="E54" s="39" t="s">
        <v>65</v>
      </c>
      <c r="F54" s="39" t="s">
        <v>65</v>
      </c>
      <c r="G54" s="39" t="s">
        <v>65</v>
      </c>
      <c r="H54" s="39" t="s">
        <v>65</v>
      </c>
      <c r="I54" s="39" t="s">
        <v>65</v>
      </c>
      <c r="J54" s="39" t="s">
        <v>65</v>
      </c>
      <c r="K54" s="39" t="s">
        <v>65</v>
      </c>
      <c r="L54" s="39" t="s">
        <v>65</v>
      </c>
      <c r="M54" s="39" t="s">
        <v>65</v>
      </c>
      <c r="N54" s="39" t="s">
        <v>65</v>
      </c>
      <c r="O54" s="39" t="s">
        <v>65</v>
      </c>
      <c r="P54" s="39" t="s">
        <v>65</v>
      </c>
      <c r="Q54" s="39" t="s">
        <v>65</v>
      </c>
      <c r="R54" s="39" t="s">
        <v>65</v>
      </c>
      <c r="S54" s="137"/>
      <c r="T54" s="127"/>
      <c r="U54" s="127"/>
      <c r="V54" s="127"/>
      <c r="W54" s="127"/>
      <c r="X54" s="127"/>
      <c r="Y54" s="127"/>
      <c r="Z54" s="127"/>
      <c r="AA54" s="127"/>
      <c r="AB54" s="127"/>
      <c r="AC54" s="145"/>
      <c r="AD54" s="145"/>
      <c r="AE54" s="138"/>
      <c r="AF54" s="149"/>
      <c r="AG54" s="152"/>
      <c r="AH54" s="133"/>
      <c r="AI54" s="130"/>
      <c r="AJ54" s="130"/>
      <c r="AK54" s="138"/>
      <c r="AL54" s="133"/>
      <c r="AM54" s="133"/>
      <c r="AN54" s="133"/>
      <c r="AO54" s="138"/>
      <c r="AP54" s="107"/>
      <c r="AQ54" s="108"/>
      <c r="AR54" s="108"/>
      <c r="AS54" s="167"/>
      <c r="AT54" s="170"/>
      <c r="AU54" s="176"/>
      <c r="AV54" s="173"/>
      <c r="AW54" s="155"/>
      <c r="AX54" s="164"/>
      <c r="AY54" s="36"/>
      <c r="AZ54" s="140"/>
      <c r="BC54" s="56"/>
      <c r="BE54" s="137"/>
      <c r="BF54" s="127"/>
      <c r="BG54" s="127"/>
      <c r="BH54" s="127"/>
      <c r="BI54" s="127"/>
      <c r="BJ54" s="127"/>
      <c r="BK54" s="127"/>
      <c r="BL54" s="127"/>
      <c r="BM54" s="127"/>
      <c r="BN54" s="127"/>
    </row>
    <row r="55" spans="2:66" ht="15" customHeight="1">
      <c r="B55" s="32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137"/>
      <c r="T55" s="128"/>
      <c r="U55" s="128"/>
      <c r="V55" s="128"/>
      <c r="W55" s="128"/>
      <c r="X55" s="128"/>
      <c r="Y55" s="128"/>
      <c r="Z55" s="128"/>
      <c r="AA55" s="128"/>
      <c r="AB55" s="128"/>
      <c r="AC55" s="146"/>
      <c r="AD55" s="146"/>
      <c r="AE55" s="138"/>
      <c r="AF55" s="150"/>
      <c r="AG55" s="153"/>
      <c r="AH55" s="134"/>
      <c r="AI55" s="131"/>
      <c r="AJ55" s="131"/>
      <c r="AK55" s="138"/>
      <c r="AL55" s="134"/>
      <c r="AM55" s="134"/>
      <c r="AN55" s="134"/>
      <c r="AO55" s="138"/>
      <c r="AP55" s="107"/>
      <c r="AQ55" s="108"/>
      <c r="AR55" s="108"/>
      <c r="AS55" s="168"/>
      <c r="AT55" s="171"/>
      <c r="AU55" s="177"/>
      <c r="AV55" s="174"/>
      <c r="AW55" s="156"/>
      <c r="AX55" s="165"/>
      <c r="AY55" s="36"/>
      <c r="AZ55" s="141"/>
      <c r="BC55" s="56"/>
      <c r="BE55" s="137"/>
      <c r="BF55" s="128"/>
      <c r="BG55" s="128"/>
      <c r="BH55" s="128"/>
      <c r="BI55" s="128"/>
      <c r="BJ55" s="128"/>
      <c r="BK55" s="128"/>
      <c r="BL55" s="128"/>
      <c r="BM55" s="128"/>
      <c r="BN55" s="128"/>
    </row>
    <row r="56" spans="2:66" ht="32.1" customHeight="1">
      <c r="B56" s="28"/>
      <c r="C56" s="29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1"/>
      <c r="S56" s="142" t="str">
        <f>IFERROR(S58-COUNTIF(C57:R57:C59:R59,"к")*1,"--")</f>
        <v>--</v>
      </c>
      <c r="T56" s="126">
        <f>COUNTIF(C57:R57:C59:R59,"п")*1</f>
        <v>0</v>
      </c>
      <c r="U56" s="126">
        <f>COUNTIF(C57:R57:C59:R59,"о")*1</f>
        <v>0</v>
      </c>
      <c r="V56" s="126">
        <f>COUNTIF(C57:R57:C59:R59,"у")*1+COUNTIF(C57:R57:C59:R59,"убз")*1</f>
        <v>0</v>
      </c>
      <c r="W56" s="126">
        <f>COUNTIF(C57:R57:C59:R59,"р")*1</f>
        <v>0</v>
      </c>
      <c r="X56" s="126">
        <f>COUNTIF(C57:R57:C59:R59,"б")*1+COUNTIF(C57:R57:C59:R59,"нб")*1</f>
        <v>0</v>
      </c>
      <c r="Y56" s="126">
        <f>COUNTIF(C57:R57:C59:R59,"д")*1+COUNTIF(C57:R57:C59:R59,"гч")*1+COUNTIF(C57:R57:C59:R59,"мо")*1+COUNTIF(C57:R57:C59:R59,"дм")*1+COUNTIF(C57:R57:C59:R59,"х")*1+COUNTIF(C57:R57:C59:R59,"ож")*1+COUNTIF(C57:R57:C59:R59,"г")*1+COUNTIF(C57:R57:C59:R59,"гб")*1+COUNTIF(C57:R57:C59:R59,"гс")*1+COUNTIF(C57:R57:C59:R59,"х")*1+COUNTIF(C57:R57:C59:R59,"сх")*1+COUNTIF(C57:R57:C59:R59,"нр")*1++COUNTIF(C57:R57:C59:R59,"га")*1</f>
        <v>0</v>
      </c>
      <c r="Z56" s="126">
        <f>COUNTIF(C57:R57:C59:R59,"а")*1+COUNTIF(C57:R57:C59:R59,"оа")*1+COUNTIF(C57:R57:C59:R59,"оад")*1+COUNTIF(C57:R57:C59:R59,"ск")*1</f>
        <v>0</v>
      </c>
      <c r="AA56" s="126">
        <f>COUNTIF(C57:R57:C59:R59,"пр")*1+COUNTIF(C57:R57:C59:R59,"нн")*1+COUNTIF(C57:R57:C59:R59,"аа")*1</f>
        <v>0</v>
      </c>
      <c r="AB56" s="126" t="str">
        <f t="shared" ref="AB56" si="32">IFERROR(AZ58-S58-T56-U56-V56-W56-X56-Y56-Z56-AA56-BA56,"--")</f>
        <v>--</v>
      </c>
      <c r="AC56" s="144">
        <f>SUMIF(C57:R57:C59:R59,"нм",C58:R58:C60:R60)+SUMIF(C57:R57:C59:R59,"вп",C58:R58:C60:R60)</f>
        <v>0</v>
      </c>
      <c r="AD56" s="144">
        <f>SUMIF(C57:R57:C59:R59,"оп",C58:R58:C60:R60)+SUMIF(C57:R57:C59:R59,"ух",C58:R58:C60:R60)</f>
        <v>0</v>
      </c>
      <c r="AE56" s="147">
        <f>AE58-AK56-AK58-SUMIF(C57:R57:C59:R59,"п",C58:R58:C60:R60)-SUMIF(C57:R57:C59:R59,"о",C58:R58:C60:R60)-SUMIF(C57:R57:C59:R59,"у",C58:R58:C60:R60)-SUMIF(C57:R57:C59:R59,"убз",C58:R58:C60:R60)-SUMIF(C57:R57:C59:R59,"р",C58:R58:C60:R60)-SUMIF(C57:R57:C59:R59,"б",C58:R58:C60:R60)-SUMIF(C57:R57:C59:R59,"т",C58:R58:C60:R60)-SUMIF(C57:R57:C59:R59,"ож",C58:R58:C60:R60)-SUMIF(C57:R57:C59:R59,"г",C58:R58:C60:R60)-SUMIF(C57:R57:C59:R59,"гч",C58:R58:C60:R60)-SUMIF(C57:R57:C59:R59,"гб",C58:R58:C60:R60)-SUMIF(C57:R57:C59:R59,"гс",C58:R58:C60:R60)-SUMIF(C57:R57:C59:R59,"мо",C58:R58:C60:R60)-SUMIF(C57:R57:C59:R59,"д",C58:R58:C60:R60)-SUMIF(C57:R57:C59:R59,"дм",C58:R58:C60:R60)-SUMIF(C57:R57:C59:R59,"до",C58:R58:C60:R60)-SUMIF(C57:R57:C59:R59,"нр",C58:R58:C60:R60)-SUMIF(C57:R57:C59:R59,"сх",C58:R58:C60:R60)-SUMIF(C57:R57:C59:R59,"х",C58:R58:C60:R60)-SUMIF(C57:R57:C59:R59,"а",C58:R58:C60:R60)-SUMIF(C57:R57:C59:R59,"оа",C58:R58:C60:R60)-SUMIF(C57:R57:C59:R59,"оад",C58:R58:C60:R60)-SUMIF(C57:R57:C59:R59,"нн",C58:R58:C60:R60)-SUMIF(C57:R57:C59:R59,"пр",C58:R58:C60:R60)-SUMIF(C57:R57:C59:R59,"вп",C58:R58:C60:R60)-SUMIF(C57:R57:C59:R59,"нм",C58:R58:C60:R60)-SUMIF(C57:R57:C59:R59,"оп",C58:R58:C60:R60)-SUMIF(C57:R57:C59:R59,"ух",C58:R58:C60:R60)-SUMIF(C57:R57:C59:R59,"в",C58:R58:C60:R60)-SUMIF(C57:R57:C59:R59,"нб",C58:R58:C60:R60)</f>
        <v>0</v>
      </c>
      <c r="AF56" s="148"/>
      <c r="AG56" s="151"/>
      <c r="AH56" s="132">
        <f>SUMIF(C57:R57:C59:R59,"нс",C58:R58:C60:R60)+SUMIF(C57:R57:C59:R59,"н",C58:R58:C60:R60)+SUMIF(C57:R57:C59:R59,"нсп",C58:R58:C60:R60)+SUMIF(C57:R57:C59:R59,"нп",C58:R58:C60:R60)</f>
        <v>0</v>
      </c>
      <c r="AI56" s="129"/>
      <c r="AJ56" s="129"/>
      <c r="AK56" s="147">
        <f>SUMIF(C57:R57:C59:R59,"К",C58:R58:C60:R60)</f>
        <v>0</v>
      </c>
      <c r="AL56" s="132">
        <f>SUMIF(C57:R57:C59:R59,"яп",C58:R58:C60:R60)+SUMIF(C57:R57:C59:R59,"нп",C58:R58:C60:R60)+SUMIF(C57:R57:C59:R59,"нсп",C58:R58:C60:R60)+SUMIF(C57:R57:C59:R59,"рп",C58:R58:C60:R60)</f>
        <v>0</v>
      </c>
      <c r="AM56" s="132">
        <f>SUMIF(C57:R57:C59:R59,"ст",C58:R58:C60:R60)</f>
        <v>0</v>
      </c>
      <c r="AN56" s="132">
        <f>SUMIF(C57:R57:C59:R59,"б",C58:R58:C60:R60)+SUMIF(C57:R57:C59:R59,"р",C58:R58:C60:R60)+SUMIF(C57:R57:C59:R59,"нб",C58:R58:C60:R60)</f>
        <v>0</v>
      </c>
      <c r="AO56" s="147">
        <f>SUMIF(C57:R57:C59:R59,"о",C58:R58:C60:R60)</f>
        <v>0</v>
      </c>
      <c r="AP56" s="52"/>
      <c r="AQ56" s="53"/>
      <c r="AR56" s="53"/>
      <c r="AS56" s="157"/>
      <c r="AT56" s="160"/>
      <c r="AU56" s="154"/>
      <c r="AV56" s="172"/>
      <c r="AW56" s="154"/>
      <c r="AX56" s="163"/>
      <c r="AY56" s="36"/>
      <c r="AZ56" s="135">
        <f>AZ58-COUNTIF(C57:R57:C59:R59,"--")*1-COUNTIF(C57:R57:C59:R59,"убз")*1-COUNTIF(C57:R57:C59:R59,"р")*1-COUNTIF(C57:R57:C59:R59,"ож")*1-COUNTIF(C57:R57:C59:R59,"д")*1-COUNTIF(C57:R57:C59:R59,"гс")*1-COUNTIF(C57:R57:C59:R59,"б")*1-COUNTIF(C57:R57:C59:R59,"нб")*1-COUNTIF(C57:R57:C59:R59,"х")*1-COUNTIF(C57:R57:C59:R59,"дм")*1-COUNTIF(C57:R57:C59:R59,"а")*1-COUNTIF(C57:R57:C59:R59,"аа")*1--COUNTIF(C57:R57:C59:R59,"га")*1</f>
        <v>0</v>
      </c>
      <c r="BA56" s="1">
        <f>(COUNTIF(C57:R57:C59:R59,"--")*1)</f>
        <v>31</v>
      </c>
      <c r="BB56" s="1">
        <f t="shared" ref="BB56" si="33">IF(B56&gt;0,1,0)</f>
        <v>0</v>
      </c>
      <c r="BC56" s="56">
        <f>IF(B57="еж",$BC$9,IF(B57="см",$BC$8,0))</f>
        <v>0</v>
      </c>
      <c r="BE56" s="142">
        <f>COUNTIF(C57:R57:C59:R59,"я")*1+COUNTIF(C57:R57:C59:R59,"нс")*1+COUNTIF(C57:R57:C59:R59,"нсп")*1+COUNTIF(C57:R57:C59:R59,"нп")*1+COUNTIF(C57:R57:C59:R59,"яп")*1+COUNTIF(C57:R57:C59:R59,"н")*1+COUNTIF(C57:R57:C59:R59,"ян")*1++COUNTIF(C57:R57:C59:R59,"оп")*1+COUNTIF(C57:R57:C59:R59,"ух")*1+COUNTIF(C57:R57:C59:R59,"я/н")*1</f>
        <v>0</v>
      </c>
      <c r="BF56" s="126">
        <f>COUNTIF(C57:R57:C59:R59,"п")*1</f>
        <v>0</v>
      </c>
      <c r="BG56" s="126">
        <f>COUNTIF(C57:R57:C59:R59,"о")*1</f>
        <v>0</v>
      </c>
      <c r="BH56" s="126">
        <f>COUNTIF(C57:R57:C59:R59,"у")*1+COUNTIF(C57:R57:C59:R59,"убз")*1</f>
        <v>0</v>
      </c>
      <c r="BI56" s="126">
        <f>COUNTIF(C57:R57:C59:R59,"р")*1</f>
        <v>0</v>
      </c>
      <c r="BJ56" s="126">
        <f>COUNTIF(C57:R57:C59:R59,"б")*1+COUNTIF(C57:R57:C59:R59,"нб")*1</f>
        <v>0</v>
      </c>
      <c r="BK56" s="126">
        <f>COUNTIF(C57:R57:C59:R59,"д")*1+COUNTIF(C57:R57:C59:R59,"гч")*1+COUNTIF(C57:R57:C59:R59,"мо")*1+COUNTIF(C57:R57:C59:R59,"дм")*1+COUNTIF(C57:R57:C59:R59,"х")*1+COUNTIF(C57:R57:C59:R59,"ож")*1+COUNTIF(C57:R57:C59:R59,"г")*1+COUNTIF(C57:R57:C59:R59,"гб")*1+COUNTIF(C57:R57:C59:R59,"гс")*1+COUNTIF(C57:R57:C59:R59,"х")*1+COUNTIF(C57:R57:C59:R59,"сх")*1+COUNTIF(C57:R57:C59:R59,"нр")*1++COUNTIF(C57:R57:C59:R59,"га")*1</f>
        <v>0</v>
      </c>
      <c r="BL56" s="126">
        <f>COUNTIF(C57:R57:C59:R59,"а")*1+COUNTIF(C57:R57:C59:R59,"оа")*1+COUNTIF(C57:R57:C59:R59,"оад")*1</f>
        <v>0</v>
      </c>
      <c r="BM56" s="126">
        <f>COUNTIF(C57:R57:C59:R59,"пр")*1+COUNTIF(C57:R57:C59:R59,"нн")*1+COUNTIF(C57:R57:C59:R59,"аа")*1</f>
        <v>0</v>
      </c>
      <c r="BN56" s="126">
        <f>COUNTIF(C57:R57:C59:R59,"в")*1+COUNTIF(C57:R57:C59:R59,"сд")*1+COUNTIF(C57:R57:C59:R59,"до")*1</f>
        <v>0</v>
      </c>
    </row>
    <row r="57" spans="2:66" ht="15" customHeight="1">
      <c r="B57" s="32"/>
      <c r="C57" s="39" t="s">
        <v>65</v>
      </c>
      <c r="D57" s="39" t="s">
        <v>65</v>
      </c>
      <c r="E57" s="39" t="s">
        <v>65</v>
      </c>
      <c r="F57" s="39" t="s">
        <v>65</v>
      </c>
      <c r="G57" s="39" t="s">
        <v>65</v>
      </c>
      <c r="H57" s="39" t="s">
        <v>65</v>
      </c>
      <c r="I57" s="39" t="s">
        <v>65</v>
      </c>
      <c r="J57" s="39" t="s">
        <v>65</v>
      </c>
      <c r="K57" s="39" t="s">
        <v>65</v>
      </c>
      <c r="L57" s="39" t="s">
        <v>65</v>
      </c>
      <c r="M57" s="39" t="s">
        <v>65</v>
      </c>
      <c r="N57" s="39" t="s">
        <v>65</v>
      </c>
      <c r="O57" s="39" t="s">
        <v>65</v>
      </c>
      <c r="P57" s="39" t="s">
        <v>65</v>
      </c>
      <c r="Q57" s="39" t="s">
        <v>65</v>
      </c>
      <c r="R57" s="33"/>
      <c r="S57" s="143"/>
      <c r="T57" s="127"/>
      <c r="U57" s="127"/>
      <c r="V57" s="127"/>
      <c r="W57" s="127"/>
      <c r="X57" s="127"/>
      <c r="Y57" s="127"/>
      <c r="Z57" s="127"/>
      <c r="AA57" s="127"/>
      <c r="AB57" s="127"/>
      <c r="AC57" s="145"/>
      <c r="AD57" s="145"/>
      <c r="AE57" s="147"/>
      <c r="AF57" s="149"/>
      <c r="AG57" s="152"/>
      <c r="AH57" s="133"/>
      <c r="AI57" s="130"/>
      <c r="AJ57" s="130"/>
      <c r="AK57" s="147"/>
      <c r="AL57" s="133"/>
      <c r="AM57" s="133"/>
      <c r="AN57" s="133"/>
      <c r="AO57" s="147"/>
      <c r="AP57" s="52"/>
      <c r="AQ57" s="53"/>
      <c r="AR57" s="53"/>
      <c r="AS57" s="158"/>
      <c r="AT57" s="161"/>
      <c r="AU57" s="155"/>
      <c r="AV57" s="173"/>
      <c r="AW57" s="155"/>
      <c r="AX57" s="164"/>
      <c r="AY57" s="36"/>
      <c r="AZ57" s="136"/>
      <c r="BC57" s="56"/>
      <c r="BE57" s="143"/>
      <c r="BF57" s="127"/>
      <c r="BG57" s="127"/>
      <c r="BH57" s="127"/>
      <c r="BI57" s="127"/>
      <c r="BJ57" s="127"/>
      <c r="BK57" s="127"/>
      <c r="BL57" s="127"/>
      <c r="BM57" s="127"/>
      <c r="BN57" s="127"/>
    </row>
    <row r="58" spans="2:66" ht="15" customHeight="1">
      <c r="B58" s="34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137" t="str">
        <f>IFERROR(ROUND(IF(B57="еж",(AE56+AK58+AK56-AG56)/BC56,(AE56+AK58+AK56-AG56)/BC56),0),"--")</f>
        <v>--</v>
      </c>
      <c r="T58" s="127"/>
      <c r="U58" s="127"/>
      <c r="V58" s="127"/>
      <c r="W58" s="127"/>
      <c r="X58" s="127"/>
      <c r="Y58" s="127"/>
      <c r="Z58" s="127"/>
      <c r="AA58" s="127"/>
      <c r="AB58" s="127"/>
      <c r="AC58" s="145"/>
      <c r="AD58" s="145"/>
      <c r="AE58" s="138">
        <f t="shared" ref="AE58" si="34">SUM(C58:R58,C60:R60)</f>
        <v>0</v>
      </c>
      <c r="AF58" s="149"/>
      <c r="AG58" s="152"/>
      <c r="AH58" s="133"/>
      <c r="AI58" s="130"/>
      <c r="AJ58" s="130"/>
      <c r="AK58" s="138">
        <f>SUMIF(C57:R57:C59:R59,"ск",C58:R58:C60:R60)</f>
        <v>0</v>
      </c>
      <c r="AL58" s="133"/>
      <c r="AM58" s="133"/>
      <c r="AN58" s="133"/>
      <c r="AO58" s="138">
        <f>SUMIF(C57:R57:C59:R59,"у",C58:R58:C60:R60)+SUMIF(C57:R57:C59:R59,"убз",C58:R58:C60:R60)</f>
        <v>0</v>
      </c>
      <c r="AP58" s="52"/>
      <c r="AQ58" s="53"/>
      <c r="AR58" s="53"/>
      <c r="AS58" s="158"/>
      <c r="AT58" s="161"/>
      <c r="AU58" s="155"/>
      <c r="AV58" s="173"/>
      <c r="AW58" s="155"/>
      <c r="AX58" s="164"/>
      <c r="AY58" s="36"/>
      <c r="AZ58" s="139">
        <f t="shared" ref="AZ58" si="35">DAY(EOMONTH($C$8,0))</f>
        <v>31</v>
      </c>
      <c r="BC58" s="56"/>
      <c r="BE58" s="137">
        <f>COUNTIF(C57:R57:C59:R59,"я")*1+COUNTIF(C57:R57:C59:R59,"нс")*1+COUNTIF(C57:R57:C59:R59,"нсп")*1+COUNTIF(C57:R57:C59:R59,"нп")*1+COUNTIF(C57:R57:C59:R59,"яп")*1+COUNTIF(C57:R57:C59:R59,"н")*1+COUNTIF(C57:R57:C59:R59,"к")*1+COUNTIF(C57:R57:C59:R59,"ск")*1+COUNTIF(C57:R57:C59:R59,"оп")*1+COUNTIF(C57:R57:C59:R59,"ух")*1+COUNTIF(C57:R57:C59:R59,"я/н")*1</f>
        <v>0</v>
      </c>
      <c r="BF58" s="127"/>
      <c r="BG58" s="127"/>
      <c r="BH58" s="127"/>
      <c r="BI58" s="127"/>
      <c r="BJ58" s="127"/>
      <c r="BK58" s="127"/>
      <c r="BL58" s="127"/>
      <c r="BM58" s="127"/>
      <c r="BN58" s="127"/>
    </row>
    <row r="59" spans="2:66" ht="15" customHeight="1">
      <c r="B59" s="32"/>
      <c r="C59" s="39" t="s">
        <v>65</v>
      </c>
      <c r="D59" s="39" t="s">
        <v>65</v>
      </c>
      <c r="E59" s="39" t="s">
        <v>65</v>
      </c>
      <c r="F59" s="39" t="s">
        <v>65</v>
      </c>
      <c r="G59" s="39" t="s">
        <v>65</v>
      </c>
      <c r="H59" s="39" t="s">
        <v>65</v>
      </c>
      <c r="I59" s="39" t="s">
        <v>65</v>
      </c>
      <c r="J59" s="39" t="s">
        <v>65</v>
      </c>
      <c r="K59" s="39" t="s">
        <v>65</v>
      </c>
      <c r="L59" s="39" t="s">
        <v>65</v>
      </c>
      <c r="M59" s="39" t="s">
        <v>65</v>
      </c>
      <c r="N59" s="39" t="s">
        <v>65</v>
      </c>
      <c r="O59" s="39" t="s">
        <v>65</v>
      </c>
      <c r="P59" s="39" t="s">
        <v>65</v>
      </c>
      <c r="Q59" s="39" t="s">
        <v>65</v>
      </c>
      <c r="R59" s="39" t="s">
        <v>65</v>
      </c>
      <c r="S59" s="137"/>
      <c r="T59" s="127"/>
      <c r="U59" s="127"/>
      <c r="V59" s="127"/>
      <c r="W59" s="127"/>
      <c r="X59" s="127"/>
      <c r="Y59" s="127"/>
      <c r="Z59" s="127"/>
      <c r="AA59" s="127"/>
      <c r="AB59" s="127"/>
      <c r="AC59" s="145"/>
      <c r="AD59" s="145"/>
      <c r="AE59" s="138"/>
      <c r="AF59" s="149"/>
      <c r="AG59" s="152"/>
      <c r="AH59" s="133"/>
      <c r="AI59" s="130"/>
      <c r="AJ59" s="130"/>
      <c r="AK59" s="138"/>
      <c r="AL59" s="133"/>
      <c r="AM59" s="133"/>
      <c r="AN59" s="133"/>
      <c r="AO59" s="138"/>
      <c r="AP59" s="52"/>
      <c r="AQ59" s="53"/>
      <c r="AR59" s="53"/>
      <c r="AS59" s="158"/>
      <c r="AT59" s="161"/>
      <c r="AU59" s="155"/>
      <c r="AV59" s="173"/>
      <c r="AW59" s="155"/>
      <c r="AX59" s="164"/>
      <c r="AY59" s="36"/>
      <c r="AZ59" s="140"/>
      <c r="BC59" s="56"/>
      <c r="BE59" s="137"/>
      <c r="BF59" s="127"/>
      <c r="BG59" s="127"/>
      <c r="BH59" s="127"/>
      <c r="BI59" s="127"/>
      <c r="BJ59" s="127"/>
      <c r="BK59" s="127"/>
      <c r="BL59" s="127"/>
      <c r="BM59" s="127"/>
      <c r="BN59" s="127"/>
    </row>
    <row r="60" spans="2:66" ht="15" customHeight="1">
      <c r="B60" s="32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137"/>
      <c r="T60" s="128"/>
      <c r="U60" s="128"/>
      <c r="V60" s="128"/>
      <c r="W60" s="128"/>
      <c r="X60" s="128"/>
      <c r="Y60" s="128"/>
      <c r="Z60" s="128"/>
      <c r="AA60" s="128"/>
      <c r="AB60" s="128"/>
      <c r="AC60" s="146"/>
      <c r="AD60" s="146"/>
      <c r="AE60" s="138"/>
      <c r="AF60" s="150"/>
      <c r="AG60" s="153"/>
      <c r="AH60" s="134"/>
      <c r="AI60" s="131"/>
      <c r="AJ60" s="131"/>
      <c r="AK60" s="138"/>
      <c r="AL60" s="134"/>
      <c r="AM60" s="134"/>
      <c r="AN60" s="134"/>
      <c r="AO60" s="138"/>
      <c r="AP60" s="52"/>
      <c r="AQ60" s="53"/>
      <c r="AR60" s="53"/>
      <c r="AS60" s="159"/>
      <c r="AT60" s="162"/>
      <c r="AU60" s="156"/>
      <c r="AV60" s="174"/>
      <c r="AW60" s="156"/>
      <c r="AX60" s="165"/>
      <c r="AY60" s="36"/>
      <c r="AZ60" s="141"/>
      <c r="BC60" s="56"/>
      <c r="BE60" s="137"/>
      <c r="BF60" s="128"/>
      <c r="BG60" s="128"/>
      <c r="BH60" s="128"/>
      <c r="BI60" s="128"/>
      <c r="BJ60" s="128"/>
      <c r="BK60" s="128"/>
      <c r="BL60" s="128"/>
      <c r="BM60" s="128"/>
      <c r="BN60" s="128"/>
    </row>
    <row r="61" spans="2:66" ht="35.25" customHeight="1">
      <c r="B61" s="28"/>
      <c r="C61" s="29"/>
      <c r="D61" s="30"/>
      <c r="E61" s="109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1"/>
      <c r="S61" s="142" t="str">
        <f>IFERROR(S63-COUNTIF(C62:R62:C64:R64,"к")*1,"--")</f>
        <v>--</v>
      </c>
      <c r="T61" s="126">
        <f>COUNTIF(C62:R62:C64:R64,"п")*1</f>
        <v>0</v>
      </c>
      <c r="U61" s="126">
        <f>COUNTIF(C62:R62:C64:R64,"о")*1</f>
        <v>0</v>
      </c>
      <c r="V61" s="126">
        <f>COUNTIF(C62:R62:C64:R64,"у")*1+COUNTIF(C62:R62:C64:R64,"убз")*1</f>
        <v>0</v>
      </c>
      <c r="W61" s="126">
        <f>COUNTIF(C62:R62:C64:R64,"р")*1</f>
        <v>0</v>
      </c>
      <c r="X61" s="126">
        <f>COUNTIF(C62:R62:C64:R64,"б")*1+COUNTIF(C62:R62:C64:R64,"нб")*1</f>
        <v>0</v>
      </c>
      <c r="Y61" s="126">
        <f>COUNTIF(C62:R62:C64:R64,"д")*1+COUNTIF(C62:R62:C64:R64,"гч")*1+COUNTIF(C62:R62:C64:R64,"мо")*1+COUNTIF(C62:R62:C64:R64,"дм")*1+COUNTIF(C62:R62:C64:R64,"х")*1+COUNTIF(C62:R62:C64:R64,"ож")*1+COUNTIF(C62:R62:C64:R64,"г")*1+COUNTIF(C62:R62:C64:R64,"гб")*1+COUNTIF(C62:R62:C64:R64,"гс")*1+COUNTIF(C62:R62:C64:R64,"х")*1+COUNTIF(C62:R62:C64:R64,"сх")*1+COUNTIF(C62:R62:C64:R64,"нр")*1++COUNTIF(C62:R62:C64:R64,"га")*1</f>
        <v>0</v>
      </c>
      <c r="Z61" s="126">
        <f>COUNTIF(C62:R62:C64:R64,"а")*1+COUNTIF(C62:R62:C64:R64,"оа")*1+COUNTIF(C62:R62:C64:R64,"оад")*1+COUNTIF(C62:R62:C64:R64,"ск")*1</f>
        <v>0</v>
      </c>
      <c r="AA61" s="126">
        <f>COUNTIF(C62:R62:C64:R64,"пр")*1+COUNTIF(C62:R62:C64:R64,"нн")*1+COUNTIF(C62:R62:C64:R64,"аа")*1</f>
        <v>0</v>
      </c>
      <c r="AB61" s="126" t="str">
        <f t="shared" ref="AB61" si="36">IFERROR(AZ63-S63-T61-U61-V61-W61-X61-Y61-Z61-AA61-BA61,"--")</f>
        <v>--</v>
      </c>
      <c r="AC61" s="144">
        <f>SUMIF(C62:R62:C64:R64,"нм",C63:R63:C65:R65)+SUMIF(C62:R62:C64:R64,"вп",C63:R63:C65:R65)</f>
        <v>0</v>
      </c>
      <c r="AD61" s="144">
        <f>SUMIF(C62:R62:C64:R64,"оп",C63:R63:C65:R65)+SUMIF(C62:R62:C64:R64,"ух",C63:R63:C65:R65)</f>
        <v>0</v>
      </c>
      <c r="AE61" s="147">
        <f>AE63-AK61-AK63-SUMIF(C62:R62:C64:R64,"п",C63:R63:C65:R65)-SUMIF(C62:R62:C64:R64,"о",C63:R63:C65:R65)-SUMIF(C62:R62:C64:R64,"у",C63:R63:C65:R65)-SUMIF(C62:R62:C64:R64,"убз",C63:R63:C65:R65)-SUMIF(C62:R62:C64:R64,"р",C63:R63:C65:R65)-SUMIF(C62:R62:C64:R64,"б",C63:R63:C65:R65)-SUMIF(C62:R62:C64:R64,"т",C63:R63:C65:R65)-SUMIF(C62:R62:C64:R64,"ож",C63:R63:C65:R65)-SUMIF(C62:R62:C64:R64,"г",C63:R63:C65:R65)-SUMIF(C62:R62:C64:R64,"гч",C63:R63:C65:R65)-SUMIF(C62:R62:C64:R64,"гб",C63:R63:C65:R65)-SUMIF(C62:R62:C64:R64,"гс",C63:R63:C65:R65)-SUMIF(C62:R62:C64:R64,"мо",C63:R63:C65:R65)-SUMIF(C62:R62:C64:R64,"д",C63:R63:C65:R65)-SUMIF(C62:R62:C64:R64,"дм",C63:R63:C65:R65)-SUMIF(C62:R62:C64:R64,"до",C63:R63:C65:R65)-SUMIF(C62:R62:C64:R64,"нр",C63:R63:C65:R65)-SUMIF(C62:R62:C64:R64,"сх",C63:R63:C65:R65)-SUMIF(C62:R62:C64:R64,"х",C63:R63:C65:R65)-SUMIF(C62:R62:C64:R64,"а",C63:R63:C65:R65)-SUMIF(C62:R62:C64:R64,"оа",C63:R63:C65:R65)-SUMIF(C62:R62:C64:R64,"оад",C63:R63:C65:R65)-SUMIF(C62:R62:C64:R64,"нн",C63:R63:C65:R65)-SUMIF(C62:R62:C64:R64,"пр",C63:R63:C65:R65)-SUMIF(C62:R62:C64:R64,"вп",C63:R63:C65:R65)-SUMIF(C62:R62:C64:R64,"нм",C63:R63:C65:R65)-SUMIF(C62:R62:C64:R64,"оп",C63:R63:C65:R65)-SUMIF(C62:R62:C64:R64,"ух",C63:R63:C65:R65)-SUMIF(C62:R62:C64:R64,"в",C63:R63:C65:R65)-SUMIF(C62:R62:C64:R64,"нб",C63:R63:C65:R65)</f>
        <v>0</v>
      </c>
      <c r="AF61" s="148"/>
      <c r="AG61" s="151"/>
      <c r="AH61" s="132">
        <f>SUMIF(C62:R62:C64:R64,"нс",C63:R63:C65:R65)+SUMIF(C62:R62:C64:R64,"н",C63:R63:C65:R65)+SUMIF(C62:R62:C64:R64,"нсп",C63:R63:C65:R65)+SUMIF(C62:R62:C64:R64,"нп",C63:R63:C65:R65)</f>
        <v>0</v>
      </c>
      <c r="AI61" s="129"/>
      <c r="AJ61" s="129"/>
      <c r="AK61" s="147">
        <f>SUMIF(C62:R62:C64:R64,"К",C63:R63:C65:R65)</f>
        <v>0</v>
      </c>
      <c r="AL61" s="132">
        <f>SUMIF(C62:R62:C64:R64,"яп",C63:R63:C65:R65)+SUMIF(C62:R62:C64:R64,"нп",C63:R63:C65:R65)+SUMIF(C62:R62:C64:R64,"нсп",C63:R63:C65:R65)+SUMIF(C62:R62:C64:R64,"рп",C63:R63:C65:R65)</f>
        <v>0</v>
      </c>
      <c r="AM61" s="132">
        <f>SUMIF(C62:R62:C64:R64,"ст",C63:R63:C65:R65)</f>
        <v>0</v>
      </c>
      <c r="AN61" s="132">
        <f>SUMIF(C62:R62:C64:R64,"б",C63:R63:C65:R65)+SUMIF(C62:R62:C64:R64,"р",C63:R63:C65:R65)+SUMIF(C62:R62:C64:R64,"нб",C63:R63:C65:R65)</f>
        <v>0</v>
      </c>
      <c r="AO61" s="147">
        <f>SUMIF(C62:R62:C64:R64,"о",C63:R63:C65:R65)</f>
        <v>0</v>
      </c>
      <c r="AP61" s="52"/>
      <c r="AQ61" s="53"/>
      <c r="AR61" s="53"/>
      <c r="AS61" s="157"/>
      <c r="AT61" s="160"/>
      <c r="AU61" s="154"/>
      <c r="AV61" s="172"/>
      <c r="AW61" s="154"/>
      <c r="AX61" s="163"/>
      <c r="AY61" s="36"/>
      <c r="AZ61" s="135">
        <f>AZ63-COUNTIF(C62:R62:C64:R64,"--")*1-COUNTIF(C62:R62:C64:R64,"убз")*1-COUNTIF(C62:R62:C64:R64,"р")*1-COUNTIF(C62:R62:C64:R64,"ож")*1-COUNTIF(C62:R62:C64:R64,"д")*1-COUNTIF(C62:R62:C64:R64,"гс")*1-COUNTIF(C62:R62:C64:R64,"б")*1-COUNTIF(C62:R62:C64:R64,"нб")*1-COUNTIF(C62:R62:C64:R64,"х")*1-COUNTIF(C62:R62:C64:R64,"дм")*1-COUNTIF(C62:R62:C64:R64,"а")*1-COUNTIF(C62:R62:C64:R64,"аа")*1--COUNTIF(C62:R62:C64:R64,"га")*1</f>
        <v>0</v>
      </c>
      <c r="BA61" s="1">
        <f>(COUNTIF(C62:R62:C64:R64,"--")*1)</f>
        <v>31</v>
      </c>
      <c r="BB61" s="1">
        <f t="shared" ref="BB61" si="37">IF(B61&gt;0,1,0)</f>
        <v>0</v>
      </c>
      <c r="BC61" s="56">
        <f>IF(B62="еж",$BC$9,IF(B62="см",$BC$8,0))</f>
        <v>0</v>
      </c>
      <c r="BE61" s="142">
        <f>COUNTIF(C62:R62:C64:R64,"я")*1+COUNTIF(C62:R62:C64:R64,"нс")*1+COUNTIF(C62:R62:C64:R64,"нсп")*1+COUNTIF(C62:R62:C64:R64,"нп")*1+COUNTIF(C62:R62:C64:R64,"яп")*1+COUNTIF(C62:R62:C64:R64,"н")*1+COUNTIF(C62:R62:C64:R64,"ян")*1++COUNTIF(C62:R62:C64:R64,"оп")*1+COUNTIF(C62:R62:C64:R64,"ух")*1+COUNTIF(C62:R62:C64:R64,"я/н")*1</f>
        <v>0</v>
      </c>
      <c r="BF61" s="126">
        <f>COUNTIF(C62:R62:C64:R64,"п")*1</f>
        <v>0</v>
      </c>
      <c r="BG61" s="126">
        <f>COUNTIF(C62:R62:C64:R64,"о")*1</f>
        <v>0</v>
      </c>
      <c r="BH61" s="126">
        <f>COUNTIF(C62:R62:C64:R64,"у")*1+COUNTIF(C62:R62:C64:R64,"убз")*1</f>
        <v>0</v>
      </c>
      <c r="BI61" s="126">
        <f>COUNTIF(C62:R62:C64:R64,"р")*1</f>
        <v>0</v>
      </c>
      <c r="BJ61" s="126">
        <f>COUNTIF(C62:R62:C64:R64,"б")*1+COUNTIF(C62:R62:C64:R64,"нб")*1</f>
        <v>0</v>
      </c>
      <c r="BK61" s="126">
        <f>COUNTIF(C62:R62:C64:R64,"д")*1+COUNTIF(C62:R62:C64:R64,"гч")*1+COUNTIF(C62:R62:C64:R64,"мо")*1+COUNTIF(C62:R62:C64:R64,"дм")*1+COUNTIF(C62:R62:C64:R64,"х")*1+COUNTIF(C62:R62:C64:R64,"ож")*1+COUNTIF(C62:R62:C64:R64,"г")*1+COUNTIF(C62:R62:C64:R64,"гб")*1+COUNTIF(C62:R62:C64:R64,"гс")*1+COUNTIF(C62:R62:C64:R64,"х")*1+COUNTIF(C62:R62:C64:R64,"сх")*1+COUNTIF(C62:R62:C64:R64,"нр")*1++COUNTIF(C62:R62:C64:R64,"га")*1</f>
        <v>0</v>
      </c>
      <c r="BL61" s="126">
        <f>COUNTIF(C62:R62:C64:R64,"а")*1+COUNTIF(C62:R62:C64:R64,"оа")*1+COUNTIF(C62:R62:C64:R64,"оад")*1</f>
        <v>0</v>
      </c>
      <c r="BM61" s="126">
        <f>COUNTIF(C62:R62:C64:R64,"пр")*1+COUNTIF(C62:R62:C64:R64,"нн")*1+COUNTIF(C62:R62:C64:R64,"аа")*1</f>
        <v>0</v>
      </c>
      <c r="BN61" s="126">
        <f>COUNTIF(C62:R62:C64:R64,"в")*1+COUNTIF(C62:R62:C64:R64,"сд")*1+COUNTIF(C62:R62:C64:R64,"до")*1</f>
        <v>0</v>
      </c>
    </row>
    <row r="62" spans="2:66" ht="15" customHeight="1">
      <c r="B62" s="32"/>
      <c r="C62" s="39" t="s">
        <v>65</v>
      </c>
      <c r="D62" s="39" t="s">
        <v>65</v>
      </c>
      <c r="E62" s="39" t="s">
        <v>65</v>
      </c>
      <c r="F62" s="39" t="s">
        <v>65</v>
      </c>
      <c r="G62" s="39" t="s">
        <v>65</v>
      </c>
      <c r="H62" s="39" t="s">
        <v>65</v>
      </c>
      <c r="I62" s="39" t="s">
        <v>65</v>
      </c>
      <c r="J62" s="39" t="s">
        <v>65</v>
      </c>
      <c r="K62" s="39" t="s">
        <v>65</v>
      </c>
      <c r="L62" s="39" t="s">
        <v>65</v>
      </c>
      <c r="M62" s="39" t="s">
        <v>65</v>
      </c>
      <c r="N62" s="39" t="s">
        <v>65</v>
      </c>
      <c r="O62" s="39" t="s">
        <v>65</v>
      </c>
      <c r="P62" s="39" t="s">
        <v>65</v>
      </c>
      <c r="Q62" s="39" t="s">
        <v>65</v>
      </c>
      <c r="R62" s="33"/>
      <c r="S62" s="143"/>
      <c r="T62" s="127"/>
      <c r="U62" s="127"/>
      <c r="V62" s="127"/>
      <c r="W62" s="127"/>
      <c r="X62" s="127"/>
      <c r="Y62" s="127"/>
      <c r="Z62" s="127"/>
      <c r="AA62" s="127"/>
      <c r="AB62" s="127"/>
      <c r="AC62" s="145"/>
      <c r="AD62" s="145"/>
      <c r="AE62" s="147"/>
      <c r="AF62" s="149"/>
      <c r="AG62" s="152"/>
      <c r="AH62" s="133"/>
      <c r="AI62" s="130"/>
      <c r="AJ62" s="130"/>
      <c r="AK62" s="147"/>
      <c r="AL62" s="133"/>
      <c r="AM62" s="133"/>
      <c r="AN62" s="133"/>
      <c r="AO62" s="147"/>
      <c r="AP62" s="52"/>
      <c r="AQ62" s="53"/>
      <c r="AR62" s="53"/>
      <c r="AS62" s="158"/>
      <c r="AT62" s="161"/>
      <c r="AU62" s="155"/>
      <c r="AV62" s="173"/>
      <c r="AW62" s="155"/>
      <c r="AX62" s="164"/>
      <c r="AY62" s="36"/>
      <c r="AZ62" s="136"/>
      <c r="BC62" s="56"/>
      <c r="BE62" s="143"/>
      <c r="BF62" s="127"/>
      <c r="BG62" s="127"/>
      <c r="BH62" s="127"/>
      <c r="BI62" s="127"/>
      <c r="BJ62" s="127"/>
      <c r="BK62" s="127"/>
      <c r="BL62" s="127"/>
      <c r="BM62" s="127"/>
      <c r="BN62" s="127"/>
    </row>
    <row r="63" spans="2:66" ht="15" customHeight="1">
      <c r="B63" s="34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137" t="str">
        <f t="shared" ref="S63" si="38">IFERROR(ROUNDDOWN(IF(B62="еж",(AE61+AK63+AK61-AG61)/BC61,(AE61+AK63+AK61-AG61)/BC61),0),"--")</f>
        <v>--</v>
      </c>
      <c r="T63" s="127"/>
      <c r="U63" s="127"/>
      <c r="V63" s="127"/>
      <c r="W63" s="127"/>
      <c r="X63" s="127"/>
      <c r="Y63" s="127"/>
      <c r="Z63" s="127"/>
      <c r="AA63" s="127"/>
      <c r="AB63" s="127"/>
      <c r="AC63" s="145"/>
      <c r="AD63" s="145"/>
      <c r="AE63" s="138">
        <f t="shared" ref="AE63" si="39">SUM(C63:R63,C65:R65)</f>
        <v>0</v>
      </c>
      <c r="AF63" s="149"/>
      <c r="AG63" s="152"/>
      <c r="AH63" s="133"/>
      <c r="AI63" s="130"/>
      <c r="AJ63" s="130"/>
      <c r="AK63" s="138">
        <f>SUMIF(C62:R62:C64:R64,"ск",C63:R63:C65:R65)</f>
        <v>0</v>
      </c>
      <c r="AL63" s="133"/>
      <c r="AM63" s="133"/>
      <c r="AN63" s="133"/>
      <c r="AO63" s="138">
        <f>SUMIF(C62:R62:C64:R64,"у",C63:R63:C65:R65)+SUMIF(C62:R62:C64:R64,"убз",C63:R63:C65:R65)</f>
        <v>0</v>
      </c>
      <c r="AP63" s="52"/>
      <c r="AQ63" s="53"/>
      <c r="AR63" s="53"/>
      <c r="AS63" s="158"/>
      <c r="AT63" s="161"/>
      <c r="AU63" s="155"/>
      <c r="AV63" s="173"/>
      <c r="AW63" s="155"/>
      <c r="AX63" s="164"/>
      <c r="AY63" s="36"/>
      <c r="AZ63" s="139">
        <f t="shared" ref="AZ63" si="40">DAY(EOMONTH($C$8,0))</f>
        <v>31</v>
      </c>
      <c r="BA63" s="44"/>
      <c r="BC63" s="56"/>
      <c r="BE63" s="137">
        <f>COUNTIF(C62:R62:C64:R64,"я")*1+COUNTIF(C62:R62:C64:R64,"нс")*1+COUNTIF(C62:R62:C64:R64,"нсп")*1+COUNTIF(C62:R62:C64:R64,"нп")*1+COUNTIF(C62:R62:C64:R64,"яп")*1+COUNTIF(C62:R62:C64:R64,"н")*1+COUNTIF(C62:R62:C64:R64,"к")*1+COUNTIF(C62:R62:C64:R64,"ск")*1+COUNTIF(C62:R62:C64:R64,"оп")*1+COUNTIF(C62:R62:C64:R64,"ух")*1+COUNTIF(C62:R62:C64:R64,"я/н")*1</f>
        <v>0</v>
      </c>
      <c r="BF63" s="127"/>
      <c r="BG63" s="127"/>
      <c r="BH63" s="127"/>
      <c r="BI63" s="127"/>
      <c r="BJ63" s="127"/>
      <c r="BK63" s="127"/>
      <c r="BL63" s="127"/>
      <c r="BM63" s="127"/>
      <c r="BN63" s="127"/>
    </row>
    <row r="64" spans="2:66" ht="15" customHeight="1">
      <c r="B64" s="32"/>
      <c r="C64" s="39" t="s">
        <v>65</v>
      </c>
      <c r="D64" s="39" t="s">
        <v>65</v>
      </c>
      <c r="E64" s="39" t="s">
        <v>65</v>
      </c>
      <c r="F64" s="39" t="s">
        <v>65</v>
      </c>
      <c r="G64" s="39" t="s">
        <v>65</v>
      </c>
      <c r="H64" s="39" t="s">
        <v>65</v>
      </c>
      <c r="I64" s="39" t="s">
        <v>65</v>
      </c>
      <c r="J64" s="39" t="s">
        <v>65</v>
      </c>
      <c r="K64" s="39" t="s">
        <v>65</v>
      </c>
      <c r="L64" s="39" t="s">
        <v>65</v>
      </c>
      <c r="M64" s="39" t="s">
        <v>65</v>
      </c>
      <c r="N64" s="39" t="s">
        <v>65</v>
      </c>
      <c r="O64" s="39" t="s">
        <v>65</v>
      </c>
      <c r="P64" s="39" t="s">
        <v>65</v>
      </c>
      <c r="Q64" s="39" t="s">
        <v>65</v>
      </c>
      <c r="R64" s="39" t="s">
        <v>65</v>
      </c>
      <c r="S64" s="137"/>
      <c r="T64" s="127"/>
      <c r="U64" s="127"/>
      <c r="V64" s="127"/>
      <c r="W64" s="127"/>
      <c r="X64" s="127"/>
      <c r="Y64" s="127"/>
      <c r="Z64" s="127"/>
      <c r="AA64" s="127"/>
      <c r="AB64" s="127"/>
      <c r="AC64" s="145"/>
      <c r="AD64" s="145"/>
      <c r="AE64" s="138"/>
      <c r="AF64" s="149"/>
      <c r="AG64" s="152"/>
      <c r="AH64" s="133"/>
      <c r="AI64" s="130"/>
      <c r="AJ64" s="130"/>
      <c r="AK64" s="138"/>
      <c r="AL64" s="133"/>
      <c r="AM64" s="133"/>
      <c r="AN64" s="133"/>
      <c r="AO64" s="138"/>
      <c r="AP64" s="52"/>
      <c r="AQ64" s="53"/>
      <c r="AR64" s="53"/>
      <c r="AS64" s="158"/>
      <c r="AT64" s="161"/>
      <c r="AU64" s="155"/>
      <c r="AV64" s="173"/>
      <c r="AW64" s="155"/>
      <c r="AX64" s="164"/>
      <c r="AY64" s="36"/>
      <c r="AZ64" s="140"/>
      <c r="BC64" s="56"/>
      <c r="BE64" s="137"/>
      <c r="BF64" s="127"/>
      <c r="BG64" s="127"/>
      <c r="BH64" s="127"/>
      <c r="BI64" s="127"/>
      <c r="BJ64" s="127"/>
      <c r="BK64" s="127"/>
      <c r="BL64" s="127"/>
      <c r="BM64" s="127"/>
      <c r="BN64" s="127"/>
    </row>
    <row r="65" spans="2:66" ht="15" customHeight="1">
      <c r="B65" s="32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137"/>
      <c r="T65" s="128"/>
      <c r="U65" s="128"/>
      <c r="V65" s="128"/>
      <c r="W65" s="128"/>
      <c r="X65" s="128"/>
      <c r="Y65" s="128"/>
      <c r="Z65" s="128"/>
      <c r="AA65" s="128"/>
      <c r="AB65" s="128"/>
      <c r="AC65" s="146"/>
      <c r="AD65" s="146"/>
      <c r="AE65" s="138"/>
      <c r="AF65" s="150"/>
      <c r="AG65" s="153"/>
      <c r="AH65" s="134"/>
      <c r="AI65" s="131"/>
      <c r="AJ65" s="131"/>
      <c r="AK65" s="138"/>
      <c r="AL65" s="134"/>
      <c r="AM65" s="134"/>
      <c r="AN65" s="134"/>
      <c r="AO65" s="138"/>
      <c r="AP65" s="52"/>
      <c r="AQ65" s="53"/>
      <c r="AR65" s="53"/>
      <c r="AS65" s="159"/>
      <c r="AT65" s="162"/>
      <c r="AU65" s="156"/>
      <c r="AV65" s="174"/>
      <c r="AW65" s="156"/>
      <c r="AX65" s="165"/>
      <c r="AY65" s="36"/>
      <c r="AZ65" s="141"/>
      <c r="BC65" s="56"/>
      <c r="BE65" s="137"/>
      <c r="BF65" s="128"/>
      <c r="BG65" s="128"/>
      <c r="BH65" s="128"/>
      <c r="BI65" s="128"/>
      <c r="BJ65" s="128"/>
      <c r="BK65" s="128"/>
      <c r="BL65" s="128"/>
      <c r="BM65" s="128"/>
      <c r="BN65" s="128"/>
    </row>
    <row r="66" spans="2:66" ht="32.1" customHeight="1">
      <c r="B66" s="28"/>
      <c r="C66" s="29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1"/>
      <c r="S66" s="142" t="str">
        <f>IFERROR(S68-COUNTIF(C67:R67:C69:R69,"к")*1,"--")</f>
        <v>--</v>
      </c>
      <c r="T66" s="126">
        <f>COUNTIF(C67:R67:C69:R69,"п")*1</f>
        <v>0</v>
      </c>
      <c r="U66" s="126">
        <f>COUNTIF(C67:R67:C69:R69,"о")*1</f>
        <v>0</v>
      </c>
      <c r="V66" s="126">
        <f>COUNTIF(C67:R67:C69:R69,"у")*1+COUNTIF(C67:R67:C69:R69,"убз")*1</f>
        <v>0</v>
      </c>
      <c r="W66" s="126">
        <f>COUNTIF(C67:R67:C69:R69,"р")*1</f>
        <v>0</v>
      </c>
      <c r="X66" s="126">
        <f>COUNTIF(C67:R67:C69:R69,"б")*1+COUNTIF(C67:R67:C69:R69,"нб")*1</f>
        <v>0</v>
      </c>
      <c r="Y66" s="126">
        <f>COUNTIF(C67:R67:C69:R69,"д")*1+COUNTIF(C67:R67:C69:R69,"гч")*1+COUNTIF(C67:R67:C69:R69,"мо")*1+COUNTIF(C67:R67:C69:R69,"дм")*1+COUNTIF(C67:R67:C69:R69,"х")*1+COUNTIF(C67:R67:C69:R69,"ож")*1+COUNTIF(C67:R67:C69:R69,"г")*1+COUNTIF(C67:R67:C69:R69,"гб")*1+COUNTIF(C67:R67:C69:R69,"гс")*1+COUNTIF(C67:R67:C69:R69,"х")*1+COUNTIF(C67:R67:C69:R69,"сх")*1+COUNTIF(C67:R67:C69:R69,"нр")*1++COUNTIF(C67:R67:C69:R69,"га")*1</f>
        <v>0</v>
      </c>
      <c r="Z66" s="126">
        <f>COUNTIF(C67:R67:C69:R69,"а")*1+COUNTIF(C67:R67:C69:R69,"оа")*1+COUNTIF(C67:R67:C69:R69,"оад")*1+COUNTIF(C67:R67:C69:R69,"ск")*1</f>
        <v>0</v>
      </c>
      <c r="AA66" s="126">
        <f>COUNTIF(C67:R67:C69:R69,"пр")*1+COUNTIF(C67:R67:C69:R69,"нн")*1+COUNTIF(C67:R67:C69:R69,"аа")*1</f>
        <v>0</v>
      </c>
      <c r="AB66" s="126" t="str">
        <f t="shared" ref="AB66" si="41">IFERROR(AZ68-S68-T66-U66-V66-W66-X66-Y66-Z66-AA66-BA66,"--")</f>
        <v>--</v>
      </c>
      <c r="AC66" s="144">
        <f>SUMIF(C67:R67:C69:R69,"нм",C68:R68:C70:R70)+SUMIF(C67:R67:C69:R69,"вп",C68:R68:C70:R70)</f>
        <v>0</v>
      </c>
      <c r="AD66" s="144">
        <f>SUMIF(C67:R67:C69:R69,"оп",C68:R68:C70:R70)+SUMIF(C67:R67:C69:R69,"ух",C68:R68:C70:R70)</f>
        <v>0</v>
      </c>
      <c r="AE66" s="147">
        <f>AE68-AK66-AK68-SUMIF(C67:R67:C69:R69,"п",C68:R68:C70:R70)-SUMIF(C67:R67:C69:R69,"о",C68:R68:C70:R70)-SUMIF(C67:R67:C69:R69,"у",C68:R68:C70:R70)-SUMIF(C67:R67:C69:R69,"убз",C68:R68:C70:R70)-SUMIF(C67:R67:C69:R69,"р",C68:R68:C70:R70)-SUMIF(C67:R67:C69:R69,"б",C68:R68:C70:R70)-SUMIF(C67:R67:C69:R69,"т",C68:R68:C70:R70)-SUMIF(C67:R67:C69:R69,"ож",C68:R68:C70:R70)-SUMIF(C67:R67:C69:R69,"г",C68:R68:C70:R70)-SUMIF(C67:R67:C69:R69,"гч",C68:R68:C70:R70)-SUMIF(C67:R67:C69:R69,"гб",C68:R68:C70:R70)-SUMIF(C67:R67:C69:R69,"гс",C68:R68:C70:R70)-SUMIF(C67:R67:C69:R69,"мо",C68:R68:C70:R70)-SUMIF(C67:R67:C69:R69,"д",C68:R68:C70:R70)-SUMIF(C67:R67:C69:R69,"дм",C68:R68:C70:R70)-SUMIF(C67:R67:C69:R69,"до",C68:R68:C70:R70)-SUMIF(C67:R67:C69:R69,"нр",C68:R68:C70:R70)-SUMIF(C67:R67:C69:R69,"сх",C68:R68:C70:R70)-SUMIF(C67:R67:C69:R69,"х",C68:R68:C70:R70)-SUMIF(C67:R67:C69:R69,"а",C68:R68:C70:R70)-SUMIF(C67:R67:C69:R69,"оа",C68:R68:C70:R70)-SUMIF(C67:R67:C69:R69,"оад",C68:R68:C70:R70)-SUMIF(C67:R67:C69:R69,"нн",C68:R68:C70:R70)-SUMIF(C67:R67:C69:R69,"пр",C68:R68:C70:R70)-SUMIF(C67:R67:C69:R69,"вп",C68:R68:C70:R70)-SUMIF(C67:R67:C69:R69,"нм",C68:R68:C70:R70)-SUMIF(C67:R67:C69:R69,"оп",C68:R68:C70:R70)-SUMIF(C67:R67:C69:R69,"ух",C68:R68:C70:R70)-SUMIF(C67:R67:C69:R69,"в",C68:R68:C70:R70)-SUMIF(C67:R67:C69:R69,"нб",C68:R68:C70:R70)</f>
        <v>0</v>
      </c>
      <c r="AF66" s="148"/>
      <c r="AG66" s="151"/>
      <c r="AH66" s="132">
        <f>SUMIF(C67:R67:C69:R69,"нс",C68:R68:C70:R70)+SUMIF(C67:R67:C69:R69,"н",C68:R68:C70:R70)+SUMIF(C67:R67:C69:R69,"нсп",C68:R68:C70:R70)+SUMIF(C67:R67:C69:R69,"нп",C68:R68:C70:R70)</f>
        <v>0</v>
      </c>
      <c r="AI66" s="129"/>
      <c r="AJ66" s="129"/>
      <c r="AK66" s="147">
        <f>SUMIF(C67:R67:C69:R69,"К",C68:R68:C70:R70)</f>
        <v>0</v>
      </c>
      <c r="AL66" s="132">
        <f>SUMIF(C67:R67:C69:R69,"яп",C68:R68:C70:R70)+SUMIF(C67:R67:C69:R69,"нп",C68:R68:C70:R70)+SUMIF(C67:R67:C69:R69,"нсп",C68:R68:C70:R70)+SUMIF(C67:R67:C69:R69,"рп",C68:R68:C70:R70)</f>
        <v>0</v>
      </c>
      <c r="AM66" s="132">
        <f>SUMIF(C67:R67:C69:R69,"ст",C68:R68:C70:R70)</f>
        <v>0</v>
      </c>
      <c r="AN66" s="132">
        <f>SUMIF(C67:R67:C69:R69,"б",C68:R68:C70:R70)+SUMIF(C67:R67:C69:R69,"р",C68:R68:C70:R70)+SUMIF(C67:R67:C69:R69,"нб",C68:R68:C70:R70)</f>
        <v>0</v>
      </c>
      <c r="AO66" s="147">
        <f>SUMIF(C67:R67:C69:R69,"о",C68:R68:C70:R70)</f>
        <v>0</v>
      </c>
      <c r="AP66" s="52"/>
      <c r="AQ66" s="53"/>
      <c r="AR66" s="53"/>
      <c r="AS66" s="157"/>
      <c r="AT66" s="160"/>
      <c r="AU66" s="154"/>
      <c r="AV66" s="172"/>
      <c r="AW66" s="154"/>
      <c r="AX66" s="163"/>
      <c r="AY66" s="36"/>
      <c r="AZ66" s="135">
        <f>AZ68-COUNTIF(C67:R67:C69:R69,"--")*1-COUNTIF(C67:R67:C69:R69,"убз")*1-COUNTIF(C67:R67:C69:R69,"р")*1-COUNTIF(C67:R67:C69:R69,"ож")*1-COUNTIF(C67:R67:C69:R69,"д")*1-COUNTIF(C67:R67:C69:R69,"гс")*1-COUNTIF(C67:R67:C69:R69,"б")*1-COUNTIF(C67:R67:C69:R69,"нб")*1-COUNTIF(C67:R67:C69:R69,"х")*1-COUNTIF(C67:R67:C69:R69,"дм")*1-COUNTIF(C67:R67:C69:R69,"а")*1-COUNTIF(C67:R67:C69:R69,"аа")*1--COUNTIF(C67:R67:C69:R69,"га")*1</f>
        <v>0</v>
      </c>
      <c r="BA66" s="1">
        <f>(COUNTIF(C67:R67:C69:R69,"--")*1)</f>
        <v>31</v>
      </c>
      <c r="BB66" s="1">
        <f t="shared" ref="BB66" si="42">IF(B66&gt;0,1,0)</f>
        <v>0</v>
      </c>
      <c r="BC66" s="56">
        <f>IF(B67="еж",$BC$9,IF(B67="см",$BC$8,0))</f>
        <v>0</v>
      </c>
      <c r="BE66" s="142">
        <f>COUNTIF(C67:R67:C69:R69,"я")*1+COUNTIF(C67:R67:C69:R69,"нс")*1+COUNTIF(C67:R67:C69:R69,"нсп")*1+COUNTIF(C67:R67:C69:R69,"нп")*1+COUNTIF(C67:R67:C69:R69,"яп")*1+COUNTIF(C67:R67:C69:R69,"н")*1+COUNTIF(C67:R67:C69:R69,"ян")*1++COUNTIF(C67:R67:C69:R69,"оп")*1+COUNTIF(C67:R67:C69:R69,"ух")*1+COUNTIF(C67:R67:C69:R69,"я/н")*1</f>
        <v>0</v>
      </c>
      <c r="BF66" s="126">
        <f>COUNTIF(C67:R67:C69:R69,"п")*1</f>
        <v>0</v>
      </c>
      <c r="BG66" s="126">
        <f>COUNTIF(C67:R67:C69:R69,"о")*1</f>
        <v>0</v>
      </c>
      <c r="BH66" s="126">
        <f>COUNTIF(C67:R67:C69:R69,"у")*1+COUNTIF(C67:R67:C69:R69,"убз")*1</f>
        <v>0</v>
      </c>
      <c r="BI66" s="126">
        <f>COUNTIF(C67:R67:C69:R69,"р")*1</f>
        <v>0</v>
      </c>
      <c r="BJ66" s="126">
        <f>COUNTIF(C67:R67:C69:R69,"б")*1+COUNTIF(C67:R67:C69:R69,"нб")*1</f>
        <v>0</v>
      </c>
      <c r="BK66" s="126">
        <f>COUNTIF(C67:R67:C69:R69,"д")*1+COUNTIF(C67:R67:C69:R69,"гч")*1+COUNTIF(C67:R67:C69:R69,"мо")*1+COUNTIF(C67:R67:C69:R69,"дм")*1+COUNTIF(C67:R67:C69:R69,"х")*1+COUNTIF(C67:R67:C69:R69,"ож")*1+COUNTIF(C67:R67:C69:R69,"г")*1+COUNTIF(C67:R67:C69:R69,"гб")*1+COUNTIF(C67:R67:C69:R69,"гс")*1+COUNTIF(C67:R67:C69:R69,"х")*1+COUNTIF(C67:R67:C69:R69,"сх")*1+COUNTIF(C67:R67:C69:R69,"нр")*1++COUNTIF(C67:R67:C69:R69,"га")*1</f>
        <v>0</v>
      </c>
      <c r="BL66" s="126">
        <f>COUNTIF(C67:R67:C69:R69,"а")*1+COUNTIF(C67:R67:C69:R69,"оа")*1+COUNTIF(C67:R67:C69:R69,"оад")*1</f>
        <v>0</v>
      </c>
      <c r="BM66" s="126">
        <f>COUNTIF(C67:R67:C69:R69,"пр")*1+COUNTIF(C67:R67:C69:R69,"нн")*1+COUNTIF(C67:R67:C69:R69,"аа")*1</f>
        <v>0</v>
      </c>
      <c r="BN66" s="126">
        <f>COUNTIF(C67:R67:C69:R69,"в")*1+COUNTIF(C67:R67:C69:R69,"сд")*1+COUNTIF(C67:R67:C69:R69,"до")*1</f>
        <v>0</v>
      </c>
    </row>
    <row r="67" spans="2:66" ht="15" customHeight="1">
      <c r="B67" s="32"/>
      <c r="C67" s="39" t="s">
        <v>65</v>
      </c>
      <c r="D67" s="39" t="s">
        <v>65</v>
      </c>
      <c r="E67" s="39" t="s">
        <v>65</v>
      </c>
      <c r="F67" s="39" t="s">
        <v>65</v>
      </c>
      <c r="G67" s="39" t="s">
        <v>65</v>
      </c>
      <c r="H67" s="39" t="s">
        <v>65</v>
      </c>
      <c r="I67" s="39" t="s">
        <v>65</v>
      </c>
      <c r="J67" s="39" t="s">
        <v>65</v>
      </c>
      <c r="K67" s="39" t="s">
        <v>65</v>
      </c>
      <c r="L67" s="39" t="s">
        <v>65</v>
      </c>
      <c r="M67" s="39" t="s">
        <v>65</v>
      </c>
      <c r="N67" s="39" t="s">
        <v>65</v>
      </c>
      <c r="O67" s="39" t="s">
        <v>65</v>
      </c>
      <c r="P67" s="39" t="s">
        <v>65</v>
      </c>
      <c r="Q67" s="39" t="s">
        <v>65</v>
      </c>
      <c r="R67" s="33"/>
      <c r="S67" s="143"/>
      <c r="T67" s="127"/>
      <c r="U67" s="127"/>
      <c r="V67" s="127"/>
      <c r="W67" s="127"/>
      <c r="X67" s="127"/>
      <c r="Y67" s="127"/>
      <c r="Z67" s="127"/>
      <c r="AA67" s="127"/>
      <c r="AB67" s="127"/>
      <c r="AC67" s="145"/>
      <c r="AD67" s="145"/>
      <c r="AE67" s="147"/>
      <c r="AF67" s="149"/>
      <c r="AG67" s="152"/>
      <c r="AH67" s="133"/>
      <c r="AI67" s="130"/>
      <c r="AJ67" s="130"/>
      <c r="AK67" s="147"/>
      <c r="AL67" s="133"/>
      <c r="AM67" s="133"/>
      <c r="AN67" s="133"/>
      <c r="AO67" s="147"/>
      <c r="AP67" s="52"/>
      <c r="AQ67" s="53"/>
      <c r="AR67" s="53"/>
      <c r="AS67" s="158"/>
      <c r="AT67" s="161"/>
      <c r="AU67" s="155"/>
      <c r="AV67" s="173"/>
      <c r="AW67" s="155"/>
      <c r="AX67" s="164"/>
      <c r="AY67" s="36"/>
      <c r="AZ67" s="136"/>
      <c r="BC67" s="56"/>
      <c r="BE67" s="143"/>
      <c r="BF67" s="127"/>
      <c r="BG67" s="127"/>
      <c r="BH67" s="127"/>
      <c r="BI67" s="127"/>
      <c r="BJ67" s="127"/>
      <c r="BK67" s="127"/>
      <c r="BL67" s="127"/>
      <c r="BM67" s="127"/>
      <c r="BN67" s="127"/>
    </row>
    <row r="68" spans="2:66" ht="15" customHeight="1">
      <c r="B68" s="34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137" t="str">
        <f t="shared" ref="S68" si="43">IFERROR(ROUNDDOWN(IF(B67="еж",(AE66+AK68+AK66-AG66)/BC66,(AE66+AK68+AK66-AG66)/BC66),0),"--")</f>
        <v>--</v>
      </c>
      <c r="T68" s="127"/>
      <c r="U68" s="127"/>
      <c r="V68" s="127"/>
      <c r="W68" s="127"/>
      <c r="X68" s="127"/>
      <c r="Y68" s="127"/>
      <c r="Z68" s="127"/>
      <c r="AA68" s="127"/>
      <c r="AB68" s="127"/>
      <c r="AC68" s="145"/>
      <c r="AD68" s="145"/>
      <c r="AE68" s="138">
        <f t="shared" ref="AE68" si="44">SUM(C68:R68,C70:R70)</f>
        <v>0</v>
      </c>
      <c r="AF68" s="149"/>
      <c r="AG68" s="152"/>
      <c r="AH68" s="133"/>
      <c r="AI68" s="130"/>
      <c r="AJ68" s="130"/>
      <c r="AK68" s="138">
        <f>SUMIF(C67:R67:C69:R69,"ск",C68:R68:C70:R70)</f>
        <v>0</v>
      </c>
      <c r="AL68" s="133"/>
      <c r="AM68" s="133"/>
      <c r="AN68" s="133"/>
      <c r="AO68" s="138">
        <f>SUMIF(C67:R67:C69:R69,"у",C68:R68:C70:R70)+SUMIF(C67:R67:C69:R69,"убз",C68:R68:C70:R70)</f>
        <v>0</v>
      </c>
      <c r="AP68" s="52"/>
      <c r="AQ68" s="53"/>
      <c r="AR68" s="53"/>
      <c r="AS68" s="158"/>
      <c r="AT68" s="161"/>
      <c r="AU68" s="155"/>
      <c r="AV68" s="173"/>
      <c r="AW68" s="155"/>
      <c r="AX68" s="164"/>
      <c r="AY68" s="36"/>
      <c r="AZ68" s="139">
        <f t="shared" ref="AZ68" si="45">DAY(EOMONTH($C$8,0))</f>
        <v>31</v>
      </c>
      <c r="BC68" s="56"/>
      <c r="BE68" s="137">
        <f>COUNTIF(C67:R67:C69:R69,"я")*1+COUNTIF(C67:R67:C69:R69,"нс")*1+COUNTIF(C67:R67:C69:R69,"нсп")*1+COUNTIF(C67:R67:C69:R69,"нп")*1+COUNTIF(C67:R67:C69:R69,"яп")*1+COUNTIF(C67:R67:C69:R69,"н")*1+COUNTIF(C67:R67:C69:R69,"к")*1+COUNTIF(C67:R67:C69:R69,"ск")*1+COUNTIF(C67:R67:C69:R69,"оп")*1+COUNTIF(C67:R67:C69:R69,"ух")*1+COUNTIF(C67:R67:C69:R69,"я/н")*1</f>
        <v>0</v>
      </c>
      <c r="BF68" s="127"/>
      <c r="BG68" s="127"/>
      <c r="BH68" s="127"/>
      <c r="BI68" s="127"/>
      <c r="BJ68" s="127"/>
      <c r="BK68" s="127"/>
      <c r="BL68" s="127"/>
      <c r="BM68" s="127"/>
      <c r="BN68" s="127"/>
    </row>
    <row r="69" spans="2:66" ht="15" customHeight="1">
      <c r="B69" s="32"/>
      <c r="C69" s="39" t="s">
        <v>65</v>
      </c>
      <c r="D69" s="39" t="s">
        <v>65</v>
      </c>
      <c r="E69" s="39" t="s">
        <v>65</v>
      </c>
      <c r="F69" s="39" t="s">
        <v>65</v>
      </c>
      <c r="G69" s="39" t="s">
        <v>65</v>
      </c>
      <c r="H69" s="39" t="s">
        <v>65</v>
      </c>
      <c r="I69" s="39" t="s">
        <v>65</v>
      </c>
      <c r="J69" s="39" t="s">
        <v>65</v>
      </c>
      <c r="K69" s="39" t="s">
        <v>65</v>
      </c>
      <c r="L69" s="39" t="s">
        <v>65</v>
      </c>
      <c r="M69" s="39" t="s">
        <v>65</v>
      </c>
      <c r="N69" s="39" t="s">
        <v>65</v>
      </c>
      <c r="O69" s="39" t="s">
        <v>65</v>
      </c>
      <c r="P69" s="39" t="s">
        <v>65</v>
      </c>
      <c r="Q69" s="39" t="s">
        <v>65</v>
      </c>
      <c r="R69" s="39" t="s">
        <v>65</v>
      </c>
      <c r="S69" s="137"/>
      <c r="T69" s="127"/>
      <c r="U69" s="127"/>
      <c r="V69" s="127"/>
      <c r="W69" s="127"/>
      <c r="X69" s="127"/>
      <c r="Y69" s="127"/>
      <c r="Z69" s="127"/>
      <c r="AA69" s="127"/>
      <c r="AB69" s="127"/>
      <c r="AC69" s="145"/>
      <c r="AD69" s="145"/>
      <c r="AE69" s="138"/>
      <c r="AF69" s="149"/>
      <c r="AG69" s="152"/>
      <c r="AH69" s="133"/>
      <c r="AI69" s="130"/>
      <c r="AJ69" s="130"/>
      <c r="AK69" s="138"/>
      <c r="AL69" s="133"/>
      <c r="AM69" s="133"/>
      <c r="AN69" s="133"/>
      <c r="AO69" s="138"/>
      <c r="AP69" s="52"/>
      <c r="AQ69" s="53"/>
      <c r="AR69" s="53"/>
      <c r="AS69" s="158"/>
      <c r="AT69" s="161"/>
      <c r="AU69" s="155"/>
      <c r="AV69" s="173"/>
      <c r="AW69" s="155"/>
      <c r="AX69" s="164"/>
      <c r="AY69" s="36"/>
      <c r="AZ69" s="140"/>
      <c r="BC69" s="56"/>
      <c r="BE69" s="137"/>
      <c r="BF69" s="127"/>
      <c r="BG69" s="127"/>
      <c r="BH69" s="127"/>
      <c r="BI69" s="127"/>
      <c r="BJ69" s="127"/>
      <c r="BK69" s="127"/>
      <c r="BL69" s="127"/>
      <c r="BM69" s="127"/>
      <c r="BN69" s="127"/>
    </row>
    <row r="70" spans="2:66" ht="15" customHeight="1">
      <c r="B70" s="32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137"/>
      <c r="T70" s="128"/>
      <c r="U70" s="128"/>
      <c r="V70" s="128"/>
      <c r="W70" s="128"/>
      <c r="X70" s="128"/>
      <c r="Y70" s="128"/>
      <c r="Z70" s="128"/>
      <c r="AA70" s="128"/>
      <c r="AB70" s="128"/>
      <c r="AC70" s="146"/>
      <c r="AD70" s="146"/>
      <c r="AE70" s="138"/>
      <c r="AF70" s="150"/>
      <c r="AG70" s="153"/>
      <c r="AH70" s="134"/>
      <c r="AI70" s="131"/>
      <c r="AJ70" s="131"/>
      <c r="AK70" s="138"/>
      <c r="AL70" s="134"/>
      <c r="AM70" s="134"/>
      <c r="AN70" s="134"/>
      <c r="AO70" s="138"/>
      <c r="AP70" s="52"/>
      <c r="AQ70" s="53"/>
      <c r="AR70" s="53"/>
      <c r="AS70" s="159"/>
      <c r="AT70" s="162"/>
      <c r="AU70" s="156"/>
      <c r="AV70" s="174"/>
      <c r="AW70" s="156"/>
      <c r="AX70" s="165"/>
      <c r="AY70" s="36"/>
      <c r="AZ70" s="141"/>
      <c r="BC70" s="56"/>
      <c r="BE70" s="137"/>
      <c r="BF70" s="128"/>
      <c r="BG70" s="128"/>
      <c r="BH70" s="128"/>
      <c r="BI70" s="128"/>
      <c r="BJ70" s="128"/>
      <c r="BK70" s="128"/>
      <c r="BL70" s="128"/>
      <c r="BM70" s="128"/>
      <c r="BN70" s="128"/>
    </row>
    <row r="71" spans="2:66" ht="32.1" customHeight="1">
      <c r="B71" s="28"/>
      <c r="C71" s="29"/>
      <c r="D71" s="30"/>
      <c r="E71" s="29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1"/>
      <c r="S71" s="142" t="str">
        <f>IFERROR(S73-COUNTIF(C72:R72:C74:R74,"к")*1,"--")</f>
        <v>--</v>
      </c>
      <c r="T71" s="126">
        <f>COUNTIF(C72:R72:C74:R74,"п")*1</f>
        <v>0</v>
      </c>
      <c r="U71" s="126">
        <f>COUNTIF(C72:R72:C74:R74,"о")*1</f>
        <v>0</v>
      </c>
      <c r="V71" s="126">
        <f>COUNTIF(C72:R72:C74:R74,"у")*1+COUNTIF(C72:R72:C74:R74,"убз")*1</f>
        <v>0</v>
      </c>
      <c r="W71" s="126">
        <f>COUNTIF(C72:R72:C74:R74,"р")*1</f>
        <v>0</v>
      </c>
      <c r="X71" s="126">
        <f>COUNTIF(C72:R72:C74:R74,"б")*1+COUNTIF(C72:R72:C74:R74,"нб")*1</f>
        <v>0</v>
      </c>
      <c r="Y71" s="126">
        <f>COUNTIF(C72:R72:C74:R74,"д")*1+COUNTIF(C72:R72:C74:R74,"гч")*1+COUNTIF(C72:R72:C74:R74,"мо")*1+COUNTIF(C72:R72:C74:R74,"дм")*1+COUNTIF(C72:R72:C74:R74,"х")*1+COUNTIF(C72:R72:C74:R74,"ож")*1+COUNTIF(C72:R72:C74:R74,"г")*1+COUNTIF(C72:R72:C74:R74,"гб")*1+COUNTIF(C72:R72:C74:R74,"гс")*1+COUNTIF(C72:R72:C74:R74,"х")*1+COUNTIF(C72:R72:C74:R74,"сх")*1+COUNTIF(C72:R72:C74:R74,"нр")*1++COUNTIF(C72:R72:C74:R74,"га")*1</f>
        <v>0</v>
      </c>
      <c r="Z71" s="126">
        <f>COUNTIF(C72:R72:C74:R74,"а")*1+COUNTIF(C72:R72:C74:R74,"оа")*1+COUNTIF(C72:R72:C74:R74,"оад")*1+COUNTIF(C72:R72:C74:R74,"ск")*1</f>
        <v>0</v>
      </c>
      <c r="AA71" s="126">
        <f>COUNTIF(C72:R72:C74:R74,"пр")*1+COUNTIF(C72:R72:C74:R74,"нн")*1+COUNTIF(C72:R72:C74:R74,"аа")*1</f>
        <v>0</v>
      </c>
      <c r="AB71" s="126" t="str">
        <f t="shared" ref="AB71" si="46">IFERROR(AZ73-S73-T71-U71-V71-W71-X71-Y71-Z71-AA71-BA71,"--")</f>
        <v>--</v>
      </c>
      <c r="AC71" s="144">
        <f>SUMIF(C72:R72:C74:R74,"нм",C73:R73:C75:R75)+SUMIF(C72:R72:C74:R74,"вп",C73:R73:C75:R75)</f>
        <v>0</v>
      </c>
      <c r="AD71" s="144">
        <f>SUMIF(C72:R72:C74:R74,"оп",C73:R73:C75:R75)+SUMIF(C72:R72:C74:R74,"ух",C73:R73:C75:R75)</f>
        <v>0</v>
      </c>
      <c r="AE71" s="147">
        <f>AE73-AK71-AK73-SUMIF(C72:R72:C74:R74,"п",C73:R73:C75:R75)-SUMIF(C72:R72:C74:R74,"о",C73:R73:C75:R75)-SUMIF(C72:R72:C74:R74,"у",C73:R73:C75:R75)-SUMIF(C72:R72:C74:R74,"убз",C73:R73:C75:R75)-SUMIF(C72:R72:C74:R74,"р",C73:R73:C75:R75)-SUMIF(C72:R72:C74:R74,"б",C73:R73:C75:R75)-SUMIF(C72:R72:C74:R74,"т",C73:R73:C75:R75)-SUMIF(C72:R72:C74:R74,"ож",C73:R73:C75:R75)-SUMIF(C72:R72:C74:R74,"г",C73:R73:C75:R75)-SUMIF(C72:R72:C74:R74,"гч",C73:R73:C75:R75)-SUMIF(C72:R72:C74:R74,"гб",C73:R73:C75:R75)-SUMIF(C72:R72:C74:R74,"гс",C73:R73:C75:R75)-SUMIF(C72:R72:C74:R74,"мо",C73:R73:C75:R75)-SUMIF(C72:R72:C74:R74,"д",C73:R73:C75:R75)-SUMIF(C72:R72:C74:R74,"дм",C73:R73:C75:R75)-SUMIF(C72:R72:C74:R74,"до",C73:R73:C75:R75)-SUMIF(C72:R72:C74:R74,"нр",C73:R73:C75:R75)-SUMIF(C72:R72:C74:R74,"сх",C73:R73:C75:R75)-SUMIF(C72:R72:C74:R74,"х",C73:R73:C75:R75)-SUMIF(C72:R72:C74:R74,"а",C73:R73:C75:R75)-SUMIF(C72:R72:C74:R74,"оа",C73:R73:C75:R75)-SUMIF(C72:R72:C74:R74,"оад",C73:R73:C75:R75)-SUMIF(C72:R72:C74:R74,"нн",C73:R73:C75:R75)-SUMIF(C72:R72:C74:R74,"пр",C73:R73:C75:R75)-SUMIF(C72:R72:C74:R74,"вп",C73:R73:C75:R75)-SUMIF(C72:R72:C74:R74,"нм",C73:R73:C75:R75)-SUMIF(C72:R72:C74:R74,"оп",C73:R73:C75:R75)-SUMIF(C72:R72:C74:R74,"ух",C73:R73:C75:R75)-SUMIF(C72:R72:C74:R74,"в",C73:R73:C75:R75)-SUMIF(C72:R72:C74:R74,"нб",C73:R73:C75:R75)</f>
        <v>0</v>
      </c>
      <c r="AF71" s="148"/>
      <c r="AG71" s="151"/>
      <c r="AH71" s="132">
        <f>SUMIF(C72:R72:C74:R74,"нс",C73:R73:C75:R75)+SUMIF(C72:R72:C74:R74,"н",C73:R73:C75:R75)+SUMIF(C72:R72:C74:R74,"нсп",C73:R73:C75:R75)+SUMIF(C72:R72:C74:R74,"нп",C73:R73:C75:R75)</f>
        <v>0</v>
      </c>
      <c r="AI71" s="129"/>
      <c r="AJ71" s="129"/>
      <c r="AK71" s="147">
        <f>SUMIF(C72:R72:C74:R74,"К",C73:R73:C75:R75)</f>
        <v>0</v>
      </c>
      <c r="AL71" s="132">
        <f>SUMIF(C72:R72:C74:R74,"яп",C73:R73:C75:R75)+SUMIF(C72:R72:C74:R74,"нп",C73:R73:C75:R75)+SUMIF(C72:R72:C74:R74,"нсп",C73:R73:C75:R75)+SUMIF(C72:R72:C74:R74,"рп",C73:R73:C75:R75)</f>
        <v>0</v>
      </c>
      <c r="AM71" s="132">
        <f>SUMIF(C72:R72:C74:R74,"ст",C73:R73:C75:R75)</f>
        <v>0</v>
      </c>
      <c r="AN71" s="132">
        <f>SUMIF(C72:R72:C74:R74,"б",C73:R73:C75:R75)+SUMIF(C72:R72:C74:R74,"р",C73:R73:C75:R75)+SUMIF(C72:R72:C74:R74,"нб",C73:R73:C75:R75)</f>
        <v>0</v>
      </c>
      <c r="AO71" s="147">
        <f>SUMIF(C72:R72:C74:R74,"о",C73:R73:C75:R75)</f>
        <v>0</v>
      </c>
      <c r="AP71" s="52"/>
      <c r="AQ71" s="53"/>
      <c r="AR71" s="53"/>
      <c r="AS71" s="157"/>
      <c r="AT71" s="160"/>
      <c r="AU71" s="154"/>
      <c r="AV71" s="172"/>
      <c r="AW71" s="154"/>
      <c r="AX71" s="163"/>
      <c r="AY71" s="36"/>
      <c r="AZ71" s="135">
        <f>AZ73-COUNTIF(C72:R72:C74:R74,"--")*1-COUNTIF(C72:R72:C74:R74,"убз")*1-COUNTIF(C72:R72:C74:R74,"р")*1-COUNTIF(C72:R72:C74:R74,"ож")*1-COUNTIF(C72:R72:C74:R74,"д")*1-COUNTIF(C72:R72:C74:R74,"гс")*1-COUNTIF(C72:R72:C74:R74,"б")*1-COUNTIF(C72:R72:C74:R74,"нб")*1-COUNTIF(C72:R72:C74:R74,"х")*1-COUNTIF(C72:R72:C74:R74,"дм")*1-COUNTIF(C72:R72:C74:R74,"а")*1-COUNTIF(C72:R72:C74:R74,"аа")*1--COUNTIF(C72:R72:C74:R74,"га")*1</f>
        <v>0</v>
      </c>
      <c r="BA71" s="1">
        <f>(COUNTIF(C72:R72:C74:R74,"--")*1)</f>
        <v>31</v>
      </c>
      <c r="BB71" s="1">
        <f t="shared" ref="BB71" si="47">IF(B71&gt;0,1,0)</f>
        <v>0</v>
      </c>
      <c r="BC71" s="56">
        <f>IF(B72="еж",$BC$9,IF(B72="см",$BC$8,0))</f>
        <v>0</v>
      </c>
      <c r="BE71" s="142">
        <f>COUNTIF(C72:R72:C74:R74,"я")*1+COUNTIF(C72:R72:C74:R74,"нс")*1+COUNTIF(C72:R72:C74:R74,"нсп")*1+COUNTIF(C72:R72:C74:R74,"нп")*1+COUNTIF(C72:R72:C74:R74,"яп")*1+COUNTIF(C72:R72:C74:R74,"н")*1+COUNTIF(C72:R72:C74:R74,"ян")*1++COUNTIF(C72:R72:C74:R74,"оп")*1+COUNTIF(C72:R72:C74:R74,"ух")*1+COUNTIF(C72:R72:C74:R74,"я/н")*1</f>
        <v>0</v>
      </c>
      <c r="BF71" s="126">
        <f>COUNTIF(C72:R72:C74:R74,"п")*1</f>
        <v>0</v>
      </c>
      <c r="BG71" s="126">
        <f>COUNTIF(C72:R72:C74:R74,"о")*1</f>
        <v>0</v>
      </c>
      <c r="BH71" s="126">
        <f>COUNTIF(C72:R72:C74:R74,"у")*1+COUNTIF(C72:R72:C74:R74,"убз")*1</f>
        <v>0</v>
      </c>
      <c r="BI71" s="126">
        <f>COUNTIF(C72:R72:C74:R74,"р")*1</f>
        <v>0</v>
      </c>
      <c r="BJ71" s="126">
        <f>COUNTIF(C72:R72:C74:R74,"б")*1+COUNTIF(C72:R72:C74:R74,"нб")*1</f>
        <v>0</v>
      </c>
      <c r="BK71" s="126">
        <f>COUNTIF(C72:R72:C74:R74,"д")*1+COUNTIF(C72:R72:C74:R74,"гч")*1+COUNTIF(C72:R72:C74:R74,"мо")*1+COUNTIF(C72:R72:C74:R74,"дм")*1+COUNTIF(C72:R72:C74:R74,"х")*1+COUNTIF(C72:R72:C74:R74,"ож")*1+COUNTIF(C72:R72:C74:R74,"г")*1+COUNTIF(C72:R72:C74:R74,"гб")*1+COUNTIF(C72:R72:C74:R74,"гс")*1+COUNTIF(C72:R72:C74:R74,"х")*1+COUNTIF(C72:R72:C74:R74,"сх")*1+COUNTIF(C72:R72:C74:R74,"нр")*1++COUNTIF(C72:R72:C74:R74,"га")*1</f>
        <v>0</v>
      </c>
      <c r="BL71" s="126">
        <f>COUNTIF(C72:R72:C74:R74,"а")*1+COUNTIF(C72:R72:C74:R74,"оа")*1+COUNTIF(C72:R72:C74:R74,"оад")*1</f>
        <v>0</v>
      </c>
      <c r="BM71" s="126">
        <f>COUNTIF(C72:R72:C74:R74,"пр")*1+COUNTIF(C72:R72:C74:R74,"нн")*1+COUNTIF(C72:R72:C74:R74,"аа")*1</f>
        <v>0</v>
      </c>
      <c r="BN71" s="126">
        <f>COUNTIF(C72:R72:C74:R74,"в")*1+COUNTIF(C72:R72:C74:R74,"сд")*1+COUNTIF(C72:R72:C74:R74,"до")*1</f>
        <v>0</v>
      </c>
    </row>
    <row r="72" spans="2:66" ht="15" customHeight="1">
      <c r="B72" s="32"/>
      <c r="C72" s="33" t="s">
        <v>65</v>
      </c>
      <c r="D72" s="33" t="s">
        <v>65</v>
      </c>
      <c r="E72" s="33" t="s">
        <v>65</v>
      </c>
      <c r="F72" s="33" t="s">
        <v>65</v>
      </c>
      <c r="G72" s="33" t="s">
        <v>65</v>
      </c>
      <c r="H72" s="33" t="s">
        <v>65</v>
      </c>
      <c r="I72" s="33" t="s">
        <v>65</v>
      </c>
      <c r="J72" s="33" t="s">
        <v>65</v>
      </c>
      <c r="K72" s="33" t="s">
        <v>65</v>
      </c>
      <c r="L72" s="33" t="s">
        <v>65</v>
      </c>
      <c r="M72" s="33" t="s">
        <v>65</v>
      </c>
      <c r="N72" s="33" t="s">
        <v>65</v>
      </c>
      <c r="O72" s="33" t="s">
        <v>65</v>
      </c>
      <c r="P72" s="33" t="s">
        <v>65</v>
      </c>
      <c r="Q72" s="33" t="s">
        <v>65</v>
      </c>
      <c r="R72" s="33"/>
      <c r="S72" s="143"/>
      <c r="T72" s="127"/>
      <c r="U72" s="127"/>
      <c r="V72" s="127"/>
      <c r="W72" s="127"/>
      <c r="X72" s="127"/>
      <c r="Y72" s="127"/>
      <c r="Z72" s="127"/>
      <c r="AA72" s="127"/>
      <c r="AB72" s="127"/>
      <c r="AC72" s="145"/>
      <c r="AD72" s="145"/>
      <c r="AE72" s="147"/>
      <c r="AF72" s="149"/>
      <c r="AG72" s="152"/>
      <c r="AH72" s="133"/>
      <c r="AI72" s="130"/>
      <c r="AJ72" s="130"/>
      <c r="AK72" s="147"/>
      <c r="AL72" s="133"/>
      <c r="AM72" s="133"/>
      <c r="AN72" s="133"/>
      <c r="AO72" s="147"/>
      <c r="AP72" s="52"/>
      <c r="AQ72" s="53"/>
      <c r="AR72" s="53"/>
      <c r="AS72" s="158"/>
      <c r="AT72" s="161"/>
      <c r="AU72" s="155"/>
      <c r="AV72" s="173"/>
      <c r="AW72" s="155"/>
      <c r="AX72" s="164"/>
      <c r="AY72" s="36"/>
      <c r="AZ72" s="136"/>
      <c r="BC72" s="56"/>
      <c r="BE72" s="143"/>
      <c r="BF72" s="127"/>
      <c r="BG72" s="127"/>
      <c r="BH72" s="127"/>
      <c r="BI72" s="127"/>
      <c r="BJ72" s="127"/>
      <c r="BK72" s="127"/>
      <c r="BL72" s="127"/>
      <c r="BM72" s="127"/>
      <c r="BN72" s="127"/>
    </row>
    <row r="73" spans="2:66" ht="15" customHeight="1">
      <c r="B73" s="34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137" t="str">
        <f t="shared" ref="S73" si="48">IFERROR(ROUNDDOWN(IF(B72="еж",(AE71+AK73+AK71-AG71)/BC71,(AE71+AK73+AK71-AG71)/BC71),0),"--")</f>
        <v>--</v>
      </c>
      <c r="T73" s="127"/>
      <c r="U73" s="127"/>
      <c r="V73" s="127"/>
      <c r="W73" s="127"/>
      <c r="X73" s="127"/>
      <c r="Y73" s="127"/>
      <c r="Z73" s="127"/>
      <c r="AA73" s="127"/>
      <c r="AB73" s="127"/>
      <c r="AC73" s="145"/>
      <c r="AD73" s="145"/>
      <c r="AE73" s="138">
        <f t="shared" ref="AE73" si="49">SUM(C73:R73,C75:R75)</f>
        <v>0</v>
      </c>
      <c r="AF73" s="149"/>
      <c r="AG73" s="152"/>
      <c r="AH73" s="133"/>
      <c r="AI73" s="130"/>
      <c r="AJ73" s="130"/>
      <c r="AK73" s="138">
        <f>SUMIF(C72:R72:C74:R74,"ск",C73:R73:C75:R75)</f>
        <v>0</v>
      </c>
      <c r="AL73" s="133"/>
      <c r="AM73" s="133"/>
      <c r="AN73" s="133"/>
      <c r="AO73" s="138">
        <f>SUMIF(C72:R72:C74:R74,"у",C73:R73:C75:R75)+SUMIF(C72:R72:C74:R74,"убз",C73:R73:C75:R75)</f>
        <v>0</v>
      </c>
      <c r="AP73" s="52"/>
      <c r="AQ73" s="53"/>
      <c r="AR73" s="53"/>
      <c r="AS73" s="158"/>
      <c r="AT73" s="161"/>
      <c r="AU73" s="155"/>
      <c r="AV73" s="173"/>
      <c r="AW73" s="155"/>
      <c r="AX73" s="164"/>
      <c r="AY73" s="36"/>
      <c r="AZ73" s="139">
        <f t="shared" ref="AZ73" si="50">DAY(EOMONTH($C$8,0))</f>
        <v>31</v>
      </c>
      <c r="BA73" s="44"/>
      <c r="BC73" s="56"/>
      <c r="BE73" s="137">
        <f>COUNTIF(C72:R72:C74:R74,"я")*1+COUNTIF(C72:R72:C74:R74,"нс")*1+COUNTIF(C72:R72:C74:R74,"нсп")*1+COUNTIF(C72:R72:C74:R74,"нп")*1+COUNTIF(C72:R72:C74:R74,"яп")*1+COUNTIF(C72:R72:C74:R74,"н")*1+COUNTIF(C72:R72:C74:R74,"к")*1+COUNTIF(C72:R72:C74:R74,"ск")*1+COUNTIF(C72:R72:C74:R74,"оп")*1+COUNTIF(C72:R72:C74:R74,"ух")*1+COUNTIF(C72:R72:C74:R74,"я/н")*1</f>
        <v>0</v>
      </c>
      <c r="BF73" s="127"/>
      <c r="BG73" s="127"/>
      <c r="BH73" s="127"/>
      <c r="BI73" s="127"/>
      <c r="BJ73" s="127"/>
      <c r="BK73" s="127"/>
      <c r="BL73" s="127"/>
      <c r="BM73" s="127"/>
      <c r="BN73" s="127"/>
    </row>
    <row r="74" spans="2:66" ht="15" customHeight="1">
      <c r="B74" s="32"/>
      <c r="C74" s="39" t="s">
        <v>65</v>
      </c>
      <c r="D74" s="39" t="s">
        <v>65</v>
      </c>
      <c r="E74" s="39" t="s">
        <v>65</v>
      </c>
      <c r="F74" s="39" t="s">
        <v>65</v>
      </c>
      <c r="G74" s="39" t="s">
        <v>65</v>
      </c>
      <c r="H74" s="39" t="s">
        <v>65</v>
      </c>
      <c r="I74" s="39" t="s">
        <v>65</v>
      </c>
      <c r="J74" s="39" t="s">
        <v>65</v>
      </c>
      <c r="K74" s="39" t="s">
        <v>65</v>
      </c>
      <c r="L74" s="39" t="s">
        <v>65</v>
      </c>
      <c r="M74" s="39" t="s">
        <v>65</v>
      </c>
      <c r="N74" s="39" t="s">
        <v>65</v>
      </c>
      <c r="O74" s="39" t="s">
        <v>65</v>
      </c>
      <c r="P74" s="39" t="s">
        <v>65</v>
      </c>
      <c r="Q74" s="39" t="s">
        <v>65</v>
      </c>
      <c r="R74" s="39" t="s">
        <v>65</v>
      </c>
      <c r="S74" s="137"/>
      <c r="T74" s="127"/>
      <c r="U74" s="127"/>
      <c r="V74" s="127"/>
      <c r="W74" s="127"/>
      <c r="X74" s="127"/>
      <c r="Y74" s="127"/>
      <c r="Z74" s="127"/>
      <c r="AA74" s="127"/>
      <c r="AB74" s="127"/>
      <c r="AC74" s="145"/>
      <c r="AD74" s="145"/>
      <c r="AE74" s="138"/>
      <c r="AF74" s="149"/>
      <c r="AG74" s="152"/>
      <c r="AH74" s="133"/>
      <c r="AI74" s="130"/>
      <c r="AJ74" s="130"/>
      <c r="AK74" s="138"/>
      <c r="AL74" s="133"/>
      <c r="AM74" s="133"/>
      <c r="AN74" s="133"/>
      <c r="AO74" s="138"/>
      <c r="AP74" s="52"/>
      <c r="AQ74" s="53"/>
      <c r="AR74" s="53"/>
      <c r="AS74" s="158"/>
      <c r="AT74" s="161"/>
      <c r="AU74" s="155"/>
      <c r="AV74" s="173"/>
      <c r="AW74" s="155"/>
      <c r="AX74" s="164"/>
      <c r="AY74" s="36"/>
      <c r="AZ74" s="140"/>
      <c r="BC74" s="56"/>
      <c r="BE74" s="137"/>
      <c r="BF74" s="127"/>
      <c r="BG74" s="127"/>
      <c r="BH74" s="127"/>
      <c r="BI74" s="127"/>
      <c r="BJ74" s="127"/>
      <c r="BK74" s="127"/>
      <c r="BL74" s="127"/>
      <c r="BM74" s="127"/>
      <c r="BN74" s="127"/>
    </row>
    <row r="75" spans="2:66" ht="15" customHeight="1">
      <c r="B75" s="32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137"/>
      <c r="T75" s="128"/>
      <c r="U75" s="128"/>
      <c r="V75" s="128"/>
      <c r="W75" s="128"/>
      <c r="X75" s="128"/>
      <c r="Y75" s="128"/>
      <c r="Z75" s="128"/>
      <c r="AA75" s="128"/>
      <c r="AB75" s="128"/>
      <c r="AC75" s="146"/>
      <c r="AD75" s="146"/>
      <c r="AE75" s="138"/>
      <c r="AF75" s="150"/>
      <c r="AG75" s="153"/>
      <c r="AH75" s="134"/>
      <c r="AI75" s="131"/>
      <c r="AJ75" s="131"/>
      <c r="AK75" s="138"/>
      <c r="AL75" s="134"/>
      <c r="AM75" s="134"/>
      <c r="AN75" s="134"/>
      <c r="AO75" s="138"/>
      <c r="AP75" s="52"/>
      <c r="AQ75" s="53"/>
      <c r="AR75" s="53"/>
      <c r="AS75" s="159"/>
      <c r="AT75" s="162"/>
      <c r="AU75" s="156"/>
      <c r="AV75" s="174"/>
      <c r="AW75" s="156"/>
      <c r="AX75" s="165"/>
      <c r="AY75" s="36"/>
      <c r="AZ75" s="141"/>
      <c r="BC75" s="56"/>
      <c r="BE75" s="137"/>
      <c r="BF75" s="128"/>
      <c r="BG75" s="128"/>
      <c r="BH75" s="128"/>
      <c r="BI75" s="128"/>
      <c r="BJ75" s="128"/>
      <c r="BK75" s="128"/>
      <c r="BL75" s="128"/>
      <c r="BM75" s="128"/>
      <c r="BN75" s="128"/>
    </row>
  </sheetData>
  <sheetProtection formatCells="0" formatColumns="0" formatRows="0" insertColumns="0" insertRows="0" insertHyperlinks="0" deleteColumns="0" deleteRows="0"/>
  <mergeCells count="434">
    <mergeCell ref="BM11:BM15"/>
    <mergeCell ref="BE6:BM6"/>
    <mergeCell ref="B6:B7"/>
    <mergeCell ref="AX36:AX40"/>
    <mergeCell ref="AX41:AX45"/>
    <mergeCell ref="AX26:AX30"/>
    <mergeCell ref="AX31:AX35"/>
    <mergeCell ref="AX46:AX50"/>
    <mergeCell ref="AS31:AS35"/>
    <mergeCell ref="AS36:AS40"/>
    <mergeCell ref="U41:U45"/>
    <mergeCell ref="V41:V45"/>
    <mergeCell ref="W41:W45"/>
    <mergeCell ref="X41:X45"/>
    <mergeCell ref="Y41:Y45"/>
    <mergeCell ref="AF36:AF40"/>
    <mergeCell ref="AG36:AG40"/>
    <mergeCell ref="AH36:AH40"/>
    <mergeCell ref="AF41:AF45"/>
    <mergeCell ref="AG41:AG45"/>
    <mergeCell ref="AH41:AH45"/>
    <mergeCell ref="AI36:AI40"/>
    <mergeCell ref="AL36:AL40"/>
    <mergeCell ref="Z36:Z40"/>
    <mergeCell ref="AA36:AA40"/>
    <mergeCell ref="AB36:AB40"/>
    <mergeCell ref="AF46:AF50"/>
    <mergeCell ref="AG46:AG50"/>
    <mergeCell ref="AH46:AH50"/>
    <mergeCell ref="T46:T50"/>
    <mergeCell ref="U46:U50"/>
    <mergeCell ref="V46:V50"/>
    <mergeCell ref="W46:W50"/>
    <mergeCell ref="X46:X50"/>
    <mergeCell ref="Y46:Y50"/>
    <mergeCell ref="U21:U25"/>
    <mergeCell ref="V21:V25"/>
    <mergeCell ref="W21:W25"/>
    <mergeCell ref="X21:X25"/>
    <mergeCell ref="V31:V35"/>
    <mergeCell ref="W31:W35"/>
    <mergeCell ref="X31:X35"/>
    <mergeCell ref="Y31:Y35"/>
    <mergeCell ref="AF26:AF30"/>
    <mergeCell ref="AG26:AG30"/>
    <mergeCell ref="AH26:AH30"/>
    <mergeCell ref="AF31:AF35"/>
    <mergeCell ref="AG31:AG35"/>
    <mergeCell ref="AH31:AH35"/>
    <mergeCell ref="AE23:AE25"/>
    <mergeCell ref="AA21:AA25"/>
    <mergeCell ref="AB21:AB25"/>
    <mergeCell ref="AC26:AC30"/>
    <mergeCell ref="AC21:AC25"/>
    <mergeCell ref="AD21:AD25"/>
    <mergeCell ref="Z31:Z35"/>
    <mergeCell ref="AA31:AA35"/>
    <mergeCell ref="AB31:AB35"/>
    <mergeCell ref="AC31:AC35"/>
    <mergeCell ref="AD31:AD35"/>
    <mergeCell ref="AE31:AE32"/>
    <mergeCell ref="AE33:AE35"/>
    <mergeCell ref="AE26:AE27"/>
    <mergeCell ref="AE28:AE30"/>
    <mergeCell ref="AD26:AD30"/>
    <mergeCell ref="W26:W30"/>
    <mergeCell ref="X26:X30"/>
    <mergeCell ref="AZ46:AZ47"/>
    <mergeCell ref="AZ48:AZ50"/>
    <mergeCell ref="AG16:AG20"/>
    <mergeCell ref="AH16:AH20"/>
    <mergeCell ref="AI16:AI20"/>
    <mergeCell ref="AL21:AL25"/>
    <mergeCell ref="AL26:AL30"/>
    <mergeCell ref="AZ26:AZ27"/>
    <mergeCell ref="AZ28:AZ30"/>
    <mergeCell ref="AG21:AG25"/>
    <mergeCell ref="AH21:AH25"/>
    <mergeCell ref="AI21:AI25"/>
    <mergeCell ref="AI26:AI30"/>
    <mergeCell ref="AA41:AA45"/>
    <mergeCell ref="AU36:AU40"/>
    <mergeCell ref="AV36:AV40"/>
    <mergeCell ref="AW36:AW40"/>
    <mergeCell ref="AS41:AS45"/>
    <mergeCell ref="AT41:AT45"/>
    <mergeCell ref="AU41:AU45"/>
    <mergeCell ref="AV41:AV45"/>
    <mergeCell ref="AU26:AU30"/>
    <mergeCell ref="AV26:AV30"/>
    <mergeCell ref="AW26:AW30"/>
    <mergeCell ref="AU31:AU35"/>
    <mergeCell ref="AV31:AV35"/>
    <mergeCell ref="AW31:AW35"/>
    <mergeCell ref="AT31:AT35"/>
    <mergeCell ref="AT36:AT40"/>
    <mergeCell ref="AW41:AW45"/>
    <mergeCell ref="AS46:AS50"/>
    <mergeCell ref="AT46:AT50"/>
    <mergeCell ref="AU46:AU50"/>
    <mergeCell ref="AV46:AV50"/>
    <mergeCell ref="AW46:AW50"/>
    <mergeCell ref="AS26:AS30"/>
    <mergeCell ref="AT26:AT30"/>
    <mergeCell ref="S41:S42"/>
    <mergeCell ref="S43:S45"/>
    <mergeCell ref="S46:S47"/>
    <mergeCell ref="AB41:AB45"/>
    <mergeCell ref="AC41:AC45"/>
    <mergeCell ref="AD41:AD45"/>
    <mergeCell ref="AE41:AE42"/>
    <mergeCell ref="AE43:AE45"/>
    <mergeCell ref="AI46:AI50"/>
    <mergeCell ref="AL46:AL50"/>
    <mergeCell ref="Z46:Z50"/>
    <mergeCell ref="AA46:AA50"/>
    <mergeCell ref="AB46:AB50"/>
    <mergeCell ref="AC46:AC50"/>
    <mergeCell ref="AD46:AD50"/>
    <mergeCell ref="AE46:AE47"/>
    <mergeCell ref="AE48:AE50"/>
    <mergeCell ref="AK41:AK42"/>
    <mergeCell ref="T41:T45"/>
    <mergeCell ref="AI41:AI45"/>
    <mergeCell ref="AL41:AL45"/>
    <mergeCell ref="Z41:Z45"/>
    <mergeCell ref="T36:T40"/>
    <mergeCell ref="U36:U40"/>
    <mergeCell ref="V36:V40"/>
    <mergeCell ref="W36:W40"/>
    <mergeCell ref="X36:X40"/>
    <mergeCell ref="Y36:Y40"/>
    <mergeCell ref="AC36:AC40"/>
    <mergeCell ref="AD36:AD40"/>
    <mergeCell ref="T31:T35"/>
    <mergeCell ref="U31:U35"/>
    <mergeCell ref="AI31:AI35"/>
    <mergeCell ref="AE36:AE37"/>
    <mergeCell ref="AE38:AE40"/>
    <mergeCell ref="AK33:AK35"/>
    <mergeCell ref="S31:S32"/>
    <mergeCell ref="S36:S37"/>
    <mergeCell ref="S38:S40"/>
    <mergeCell ref="S33:S35"/>
    <mergeCell ref="AB11:AB15"/>
    <mergeCell ref="AI11:AI15"/>
    <mergeCell ref="AE13:AE15"/>
    <mergeCell ref="AE11:AE12"/>
    <mergeCell ref="S48:S50"/>
    <mergeCell ref="S28:S30"/>
    <mergeCell ref="S23:S25"/>
    <mergeCell ref="S26:S27"/>
    <mergeCell ref="AE21:AE22"/>
    <mergeCell ref="AF21:AF25"/>
    <mergeCell ref="Y21:Y25"/>
    <mergeCell ref="Z21:Z25"/>
    <mergeCell ref="S21:S22"/>
    <mergeCell ref="T21:T25"/>
    <mergeCell ref="AB26:AB30"/>
    <mergeCell ref="W11:W15"/>
    <mergeCell ref="S13:S15"/>
    <mergeCell ref="T26:T30"/>
    <mergeCell ref="U26:U30"/>
    <mergeCell ref="V26:V30"/>
    <mergeCell ref="Y26:Y30"/>
    <mergeCell ref="Z26:Z30"/>
    <mergeCell ref="AA26:AA30"/>
    <mergeCell ref="AV21:AV25"/>
    <mergeCell ref="AW21:AW25"/>
    <mergeCell ref="AU11:AU15"/>
    <mergeCell ref="AV11:AV15"/>
    <mergeCell ref="AW11:AW15"/>
    <mergeCell ref="AZ16:AZ17"/>
    <mergeCell ref="AZ18:AZ20"/>
    <mergeCell ref="AZ21:AZ22"/>
    <mergeCell ref="AZ23:AZ25"/>
    <mergeCell ref="AX16:AX20"/>
    <mergeCell ref="AX21:AX25"/>
    <mergeCell ref="AU21:AU25"/>
    <mergeCell ref="AS21:AS25"/>
    <mergeCell ref="AT21:AT25"/>
    <mergeCell ref="AV16:AV20"/>
    <mergeCell ref="AU16:AU20"/>
    <mergeCell ref="AW16:AW20"/>
    <mergeCell ref="AS11:AS15"/>
    <mergeCell ref="AT11:AT15"/>
    <mergeCell ref="AS16:AS20"/>
    <mergeCell ref="AT16:AT20"/>
    <mergeCell ref="AZ11:AZ12"/>
    <mergeCell ref="AZ13:AZ15"/>
    <mergeCell ref="AX11:AX15"/>
    <mergeCell ref="AJ21:AJ25"/>
    <mergeCell ref="AM21:AM25"/>
    <mergeCell ref="AN21:AN25"/>
    <mergeCell ref="C10:R10"/>
    <mergeCell ref="V8:V9"/>
    <mergeCell ref="AL8:AL9"/>
    <mergeCell ref="U8:U9"/>
    <mergeCell ref="Z8:Z9"/>
    <mergeCell ref="S16:S17"/>
    <mergeCell ref="S18:S20"/>
    <mergeCell ref="AL11:AL15"/>
    <mergeCell ref="X11:X15"/>
    <mergeCell ref="AA11:AA15"/>
    <mergeCell ref="AC11:AC15"/>
    <mergeCell ref="AL16:AL20"/>
    <mergeCell ref="AE16:AE17"/>
    <mergeCell ref="AE18:AE20"/>
    <mergeCell ref="T16:T20"/>
    <mergeCell ref="AF16:AF20"/>
    <mergeCell ref="AF11:AF15"/>
    <mergeCell ref="AG11:AG15"/>
    <mergeCell ref="AH11:AH15"/>
    <mergeCell ref="V11:V15"/>
    <mergeCell ref="AJ11:AJ15"/>
    <mergeCell ref="AM11:AM15"/>
    <mergeCell ref="AN11:AN15"/>
    <mergeCell ref="S11:S12"/>
    <mergeCell ref="AD11:AD15"/>
    <mergeCell ref="U11:U15"/>
    <mergeCell ref="Y11:Y15"/>
    <mergeCell ref="T11:T15"/>
    <mergeCell ref="Z11:Z15"/>
    <mergeCell ref="C1:F1"/>
    <mergeCell ref="W8:W9"/>
    <mergeCell ref="X8:X9"/>
    <mergeCell ref="AA8:AA9"/>
    <mergeCell ref="S6:AA6"/>
    <mergeCell ref="C2:G2"/>
    <mergeCell ref="H2:N2"/>
    <mergeCell ref="AS6:AS8"/>
    <mergeCell ref="H1:N1"/>
    <mergeCell ref="AU6:AU9"/>
    <mergeCell ref="AV6:AV9"/>
    <mergeCell ref="AY6:AY9"/>
    <mergeCell ref="T8:T9"/>
    <mergeCell ref="S7:T7"/>
    <mergeCell ref="AQ6:AR7"/>
    <mergeCell ref="AZ6:AZ8"/>
    <mergeCell ref="AW6:AW9"/>
    <mergeCell ref="AP4:AV4"/>
    <mergeCell ref="AT6:AT9"/>
    <mergeCell ref="AX6:AX8"/>
    <mergeCell ref="AF7:AO7"/>
    <mergeCell ref="AM8:AM9"/>
    <mergeCell ref="AN8:AN9"/>
    <mergeCell ref="C6:R6"/>
    <mergeCell ref="AC6:AD7"/>
    <mergeCell ref="AD8:AD9"/>
    <mergeCell ref="C7:R7"/>
    <mergeCell ref="AI8:AI9"/>
    <mergeCell ref="Y8:Y9"/>
    <mergeCell ref="AG8:AG9"/>
    <mergeCell ref="AW4:AZ4"/>
    <mergeCell ref="S4:T4"/>
    <mergeCell ref="U4:Z4"/>
    <mergeCell ref="AB4:AD4"/>
    <mergeCell ref="AB6:AB9"/>
    <mergeCell ref="AF8:AF9"/>
    <mergeCell ref="AC8:AC9"/>
    <mergeCell ref="U7:AA7"/>
    <mergeCell ref="AQ8:AQ9"/>
    <mergeCell ref="AP6:AP9"/>
    <mergeCell ref="AR8:AR9"/>
    <mergeCell ref="AE6:AE8"/>
    <mergeCell ref="AH8:AH9"/>
    <mergeCell ref="AF6:AO6"/>
    <mergeCell ref="AJ8:AJ9"/>
    <mergeCell ref="AM46:AM50"/>
    <mergeCell ref="AN46:AN50"/>
    <mergeCell ref="AO33:AO35"/>
    <mergeCell ref="AO36:AO37"/>
    <mergeCell ref="AO38:AO40"/>
    <mergeCell ref="AO41:AO42"/>
    <mergeCell ref="AK43:AK45"/>
    <mergeCell ref="AO43:AO45"/>
    <mergeCell ref="AK46:AK47"/>
    <mergeCell ref="W16:W20"/>
    <mergeCell ref="V16:V20"/>
    <mergeCell ref="AZ41:AZ42"/>
    <mergeCell ref="AZ38:AZ40"/>
    <mergeCell ref="AZ36:AZ37"/>
    <mergeCell ref="AZ33:AZ35"/>
    <mergeCell ref="AZ31:AZ32"/>
    <mergeCell ref="Y16:Y20"/>
    <mergeCell ref="X16:X20"/>
    <mergeCell ref="AJ26:AJ30"/>
    <mergeCell ref="AM26:AM30"/>
    <mergeCell ref="AN26:AN30"/>
    <mergeCell ref="AJ31:AJ35"/>
    <mergeCell ref="AM31:AM35"/>
    <mergeCell ref="AN31:AN35"/>
    <mergeCell ref="AM36:AM40"/>
    <mergeCell ref="AN36:AN40"/>
    <mergeCell ref="AJ41:AJ45"/>
    <mergeCell ref="AM41:AM45"/>
    <mergeCell ref="AN41:AN45"/>
    <mergeCell ref="AJ36:AJ40"/>
    <mergeCell ref="AJ46:AJ50"/>
    <mergeCell ref="AJ16:AJ20"/>
    <mergeCell ref="AZ43:AZ45"/>
    <mergeCell ref="U16:U20"/>
    <mergeCell ref="AD16:AD20"/>
    <mergeCell ref="AC16:AC20"/>
    <mergeCell ref="AB16:AB20"/>
    <mergeCell ref="AA16:AA20"/>
    <mergeCell ref="Z16:Z20"/>
    <mergeCell ref="AK36:AK37"/>
    <mergeCell ref="AK38:AK40"/>
    <mergeCell ref="AO11:AO12"/>
    <mergeCell ref="AO13:AO15"/>
    <mergeCell ref="AK11:AK12"/>
    <mergeCell ref="AK13:AK15"/>
    <mergeCell ref="AK16:AK17"/>
    <mergeCell ref="AO16:AO17"/>
    <mergeCell ref="AK18:AK20"/>
    <mergeCell ref="AO18:AO20"/>
    <mergeCell ref="AK21:AK22"/>
    <mergeCell ref="AO21:AO22"/>
    <mergeCell ref="AK23:AK25"/>
    <mergeCell ref="AO23:AO25"/>
    <mergeCell ref="AK26:AK27"/>
    <mergeCell ref="AO26:AO27"/>
    <mergeCell ref="AK28:AK30"/>
    <mergeCell ref="AO28:AO30"/>
    <mergeCell ref="AK31:AK32"/>
    <mergeCell ref="AO31:AO32"/>
    <mergeCell ref="AM16:AM20"/>
    <mergeCell ref="AN16:AN20"/>
    <mergeCell ref="AL31:AL35"/>
    <mergeCell ref="AO46:AO47"/>
    <mergeCell ref="AK48:AK50"/>
    <mergeCell ref="AO48:AO50"/>
    <mergeCell ref="AY1:AZ1"/>
    <mergeCell ref="BN6:BN9"/>
    <mergeCell ref="BE7:BF7"/>
    <mergeCell ref="BG7:BM7"/>
    <mergeCell ref="BM8:BM9"/>
    <mergeCell ref="BE11:BE12"/>
    <mergeCell ref="BN11:BN15"/>
    <mergeCell ref="BE13:BE15"/>
    <mergeCell ref="BE16:BE17"/>
    <mergeCell ref="BF16:BF20"/>
    <mergeCell ref="BG16:BG20"/>
    <mergeCell ref="BH16:BH20"/>
    <mergeCell ref="BI16:BI20"/>
    <mergeCell ref="BJ16:BJ20"/>
    <mergeCell ref="BK16:BK20"/>
    <mergeCell ref="BL16:BL20"/>
    <mergeCell ref="BM16:BM20"/>
    <mergeCell ref="BN16:BN20"/>
    <mergeCell ref="BE18:BE20"/>
    <mergeCell ref="BF8:BF9"/>
    <mergeCell ref="BG8:BG9"/>
    <mergeCell ref="BH8:BH9"/>
    <mergeCell ref="BI8:BI9"/>
    <mergeCell ref="BJ8:BJ9"/>
    <mergeCell ref="BK8:BK9"/>
    <mergeCell ref="BL8:BL9"/>
    <mergeCell ref="BF11:BF15"/>
    <mergeCell ref="BG11:BG15"/>
    <mergeCell ref="BH11:BH15"/>
    <mergeCell ref="BI11:BI15"/>
    <mergeCell ref="BJ11:BJ15"/>
    <mergeCell ref="BK11:BK15"/>
    <mergeCell ref="BL11:BL15"/>
    <mergeCell ref="BE21:BE22"/>
    <mergeCell ref="BF21:BF25"/>
    <mergeCell ref="BG21:BG25"/>
    <mergeCell ref="BH21:BH25"/>
    <mergeCell ref="BI21:BI25"/>
    <mergeCell ref="BJ21:BJ25"/>
    <mergeCell ref="BK21:BK25"/>
    <mergeCell ref="BL21:BL25"/>
    <mergeCell ref="BM21:BM25"/>
    <mergeCell ref="BN21:BN25"/>
    <mergeCell ref="BE23:BE25"/>
    <mergeCell ref="BE26:BE27"/>
    <mergeCell ref="BF26:BF30"/>
    <mergeCell ref="BG26:BG30"/>
    <mergeCell ref="BH26:BH30"/>
    <mergeCell ref="BI26:BI30"/>
    <mergeCell ref="BJ26:BJ30"/>
    <mergeCell ref="BK26:BK30"/>
    <mergeCell ref="BL26:BL30"/>
    <mergeCell ref="BM26:BM30"/>
    <mergeCell ref="BN26:BN30"/>
    <mergeCell ref="BE28:BE30"/>
    <mergeCell ref="BE31:BE32"/>
    <mergeCell ref="BF31:BF35"/>
    <mergeCell ref="BG31:BG35"/>
    <mergeCell ref="BH31:BH35"/>
    <mergeCell ref="BI31:BI35"/>
    <mergeCell ref="BJ31:BJ35"/>
    <mergeCell ref="BK31:BK35"/>
    <mergeCell ref="BL31:BL35"/>
    <mergeCell ref="BM31:BM35"/>
    <mergeCell ref="BN31:BN35"/>
    <mergeCell ref="BE33:BE35"/>
    <mergeCell ref="BE36:BE37"/>
    <mergeCell ref="BF36:BF40"/>
    <mergeCell ref="BG36:BG40"/>
    <mergeCell ref="BH36:BH40"/>
    <mergeCell ref="BI36:BI40"/>
    <mergeCell ref="BJ36:BJ40"/>
    <mergeCell ref="BK36:BK40"/>
    <mergeCell ref="BL36:BL40"/>
    <mergeCell ref="BM36:BM40"/>
    <mergeCell ref="BN36:BN40"/>
    <mergeCell ref="BE38:BE40"/>
    <mergeCell ref="BE41:BE42"/>
    <mergeCell ref="BF41:BF45"/>
    <mergeCell ref="BG41:BG45"/>
    <mergeCell ref="BH41:BH45"/>
    <mergeCell ref="BI41:BI45"/>
    <mergeCell ref="BJ41:BJ45"/>
    <mergeCell ref="BK41:BK45"/>
    <mergeCell ref="BL41:BL45"/>
    <mergeCell ref="BM41:BM45"/>
    <mergeCell ref="BN41:BN45"/>
    <mergeCell ref="BE43:BE45"/>
    <mergeCell ref="BE46:BE47"/>
    <mergeCell ref="BF46:BF50"/>
    <mergeCell ref="BG46:BG50"/>
    <mergeCell ref="BH46:BH50"/>
    <mergeCell ref="BI46:BI50"/>
    <mergeCell ref="BJ46:BJ50"/>
    <mergeCell ref="BK46:BK50"/>
    <mergeCell ref="BL46:BL50"/>
    <mergeCell ref="BM46:BM50"/>
    <mergeCell ref="BN46:BN50"/>
    <mergeCell ref="BE48:BE50"/>
    <mergeCell ref="O2:AS2"/>
    <mergeCell ref="M3:AW3"/>
  </mergeCells>
  <phoneticPr fontId="9" type="noConversion"/>
  <conditionalFormatting sqref="C8:Q8">
    <cfRule type="expression" dxfId="49" priority="10739" stopIfTrue="1">
      <formula>OR(WEEKDAY(C8,2)&gt;5,ISNUMBER(MATCH(C8,празд,0)))</formula>
    </cfRule>
  </conditionalFormatting>
  <conditionalFormatting sqref="C9:R9">
    <cfRule type="expression" dxfId="48" priority="10736" stopIfTrue="1">
      <formula>ISNUMBER(MATCH(C9,допнер,0))</formula>
    </cfRule>
    <cfRule type="expression" dxfId="47" priority="10737" stopIfTrue="1">
      <formula>OR(WEEKDAY(C9,2)&gt;5,ISNUMBER(MATCH(C9,празд,0)))</formula>
    </cfRule>
  </conditionalFormatting>
  <conditionalFormatting sqref="C11:R75">
    <cfRule type="containsText" dxfId="46" priority="10679" operator="containsText" text="мо">
      <formula>NOT(ISERROR(SEARCH("мо",C11)))</formula>
    </cfRule>
    <cfRule type="containsText" dxfId="45" priority="10714" operator="containsText" text="а">
      <formula>NOT(ISERROR(SEARCH("а",C11)))</formula>
    </cfRule>
    <cfRule type="containsText" dxfId="44" priority="10715" operator="containsText" text="ск">
      <formula>NOT(ISERROR(SEARCH("ск",C11)))</formula>
    </cfRule>
    <cfRule type="containsText" dxfId="43" priority="10716" operator="containsText" text="к">
      <formula>NOT(ISERROR(SEARCH("к",C11)))</formula>
    </cfRule>
    <cfRule type="containsText" dxfId="42" priority="10717" operator="containsText" text="б">
      <formula>NOT(ISERROR(SEARCH("б",C11)))</formula>
    </cfRule>
    <cfRule type="containsText" dxfId="41" priority="10718" operator="containsText" text="нп">
      <formula>NOT(ISERROR(SEARCH("нп",C11)))</formula>
    </cfRule>
    <cfRule type="containsText" dxfId="40" priority="10719" operator="containsText" text="нсп">
      <formula>NOT(ISERROR(SEARCH("нсп",C11)))</formula>
    </cfRule>
    <cfRule type="containsText" dxfId="39" priority="10720" operator="containsText" text="яп">
      <formula>NOT(ISERROR(SEARCH("яп",C11)))</formula>
    </cfRule>
    <cfRule type="containsText" dxfId="38" priority="10721" operator="containsText" text="о">
      <formula>NOT(ISERROR(SEARCH("о",C11)))</formula>
    </cfRule>
    <cfRule type="containsText" dxfId="37" priority="10722" operator="containsText" text="в">
      <formula>NOT(ISERROR(SEARCH("в",C11)))</formula>
    </cfRule>
  </conditionalFormatting>
  <conditionalFormatting sqref="AZ13">
    <cfRule type="cellIs" dxfId="36" priority="10710" operator="notEqual">
      <formula>$BE$13+SUM($BF$11:$BN$15)+$BA$11</formula>
    </cfRule>
  </conditionalFormatting>
  <conditionalFormatting sqref="AZ18">
    <cfRule type="cellIs" dxfId="35" priority="10708" operator="notEqual">
      <formula>$BE$18+SUM($BF$16:$BN$20)+$BA$16</formula>
    </cfRule>
  </conditionalFormatting>
  <conditionalFormatting sqref="AZ23">
    <cfRule type="cellIs" dxfId="34" priority="10707" operator="notEqual">
      <formula>$BE$23+SUM($BF$21:$BN$25)+$BA$21</formula>
    </cfRule>
  </conditionalFormatting>
  <conditionalFormatting sqref="AZ28">
    <cfRule type="cellIs" dxfId="33" priority="10706" operator="notEqual">
      <formula>$BE$28+SUM($BF$26:$BN$30)+$BA$26</formula>
    </cfRule>
  </conditionalFormatting>
  <conditionalFormatting sqref="AZ33">
    <cfRule type="cellIs" dxfId="32" priority="10705" operator="notEqual">
      <formula>$BE$33+SUM($BF$31:$BN$35)+$BA$31</formula>
    </cfRule>
  </conditionalFormatting>
  <conditionalFormatting sqref="AZ38">
    <cfRule type="cellIs" dxfId="31" priority="10704" operator="notEqual">
      <formula>$BE$38+SUM($BF$36:$BN$40)+$BA$36</formula>
    </cfRule>
  </conditionalFormatting>
  <conditionalFormatting sqref="AZ43">
    <cfRule type="cellIs" dxfId="30" priority="10703" operator="notEqual">
      <formula>$BE$43+SUM($BF$41:$BN$45)+$BA$41</formula>
    </cfRule>
  </conditionalFormatting>
  <conditionalFormatting sqref="AZ48">
    <cfRule type="cellIs" dxfId="29" priority="10702" operator="notEqual">
      <formula>$BE$48+SUM($BF$46:$BN$50)+$BA$46</formula>
    </cfRule>
  </conditionalFormatting>
  <conditionalFormatting sqref="AZ53">
    <cfRule type="cellIs" dxfId="28" priority="10701" operator="notEqual">
      <formula>$BE$53+SUM($BF$51:$BN$55)+$BA$51</formula>
    </cfRule>
  </conditionalFormatting>
  <conditionalFormatting sqref="AZ58">
    <cfRule type="cellIs" dxfId="27" priority="10700" operator="notEqual">
      <formula>$BE$58+SUM($BF$56:$BN$60)+$BA$56</formula>
    </cfRule>
  </conditionalFormatting>
  <conditionalFormatting sqref="AZ68">
    <cfRule type="cellIs" dxfId="26" priority="10697" operator="notEqual">
      <formula>$BE$68+SUM($BF$66:$BN$70)+$BA$66</formula>
    </cfRule>
  </conditionalFormatting>
  <conditionalFormatting sqref="C10:R75">
    <cfRule type="containsText" dxfId="25" priority="10657" operator="containsText" text="у">
      <formula>NOT(ISERROR(SEARCH("у",C10)))</formula>
    </cfRule>
    <cfRule type="containsText" dxfId="24" priority="10659" operator="containsText" text="Д">
      <formula>NOT(ISERROR(SEARCH("Д",C10)))</formula>
    </cfRule>
    <cfRule type="beginsWith" dxfId="23" priority="10660" operator="beginsWith" text="г">
      <formula>LEFT(C10,1)="г"</formula>
    </cfRule>
  </conditionalFormatting>
  <conditionalFormatting sqref="C11:R75">
    <cfRule type="containsText" dxfId="22" priority="10658" operator="containsText" text="Р">
      <formula>NOT(ISERROR(SEARCH("Р",C11)))</formula>
    </cfRule>
  </conditionalFormatting>
  <conditionalFormatting sqref="AZ63">
    <cfRule type="cellIs" dxfId="21" priority="10656" operator="notEqual">
      <formula>$BE$63+SUM($BF$61:$BN$65)+$BA$61</formula>
    </cfRule>
  </conditionalFormatting>
  <conditionalFormatting sqref="AZ73">
    <cfRule type="cellIs" dxfId="20" priority="10655" operator="notEqual">
      <formula>$BE$73+SUM($BF$71:$BN$75)+$BA$71</formula>
    </cfRule>
  </conditionalFormatting>
  <conditionalFormatting sqref="C11:R75">
    <cfRule type="containsText" dxfId="19" priority="10642" operator="containsText" text="мо">
      <formula>NOT(ISERROR(SEARCH("мо",C11)))</formula>
    </cfRule>
    <cfRule type="containsText" dxfId="18" priority="10643" operator="containsText" text="а">
      <formula>NOT(ISERROR(SEARCH("а",C11)))</formula>
    </cfRule>
    <cfRule type="containsText" dxfId="17" priority="10644" operator="containsText" text="ск">
      <formula>NOT(ISERROR(SEARCH("ск",C11)))</formula>
    </cfRule>
    <cfRule type="containsText" dxfId="16" priority="10645" operator="containsText" text="к">
      <formula>NOT(ISERROR(SEARCH("к",C11)))</formula>
    </cfRule>
    <cfRule type="containsText" dxfId="15" priority="10646" operator="containsText" text="б">
      <formula>NOT(ISERROR(SEARCH("б",C11)))</formula>
    </cfRule>
    <cfRule type="containsText" dxfId="14" priority="10647" operator="containsText" text="нп">
      <formula>NOT(ISERROR(SEARCH("нп",C11)))</formula>
    </cfRule>
    <cfRule type="containsText" dxfId="13" priority="10648" operator="containsText" text="нсп">
      <formula>NOT(ISERROR(SEARCH("нсп",C11)))</formula>
    </cfRule>
    <cfRule type="containsText" dxfId="12" priority="10649" operator="containsText" text="яп">
      <formula>NOT(ISERROR(SEARCH("яп",C11)))</formula>
    </cfRule>
    <cfRule type="containsText" dxfId="11" priority="10650" operator="containsText" text="о">
      <formula>NOT(ISERROR(SEARCH("о",C11)))</formula>
    </cfRule>
    <cfRule type="containsText" dxfId="10" priority="10651" operator="containsText" text="в">
      <formula>NOT(ISERROR(SEARCH("в",C11)))</formula>
    </cfRule>
  </conditionalFormatting>
  <conditionalFormatting sqref="C72:R75 C57:R60 C62:R65 C67:R70 C32:R35 C52:R55 C12:R15 C47:R50 C17:R20 C22:R25 C27:R30 C37:R40 C42:R45">
    <cfRule type="containsText" dxfId="9" priority="10623" operator="containsText" text="а">
      <formula>NOT(ISERROR(SEARCH("а",C12)))</formula>
    </cfRule>
    <cfRule type="containsText" dxfId="8" priority="10624" operator="containsText" text="ск">
      <formula>NOT(ISERROR(SEARCH("ск",C12)))</formula>
    </cfRule>
    <cfRule type="containsText" dxfId="7" priority="10625" operator="containsText" text="к">
      <formula>NOT(ISERROR(SEARCH("к",C12)))</formula>
    </cfRule>
    <cfRule type="containsText" dxfId="6" priority="10626" operator="containsText" text="б">
      <formula>NOT(ISERROR(SEARCH("б",C12)))</formula>
    </cfRule>
    <cfRule type="containsText" dxfId="5" priority="10627" operator="containsText" text="нп">
      <formula>NOT(ISERROR(SEARCH("нп",C12)))</formula>
    </cfRule>
    <cfRule type="containsText" dxfId="4" priority="10628" operator="containsText" text="нсп">
      <formula>NOT(ISERROR(SEARCH("нсп",C12)))</formula>
    </cfRule>
    <cfRule type="containsText" dxfId="3" priority="10629" operator="containsText" text="яп">
      <formula>NOT(ISERROR(SEARCH("яп",C12)))</formula>
    </cfRule>
    <cfRule type="containsText" dxfId="2" priority="10630" operator="containsText" text="о">
      <formula>NOT(ISERROR(SEARCH("о",C12)))</formula>
    </cfRule>
    <cfRule type="containsText" dxfId="1" priority="10631" operator="containsText" text="в">
      <formula>NOT(ISERROR(SEARCH("в",C12)))</formula>
    </cfRule>
  </conditionalFormatting>
  <conditionalFormatting sqref="S11:AO75">
    <cfRule type="cellIs" dxfId="0" priority="5502" operator="lessThan">
      <formula>0</formula>
    </cfRule>
  </conditionalFormatting>
  <dataValidations count="3">
    <dataValidation type="time" allowBlank="1" showInputMessage="1" showErrorMessage="1" errorTitle="Введите время" promptTitle="Введите время" sqref="C13:Q13 C38:Q38 C20:R20 C73:Q73 C75:R75 C68:Q68 C70:R70 C63:Q63 C65:R65 C58:Q58 C60:R60 C53:Q53 C55:R55 C48:Q48 C50:R50 C43:Q43 C45:R45 C15:R15 C40:R40 C33:Q33 C35:R35 C28:Q28 C30:R30 C23:Q23 C25:R25 C18:Q18">
      <formula1>0.000694444444444444</formula1>
      <formula2>0.999305555555556</formula2>
    </dataValidation>
    <dataValidation type="list" allowBlank="1" showInputMessage="1" showErrorMessage="1" errorTitle="Усл. обозн. из инструкции" promptTitle="Усл. обозн. из инструкции" sqref="C12:Q12 C37:Q37 C19:R19 C72:Q72 C74:R74 C67:Q67 C69:R69 C62:Q62 C64:R64 C57:Q57 C59:R59 C52:Q52 C54:R54 C47:Q47 C49:R49 C42:Q42 C44:R44 C14:R14 C39:R39 C32:Q32 C34:R34 C27:Q27 C29:R29 C22:Q22 C24:R24 C17:Q17">
      <formula1>$BD$1:$BD$75</formula1>
    </dataValidation>
    <dataValidation type="decimal" operator="lessThan" allowBlank="1" showInputMessage="1" showErrorMessage="1" errorTitle="Не заполняется" promptTitle="Не заполняется" sqref="R12:R13 R72:R73 R67:R68 R62:R63 R57:R58 R52:R53 R47:R48 R42:R43 R37:R38 R32:R33 R27:R28 R22:R23 R17:R18">
      <formula1>0</formula1>
    </dataValidation>
  </dataValidations>
  <pageMargins left="0.19685039370078741" right="0" top="0.47244094488188981" bottom="0.19685039370078741" header="0" footer="0"/>
  <pageSetup paperSize="9" scale="80" fitToHeight="5" orientation="landscape" r:id="rId1"/>
  <headerFooter differentOddEven="1" scaleWithDoc="0" alignWithMargins="0">
    <evenFooter>&amp;LРуководитель подразделения
Табель составил:
Табель проверил:&amp;CТЧЗР    ____________ Н.Н.Капитан 
ТЧМ      _________ А.П.Телеш
ОТиЗ      _______ Е.А.Анучкина
ТЧЗК      _________ В.А.Змушко</evenFooter>
  </headerFooter>
  <rowBreaks count="3" manualBreakCount="3">
    <brk id="30" max="16383" man="1"/>
    <brk id="50" max="16383" man="1"/>
    <brk id="75" min="1" max="51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K30"/>
  <sheetViews>
    <sheetView showZeros="0" tabSelected="1" zoomScaleSheetLayoutView="90" workbookViewId="0">
      <selection activeCell="P24" sqref="P24"/>
    </sheetView>
  </sheetViews>
  <sheetFormatPr defaultRowHeight="12.75"/>
  <cols>
    <col min="1" max="33" width="5.7109375" customWidth="1"/>
    <col min="34" max="44" width="5.7109375" hidden="1" customWidth="1"/>
    <col min="45" max="45" width="6.7109375" customWidth="1"/>
    <col min="46" max="52" width="5.7109375" hidden="1" customWidth="1"/>
    <col min="53" max="53" width="3.28515625" hidden="1" customWidth="1"/>
    <col min="54" max="54" width="6.28515625" customWidth="1"/>
    <col min="55" max="55" width="5.7109375" customWidth="1"/>
    <col min="56" max="63" width="5.7109375" hidden="1" customWidth="1"/>
    <col min="64" max="64" width="5.7109375" customWidth="1"/>
  </cols>
  <sheetData>
    <row r="1" spans="1:62" ht="15.75">
      <c r="A1" s="63"/>
      <c r="B1" s="326" t="s">
        <v>28</v>
      </c>
      <c r="C1" s="327"/>
      <c r="D1" s="327"/>
      <c r="E1" s="327"/>
      <c r="F1" s="122"/>
      <c r="G1" s="328" t="s">
        <v>131</v>
      </c>
      <c r="H1" s="328"/>
      <c r="I1" s="328"/>
      <c r="J1" s="328"/>
      <c r="K1" s="328"/>
      <c r="L1" s="328"/>
      <c r="M1" s="328"/>
      <c r="N1" s="122"/>
      <c r="O1" s="118"/>
      <c r="P1" s="118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5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7"/>
      <c r="AU1" s="67"/>
      <c r="AV1" s="67"/>
      <c r="AW1" s="329" t="s">
        <v>132</v>
      </c>
      <c r="AX1" s="329"/>
      <c r="AY1" s="329"/>
      <c r="AZ1" s="329"/>
      <c r="BA1" s="329"/>
      <c r="BB1" s="329"/>
      <c r="BC1" s="329"/>
      <c r="BD1" s="329"/>
      <c r="BE1" s="119"/>
      <c r="BF1" s="119"/>
      <c r="BG1" s="82"/>
      <c r="BH1" s="1"/>
      <c r="BI1" s="1"/>
      <c r="BJ1" s="1"/>
    </row>
    <row r="2" spans="1:62" ht="18.75">
      <c r="A2" s="63"/>
      <c r="B2" s="326" t="s">
        <v>128</v>
      </c>
      <c r="C2" s="330"/>
      <c r="D2" s="330"/>
      <c r="E2" s="330"/>
      <c r="F2" s="330"/>
      <c r="G2" s="331" t="str">
        <f>ТАБЕЛЬ!H2</f>
        <v>06 Телеш</v>
      </c>
      <c r="H2" s="331"/>
      <c r="I2" s="331"/>
      <c r="J2" s="332"/>
      <c r="K2" s="332"/>
      <c r="L2" s="332"/>
      <c r="M2" s="332"/>
      <c r="N2" s="333" t="s">
        <v>40</v>
      </c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3"/>
      <c r="AC2" s="333"/>
      <c r="AD2" s="333"/>
      <c r="AE2" s="333"/>
      <c r="AF2" s="333"/>
      <c r="AG2" s="333"/>
      <c r="AH2" s="333"/>
      <c r="AI2" s="333"/>
      <c r="AJ2" s="333"/>
      <c r="AK2" s="333"/>
      <c r="AL2" s="333"/>
      <c r="AM2" s="333"/>
      <c r="AN2" s="333"/>
      <c r="AO2" s="333"/>
      <c r="AP2" s="333"/>
      <c r="AQ2" s="333"/>
      <c r="AR2" s="333"/>
      <c r="AS2" s="333"/>
      <c r="AT2" s="333"/>
      <c r="AU2" s="333"/>
      <c r="AV2" s="333"/>
      <c r="AW2" s="333"/>
      <c r="AX2" s="333"/>
      <c r="AY2" s="333"/>
      <c r="AZ2" s="333"/>
      <c r="BA2" s="333"/>
      <c r="BB2" s="333"/>
      <c r="BC2" s="333"/>
      <c r="BD2" s="66"/>
      <c r="BE2" s="1"/>
      <c r="BF2" s="1"/>
      <c r="BG2" s="1"/>
      <c r="BH2" s="1"/>
      <c r="BI2" s="1"/>
      <c r="BJ2" s="60" t="s">
        <v>83</v>
      </c>
    </row>
    <row r="3" spans="1:62" ht="18.75">
      <c r="A3" s="63"/>
      <c r="B3" s="68"/>
      <c r="C3" s="69"/>
      <c r="D3" s="70"/>
      <c r="E3" s="70"/>
      <c r="F3" s="118"/>
      <c r="G3" s="118"/>
      <c r="H3" s="118"/>
      <c r="I3" s="118"/>
      <c r="J3" s="118"/>
      <c r="K3" s="118"/>
      <c r="L3" s="308" t="s">
        <v>133</v>
      </c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8"/>
      <c r="AJ3" s="308"/>
      <c r="AK3" s="308"/>
      <c r="AL3" s="308"/>
      <c r="AM3" s="308"/>
      <c r="AN3" s="308"/>
      <c r="AO3" s="308"/>
      <c r="AP3" s="308"/>
      <c r="AQ3" s="308"/>
      <c r="AR3" s="308"/>
      <c r="AS3" s="308"/>
      <c r="AT3" s="308"/>
      <c r="AU3" s="308"/>
      <c r="AV3" s="308"/>
      <c r="AW3" s="308"/>
      <c r="AX3" s="308"/>
      <c r="AY3" s="308"/>
      <c r="AZ3" s="308"/>
      <c r="BA3" s="308"/>
      <c r="BB3" s="308"/>
      <c r="BC3" s="66"/>
      <c r="BD3" s="66"/>
      <c r="BE3" s="1"/>
      <c r="BF3" s="1"/>
      <c r="BG3" s="1"/>
      <c r="BH3" s="1"/>
      <c r="BI3" s="1"/>
      <c r="BJ3" s="60" t="s">
        <v>84</v>
      </c>
    </row>
    <row r="4" spans="1:62" ht="23.25">
      <c r="A4" s="63"/>
      <c r="B4" s="68"/>
      <c r="C4" s="71"/>
      <c r="D4" s="72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309" t="s">
        <v>42</v>
      </c>
      <c r="P4" s="309"/>
      <c r="Q4" s="310" t="str">
        <f>ТАБЕЛЬ!U4</f>
        <v>август</v>
      </c>
      <c r="R4" s="310"/>
      <c r="S4" s="310"/>
      <c r="T4" s="310"/>
      <c r="U4" s="310"/>
      <c r="V4" s="310"/>
      <c r="W4" s="64"/>
      <c r="X4" s="311">
        <f>ТАБЕЛЬ!AB4</f>
        <v>2018</v>
      </c>
      <c r="Y4" s="311"/>
      <c r="Z4" s="311"/>
      <c r="AA4" s="73" t="s">
        <v>43</v>
      </c>
      <c r="AB4" s="64"/>
      <c r="AC4" s="64"/>
      <c r="AD4" s="64"/>
      <c r="AE4" s="64"/>
      <c r="AF4" s="64"/>
      <c r="AG4" s="65"/>
      <c r="AH4" s="66"/>
      <c r="AI4" s="66"/>
      <c r="AJ4" s="66"/>
      <c r="AK4" s="66"/>
      <c r="AL4" s="66"/>
      <c r="AM4" s="66"/>
      <c r="AN4" s="66"/>
      <c r="AO4" s="73"/>
      <c r="AP4" s="66"/>
      <c r="AQ4" s="66"/>
      <c r="AR4" s="66"/>
      <c r="AS4" s="66"/>
      <c r="AT4" s="73"/>
      <c r="AU4" s="74"/>
      <c r="AV4" s="75"/>
      <c r="AW4" s="83" t="s">
        <v>2</v>
      </c>
      <c r="AX4" s="75"/>
      <c r="AY4" s="75"/>
      <c r="AZ4" s="75"/>
      <c r="BA4" s="110"/>
      <c r="BB4" s="312">
        <f>EOMONTH(C8,0)</f>
        <v>43343</v>
      </c>
      <c r="BC4" s="313"/>
      <c r="BD4" s="81" t="s">
        <v>129</v>
      </c>
      <c r="BE4" s="84"/>
      <c r="BF4" s="84"/>
      <c r="BG4" s="4"/>
      <c r="BH4" s="1"/>
      <c r="BI4" s="1"/>
      <c r="BJ4" s="60" t="s">
        <v>85</v>
      </c>
    </row>
    <row r="5" spans="1:62">
      <c r="A5" s="63"/>
      <c r="B5" s="6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5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76"/>
      <c r="BA5" s="76"/>
      <c r="BB5" s="117"/>
      <c r="BC5" s="66"/>
      <c r="BD5" s="66"/>
      <c r="BE5" s="1"/>
      <c r="BF5" s="1"/>
      <c r="BG5" s="1"/>
      <c r="BH5" s="1"/>
      <c r="BI5" s="1"/>
      <c r="BJ5" s="60" t="s">
        <v>86</v>
      </c>
    </row>
    <row r="6" spans="1:62" ht="12.75" customHeight="1">
      <c r="A6" s="314">
        <f>X4</f>
        <v>2018</v>
      </c>
      <c r="B6" s="316" t="s">
        <v>4</v>
      </c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8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319" t="s">
        <v>134</v>
      </c>
      <c r="AH6" s="319"/>
      <c r="AI6" s="319"/>
      <c r="AJ6" s="319"/>
      <c r="AK6" s="319"/>
      <c r="AL6" s="319"/>
      <c r="AM6" s="319"/>
      <c r="AN6" s="319"/>
      <c r="AO6" s="319"/>
      <c r="AP6" s="320" t="s">
        <v>35</v>
      </c>
      <c r="AQ6" s="322" t="s">
        <v>60</v>
      </c>
      <c r="AR6" s="323"/>
      <c r="AS6" s="334" t="s">
        <v>135</v>
      </c>
      <c r="AT6" s="85"/>
      <c r="AU6" s="85"/>
      <c r="AV6" s="85"/>
      <c r="AW6" s="85"/>
      <c r="AX6" s="85"/>
      <c r="AY6" s="85"/>
      <c r="AZ6" s="85"/>
      <c r="BA6" s="86"/>
      <c r="BB6" s="320" t="s">
        <v>130</v>
      </c>
      <c r="BC6" s="337" t="s">
        <v>12</v>
      </c>
      <c r="BD6" s="320" t="s">
        <v>58</v>
      </c>
      <c r="BE6" s="87"/>
      <c r="BF6" s="87"/>
      <c r="BG6" s="1"/>
      <c r="BH6" s="1"/>
      <c r="BI6" s="88">
        <v>0.33333333333333331</v>
      </c>
      <c r="BJ6" s="60" t="s">
        <v>87</v>
      </c>
    </row>
    <row r="7" spans="1:62" ht="33" customHeight="1">
      <c r="A7" s="315"/>
      <c r="B7" s="316" t="s">
        <v>15</v>
      </c>
      <c r="C7" s="317"/>
      <c r="D7" s="317"/>
      <c r="E7" s="317"/>
      <c r="F7" s="317"/>
      <c r="G7" s="317"/>
      <c r="H7" s="317"/>
      <c r="I7" s="317"/>
      <c r="J7" s="317"/>
      <c r="K7" s="317"/>
      <c r="L7" s="317"/>
      <c r="M7" s="317"/>
      <c r="N7" s="317"/>
      <c r="O7" s="317"/>
      <c r="P7" s="317"/>
      <c r="Q7" s="318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319"/>
      <c r="AH7" s="319"/>
      <c r="AI7" s="319"/>
      <c r="AJ7" s="319"/>
      <c r="AK7" s="319"/>
      <c r="AL7" s="319"/>
      <c r="AM7" s="319"/>
      <c r="AN7" s="319"/>
      <c r="AO7" s="319"/>
      <c r="AP7" s="321"/>
      <c r="AQ7" s="324"/>
      <c r="AR7" s="325"/>
      <c r="AS7" s="335"/>
      <c r="AT7" s="89" t="s">
        <v>18</v>
      </c>
      <c r="AU7" s="90"/>
      <c r="AV7" s="90"/>
      <c r="AW7" s="90"/>
      <c r="AX7" s="90"/>
      <c r="AY7" s="90"/>
      <c r="AZ7" s="90"/>
      <c r="BA7" s="91"/>
      <c r="BB7" s="336"/>
      <c r="BC7" s="338"/>
      <c r="BD7" s="336"/>
      <c r="BE7" s="87"/>
      <c r="BF7" s="87"/>
      <c r="BG7" s="1"/>
      <c r="BH7" s="1"/>
      <c r="BI7" s="56">
        <v>0.24305555555555555</v>
      </c>
      <c r="BJ7" s="60" t="s">
        <v>88</v>
      </c>
    </row>
    <row r="8" spans="1:62" ht="172.5" customHeight="1">
      <c r="A8" s="77" t="str">
        <f>Q4</f>
        <v>август</v>
      </c>
      <c r="B8" s="92">
        <f>DATE($X$4,VLOOKUP($Q$4,'[1]нормы времени'!$A$2:$B$13,2,0),1)</f>
        <v>43313</v>
      </c>
      <c r="C8" s="78">
        <f>DATE($X$4,VLOOKUP($Q$4,'[1]нормы времени'!$A$2:$B$13,2,0),1+COLUMN(A:A))</f>
        <v>43314</v>
      </c>
      <c r="D8" s="78">
        <f>DATE($X$4,VLOOKUP($Q$4,'[1]нормы времени'!$A$2:$B$13,2,0),1+COLUMN(B:B))</f>
        <v>43315</v>
      </c>
      <c r="E8" s="78">
        <f>DATE($X$4,VLOOKUP($Q$4,'[1]нормы времени'!$A$2:$B$13,2,0),1+COLUMN(C:C))</f>
        <v>43316</v>
      </c>
      <c r="F8" s="78">
        <f>DATE($X$4,VLOOKUP($Q$4,'[1]нормы времени'!$A$2:$B$13,2,0),1+COLUMN(D:D))</f>
        <v>43317</v>
      </c>
      <c r="G8" s="93">
        <f>DATE($X$4,VLOOKUP($Q$4,'[1]нормы времени'!$A$2:$B$13,2,0),1+COLUMN(E:E))</f>
        <v>43318</v>
      </c>
      <c r="H8" s="78">
        <f>DATE($X$4,VLOOKUP($Q$4,'[1]нормы времени'!$A$2:$B$13,2,0),1+COLUMN(F:F))</f>
        <v>43319</v>
      </c>
      <c r="I8" s="78">
        <f>DATE($X$4,VLOOKUP($Q$4,'[1]нормы времени'!$A$2:$B$13,2,0),1+COLUMN(G:G))</f>
        <v>43320</v>
      </c>
      <c r="J8" s="78">
        <f>DATE($X$4,VLOOKUP($Q$4,'[1]нормы времени'!$A$2:$B$13,2,0),1+COLUMN(H:H))</f>
        <v>43321</v>
      </c>
      <c r="K8" s="78">
        <f>DATE($X$4,VLOOKUP($Q$4,'[1]нормы времени'!$A$2:$B$13,2,0),1+COLUMN(I:I))</f>
        <v>43322</v>
      </c>
      <c r="L8" s="78">
        <f>DATE($X$4,VLOOKUP($Q$4,'[1]нормы времени'!$A$2:$B$13,2,0),1+COLUMN(J:J))</f>
        <v>43323</v>
      </c>
      <c r="M8" s="78">
        <f>DATE($X$4,VLOOKUP($Q$4,'[1]нормы времени'!$A$2:$B$13,2,0),1+COLUMN(K:K))</f>
        <v>43324</v>
      </c>
      <c r="N8" s="78">
        <f>DATE($X$4,VLOOKUP($Q$4,'[1]нормы времени'!$A$2:$B$13,2,0),1+COLUMN(L:L))</f>
        <v>43325</v>
      </c>
      <c r="O8" s="78">
        <f>DATE($X$4,VLOOKUP($Q$4,'[1]нормы времени'!$A$2:$B$13,2,0),1+COLUMN(M:M))</f>
        <v>43326</v>
      </c>
      <c r="P8" s="78">
        <f>DATE($X$4,VLOOKUP($Q$4,'[1]нормы времени'!$A$2:$B$13,2,0),1+COLUMN(N:N))</f>
        <v>43327</v>
      </c>
      <c r="Q8" s="78">
        <f>DATE($X$4,VLOOKUP($Q$4,'[1]нормы времени'!$A$2:$B$13,2,0),1+COLUMN(O:O))</f>
        <v>43328</v>
      </c>
      <c r="R8" s="78">
        <f>DATE($X$4,VLOOKUP($Q$4,'[1]нормы времени'!$A$2:$B$13,2,0),1+COLUMN(P:P))</f>
        <v>43329</v>
      </c>
      <c r="S8" s="78">
        <f>DATE($X$4,VLOOKUP($Q$4,'[1]нормы времени'!$A$2:$B$13,2,0),1+COLUMN(Q:Q))</f>
        <v>43330</v>
      </c>
      <c r="T8" s="78">
        <f>DATE($X$4,VLOOKUP($Q$4,'[1]нормы времени'!$A$2:$B$13,2,0),1+COLUMN(R:R))</f>
        <v>43331</v>
      </c>
      <c r="U8" s="78">
        <f>DATE($X$4,VLOOKUP($Q$4,'[1]нормы времени'!$A$2:$B$13,2,0),1+COLUMN(S:S))</f>
        <v>43332</v>
      </c>
      <c r="V8" s="78">
        <f>DATE($X$4,VLOOKUP($Q$4,'[1]нормы времени'!$A$2:$B$13,2,0),1+COLUMN(T:T))</f>
        <v>43333</v>
      </c>
      <c r="W8" s="78">
        <f>DATE($X$4,VLOOKUP($Q$4,'[1]нормы времени'!$A$2:$B$13,2,0),1+COLUMN(U:U))</f>
        <v>43334</v>
      </c>
      <c r="X8" s="78">
        <f>DATE($X$4,VLOOKUP($Q$4,'[1]нормы времени'!$A$2:$B$13,2,0),1+COLUMN(V:V))</f>
        <v>43335</v>
      </c>
      <c r="Y8" s="78">
        <f>DATE($X$4,VLOOKUP($Q$4,'[1]нормы времени'!$A$2:$B$13,2,0),1+COLUMN(W:W))</f>
        <v>43336</v>
      </c>
      <c r="Z8" s="78">
        <f>DATE($X$4,VLOOKUP($Q$4,'[1]нормы времени'!$A$2:$B$13,2,0),1+COLUMN(X:X))</f>
        <v>43337</v>
      </c>
      <c r="AA8" s="78">
        <f>DATE($X$4,VLOOKUP($Q$4,'[1]нормы времени'!$A$2:$B$13,2,0),1+COLUMN(Y:Y))</f>
        <v>43338</v>
      </c>
      <c r="AB8" s="78">
        <f>DATE($X$4,VLOOKUP($Q$4,'[1]нормы времени'!$A$2:$B$13,2,0),1+COLUMN(Z:Z))</f>
        <v>43339</v>
      </c>
      <c r="AC8" s="78">
        <f>DATE($X$4,VLOOKUP($Q$4,'[1]нормы времени'!$A$2:$B$13,2,0),1+COLUMN(AA:AA))</f>
        <v>43340</v>
      </c>
      <c r="AD8" s="78">
        <f>DATE($X$4,VLOOKUP($Q$4,'[1]нормы времени'!$A$2:$B$13,2,0),1+COLUMN(AB:AB))</f>
        <v>43341</v>
      </c>
      <c r="AE8" s="78">
        <f>DATE($X$4,VLOOKUP($Q$4,'[1]нормы времени'!$A$2:$B$13,2,0),1+COLUMN(AC:AC))</f>
        <v>43342</v>
      </c>
      <c r="AF8" s="78">
        <f>DATE($X$4,VLOOKUP($Q$4,'[1]нормы времени'!$A$2:$B$13,2,0),1+COLUMN(AD:AD))</f>
        <v>43343</v>
      </c>
      <c r="AG8" s="319"/>
      <c r="AH8" s="319"/>
      <c r="AI8" s="319"/>
      <c r="AJ8" s="319"/>
      <c r="AK8" s="319"/>
      <c r="AL8" s="319"/>
      <c r="AM8" s="319"/>
      <c r="AN8" s="319"/>
      <c r="AO8" s="319"/>
      <c r="AP8" s="321"/>
      <c r="AQ8" s="116" t="s">
        <v>21</v>
      </c>
      <c r="AR8" s="115" t="s">
        <v>22</v>
      </c>
      <c r="AS8" s="324"/>
      <c r="AT8" s="120" t="s">
        <v>23</v>
      </c>
      <c r="AU8" s="121" t="s">
        <v>24</v>
      </c>
      <c r="AV8" s="121" t="s">
        <v>25</v>
      </c>
      <c r="AW8" s="121" t="s">
        <v>36</v>
      </c>
      <c r="AX8" s="121" t="s">
        <v>63</v>
      </c>
      <c r="AY8" s="116" t="s">
        <v>70</v>
      </c>
      <c r="AZ8" s="102" t="s">
        <v>62</v>
      </c>
      <c r="BA8" s="102" t="s">
        <v>64</v>
      </c>
      <c r="BB8" s="336"/>
      <c r="BC8" s="338"/>
      <c r="BD8" s="339"/>
      <c r="BE8" s="87"/>
      <c r="BF8" s="87"/>
      <c r="BG8" s="1"/>
      <c r="BH8" s="1"/>
      <c r="BI8" s="56">
        <v>0.27777777777777779</v>
      </c>
      <c r="BJ8" s="60" t="s">
        <v>89</v>
      </c>
    </row>
    <row r="9" spans="1:62">
      <c r="A9" s="112">
        <v>1</v>
      </c>
      <c r="B9" s="305">
        <v>2</v>
      </c>
      <c r="C9" s="306"/>
      <c r="D9" s="306"/>
      <c r="E9" s="306"/>
      <c r="F9" s="306"/>
      <c r="G9" s="306"/>
      <c r="H9" s="306"/>
      <c r="I9" s="306"/>
      <c r="J9" s="306"/>
      <c r="K9" s="306"/>
      <c r="L9" s="306"/>
      <c r="M9" s="306"/>
      <c r="N9" s="306"/>
      <c r="O9" s="306"/>
      <c r="P9" s="306"/>
      <c r="Q9" s="306"/>
      <c r="R9" s="306"/>
      <c r="S9" s="306"/>
      <c r="T9" s="306"/>
      <c r="U9" s="306"/>
      <c r="V9" s="306"/>
      <c r="W9" s="306"/>
      <c r="X9" s="306"/>
      <c r="Y9" s="306"/>
      <c r="Z9" s="306"/>
      <c r="AA9" s="306"/>
      <c r="AB9" s="306"/>
      <c r="AC9" s="306"/>
      <c r="AD9" s="306"/>
      <c r="AE9" s="306"/>
      <c r="AF9" s="307"/>
      <c r="AG9" s="99">
        <v>3</v>
      </c>
      <c r="AH9" s="100">
        <v>4</v>
      </c>
      <c r="AI9" s="100">
        <v>5</v>
      </c>
      <c r="AJ9" s="101">
        <v>6</v>
      </c>
      <c r="AK9" s="100">
        <v>7</v>
      </c>
      <c r="AL9" s="100">
        <v>8</v>
      </c>
      <c r="AM9" s="100">
        <v>9</v>
      </c>
      <c r="AN9" s="100">
        <v>10</v>
      </c>
      <c r="AO9" s="100">
        <v>11</v>
      </c>
      <c r="AP9" s="80">
        <v>12</v>
      </c>
      <c r="AQ9" s="80">
        <v>13</v>
      </c>
      <c r="AR9" s="80">
        <v>14</v>
      </c>
      <c r="AS9" s="100">
        <v>3</v>
      </c>
      <c r="AT9" s="100">
        <v>16</v>
      </c>
      <c r="AU9" s="100">
        <v>17</v>
      </c>
      <c r="AV9" s="100">
        <v>18</v>
      </c>
      <c r="AW9" s="100">
        <v>19</v>
      </c>
      <c r="AX9" s="100">
        <v>20</v>
      </c>
      <c r="AY9" s="100">
        <v>21</v>
      </c>
      <c r="AZ9" s="103">
        <v>22</v>
      </c>
      <c r="BA9" s="103">
        <v>23</v>
      </c>
      <c r="BB9" s="100">
        <v>4</v>
      </c>
      <c r="BC9" s="100">
        <v>5</v>
      </c>
      <c r="BD9" s="80">
        <v>27</v>
      </c>
      <c r="BE9" s="94"/>
      <c r="BF9" s="94"/>
      <c r="BG9" s="113" t="s">
        <v>66</v>
      </c>
      <c r="BH9" s="113" t="s">
        <v>67</v>
      </c>
      <c r="BI9" s="113" t="s">
        <v>81</v>
      </c>
      <c r="BJ9" s="60" t="s">
        <v>91</v>
      </c>
    </row>
    <row r="10" spans="1:62" ht="30.75" customHeight="1">
      <c r="A10" s="104" t="str">
        <f>ТАБЕЛЬ!B11</f>
        <v>1. Гринько Александр Владимирович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6"/>
      <c r="AG10" s="295">
        <f>IFERROR(ROUNDDOWN(IF(A11="еж",(AS10-AU10)/BI10,(AS10-AU10)/BI10),0),"--")</f>
        <v>14</v>
      </c>
      <c r="AH10" s="186">
        <f>COUNTIF(B11:AF11,"п")*1</f>
        <v>0</v>
      </c>
      <c r="AI10" s="186">
        <f>COUNTIF(B11:AF11,"о")*1</f>
        <v>2</v>
      </c>
      <c r="AJ10" s="186">
        <f>COUNTIF(B11:AF11,"у")*1+COUNTIF(B11:AF11,"убз")*1</f>
        <v>0</v>
      </c>
      <c r="AK10" s="186">
        <f>COUNTIF(B11:AF11,"р")*1</f>
        <v>0</v>
      </c>
      <c r="AL10" s="186">
        <f>COUNTIF(B11:AF11,"б")*1+COUNTIF(B11:AF11,"нб")*1</f>
        <v>2</v>
      </c>
      <c r="AM10" s="186">
        <f>COUNTIF(B11:AF11,"д")*1+COUNTIF(B11:AF11,"гч")*1+COUNTIF(B11:AF11,"мо")*1+COUNTIF(B11:AF11,"дм")*1+COUNTIF(B11:AF11,"т")*1+COUNTIF(B11:AF11,"ож")*1+COUNTIF(B11:AF11,"г")*1+COUNTIF(B11:AF11,"гб")*1+COUNTIF(B11:AF11,"гс")*1+COUNTIF(B11:AF11,"х")*1+COUNTIF(B11:AF11,"сх")*1+COUNTIF(B11:AF11,"нр")*1</f>
        <v>0</v>
      </c>
      <c r="AN10" s="186">
        <f>COUNTIF(B11:AF11,"а")*1+COUNTIF(B11:AF11,"оа")*1+COUNTIF(B11:AF11,"оад")*1+COUNTIF(B11:AF11,"ск")*1</f>
        <v>6</v>
      </c>
      <c r="AO10" s="186">
        <f>COUNTIF(B11:AF11,"пр")*1+COUNTIF(B11:AF11,"нн")*1</f>
        <v>0</v>
      </c>
      <c r="AP10" s="196">
        <f>IFERROR(BD10-AG10-AH10-AI10-AJ10-AK10-AL10-AM10-AN10-AO10-BG10,"--")</f>
        <v>0</v>
      </c>
      <c r="AQ10" s="199">
        <f>SUMIF(B11:AF11,"нм",B12:AF12)+SUMIF(B11:AF11,"вп",B12:AF12)</f>
        <v>0</v>
      </c>
      <c r="AR10" s="199">
        <f>SUMIF(B11:AF11,"оп",B12:AF12)+SUMIF(B11:AF11,"ух",B12:AF12)</f>
        <v>0</v>
      </c>
      <c r="AS10" s="301">
        <f>SUM(B12:AF12)-SUMIF(B11:AF11,"п",B12:AF12)-SUMIF(B11:AF11,"о",B12:AF12)-SUMIF(B11:AF11,"у",B12:AF12)-SUMIF(B11:AF11,"убз",B12:AF12)-SUMIF(B11:AF11,"р",B12:AF12)-SUMIF(B11:AF11,"б",B12:AF12)-SUMIF(B11:AF11,"т",B12:AF12)-SUMIF(B11:AF11,"ож",B12:AF12)-SUMIF(B11:AF11,"г",B12:AF12)-SUMIF(B11:AF11,"гч",B12:AF12)-SUMIF(B11:AF11,"гб",B12:AF12)-SUMIF(B11:AF11,"гс",B12:AF12)-SUMIF(B11:AF11,"мо",B12:AF12)-SUMIF(B11:AF11,"д",B12:AF12)-SUMIF(B11:AF11,"дм",B12:AF12)-SUMIF(B11:AF11,"до",B12:AF12)-SUMIF(B11:AF11,"нр",B12:AF12)-SUMIF(B11:AF11,"сх",B12:AF12)-SUMIF(B11:AF11,"х",B12:AF12)-SUMIF(B11:AF11,"а",B12:AF12)-SUMIF(B11:AF11,"оа",B12:AF12)-SUMIF(B11:AF11,"оад",B12:AF12)-SUMIF(B11:AF11,"нн",B12:AF12)-SUMIF(B11:AF11,"пр",B12:AF12)-SUMIF(B11:AF11,"вп",B12:AF12)-SUMIF(B11:AF11,"нм",B12:AF12)-SUMIF(B11:AF11,"оп",B12:AF12)-SUMIF(B11:AF11,"ух",B12:AF12)-SUMIF(B11:AF11,"в",B12:AF12)-SUMIF(B11:AF11,"нб",B12:AF12)-SUMIF(B11:AF11,"ск",B12:AF12)</f>
        <v>3.9444444444444451</v>
      </c>
      <c r="AT10" s="303">
        <f>[1]Табель!AF26</f>
        <v>0</v>
      </c>
      <c r="AU10" s="303">
        <f>[1]Табель!AG26</f>
        <v>0</v>
      </c>
      <c r="AV10" s="180">
        <f>SUMIF(B11:AF11,"нс",B12:AF12)+SUMIF(B11:AF11,"н",B12:AF12)+SUMIF(B11:AF11,"нсп",B12:AF12)+SUMIF(B11:AF11,"нп",B12:AF12)+SUMIF(B11:AF11,"я/н",B12:AF12)+SUMIF(B11:AF11,"яп/нп",B12:AF12)+SUMIF(B11:AF11,"в/н",B12:AF12)</f>
        <v>1.5833333333333333</v>
      </c>
      <c r="AW10" s="288">
        <f>AS10</f>
        <v>3.9444444444444451</v>
      </c>
      <c r="AX10" s="288">
        <f>[1]Табель!AJ26</f>
        <v>0</v>
      </c>
      <c r="AY10" s="281">
        <f>SUMIF(B11:AF11,"к",B12:AF12)</f>
        <v>0</v>
      </c>
      <c r="AZ10" s="180">
        <f>SUMIF(B11:AF11,"яп",B12:AF12)+SUMIF(B11:AF11,"нп",B12:AF12)+SUMIF(B11:AF11,"нсп",B12:AF12)+SUMIF(B11:AF11,"рп",B12:AF12)+SUMIF(B11:AF11,"яп/нп",B12:AF12)</f>
        <v>0</v>
      </c>
      <c r="BA10" s="180">
        <f>SUMIF(B11:AF11,"ст",B12:AF12)</f>
        <v>0</v>
      </c>
      <c r="BB10" s="297" t="str">
        <f>ТАБЕЛЬ!AS11</f>
        <v>слесарь по ремонту подв.состава</v>
      </c>
      <c r="BC10" s="299">
        <f>ТАБЕЛЬ!AV11</f>
        <v>3421</v>
      </c>
      <c r="BD10" s="296">
        <f>DAY(EOMONTH($BA$4,0))-COUNTIF(B11:AF11,"--")*1-COUNTIF(B11:AF11,"убз")*1-COUNTIF(B11:AF11,"р")*1-COUNTIF(B11:AF11,"ож")*1-COUNTIF(B11:AF11,"д")*1-COUNTIF(B11:AF11,"гс")*1-COUNTIF(B11:AF11,"б")*1-COUNTIF(B11:AF11,"нб")*1-COUNTIF(B11:AF11,"х")*1-COUNTIF(B11:AF11,"дм")*1-COUNTIF(B11:AF11,"а")*1-COUNTIF(B11:AF11,"аа")*1-COUNTIF(B11:AF11,"га")*1</f>
        <v>24</v>
      </c>
      <c r="BE10" s="95"/>
      <c r="BF10" s="95"/>
      <c r="BG10" s="1">
        <f>(COUNTIF(B11:AF11,"--")*1)</f>
        <v>0</v>
      </c>
      <c r="BH10" s="1">
        <f>IF(A10&gt;0,1,0)</f>
        <v>1</v>
      </c>
      <c r="BI10" s="56">
        <f>IF(A11="еж",$BI$6,IF(A11="см",$BI$8,IF(A11="ин",$BI$7,0)))</f>
        <v>0.27777777777777779</v>
      </c>
      <c r="BJ10" s="60" t="s">
        <v>107</v>
      </c>
    </row>
    <row r="11" spans="1:62" ht="15.75">
      <c r="A11" s="96" t="str">
        <f>ТАБЕЛЬ!B12</f>
        <v>см</v>
      </c>
      <c r="B11" s="79" t="str">
        <f>ТАБЕЛЬ!C12</f>
        <v>НС</v>
      </c>
      <c r="C11" s="79" t="str">
        <f>ТАБЕЛЬ!D12</f>
        <v>НС</v>
      </c>
      <c r="D11" s="79" t="str">
        <f>ТАБЕЛЬ!E12</f>
        <v>В</v>
      </c>
      <c r="E11" s="79" t="str">
        <f>ТАБЕЛЬ!F12</f>
        <v>Я</v>
      </c>
      <c r="F11" s="79" t="str">
        <f>ТАБЕЛЬ!G12</f>
        <v>НС</v>
      </c>
      <c r="G11" s="79" t="str">
        <f>ТАБЕЛЬ!H12</f>
        <v>А</v>
      </c>
      <c r="H11" s="79" t="str">
        <f>ТАБЕЛЬ!I12</f>
        <v>В</v>
      </c>
      <c r="I11" s="79" t="str">
        <f>ТАБЕЛЬ!J12</f>
        <v>В</v>
      </c>
      <c r="J11" s="79" t="str">
        <f>ТАБЕЛЬ!K12</f>
        <v>А</v>
      </c>
      <c r="K11" s="79" t="str">
        <f>ТАБЕЛЬ!L12</f>
        <v>А</v>
      </c>
      <c r="L11" s="79" t="str">
        <f>ТАБЕЛЬ!M12</f>
        <v>В</v>
      </c>
      <c r="M11" s="79" t="str">
        <f>ТАБЕЛЬ!N12</f>
        <v>Я</v>
      </c>
      <c r="N11" s="79" t="str">
        <f>ТАБЕЛЬ!O12</f>
        <v>НС</v>
      </c>
      <c r="O11" s="79" t="str">
        <f>ТАБЕЛЬ!P12</f>
        <v>НС</v>
      </c>
      <c r="P11" s="79" t="str">
        <f>ТАБЕЛЬ!Q12</f>
        <v>В</v>
      </c>
      <c r="Q11" s="79" t="str">
        <f>ТАБЕЛЬ!C14</f>
        <v>Я</v>
      </c>
      <c r="R11" s="79" t="str">
        <f>ТАБЕЛЬ!D14</f>
        <v>А</v>
      </c>
      <c r="S11" s="79" t="str">
        <f>ТАБЕЛЬ!E14</f>
        <v>А</v>
      </c>
      <c r="T11" s="79" t="str">
        <f>ТАБЕЛЬ!F14</f>
        <v>В</v>
      </c>
      <c r="U11" s="79" t="str">
        <f>ТАБЕЛЬ!G14</f>
        <v>Я</v>
      </c>
      <c r="V11" s="79" t="str">
        <f>ТАБЕЛЬ!H14</f>
        <v>СК</v>
      </c>
      <c r="W11" s="79" t="str">
        <f>ТАБЕЛЬ!I14</f>
        <v>Б</v>
      </c>
      <c r="X11" s="79" t="str">
        <f>ТАБЕЛЬ!J14</f>
        <v>Б</v>
      </c>
      <c r="Y11" s="79" t="str">
        <f>ТАБЕЛЬ!K14</f>
        <v>О</v>
      </c>
      <c r="Z11" s="79" t="str">
        <f>ТАБЕЛЬ!L14</f>
        <v>О</v>
      </c>
      <c r="AA11" s="79" t="str">
        <f>ТАБЕЛЬ!M14</f>
        <v>В</v>
      </c>
      <c r="AB11" s="79" t="str">
        <f>ТАБЕЛЬ!N14</f>
        <v>В</v>
      </c>
      <c r="AC11" s="79" t="str">
        <f>ТАБЕЛЬ!O14</f>
        <v>Я</v>
      </c>
      <c r="AD11" s="79" t="str">
        <f>ТАБЕЛЬ!P14</f>
        <v>НС</v>
      </c>
      <c r="AE11" s="79" t="str">
        <f>ТАБЕЛЬ!Q14</f>
        <v>НС</v>
      </c>
      <c r="AF11" s="79" t="str">
        <f>ТАБЕЛЬ!R14</f>
        <v>В</v>
      </c>
      <c r="AG11" s="295"/>
      <c r="AH11" s="186"/>
      <c r="AI11" s="186"/>
      <c r="AJ11" s="186"/>
      <c r="AK11" s="186"/>
      <c r="AL11" s="186"/>
      <c r="AM11" s="186"/>
      <c r="AN11" s="186"/>
      <c r="AO11" s="186"/>
      <c r="AP11" s="197"/>
      <c r="AQ11" s="200"/>
      <c r="AR11" s="200"/>
      <c r="AS11" s="302"/>
      <c r="AT11" s="304"/>
      <c r="AU11" s="304"/>
      <c r="AV11" s="181"/>
      <c r="AW11" s="289"/>
      <c r="AX11" s="289"/>
      <c r="AY11" s="282"/>
      <c r="AZ11" s="181"/>
      <c r="BA11" s="181"/>
      <c r="BB11" s="298"/>
      <c r="BC11" s="300"/>
      <c r="BD11" s="296"/>
      <c r="BE11" s="95"/>
      <c r="BF11" s="95"/>
      <c r="BG11" s="1">
        <f t="shared" ref="BG11:BG21" si="0">(COUNTIF(B12:AF12,"--")*1)</f>
        <v>0</v>
      </c>
      <c r="BH11" s="1">
        <f t="shared" ref="BH11:BH21" si="1">IF(A11&gt;0,1,0)</f>
        <v>1</v>
      </c>
      <c r="BI11" s="56">
        <f t="shared" ref="BI11:BI21" si="2">IF(A12="еж",$BI$6,IF(A12="см",$BI$8,IF(A12="ин",$BI$7,0)))</f>
        <v>0</v>
      </c>
      <c r="BJ11" s="60" t="s">
        <v>108</v>
      </c>
    </row>
    <row r="12" spans="1:62" ht="15.75">
      <c r="A12" s="97"/>
      <c r="B12" s="79">
        <f>ТАБЕЛЬ!C13</f>
        <v>0.16666666666666666</v>
      </c>
      <c r="C12" s="79">
        <f>ТАБЕЛЬ!D13</f>
        <v>0.30555555555555552</v>
      </c>
      <c r="D12" s="79">
        <f>ТАБЕЛЬ!E13</f>
        <v>0</v>
      </c>
      <c r="E12" s="79">
        <f>ТАБЕЛЬ!F13</f>
        <v>0.47222222222222227</v>
      </c>
      <c r="F12" s="79">
        <f>ТАБЕЛЬ!G13</f>
        <v>0.16666666666666666</v>
      </c>
      <c r="G12" s="125">
        <f>ТАБЕЛЬ!H13</f>
        <v>0.30555555555555552</v>
      </c>
      <c r="H12" s="125">
        <f>ТАБЕЛЬ!I13</f>
        <v>0</v>
      </c>
      <c r="I12" s="125">
        <f>ТАБЕЛЬ!J13</f>
        <v>0.47222222222222227</v>
      </c>
      <c r="J12" s="125">
        <f>ТАБЕЛЬ!K13</f>
        <v>0.16666666666666666</v>
      </c>
      <c r="K12" s="125">
        <f>ТАБЕЛЬ!L13</f>
        <v>0.30555555555555552</v>
      </c>
      <c r="L12" s="125">
        <f>ТАБЕЛЬ!M13</f>
        <v>0</v>
      </c>
      <c r="M12" s="79">
        <f>ТАБЕЛЬ!N13</f>
        <v>0.47222222222222227</v>
      </c>
      <c r="N12" s="79">
        <f>ТАБЕЛЬ!O13</f>
        <v>0.16666666666666666</v>
      </c>
      <c r="O12" s="79">
        <f>ТАБЕЛЬ!P13</f>
        <v>0.30555555555555552</v>
      </c>
      <c r="P12" s="79">
        <f>ТАБЕЛЬ!Q13</f>
        <v>0</v>
      </c>
      <c r="Q12" s="79">
        <f>ТАБЕЛЬ!C15</f>
        <v>0.47222222222222227</v>
      </c>
      <c r="R12" s="125">
        <f>ТАБЕЛЬ!D15</f>
        <v>0.16666666666666666</v>
      </c>
      <c r="S12" s="125">
        <f>ТАБЕЛЬ!E15</f>
        <v>0.30555555555555552</v>
      </c>
      <c r="T12" s="125">
        <f>ТАБЕЛЬ!F15</f>
        <v>0</v>
      </c>
      <c r="U12" s="79">
        <f>ТАБЕЛЬ!G15</f>
        <v>0.47222222222222227</v>
      </c>
      <c r="V12" s="125">
        <f>ТАБЕЛЬ!H15</f>
        <v>0.16666666666666666</v>
      </c>
      <c r="W12" s="125">
        <f>ТАБЕЛЬ!I15</f>
        <v>0.30555555555555552</v>
      </c>
      <c r="X12" s="125">
        <f>ТАБЕЛЬ!J15</f>
        <v>0</v>
      </c>
      <c r="Y12" s="125">
        <f>ТАБЕЛЬ!K15</f>
        <v>0.47222222222222227</v>
      </c>
      <c r="Z12" s="125">
        <f>ТАБЕЛЬ!L15</f>
        <v>0.16666666666666666</v>
      </c>
      <c r="AA12" s="125">
        <f>ТАБЕЛЬ!M15</f>
        <v>0.30555555555555552</v>
      </c>
      <c r="AB12" s="125">
        <f>ТАБЕЛЬ!N15</f>
        <v>0</v>
      </c>
      <c r="AC12" s="79">
        <f>ТАБЕЛЬ!O15</f>
        <v>0.47222222222222227</v>
      </c>
      <c r="AD12" s="79">
        <f>ТАБЕЛЬ!P15</f>
        <v>0.16666666666666666</v>
      </c>
      <c r="AE12" s="79">
        <f>ТАБЕЛЬ!Q15</f>
        <v>0.30555555555555552</v>
      </c>
      <c r="AF12" s="79">
        <f>ТАБЕЛЬ!R15</f>
        <v>0</v>
      </c>
      <c r="AG12" s="295"/>
      <c r="AH12" s="186"/>
      <c r="AI12" s="186"/>
      <c r="AJ12" s="186"/>
      <c r="AK12" s="186"/>
      <c r="AL12" s="186"/>
      <c r="AM12" s="186"/>
      <c r="AN12" s="186"/>
      <c r="AO12" s="186"/>
      <c r="AP12" s="197"/>
      <c r="AQ12" s="200"/>
      <c r="AR12" s="200"/>
      <c r="AS12" s="302"/>
      <c r="AT12" s="304"/>
      <c r="AU12" s="304"/>
      <c r="AV12" s="181"/>
      <c r="AW12" s="289"/>
      <c r="AX12" s="290"/>
      <c r="AY12" s="283"/>
      <c r="AZ12" s="182"/>
      <c r="BA12" s="182"/>
      <c r="BB12" s="298"/>
      <c r="BC12" s="300"/>
      <c r="BD12" s="296"/>
      <c r="BE12" s="95"/>
      <c r="BF12" s="95"/>
      <c r="BG12" s="1">
        <f t="shared" si="0"/>
        <v>0</v>
      </c>
      <c r="BH12" s="1">
        <f t="shared" si="1"/>
        <v>0</v>
      </c>
      <c r="BI12" s="56">
        <f t="shared" si="2"/>
        <v>0</v>
      </c>
      <c r="BJ12" s="60" t="s">
        <v>109</v>
      </c>
    </row>
    <row r="13" spans="1:62" ht="31.5" customHeight="1">
      <c r="A13" s="104" t="str">
        <f>ТАБЕЛЬ!B16</f>
        <v>2. Клещев Сергей Дмитриевич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6"/>
      <c r="AG13" s="295">
        <f>IFERROR(ROUNDDOWN(IF(A14="еж",(AS13-AU13)/BI13,(AS13-AU13)/BI13),0),"--")</f>
        <v>13</v>
      </c>
      <c r="AH13" s="186">
        <f>COUNTIF(B14:AF14,"п")*1</f>
        <v>0</v>
      </c>
      <c r="AI13" s="186">
        <f>COUNTIF(B14:AF14,"о")*1</f>
        <v>5</v>
      </c>
      <c r="AJ13" s="186">
        <f>COUNTIF(B14:AF14,"у")*1+COUNTIF(B14:AF14,"убз")*1</f>
        <v>0</v>
      </c>
      <c r="AK13" s="186">
        <f>COUNTIF(B14:AF14,"р")*1</f>
        <v>0</v>
      </c>
      <c r="AL13" s="186">
        <f>COUNTIF(B14:AF14,"б")*1+COUNTIF(B14:AF14,"нб")*1</f>
        <v>6</v>
      </c>
      <c r="AM13" s="186">
        <f>COUNTIF(B14:AF14,"д")*1+COUNTIF(B14:AF14,"гч")*1+COUNTIF(B14:AF14,"мо")*1+COUNTIF(B14:AF14,"дм")*1+COUNTIF(B14:AF14,"т")*1+COUNTIF(B14:AF14,"ож")*1+COUNTIF(B14:AF14,"г")*1+COUNTIF(B14:AF14,"гб")*1+COUNTIF(B14:AF14,"гс")*1+COUNTIF(B14:AF14,"х")*1+COUNTIF(B14:AF14,"сх")*1+COUNTIF(B14:AF14,"нр")*1</f>
        <v>0</v>
      </c>
      <c r="AN13" s="186">
        <f>COUNTIF(B14:AF14,"а")*1+COUNTIF(B14:AF14,"оа")*1+COUNTIF(B14:AF14,"оад")*1+COUNTIF(B14:AF14,"ск")*1</f>
        <v>1</v>
      </c>
      <c r="AO13" s="186">
        <f>COUNTIF(B14:AF14,"пр")*1+COUNTIF(B14:AF14,"нн")*1</f>
        <v>0</v>
      </c>
      <c r="AP13" s="196">
        <f>IFERROR(BD13-AG13-AH13-AI13-AJ13-AK13-AL13-AM13-AN13-AO13-BG13,"--")</f>
        <v>-1</v>
      </c>
      <c r="AQ13" s="199">
        <f>SUMIF(B14:AF14,"нм",B15:AF15)+SUMIF(B14:AF14,"вп",B15:AF15)</f>
        <v>0</v>
      </c>
      <c r="AR13" s="199">
        <f>SUMIF(B14:AF14,"оп",B15:AF15)+SUMIF(B14:AF14,"ух",B15:AF15)</f>
        <v>0</v>
      </c>
      <c r="AS13" s="301">
        <f>SUM(B15:AF15)-SUMIF(B14:AF14,"п",B15:AF15)-SUMIF(B14:AF14,"о",B15:AF15)-SUMIF(B14:AF14,"у",B15:AF15)-SUMIF(B14:AF14,"убз",B15:AF15)-SUMIF(B14:AF14,"р",B15:AF15)-SUMIF(B14:AF14,"б",B15:AF15)-SUMIF(B14:AF14,"т",B15:AF15)-SUMIF(B14:AF14,"ож",B15:AF15)-SUMIF(B14:AF14,"г",B15:AF15)-SUMIF(B14:AF14,"гч",B15:AF15)-SUMIF(B14:AF14,"гб",B15:AF15)-SUMIF(B14:AF14,"гс",B15:AF15)-SUMIF(B14:AF14,"мо",B15:AF15)-SUMIF(B14:AF14,"д",B15:AF15)-SUMIF(B14:AF14,"дм",B15:AF15)-SUMIF(B14:AF14,"до",B15:AF15)-SUMIF(B14:AF14,"нр",B15:AF15)-SUMIF(B14:AF14,"сх",B15:AF15)-SUMIF(B14:AF14,"х",B15:AF15)-SUMIF(B14:AF14,"а",B15:AF15)-SUMIF(B14:AF14,"оа",B15:AF15)-SUMIF(B14:AF14,"оад",B15:AF15)-SUMIF(B14:AF14,"нн",B15:AF15)-SUMIF(B14:AF14,"пр",B15:AF15)-SUMIF(B14:AF14,"вп",B15:AF15)-SUMIF(B14:AF14,"нм",B15:AF15)-SUMIF(B14:AF14,"оп",B15:AF15)-SUMIF(B14:AF14,"ух",B15:AF15)-SUMIF(B14:AF14,"в",B15:AF15)-SUMIF(B14:AF14,"нб",B15:AF15)-SUMIF(B14:AF14,"ск",B15:AF15)</f>
        <v>3.7777777777777795</v>
      </c>
      <c r="AT13" s="303">
        <f>[1]Табель!AF29</f>
        <v>0</v>
      </c>
      <c r="AU13" s="303">
        <f>[1]Табель!AG29</f>
        <v>0</v>
      </c>
      <c r="AV13" s="180">
        <f>SUMIF(B14:AF14,"нс",B15:AF15)+SUMIF(B14:AF14,"н",B15:AF15)+SUMIF(B14:AF14,"нсп",B15:AF15)+SUMIF(B14:AF14,"нп",B15:AF15)+SUMIF(B14:AF14,"я/н",B15:AF15)+SUMIF(B14:AF14,"яп/нп",B15:AF15)+SUMIF(B14:AF14,"в/н",B15:AF15)</f>
        <v>2.3611111111111112</v>
      </c>
      <c r="AW13" s="288">
        <f>AS13</f>
        <v>3.7777777777777795</v>
      </c>
      <c r="AX13" s="288">
        <f>[1]Табель!AJ29</f>
        <v>0</v>
      </c>
      <c r="AY13" s="281">
        <f>SUMIF(B14:AF14,"к",B15:AF15)</f>
        <v>0</v>
      </c>
      <c r="AZ13" s="180">
        <f>SUMIF(B14:AF14,"яп",B15:AF15)+SUMIF(B14:AF14,"нп",B15:AF15)+SUMIF(B14:AF14,"нсп",B15:AF15)+SUMIF(B14:AF14,"рп",B15:AF15)+SUMIF(B14:AF14,"яп/нп",B15:AF15)</f>
        <v>0</v>
      </c>
      <c r="BA13" s="180">
        <f>SUMIF(B14:AF14,"ст",B15:AF15)</f>
        <v>0</v>
      </c>
      <c r="BB13" s="297" t="str">
        <f>ТАБЕЛЬ!AS16</f>
        <v>слесарь по ремонту подв.состава</v>
      </c>
      <c r="BC13" s="299">
        <f>ТАБЕЛЬ!AV16</f>
        <v>2781</v>
      </c>
      <c r="BD13" s="296">
        <f>DAY(EOMONTH($BA$4,0))-COUNTIF(B14:AF14,"--")*1-COUNTIF(B14:AF14,"убз")*1-COUNTIF(B14:AF14,"р")*1-COUNTIF(B14:AF14,"ож")*1-COUNTIF(B14:AF14,"д")*1-COUNTIF(B14:AF14,"гс")*1-COUNTIF(B14:AF14,"б")*1-COUNTIF(B14:AF14,"нб")*1-COUNTIF(B14:AF14,"х")*1-COUNTIF(B14:AF14,"дм")*1-COUNTIF(B14:AF14,"а")*1-COUNTIF(B14:AF14,"аа")*1-COUNTIF(B14:AF14,"га")*1</f>
        <v>24</v>
      </c>
      <c r="BE13" s="95"/>
      <c r="BF13" s="95"/>
      <c r="BG13" s="1">
        <f t="shared" si="0"/>
        <v>0</v>
      </c>
      <c r="BH13" s="1">
        <f t="shared" si="1"/>
        <v>1</v>
      </c>
      <c r="BI13" s="56">
        <f t="shared" si="2"/>
        <v>0.27777777777777779</v>
      </c>
      <c r="BJ13" s="60" t="s">
        <v>114</v>
      </c>
    </row>
    <row r="14" spans="1:62" ht="15.75">
      <c r="A14" s="96" t="str">
        <f>ТАБЕЛЬ!B22</f>
        <v>см</v>
      </c>
      <c r="B14" s="79" t="str">
        <f>ТАБЕЛЬ!C17</f>
        <v>НС</v>
      </c>
      <c r="C14" s="79" t="str">
        <f>ТАБЕЛЬ!D17</f>
        <v>НС</v>
      </c>
      <c r="D14" s="79" t="str">
        <f>ТАБЕЛЬ!E17</f>
        <v>В</v>
      </c>
      <c r="E14" s="79" t="str">
        <f>ТАБЕЛЬ!F17</f>
        <v>А</v>
      </c>
      <c r="F14" s="79" t="str">
        <f>ТАБЕЛЬ!G17</f>
        <v>НС</v>
      </c>
      <c r="G14" s="79" t="str">
        <f>ТАБЕЛЬ!H17</f>
        <v>НС</v>
      </c>
      <c r="H14" s="79" t="str">
        <f>ТАБЕЛЬ!I17</f>
        <v>В</v>
      </c>
      <c r="I14" s="79" t="str">
        <f>ТАБЕЛЬ!J17</f>
        <v>Б</v>
      </c>
      <c r="J14" s="79" t="str">
        <f>ТАБЕЛЬ!K17</f>
        <v>Б</v>
      </c>
      <c r="K14" s="79" t="str">
        <f>ТАБЕЛЬ!L17</f>
        <v>Б</v>
      </c>
      <c r="L14" s="79" t="str">
        <f>ТАБЕЛЬ!M17</f>
        <v>В</v>
      </c>
      <c r="M14" s="79" t="str">
        <f>ТАБЕЛЬ!N17</f>
        <v>Я</v>
      </c>
      <c r="N14" s="79" t="str">
        <f>ТАБЕЛЬ!O17</f>
        <v>НС</v>
      </c>
      <c r="O14" s="79" t="str">
        <f>ТАБЕЛЬ!P17</f>
        <v>НС</v>
      </c>
      <c r="P14" s="79" t="str">
        <f>ТАБЕЛЬ!Q17</f>
        <v>В</v>
      </c>
      <c r="Q14" s="79" t="str">
        <f>ТАБЕЛЬ!C19</f>
        <v>Я</v>
      </c>
      <c r="R14" s="79" t="str">
        <f>ТАБЕЛЬ!D19</f>
        <v>НС</v>
      </c>
      <c r="S14" s="79" t="str">
        <f>ТАБЕЛЬ!E19</f>
        <v>НС</v>
      </c>
      <c r="T14" s="79" t="str">
        <f>ТАБЕЛЬ!F19</f>
        <v>В</v>
      </c>
      <c r="U14" s="79" t="str">
        <f>ТАБЕЛЬ!G19</f>
        <v>Я</v>
      </c>
      <c r="V14" s="79" t="str">
        <f>ТАБЕЛЬ!H19</f>
        <v>НС</v>
      </c>
      <c r="W14" s="79" t="str">
        <f>ТАБЕЛЬ!I19</f>
        <v>НС</v>
      </c>
      <c r="X14" s="79" t="str">
        <f>ТАБЕЛЬ!J19</f>
        <v>В</v>
      </c>
      <c r="Y14" s="79" t="str">
        <f>ТАБЕЛЬ!K19</f>
        <v>О</v>
      </c>
      <c r="Z14" s="79" t="str">
        <f>ТАБЕЛЬ!L19</f>
        <v>О</v>
      </c>
      <c r="AA14" s="79" t="str">
        <f>ТАБЕЛЬ!M19</f>
        <v>Б</v>
      </c>
      <c r="AB14" s="79" t="str">
        <f>ТАБЕЛЬ!N19</f>
        <v>Б</v>
      </c>
      <c r="AC14" s="79" t="str">
        <f>ТАБЕЛЬ!O19</f>
        <v>Б</v>
      </c>
      <c r="AD14" s="79" t="str">
        <f>ТАБЕЛЬ!P19</f>
        <v>О</v>
      </c>
      <c r="AE14" s="79" t="str">
        <f>ТАБЕЛЬ!Q19</f>
        <v>О</v>
      </c>
      <c r="AF14" s="79" t="str">
        <f>ТАБЕЛЬ!R19</f>
        <v>О</v>
      </c>
      <c r="AG14" s="295"/>
      <c r="AH14" s="186"/>
      <c r="AI14" s="186"/>
      <c r="AJ14" s="186"/>
      <c r="AK14" s="186"/>
      <c r="AL14" s="186"/>
      <c r="AM14" s="186"/>
      <c r="AN14" s="186"/>
      <c r="AO14" s="186"/>
      <c r="AP14" s="197"/>
      <c r="AQ14" s="200"/>
      <c r="AR14" s="200"/>
      <c r="AS14" s="302"/>
      <c r="AT14" s="304"/>
      <c r="AU14" s="304"/>
      <c r="AV14" s="181"/>
      <c r="AW14" s="289"/>
      <c r="AX14" s="289"/>
      <c r="AY14" s="282"/>
      <c r="AZ14" s="181"/>
      <c r="BA14" s="181"/>
      <c r="BB14" s="298"/>
      <c r="BC14" s="300"/>
      <c r="BD14" s="296"/>
      <c r="BE14" s="95"/>
      <c r="BF14" s="95"/>
      <c r="BG14" s="1">
        <f t="shared" si="0"/>
        <v>0</v>
      </c>
      <c r="BH14" s="1">
        <f t="shared" si="1"/>
        <v>1</v>
      </c>
      <c r="BI14" s="56">
        <f t="shared" si="2"/>
        <v>0</v>
      </c>
      <c r="BJ14" s="60" t="s">
        <v>115</v>
      </c>
    </row>
    <row r="15" spans="1:62" ht="15.75">
      <c r="A15" s="97"/>
      <c r="B15" s="79">
        <f>ТАБЕЛЬ!C18</f>
        <v>0.16666666666666666</v>
      </c>
      <c r="C15" s="79">
        <f>ТАБЕЛЬ!D18</f>
        <v>0.30555555555555552</v>
      </c>
      <c r="D15" s="79">
        <f>ТАБЕЛЬ!E18</f>
        <v>0</v>
      </c>
      <c r="E15" s="125">
        <f>ТАБЕЛЬ!F18</f>
        <v>0.47222222222222227</v>
      </c>
      <c r="F15" s="79">
        <f>ТАБЕЛЬ!G18</f>
        <v>0.16666666666666666</v>
      </c>
      <c r="G15" s="79">
        <f>ТАБЕЛЬ!H18</f>
        <v>0.30555555555555552</v>
      </c>
      <c r="H15" s="79">
        <f>ТАБЕЛЬ!I18</f>
        <v>0</v>
      </c>
      <c r="I15" s="125">
        <f>ТАБЕЛЬ!J18</f>
        <v>0.47222222222222227</v>
      </c>
      <c r="J15" s="125">
        <f>ТАБЕЛЬ!K18</f>
        <v>0.16666666666666666</v>
      </c>
      <c r="K15" s="125">
        <f>ТАБЕЛЬ!L18</f>
        <v>0.30555555555555552</v>
      </c>
      <c r="L15" s="125">
        <f>ТАБЕЛЬ!M18</f>
        <v>0</v>
      </c>
      <c r="M15" s="79">
        <f>ТАБЕЛЬ!N18</f>
        <v>0.47222222222222227</v>
      </c>
      <c r="N15" s="79">
        <f>ТАБЕЛЬ!O18</f>
        <v>0.16666666666666666</v>
      </c>
      <c r="O15" s="79">
        <f>ТАБЕЛЬ!P18</f>
        <v>0.30555555555555552</v>
      </c>
      <c r="P15" s="79">
        <f>ТАБЕЛЬ!Q18</f>
        <v>0</v>
      </c>
      <c r="Q15" s="79">
        <f>ТАБЕЛЬ!C20</f>
        <v>0.47222222222222227</v>
      </c>
      <c r="R15" s="79">
        <f>ТАБЕЛЬ!D20</f>
        <v>0.16666666666666666</v>
      </c>
      <c r="S15" s="79">
        <f>ТАБЕЛЬ!E20</f>
        <v>0.30555555555555552</v>
      </c>
      <c r="T15" s="79">
        <f>ТАБЕЛЬ!F20</f>
        <v>0</v>
      </c>
      <c r="U15" s="79">
        <f>ТАБЕЛЬ!G20</f>
        <v>0.47222222222222227</v>
      </c>
      <c r="V15" s="79">
        <f>ТАБЕЛЬ!H20</f>
        <v>0.16666666666666666</v>
      </c>
      <c r="W15" s="79">
        <f>ТАБЕЛЬ!I20</f>
        <v>0.30555555555555552</v>
      </c>
      <c r="X15" s="79">
        <f>ТАБЕЛЬ!J20</f>
        <v>0</v>
      </c>
      <c r="Y15" s="79">
        <f>ТАБЕЛЬ!K20</f>
        <v>0.29166666666666669</v>
      </c>
      <c r="Z15" s="79">
        <f>ТАБЕЛЬ!L20</f>
        <v>0.20833333333333334</v>
      </c>
      <c r="AA15" s="125">
        <f>ТАБЕЛЬ!M20</f>
        <v>0</v>
      </c>
      <c r="AB15" s="125">
        <f>ТАБЕЛЬ!N20</f>
        <v>0.29166666666666669</v>
      </c>
      <c r="AC15" s="125">
        <f>ТАБЕЛЬ!O20</f>
        <v>0.29166666666666669</v>
      </c>
      <c r="AD15" s="125">
        <f>ТАБЕЛЬ!P20</f>
        <v>0.29166666666666669</v>
      </c>
      <c r="AE15" s="125">
        <f>ТАБЕЛЬ!Q20</f>
        <v>0.29166666666666669</v>
      </c>
      <c r="AF15" s="125">
        <f>ТАБЕЛЬ!R20</f>
        <v>0.29166666666666669</v>
      </c>
      <c r="AG15" s="295"/>
      <c r="AH15" s="186"/>
      <c r="AI15" s="186"/>
      <c r="AJ15" s="186"/>
      <c r="AK15" s="186"/>
      <c r="AL15" s="186"/>
      <c r="AM15" s="186"/>
      <c r="AN15" s="186"/>
      <c r="AO15" s="186"/>
      <c r="AP15" s="197"/>
      <c r="AQ15" s="200"/>
      <c r="AR15" s="200"/>
      <c r="AS15" s="302"/>
      <c r="AT15" s="304"/>
      <c r="AU15" s="304"/>
      <c r="AV15" s="181"/>
      <c r="AW15" s="289"/>
      <c r="AX15" s="290"/>
      <c r="AY15" s="283"/>
      <c r="AZ15" s="182"/>
      <c r="BA15" s="182"/>
      <c r="BB15" s="298"/>
      <c r="BC15" s="300"/>
      <c r="BD15" s="296"/>
      <c r="BE15" s="95"/>
      <c r="BF15" s="95"/>
      <c r="BG15" s="1">
        <f t="shared" si="0"/>
        <v>0</v>
      </c>
      <c r="BH15" s="1">
        <f t="shared" si="1"/>
        <v>0</v>
      </c>
      <c r="BI15" s="56">
        <f t="shared" si="2"/>
        <v>0</v>
      </c>
      <c r="BJ15" s="60" t="s">
        <v>116</v>
      </c>
    </row>
    <row r="16" spans="1:62" ht="31.5" customHeight="1">
      <c r="A16" s="104" t="str">
        <f>ТАБЕЛЬ!B21</f>
        <v>3. Купрацевич Владимир Леонидович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6"/>
      <c r="AG16" s="295">
        <f>IFERROR(ROUNDDOWN(IF(A17="еж",(AS16-AU16)/BI16,(AS16-AU16)/BI16),0),"--")</f>
        <v>8</v>
      </c>
      <c r="AH16" s="186">
        <f>COUNTIF(B17:AF17,"п")*1</f>
        <v>0</v>
      </c>
      <c r="AI16" s="186">
        <f>COUNTIF(B17:AF17,"о")*1</f>
        <v>0</v>
      </c>
      <c r="AJ16" s="186">
        <f>COUNTIF(B17:AF17,"у")*1+COUNTIF(B17:AF17,"убз")*1</f>
        <v>0</v>
      </c>
      <c r="AK16" s="186">
        <f>COUNTIF(B17:AF17,"р")*1</f>
        <v>0</v>
      </c>
      <c r="AL16" s="186">
        <f>COUNTIF(B17:AF17,"б")*1+COUNTIF(B17:AF17,"нб")*1</f>
        <v>0</v>
      </c>
      <c r="AM16" s="186">
        <f>COUNTIF(B17:AF17,"д")*1+COUNTIF(B17:AF17,"гч")*1+COUNTIF(B17:AF17,"мо")*1+COUNTIF(B17:AF17,"дм")*1+COUNTIF(B17:AF17,"т")*1+COUNTIF(B17:AF17,"ож")*1+COUNTIF(B17:AF17,"г")*1+COUNTIF(B17:AF17,"гб")*1+COUNTIF(B17:AF17,"гс")*1+COUNTIF(B17:AF17,"х")*1+COUNTIF(B17:AF17,"сх")*1+COUNTIF(B17:AF17,"нр")*1</f>
        <v>0</v>
      </c>
      <c r="AN16" s="186">
        <f>COUNTIF(B17:AF17,"а")*1+COUNTIF(B17:AF17,"оа")*1+COUNTIF(B17:AF17,"оад")*1+COUNTIF(B17:AF17,"ск")*1</f>
        <v>19</v>
      </c>
      <c r="AO16" s="186">
        <f>COUNTIF(B17:AF17,"пр")*1+COUNTIF(B17:AF17,"нн")*1</f>
        <v>0</v>
      </c>
      <c r="AP16" s="196">
        <f>IFERROR(BD16-AG16-AH16-AI16-AJ16-AK16-AL16-AM16-AN16-AO16-BG16,"--")</f>
        <v>-15</v>
      </c>
      <c r="AQ16" s="199">
        <f>SUMIF(B17:AF17,"нм",B18:AF18)+SUMIF(B17:AF17,"вп",B18:AF18)</f>
        <v>0</v>
      </c>
      <c r="AR16" s="199">
        <f>SUMIF(B17:AF17,"оп",B18:AF18)+SUMIF(B17:AF17,"ух",B18:AF18)</f>
        <v>0</v>
      </c>
      <c r="AS16" s="301">
        <f>SUM(B18:AF18)-SUMIF(B17:AF17,"п",B18:AF18)-SUMIF(B17:AF17,"о",B18:AF18)-SUMIF(B17:AF17,"у",B18:AF18)-SUMIF(B17:AF17,"убз",B18:AF18)-SUMIF(B17:AF17,"р",B18:AF18)-SUMIF(B17:AF17,"б",B18:AF18)-SUMIF(B17:AF17,"т",B18:AF18)-SUMIF(B17:AF17,"ож",B18:AF18)-SUMIF(B17:AF17,"г",B18:AF18)-SUMIF(B17:AF17,"гч",B18:AF18)-SUMIF(B17:AF17,"гб",B18:AF18)-SUMIF(B17:AF17,"гс",B18:AF18)-SUMIF(B17:AF17,"мо",B18:AF18)-SUMIF(B17:AF17,"д",B18:AF18)-SUMIF(B17:AF17,"дм",B18:AF18)-SUMIF(B17:AF17,"до",B18:AF18)-SUMIF(B17:AF17,"нр",B18:AF18)-SUMIF(B17:AF17,"сх",B18:AF18)-SUMIF(B17:AF17,"х",B18:AF18)-SUMIF(B17:AF17,"а",B18:AF18)-SUMIF(B17:AF17,"оа",B18:AF18)-SUMIF(B17:AF17,"оад",B18:AF18)-SUMIF(B17:AF17,"нн",B18:AF18)-SUMIF(B17:AF17,"пр",B18:AF18)-SUMIF(B17:AF17,"вп",B18:AF18)-SUMIF(B17:AF17,"нм",B18:AF18)-SUMIF(B17:AF17,"оп",B18:AF18)-SUMIF(B17:AF17,"ух",B18:AF18)-SUMIF(B17:AF17,"в",B18:AF18)-SUMIF(B17:AF17,"нб",B18:AF18)-SUMIF(B17:AF17,"ск",B18:AF18)</f>
        <v>2.3611111111111125</v>
      </c>
      <c r="AT16" s="303">
        <f>[1]Табель!AF32</f>
        <v>0</v>
      </c>
      <c r="AU16" s="303">
        <f>[1]Табель!AG32</f>
        <v>0</v>
      </c>
      <c r="AV16" s="180">
        <f>SUMIF(B17:AF17,"нс",B18:AF18)+SUMIF(B17:AF17,"н",B18:AF18)+SUMIF(B17:AF17,"нсп",B18:AF18)+SUMIF(B17:AF17,"нп",B18:AF18)+SUMIF(B17:AF17,"я/н",B18:AF18)+SUMIF(B17:AF17,"яп/нп",B18:AF18)+SUMIF(B17:AF17,"в/н",B18:AF18)</f>
        <v>1.4166666666666667</v>
      </c>
      <c r="AW16" s="288">
        <f>AS16</f>
        <v>2.3611111111111125</v>
      </c>
      <c r="AX16" s="288">
        <f>[1]Табель!AJ32</f>
        <v>0</v>
      </c>
      <c r="AY16" s="281">
        <f>SUMIF(B17:AF17,"к",B18:AF18)</f>
        <v>0</v>
      </c>
      <c r="AZ16" s="180">
        <f>SUMIF(B17:AF17,"яп",B18:AF18)+SUMIF(B17:AF17,"нп",B18:AF18)+SUMIF(B17:AF17,"нсп",B18:AF18)+SUMIF(B17:AF17,"рп",B18:AF18)+SUMIF(B17:AF17,"яп/нп",B18:AF18)</f>
        <v>0</v>
      </c>
      <c r="BA16" s="180">
        <f>SUMIF(B17:AF17,"ст",B18:AF18)</f>
        <v>0</v>
      </c>
      <c r="BB16" s="297" t="str">
        <f>ТАБЕЛЬ!AS21</f>
        <v>слесарь по ремонту подв.состава</v>
      </c>
      <c r="BC16" s="299">
        <f>ТАБЕЛЬ!AV21</f>
        <v>3893</v>
      </c>
      <c r="BD16" s="296">
        <f>DAY(EOMONTH($BA$4,0))-COUNTIF(B17:AF17,"--")*1-COUNTIF(B17:AF17,"убз")*1-COUNTIF(B17:AF17,"р")*1-COUNTIF(B17:AF17,"ож")*1-COUNTIF(B17:AF17,"д")*1-COUNTIF(B17:AF17,"гс")*1-COUNTIF(B17:AF17,"б")*1-COUNTIF(B17:AF17,"нб")*1-COUNTIF(B17:AF17,"х")*1-COUNTIF(B17:AF17,"дм")*1-COUNTIF(B17:AF17,"а")*1-COUNTIF(B17:AF17,"аа")*1-COUNTIF(B17:AF17,"га")*1</f>
        <v>12</v>
      </c>
      <c r="BE16" s="95"/>
      <c r="BF16" s="95"/>
      <c r="BG16" s="1">
        <f t="shared" si="0"/>
        <v>0</v>
      </c>
      <c r="BH16" s="1">
        <f t="shared" si="1"/>
        <v>1</v>
      </c>
      <c r="BI16" s="56">
        <f t="shared" si="2"/>
        <v>0.27777777777777779</v>
      </c>
      <c r="BJ16" s="1"/>
    </row>
    <row r="17" spans="1:62" ht="15.75">
      <c r="A17" s="96" t="str">
        <f>ТАБЕЛЬ!B27</f>
        <v>см</v>
      </c>
      <c r="B17" s="79" t="str">
        <f>ТАБЕЛЬ!C22</f>
        <v>НС</v>
      </c>
      <c r="C17" s="79" t="str">
        <f>ТАБЕЛЬ!D22</f>
        <v>НС</v>
      </c>
      <c r="D17" s="79" t="str">
        <f>ТАБЕЛЬ!E22</f>
        <v>В</v>
      </c>
      <c r="E17" s="79" t="str">
        <f>ТАБЕЛЬ!F22</f>
        <v>А</v>
      </c>
      <c r="F17" s="79" t="str">
        <f>ТАБЕЛЬ!G22</f>
        <v>А</v>
      </c>
      <c r="G17" s="79" t="str">
        <f>ТАБЕЛЬ!H22</f>
        <v>А</v>
      </c>
      <c r="H17" s="79" t="str">
        <f>ТАБЕЛЬ!I22</f>
        <v>А</v>
      </c>
      <c r="I17" s="79" t="str">
        <f>ТАБЕЛЬ!J22</f>
        <v>А</v>
      </c>
      <c r="J17" s="79" t="str">
        <f>ТАБЕЛЬ!K22</f>
        <v>А</v>
      </c>
      <c r="K17" s="79" t="str">
        <f>ТАБЕЛЬ!L22</f>
        <v>А</v>
      </c>
      <c r="L17" s="79" t="str">
        <f>ТАБЕЛЬ!M22</f>
        <v>А</v>
      </c>
      <c r="M17" s="79" t="str">
        <f>ТАБЕЛЬ!N22</f>
        <v>А</v>
      </c>
      <c r="N17" s="79" t="str">
        <f>ТАБЕЛЬ!O22</f>
        <v>А</v>
      </c>
      <c r="O17" s="79" t="str">
        <f>ТАБЕЛЬ!P22</f>
        <v>А</v>
      </c>
      <c r="P17" s="79" t="str">
        <f>ТАБЕЛЬ!Q22</f>
        <v>А</v>
      </c>
      <c r="Q17" s="79" t="str">
        <f>ТАБЕЛЬ!C24</f>
        <v>А</v>
      </c>
      <c r="R17" s="79" t="str">
        <f>ТАБЕЛЬ!D24</f>
        <v>А</v>
      </c>
      <c r="S17" s="79" t="str">
        <f>ТАБЕЛЬ!E24</f>
        <v>А</v>
      </c>
      <c r="T17" s="79" t="str">
        <f>ТАБЕЛЬ!F24</f>
        <v>А</v>
      </c>
      <c r="U17" s="79" t="str">
        <f>ТАБЕЛЬ!G24</f>
        <v>А</v>
      </c>
      <c r="V17" s="79" t="str">
        <f>ТАБЕЛЬ!H24</f>
        <v>А</v>
      </c>
      <c r="W17" s="79" t="str">
        <f>ТАБЕЛЬ!I24</f>
        <v>А</v>
      </c>
      <c r="X17" s="79" t="str">
        <f>ТАБЕЛЬ!J24</f>
        <v>В</v>
      </c>
      <c r="Y17" s="79" t="str">
        <f>ТАБЕЛЬ!K24</f>
        <v>Я</v>
      </c>
      <c r="Z17" s="79" t="str">
        <f>ТАБЕЛЬ!L24</f>
        <v>НС</v>
      </c>
      <c r="AA17" s="79" t="str">
        <f>ТАБЕЛЬ!M24</f>
        <v>НС</v>
      </c>
      <c r="AB17" s="79" t="str">
        <f>ТАБЕЛЬ!N24</f>
        <v>В</v>
      </c>
      <c r="AC17" s="79" t="str">
        <f>ТАБЕЛЬ!O24</f>
        <v>Я</v>
      </c>
      <c r="AD17" s="79" t="str">
        <f>ТАБЕЛЬ!P24</f>
        <v>НС</v>
      </c>
      <c r="AE17" s="79" t="str">
        <f>ТАБЕЛЬ!Q24</f>
        <v>НС</v>
      </c>
      <c r="AF17" s="79" t="str">
        <f>ТАБЕЛЬ!R24</f>
        <v>В</v>
      </c>
      <c r="AG17" s="295"/>
      <c r="AH17" s="186"/>
      <c r="AI17" s="186"/>
      <c r="AJ17" s="186"/>
      <c r="AK17" s="186"/>
      <c r="AL17" s="186"/>
      <c r="AM17" s="186"/>
      <c r="AN17" s="186"/>
      <c r="AO17" s="186"/>
      <c r="AP17" s="197"/>
      <c r="AQ17" s="200"/>
      <c r="AR17" s="200"/>
      <c r="AS17" s="302"/>
      <c r="AT17" s="304"/>
      <c r="AU17" s="304"/>
      <c r="AV17" s="181"/>
      <c r="AW17" s="289"/>
      <c r="AX17" s="289"/>
      <c r="AY17" s="282"/>
      <c r="AZ17" s="181"/>
      <c r="BA17" s="181"/>
      <c r="BB17" s="298"/>
      <c r="BC17" s="300"/>
      <c r="BD17" s="296"/>
      <c r="BE17" s="95"/>
      <c r="BF17" s="95"/>
      <c r="BG17" s="1">
        <f t="shared" si="0"/>
        <v>0</v>
      </c>
      <c r="BH17" s="1">
        <f t="shared" si="1"/>
        <v>1</v>
      </c>
      <c r="BI17" s="56">
        <f t="shared" si="2"/>
        <v>0</v>
      </c>
      <c r="BJ17" s="1"/>
    </row>
    <row r="18" spans="1:62" ht="15.75">
      <c r="A18" s="97"/>
      <c r="B18" s="79">
        <f>ТАБЕЛЬ!C23</f>
        <v>0.16666666666666666</v>
      </c>
      <c r="C18" s="79">
        <f>ТАБЕЛЬ!D23</f>
        <v>0.30555555555555552</v>
      </c>
      <c r="D18" s="79">
        <f>ТАБЕЛЬ!E23</f>
        <v>0</v>
      </c>
      <c r="E18" s="125">
        <f>ТАБЕЛЬ!F23</f>
        <v>0.47222222222222227</v>
      </c>
      <c r="F18" s="125">
        <f>ТАБЕЛЬ!G23</f>
        <v>0.16666666666666666</v>
      </c>
      <c r="G18" s="125">
        <f>ТАБЕЛЬ!H23</f>
        <v>0.30555555555555552</v>
      </c>
      <c r="H18" s="125">
        <f>ТАБЕЛЬ!I23</f>
        <v>0</v>
      </c>
      <c r="I18" s="125">
        <f>ТАБЕЛЬ!J23</f>
        <v>0.47222222222222227</v>
      </c>
      <c r="J18" s="125">
        <f>ТАБЕЛЬ!K23</f>
        <v>0.16666666666666666</v>
      </c>
      <c r="K18" s="125">
        <f>ТАБЕЛЬ!L23</f>
        <v>0.30555555555555552</v>
      </c>
      <c r="L18" s="125">
        <f>ТАБЕЛЬ!M23</f>
        <v>0</v>
      </c>
      <c r="M18" s="125">
        <f>ТАБЕЛЬ!N23</f>
        <v>0.47222222222222227</v>
      </c>
      <c r="N18" s="125">
        <f>ТАБЕЛЬ!O23</f>
        <v>0.16666666666666666</v>
      </c>
      <c r="O18" s="125">
        <f>ТАБЕЛЬ!P23</f>
        <v>0.30555555555555552</v>
      </c>
      <c r="P18" s="125">
        <f>ТАБЕЛЬ!Q23</f>
        <v>0</v>
      </c>
      <c r="Q18" s="125">
        <f>ТАБЕЛЬ!C25</f>
        <v>0.47222222222222227</v>
      </c>
      <c r="R18" s="125">
        <f>ТАБЕЛЬ!D25</f>
        <v>0.16666666666666666</v>
      </c>
      <c r="S18" s="125">
        <f>ТАБЕЛЬ!E25</f>
        <v>0.30555555555555552</v>
      </c>
      <c r="T18" s="125">
        <f>ТАБЕЛЬ!F25</f>
        <v>0</v>
      </c>
      <c r="U18" s="125">
        <f>ТАБЕЛЬ!G25</f>
        <v>0.47222222222222227</v>
      </c>
      <c r="V18" s="125">
        <f>ТАБЕЛЬ!H25</f>
        <v>0.16666666666666666</v>
      </c>
      <c r="W18" s="125">
        <f>ТАБЕЛЬ!I25</f>
        <v>0.30555555555555552</v>
      </c>
      <c r="X18" s="125">
        <f>ТАБЕЛЬ!J25</f>
        <v>0</v>
      </c>
      <c r="Y18" s="79">
        <f>ТАБЕЛЬ!K25</f>
        <v>0.47222222222222227</v>
      </c>
      <c r="Z18" s="79">
        <f>ТАБЕЛЬ!L25</f>
        <v>0.16666666666666666</v>
      </c>
      <c r="AA18" s="79">
        <f>ТАБЕЛЬ!M25</f>
        <v>0.30555555555555552</v>
      </c>
      <c r="AB18" s="79">
        <f>ТАБЕЛЬ!N25</f>
        <v>0</v>
      </c>
      <c r="AC18" s="79">
        <f>ТАБЕЛЬ!O25</f>
        <v>0.47222222222222227</v>
      </c>
      <c r="AD18" s="79">
        <f>ТАБЕЛЬ!P25</f>
        <v>0.16666666666666666</v>
      </c>
      <c r="AE18" s="79">
        <f>ТАБЕЛЬ!Q25</f>
        <v>0.30555555555555552</v>
      </c>
      <c r="AF18" s="79">
        <f>ТАБЕЛЬ!R25</f>
        <v>0</v>
      </c>
      <c r="AG18" s="295"/>
      <c r="AH18" s="186"/>
      <c r="AI18" s="186"/>
      <c r="AJ18" s="186"/>
      <c r="AK18" s="186"/>
      <c r="AL18" s="186"/>
      <c r="AM18" s="186"/>
      <c r="AN18" s="186"/>
      <c r="AO18" s="186"/>
      <c r="AP18" s="197"/>
      <c r="AQ18" s="200"/>
      <c r="AR18" s="200"/>
      <c r="AS18" s="302"/>
      <c r="AT18" s="304"/>
      <c r="AU18" s="304"/>
      <c r="AV18" s="181"/>
      <c r="AW18" s="289"/>
      <c r="AX18" s="290"/>
      <c r="AY18" s="283"/>
      <c r="AZ18" s="182"/>
      <c r="BA18" s="182"/>
      <c r="BB18" s="298"/>
      <c r="BC18" s="300"/>
      <c r="BD18" s="296"/>
      <c r="BE18" s="98"/>
      <c r="BF18" s="98"/>
      <c r="BG18" s="1">
        <f t="shared" si="0"/>
        <v>0</v>
      </c>
      <c r="BH18" s="1">
        <f t="shared" si="1"/>
        <v>0</v>
      </c>
      <c r="BI18" s="56">
        <f t="shared" si="2"/>
        <v>0</v>
      </c>
      <c r="BJ18" s="1"/>
    </row>
    <row r="19" spans="1:62" ht="32.25" customHeight="1">
      <c r="A19" s="104" t="str">
        <f>ТАБЕЛЬ!B26</f>
        <v>4. Петрушенко Виктор Федорович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6"/>
      <c r="AG19" s="295">
        <f>IFERROR(ROUNDDOWN(IF(A20="еж",(AS19-AU19)/BI19,(AS19-AU19)/BI19),0),"--")</f>
        <v>17</v>
      </c>
      <c r="AH19" s="186">
        <f>COUNTIF(B20:AF20,"п")*1</f>
        <v>0</v>
      </c>
      <c r="AI19" s="186">
        <f>COUNTIF(B20:AF20,"о")*1</f>
        <v>0</v>
      </c>
      <c r="AJ19" s="186">
        <f>COUNTIF(B20:AF20,"у")*1+COUNTIF(B20:AF20,"убз")*1</f>
        <v>0</v>
      </c>
      <c r="AK19" s="186">
        <f>COUNTIF(B20:AF20,"р")*1</f>
        <v>0</v>
      </c>
      <c r="AL19" s="186">
        <f>COUNTIF(B20:AF20,"б")*1+COUNTIF(B20:AF20,"нб")*1</f>
        <v>0</v>
      </c>
      <c r="AM19" s="186">
        <f>COUNTIF(B20:AF20,"д")*1+COUNTIF(B20:AF20,"гч")*1+COUNTIF(B20:AF20,"мо")*1+COUNTIF(B20:AF20,"дм")*1+COUNTIF(B20:AF20,"т")*1+COUNTIF(B20:AF20,"ож")*1+COUNTIF(B20:AF20,"г")*1+COUNTIF(B20:AF20,"гб")*1+COUNTIF(B20:AF20,"гс")*1+COUNTIF(B20:AF20,"х")*1+COUNTIF(B20:AF20,"сх")*1+COUNTIF(B20:AF20,"нр")*1</f>
        <v>0</v>
      </c>
      <c r="AN19" s="186">
        <f>COUNTIF(B20:AF20,"а")*1+COUNTIF(B20:AF20,"оа")*1+COUNTIF(B20:AF20,"оад")*1+COUNTIF(B20:AF20,"ск")*1</f>
        <v>1</v>
      </c>
      <c r="AO19" s="186">
        <f>COUNTIF(B20:AF20,"пр")*1+COUNTIF(B20:AF20,"нн")*1</f>
        <v>0</v>
      </c>
      <c r="AP19" s="294">
        <f>IFERROR(BD19-AG19-AH19-AI19-AJ19-AK19-AL19-AM19-AN19-AO19-BG19,"--")</f>
        <v>12</v>
      </c>
      <c r="AQ19" s="293">
        <f>SUMIF(B20:AF20,"нм",B21:AF21)+SUMIF(B20:AF20,"вп",B21:AF21)</f>
        <v>0</v>
      </c>
      <c r="AR19" s="293">
        <f>SUMIF(B20:AF20,"оп",B21:AF21)+SUMIF(B20:AF20,"ух",B21:AF21)</f>
        <v>0</v>
      </c>
      <c r="AS19" s="284">
        <f>SUM(B21:AF21)-SUMIF(B20:AF20,"п",B21:AF21)-SUMIF(B20:AF20,"о",B21:AF21)-SUMIF(B20:AF20,"у",B21:AF21)-SUMIF(B20:AF20,"убз",B21:AF21)-SUMIF(B20:AF20,"р",B21:AF21)-SUMIF(B20:AF20,"б",B21:AF21)-SUMIF(B20:AF20,"т",B21:AF21)-SUMIF(B20:AF20,"ож",B21:AF21)-SUMIF(B20:AF20,"г",B21:AF21)-SUMIF(B20:AF20,"гч",B21:AF21)-SUMIF(B20:AF20,"гб",B21:AF21)-SUMIF(B20:AF20,"гс",B21:AF21)-SUMIF(B20:AF20,"мо",B21:AF21)-SUMIF(B20:AF20,"д",B21:AF21)-SUMIF(B20:AF20,"дм",B21:AF21)-SUMIF(B20:AF20,"до",B21:AF21)-SUMIF(B20:AF20,"нр",B21:AF21)-SUMIF(B20:AF20,"сх",B21:AF21)-SUMIF(B20:AF20,"х",B21:AF21)-SUMIF(B20:AF20,"а",B21:AF21)-SUMIF(B20:AF20,"оа",B21:AF21)-SUMIF(B20:AF20,"оад",B21:AF21)-SUMIF(B20:AF20,"нн",B21:AF21)-SUMIF(B20:AF20,"пр",B21:AF21)-SUMIF(B20:AF20,"вп",B21:AF21)-SUMIF(B20:AF20,"нм",B21:AF21)-SUMIF(B20:AF20,"оп",B21:AF21)-SUMIF(B20:AF20,"ух",B21:AF21)-SUMIF(B20:AF20,"в",B21:AF21)-SUMIF(B20:AF20,"нб",B21:AF21)-SUMIF(B20:AF20,"ск",B21:AF21)</f>
        <v>4.7222222222222214</v>
      </c>
      <c r="AT19" s="285">
        <f>[1]Табель!AF35</f>
        <v>0</v>
      </c>
      <c r="AU19" s="285">
        <f>[1]Табель!AG35</f>
        <v>0</v>
      </c>
      <c r="AV19" s="286">
        <f>SUMIF(B20:AF20,"нс",B21:AF21)+SUMIF(B20:AF20,"н",B21:AF21)+SUMIF(B20:AF20,"нсп",B21:AF21)+SUMIF(B20:AF20,"нп",B21:AF21)+SUMIF(B20:AF20,"я/н",B21:AF21)+SUMIF(B20:AF20,"яп/нп",B21:AF21)+SUMIF(B20:AF20,"в/н",B21:AF21)</f>
        <v>2.833333333333333</v>
      </c>
      <c r="AW19" s="287">
        <f>AS19</f>
        <v>4.7222222222222214</v>
      </c>
      <c r="AX19" s="288">
        <f>[1]Табель!AJ35</f>
        <v>0</v>
      </c>
      <c r="AY19" s="281">
        <f>SUMIF(B20:AF20,"к",B21:AF21)</f>
        <v>0</v>
      </c>
      <c r="AZ19" s="180">
        <f>SUMIF(B20:AF20,"яп",B21:AF21)+SUMIF(B20:AF20,"нп",B21:AF21)+SUMIF(B20:AF20,"нсп",B21:AF21)+SUMIF(B20:AF20,"рп",B21:AF21)+SUMIF(B20:AF20,"яп/нп",B21:AF21)</f>
        <v>0</v>
      </c>
      <c r="BA19" s="180">
        <f>SUMIF(B20:AF20,"ст",B21:AF21)</f>
        <v>0</v>
      </c>
      <c r="BB19" s="291" t="str">
        <f>ТАБЕЛЬ!AS26</f>
        <v>слесарь по ремонту подв.состава</v>
      </c>
      <c r="BC19" s="292">
        <f>ТАБЕЛЬ!AV26</f>
        <v>3808</v>
      </c>
      <c r="BD19" s="296">
        <f>DAY(EOMONTH($BA$4,0))-COUNTIF(B20:AF20,"--")*1-COUNTIF(B20:AF20,"убз")*1-COUNTIF(B20:AF20,"р")*1-COUNTIF(B20:AF20,"ож")*1-COUNTIF(B20:AF20,"д")*1-COUNTIF(B20:AF20,"гс")*1-COUNTIF(B20:AF20,"б")*1-COUNTIF(B20:AF20,"нб")*1-COUNTIF(B20:AF20,"х")*1-COUNTIF(B20:AF20,"дм")*1-COUNTIF(B20:AF20,"а")*1-COUNTIF(B20:AF20,"аа")*1-COUNTIF(B20:AF20,"га")*1</f>
        <v>30</v>
      </c>
      <c r="BE19" s="95"/>
      <c r="BF19" s="95"/>
      <c r="BG19" s="1">
        <f t="shared" si="0"/>
        <v>0</v>
      </c>
      <c r="BH19" s="1">
        <f t="shared" si="1"/>
        <v>1</v>
      </c>
      <c r="BI19" s="56">
        <f t="shared" si="2"/>
        <v>0.27777777777777779</v>
      </c>
      <c r="BJ19" s="1"/>
    </row>
    <row r="20" spans="1:62" ht="15.75">
      <c r="A20" s="96" t="str">
        <f>ТАБЕЛЬ!B27</f>
        <v>см</v>
      </c>
      <c r="B20" s="79" t="str">
        <f>ТАБЕЛЬ!C27</f>
        <v>НС</v>
      </c>
      <c r="C20" s="79" t="str">
        <f>ТАБЕЛЬ!D27</f>
        <v>НС</v>
      </c>
      <c r="D20" s="125" t="str">
        <f>ТАБЕЛЬ!E27</f>
        <v>А</v>
      </c>
      <c r="E20" s="125" t="str">
        <f>ТАБЕЛЬ!F27</f>
        <v>В</v>
      </c>
      <c r="F20" s="125" t="str">
        <f>ТАБЕЛЬ!G27</f>
        <v>В</v>
      </c>
      <c r="G20" s="125" t="str">
        <f>ТАБЕЛЬ!H27</f>
        <v>В</v>
      </c>
      <c r="H20" s="125" t="str">
        <f>ТАБЕЛЬ!I27</f>
        <v>В</v>
      </c>
      <c r="I20" s="125" t="str">
        <f>ТАБЕЛЬ!J27</f>
        <v>В</v>
      </c>
      <c r="J20" s="125" t="str">
        <f>ТАБЕЛЬ!K27</f>
        <v>В</v>
      </c>
      <c r="K20" s="125" t="str">
        <f>ТАБЕЛЬ!L27</f>
        <v>В</v>
      </c>
      <c r="L20" s="125" t="str">
        <f>ТАБЕЛЬ!M27</f>
        <v>В</v>
      </c>
      <c r="M20" s="125" t="str">
        <f>ТАБЕЛЬ!N27</f>
        <v>В</v>
      </c>
      <c r="N20" s="79" t="str">
        <f>ТАБЕЛЬ!O27</f>
        <v>НС</v>
      </c>
      <c r="O20" s="79" t="str">
        <f>ТАБЕЛЬ!P27</f>
        <v>НС</v>
      </c>
      <c r="P20" s="79" t="str">
        <f>ТАБЕЛЬ!Q27</f>
        <v>В</v>
      </c>
      <c r="Q20" s="79" t="str">
        <f>ТАБЕЛЬ!C29</f>
        <v>Я</v>
      </c>
      <c r="R20" s="79" t="str">
        <f>ТАБЕЛЬ!D29</f>
        <v>НС</v>
      </c>
      <c r="S20" s="79" t="str">
        <f>ТАБЕЛЬ!E29</f>
        <v>НС</v>
      </c>
      <c r="T20" s="79" t="str">
        <f>ТАБЕЛЬ!F29</f>
        <v>В</v>
      </c>
      <c r="U20" s="79" t="str">
        <f>ТАБЕЛЬ!G29</f>
        <v>Я</v>
      </c>
      <c r="V20" s="79" t="str">
        <f>ТАБЕЛЬ!H29</f>
        <v>НС</v>
      </c>
      <c r="W20" s="79" t="str">
        <f>ТАБЕЛЬ!I29</f>
        <v>НС</v>
      </c>
      <c r="X20" s="79" t="str">
        <f>ТАБЕЛЬ!J29</f>
        <v>В</v>
      </c>
      <c r="Y20" s="79" t="str">
        <f>ТАБЕЛЬ!K29</f>
        <v>Я</v>
      </c>
      <c r="Z20" s="79" t="str">
        <f>ТАБЕЛЬ!L29</f>
        <v>НС</v>
      </c>
      <c r="AA20" s="79" t="str">
        <f>ТАБЕЛЬ!M29</f>
        <v>НС</v>
      </c>
      <c r="AB20" s="79" t="str">
        <f>ТАБЕЛЬ!N29</f>
        <v>В</v>
      </c>
      <c r="AC20" s="79" t="str">
        <f>ТАБЕЛЬ!O29</f>
        <v>Я</v>
      </c>
      <c r="AD20" s="79" t="str">
        <f>ТАБЕЛЬ!P29</f>
        <v>НС</v>
      </c>
      <c r="AE20" s="79" t="str">
        <f>ТАБЕЛЬ!Q29</f>
        <v>НС</v>
      </c>
      <c r="AF20" s="79" t="str">
        <f>ТАБЕЛЬ!R29</f>
        <v>В</v>
      </c>
      <c r="AG20" s="295"/>
      <c r="AH20" s="186"/>
      <c r="AI20" s="186"/>
      <c r="AJ20" s="186"/>
      <c r="AK20" s="186"/>
      <c r="AL20" s="186"/>
      <c r="AM20" s="186"/>
      <c r="AN20" s="186"/>
      <c r="AO20" s="186"/>
      <c r="AP20" s="294"/>
      <c r="AQ20" s="293"/>
      <c r="AR20" s="293"/>
      <c r="AS20" s="284"/>
      <c r="AT20" s="285"/>
      <c r="AU20" s="285"/>
      <c r="AV20" s="286"/>
      <c r="AW20" s="287"/>
      <c r="AX20" s="289"/>
      <c r="AY20" s="282"/>
      <c r="AZ20" s="181"/>
      <c r="BA20" s="181"/>
      <c r="BB20" s="291"/>
      <c r="BC20" s="292"/>
      <c r="BD20" s="296"/>
      <c r="BE20" s="95"/>
      <c r="BF20" s="95"/>
      <c r="BG20" s="1">
        <f t="shared" si="0"/>
        <v>0</v>
      </c>
      <c r="BH20" s="1">
        <f t="shared" si="1"/>
        <v>1</v>
      </c>
      <c r="BI20" s="56">
        <f t="shared" si="2"/>
        <v>0</v>
      </c>
      <c r="BJ20" s="1"/>
    </row>
    <row r="21" spans="1:62" ht="15.75">
      <c r="A21" s="97"/>
      <c r="B21" s="79">
        <f>ТАБЕЛЬ!C28</f>
        <v>0.16666666666666666</v>
      </c>
      <c r="C21" s="79">
        <f>ТАБЕЛЬ!D28</f>
        <v>0.30555555555555552</v>
      </c>
      <c r="D21" s="125">
        <f>ТАБЕЛЬ!E28</f>
        <v>0</v>
      </c>
      <c r="E21" s="125">
        <f>ТАБЕЛЬ!F28</f>
        <v>0</v>
      </c>
      <c r="F21" s="125">
        <f>ТАБЕЛЬ!G28</f>
        <v>0</v>
      </c>
      <c r="G21" s="125">
        <f>ТАБЕЛЬ!H28</f>
        <v>0</v>
      </c>
      <c r="H21" s="125">
        <f>ТАБЕЛЬ!I28</f>
        <v>0</v>
      </c>
      <c r="I21" s="125">
        <f>ТАБЕЛЬ!J28</f>
        <v>0</v>
      </c>
      <c r="J21" s="125">
        <f>ТАБЕЛЬ!K28</f>
        <v>0</v>
      </c>
      <c r="K21" s="125">
        <f>ТАБЕЛЬ!L28</f>
        <v>0</v>
      </c>
      <c r="L21" s="125">
        <f>ТАБЕЛЬ!M28</f>
        <v>0</v>
      </c>
      <c r="M21" s="125">
        <f>ТАБЕЛЬ!N28</f>
        <v>0</v>
      </c>
      <c r="N21" s="79">
        <f>ТАБЕЛЬ!O28</f>
        <v>0.16666666666666666</v>
      </c>
      <c r="O21" s="79">
        <f>ТАБЕЛЬ!P28</f>
        <v>0.30555555555555552</v>
      </c>
      <c r="P21" s="79">
        <f>ТАБЕЛЬ!Q28</f>
        <v>0</v>
      </c>
      <c r="Q21" s="79">
        <f>ТАБЕЛЬ!C30</f>
        <v>0.47222222222222227</v>
      </c>
      <c r="R21" s="79">
        <f>ТАБЕЛЬ!D30</f>
        <v>0.16666666666666666</v>
      </c>
      <c r="S21" s="79">
        <f>ТАБЕЛЬ!E30</f>
        <v>0.30555555555555552</v>
      </c>
      <c r="T21" s="79">
        <f>ТАБЕЛЬ!F30</f>
        <v>0</v>
      </c>
      <c r="U21" s="79">
        <f>ТАБЕЛЬ!G30</f>
        <v>0.47222222222222227</v>
      </c>
      <c r="V21" s="79">
        <f>ТАБЕЛЬ!H30</f>
        <v>0.16666666666666666</v>
      </c>
      <c r="W21" s="79">
        <f>ТАБЕЛЬ!I30</f>
        <v>0.30555555555555552</v>
      </c>
      <c r="X21" s="79">
        <f>ТАБЕЛЬ!J30</f>
        <v>0</v>
      </c>
      <c r="Y21" s="79">
        <f>ТАБЕЛЬ!K30</f>
        <v>0.47222222222222227</v>
      </c>
      <c r="Z21" s="79">
        <f>ТАБЕЛЬ!L30</f>
        <v>0.16666666666666666</v>
      </c>
      <c r="AA21" s="79">
        <f>ТАБЕЛЬ!M30</f>
        <v>0.30555555555555552</v>
      </c>
      <c r="AB21" s="79">
        <f>ТАБЕЛЬ!N30</f>
        <v>0</v>
      </c>
      <c r="AC21" s="79">
        <f>ТАБЕЛЬ!O30</f>
        <v>0.47222222222222227</v>
      </c>
      <c r="AD21" s="79">
        <f>ТАБЕЛЬ!P30</f>
        <v>0.16666666666666666</v>
      </c>
      <c r="AE21" s="79">
        <f>ТАБЕЛЬ!Q30</f>
        <v>0.30555555555555552</v>
      </c>
      <c r="AF21" s="79">
        <f>ТАБЕЛЬ!R30</f>
        <v>0</v>
      </c>
      <c r="AG21" s="295"/>
      <c r="AH21" s="186"/>
      <c r="AI21" s="186"/>
      <c r="AJ21" s="186"/>
      <c r="AK21" s="186"/>
      <c r="AL21" s="186"/>
      <c r="AM21" s="186"/>
      <c r="AN21" s="186"/>
      <c r="AO21" s="186"/>
      <c r="AP21" s="294"/>
      <c r="AQ21" s="293"/>
      <c r="AR21" s="293"/>
      <c r="AS21" s="284"/>
      <c r="AT21" s="285"/>
      <c r="AU21" s="285"/>
      <c r="AV21" s="286"/>
      <c r="AW21" s="287"/>
      <c r="AX21" s="290"/>
      <c r="AY21" s="283"/>
      <c r="AZ21" s="182"/>
      <c r="BA21" s="182"/>
      <c r="BB21" s="291"/>
      <c r="BC21" s="292"/>
      <c r="BD21" s="296"/>
      <c r="BE21" s="95"/>
      <c r="BF21" s="95"/>
      <c r="BG21" s="1">
        <f t="shared" si="0"/>
        <v>0</v>
      </c>
      <c r="BH21" s="1">
        <f t="shared" si="1"/>
        <v>0</v>
      </c>
      <c r="BI21" s="56">
        <f t="shared" si="2"/>
        <v>0</v>
      </c>
      <c r="BJ21" s="1"/>
    </row>
    <row r="22" spans="1:62" ht="31.5" customHeight="1">
      <c r="A22" s="104" t="str">
        <f>ТАБЕЛЬ!B36</f>
        <v>6. Филиппов Дмитрий Григорьевич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6"/>
      <c r="AG22" s="295">
        <f>IFERROR(ROUNDDOWN(IF(A11="еж",(AS10-AU10)/BI10,(AS10-AU10)/BI10),0),"--")</f>
        <v>14</v>
      </c>
      <c r="AH22" s="186">
        <f>COUNTIF(B23:AF23,"п")*1</f>
        <v>0</v>
      </c>
      <c r="AI22" s="186">
        <f>COUNTIF(B23:AF23,"о")*1</f>
        <v>19</v>
      </c>
      <c r="AJ22" s="186">
        <f>COUNTIF(B23:AF23,"у")*1+COUNTIF(B23:AF23,"убз")*1</f>
        <v>0</v>
      </c>
      <c r="AK22" s="186">
        <f>COUNTIF(B23:AF23,"р")*1</f>
        <v>0</v>
      </c>
      <c r="AL22" s="186">
        <f>COUNTIF(B23:AF23,"б")*1+COUNTIF(B23:AF23,"нб")*1</f>
        <v>7</v>
      </c>
      <c r="AM22" s="186">
        <f>COUNTIF(B23:AF23,"д")*1+COUNTIF(B23:AF23,"гч")*1+COUNTIF(B23:AF23,"мо")*1+COUNTIF(B23:AF23,"дм")*1+COUNTIF(B23:AF23,"т")*1+COUNTIF(B23:AF23,"ож")*1+COUNTIF(B23:AF23,"г")*1+COUNTIF(B23:AF23,"гб")*1+COUNTIF(B23:AF23,"гс")*1+COUNTIF(B23:AF23,"х")*1+COUNTIF(B23:AF23,"сх")*1+COUNTIF(B23:AF23,"нр")*1</f>
        <v>0</v>
      </c>
      <c r="AN22" s="186">
        <f>COUNTIF(B23:AF23,"а")*1+COUNTIF(B23:AF23,"оа")*1+COUNTIF(B23:AF23,"оад")*1+COUNTIF(B23:AF23,"ск")*1</f>
        <v>0</v>
      </c>
      <c r="AO22" s="186">
        <f>COUNTIF(B23:AF23,"пр")*1+COUNTIF(B23:AF23,"нн")*1</f>
        <v>0</v>
      </c>
      <c r="AP22" s="294">
        <f>IFERROR(BD22-AG22-AH22-AI22-AJ22-AK22-AL22-AM22-AN22-AO22-BG22,"--")</f>
        <v>-40</v>
      </c>
      <c r="AQ22" s="293">
        <f>SUMIF(B23:AF23,"нм",B24:AF24)+SUMIF(B23:AF23,"вп",B24:AF24)</f>
        <v>0</v>
      </c>
      <c r="AR22" s="293">
        <f>SUMIF(B23:AF23,"оп",B24:AF24)+SUMIF(B23:AF23,"ух",B24:AF24)</f>
        <v>0</v>
      </c>
      <c r="AS22" s="284">
        <f>SUM(B24:AF24)-SUMIF(B23:AF23,"п",B24:AF24)-SUMIF(B23:AF23,"о",B24:AF24)-SUMIF(B23:AF23,"у",B24:AF24)-SUMIF(B23:AF23,"убз",B24:AF24)-SUMIF(B23:AF23,"р",B24:AF24)-SUMIF(B23:AF23,"б",B24:AF24)-SUMIF(B23:AF23,"т",B24:AF24)-SUMIF(B23:AF23,"ож",B24:AF24)-SUMIF(B23:AF23,"г",B24:AF24)-SUMIF(B23:AF23,"гч",B24:AF24)-SUMIF(B23:AF23,"гб",B24:AF24)-SUMIF(B23:AF23,"гс",B24:AF24)-SUMIF(B23:AF23,"мо",B24:AF24)-SUMIF(B23:AF23,"д",B24:AF24)-SUMIF(B23:AF23,"дм",B24:AF24)-SUMIF(B23:AF23,"до",B24:AF24)-SUMIF(B23:AF23,"нр",B24:AF24)-SUMIF(B23:AF23,"сх",B24:AF24)-SUMIF(B23:AF23,"х",B24:AF24)-SUMIF(B23:AF23,"а",B24:AF24)-SUMIF(B23:AF23,"оа",B24:AF24)-SUMIF(B23:AF23,"оад",B24:AF24)-SUMIF(B23:AF23,"нн",B24:AF24)-SUMIF(B23:AF23,"пр",B24:AF24)-SUMIF(B23:AF23,"вп",B24:AF24)-SUMIF(B23:AF23,"нм",B24:AF24)-SUMIF(B23:AF23,"оп",B24:AF24)-SUMIF(B23:AF23,"ух",B24:AF24)-SUMIF(B23:AF23,"в",B24:AF24)-SUMIF(B23:AF23,"нб",B24:AF24)-SUMIF(B23:AF23,"ск",B24:AF24)</f>
        <v>0.94444444444444486</v>
      </c>
      <c r="AT22" s="285">
        <f>[1]Табель!AF38</f>
        <v>0</v>
      </c>
      <c r="AU22" s="285">
        <f>[1]Табель!AG38</f>
        <v>0</v>
      </c>
      <c r="AV22" s="286">
        <f>SUMIF(B23:AF23,"нс",B24:AF24)+SUMIF(B23:AF23,"н",B24:AF24)+SUMIF(B23:AF23,"нсп",B24:AF24)+SUMIF(B23:AF23,"нп",B24:AF24)+SUMIF(B23:AF23,"я/н",B24:AF24)+SUMIF(B23:AF23,"яп/нп",B24:AF24)+SUMIF(B23:AF23,"в/н",B24:AF24)</f>
        <v>0.47222222222222221</v>
      </c>
      <c r="AW22" s="287">
        <f>AS22</f>
        <v>0.94444444444444486</v>
      </c>
      <c r="AX22" s="288">
        <f>[1]Табель!AJ38</f>
        <v>0</v>
      </c>
      <c r="AY22" s="281">
        <f>SUMIF(B23:AF23,"к",B24:AF24)</f>
        <v>0</v>
      </c>
      <c r="AZ22" s="180">
        <f>SUMIF(B23:AF23,"яп",B24:AF24)+SUMIF(B23:AF23,"нп",B24:AF24)+SUMIF(B23:AF23,"нсп",B24:AF24)+SUMIF(B23:AF23,"рп",B24:AF24)+SUMIF(B23:AF23,"яп/нп",B24:AF24)</f>
        <v>0</v>
      </c>
      <c r="BA22" s="180">
        <f>SUMIF(B23:AF23,"ст",B24:AF24)</f>
        <v>0</v>
      </c>
      <c r="BB22" s="291" t="str">
        <f>ТАБЕЛЬ!AS36</f>
        <v>слесарь по ремонту подв.состава</v>
      </c>
      <c r="BC22" s="292">
        <f>ТАБЕЛЬ!AV36</f>
        <v>2710</v>
      </c>
    </row>
    <row r="23" spans="1:62" ht="15.75">
      <c r="A23" s="96" t="str">
        <f>ТАБЕЛЬ!B37</f>
        <v>см</v>
      </c>
      <c r="B23" s="79" t="str">
        <f>ТАБЕЛЬ!C37</f>
        <v>О</v>
      </c>
      <c r="C23" s="79" t="str">
        <f>ТАБЕЛЬ!D37</f>
        <v>О</v>
      </c>
      <c r="D23" s="79" t="str">
        <f>ТАБЕЛЬ!E37</f>
        <v>О</v>
      </c>
      <c r="E23" s="79" t="str">
        <f>ТАБЕЛЬ!F37</f>
        <v>О</v>
      </c>
      <c r="F23" s="79" t="str">
        <f>ТАБЕЛЬ!G37</f>
        <v>О</v>
      </c>
      <c r="G23" s="79" t="str">
        <f>ТАБЕЛЬ!H37</f>
        <v>О</v>
      </c>
      <c r="H23" s="79" t="str">
        <f>ТАБЕЛЬ!I37</f>
        <v>О</v>
      </c>
      <c r="I23" s="79" t="str">
        <f>ТАБЕЛЬ!J37</f>
        <v>О</v>
      </c>
      <c r="J23" s="79" t="str">
        <f>ТАБЕЛЬ!K37</f>
        <v>О</v>
      </c>
      <c r="K23" s="79" t="str">
        <f>ТАБЕЛЬ!L37</f>
        <v>О</v>
      </c>
      <c r="L23" s="79" t="str">
        <f>ТАБЕЛЬ!M37</f>
        <v>О</v>
      </c>
      <c r="M23" s="79" t="str">
        <f>ТАБЕЛЬ!N37</f>
        <v>О</v>
      </c>
      <c r="N23" s="79" t="str">
        <f>ТАБЕЛЬ!O37</f>
        <v>О</v>
      </c>
      <c r="O23" s="79" t="str">
        <f>ТАБЕЛЬ!P37</f>
        <v>О</v>
      </c>
      <c r="P23" s="79" t="str">
        <f>ТАБЕЛЬ!Q37</f>
        <v>О</v>
      </c>
      <c r="Q23" s="79" t="str">
        <f>ТАБЕЛЬ!C39</f>
        <v>О</v>
      </c>
      <c r="R23" s="79" t="str">
        <f>ТАБЕЛЬ!D39</f>
        <v>О</v>
      </c>
      <c r="S23" s="79" t="str">
        <f>ТАБЕЛЬ!E39</f>
        <v>О</v>
      </c>
      <c r="T23" s="79" t="str">
        <f>ТАБЕЛЬ!F39</f>
        <v>О</v>
      </c>
      <c r="U23" s="79" t="str">
        <f>ТАБЕЛЬ!G39</f>
        <v>Б</v>
      </c>
      <c r="V23" s="79" t="str">
        <f>ТАБЕЛЬ!H39</f>
        <v>Б</v>
      </c>
      <c r="W23" s="79" t="str">
        <f>ТАБЕЛЬ!I39</f>
        <v>Б</v>
      </c>
      <c r="X23" s="79" t="str">
        <f>ТАБЕЛЬ!J39</f>
        <v>Б</v>
      </c>
      <c r="Y23" s="79" t="str">
        <f>ТАБЕЛЬ!K39</f>
        <v>Б</v>
      </c>
      <c r="Z23" s="79" t="str">
        <f>ТАБЕЛЬ!L39</f>
        <v>Б</v>
      </c>
      <c r="AA23" s="79" t="str">
        <f>ТАБЕЛЬ!M39</f>
        <v>Б</v>
      </c>
      <c r="AB23" s="79" t="str">
        <f>ТАБЕЛЬ!N39</f>
        <v>В</v>
      </c>
      <c r="AC23" s="79" t="str">
        <f>ТАБЕЛЬ!O39</f>
        <v>Я</v>
      </c>
      <c r="AD23" s="79" t="str">
        <f>ТАБЕЛЬ!P39</f>
        <v>НС</v>
      </c>
      <c r="AE23" s="79" t="str">
        <f>ТАБЕЛЬ!Q39</f>
        <v>НС</v>
      </c>
      <c r="AF23" s="79" t="str">
        <f>ТАБЕЛЬ!R39</f>
        <v>В</v>
      </c>
      <c r="AG23" s="295"/>
      <c r="AH23" s="186"/>
      <c r="AI23" s="186"/>
      <c r="AJ23" s="186"/>
      <c r="AK23" s="186"/>
      <c r="AL23" s="186"/>
      <c r="AM23" s="186"/>
      <c r="AN23" s="186"/>
      <c r="AO23" s="186"/>
      <c r="AP23" s="294"/>
      <c r="AQ23" s="293"/>
      <c r="AR23" s="293"/>
      <c r="AS23" s="284"/>
      <c r="AT23" s="285"/>
      <c r="AU23" s="285"/>
      <c r="AV23" s="286"/>
      <c r="AW23" s="287"/>
      <c r="AX23" s="289"/>
      <c r="AY23" s="282"/>
      <c r="AZ23" s="181"/>
      <c r="BA23" s="181"/>
      <c r="BB23" s="291"/>
      <c r="BC23" s="292"/>
    </row>
    <row r="24" spans="1:62" ht="15.75">
      <c r="A24" s="97"/>
      <c r="B24" s="79">
        <f>ТАБЕЛЬ!C38</f>
        <v>0.29166666666666669</v>
      </c>
      <c r="C24" s="79">
        <f>ТАБЕЛЬ!D38</f>
        <v>0.29166666666666669</v>
      </c>
      <c r="D24" s="79">
        <f>ТАБЕЛЬ!E38</f>
        <v>0.29166666666666669</v>
      </c>
      <c r="E24" s="79">
        <f>ТАБЕЛЬ!F38</f>
        <v>0.20833333333333334</v>
      </c>
      <c r="F24" s="79">
        <f>ТАБЕЛЬ!G38</f>
        <v>0</v>
      </c>
      <c r="G24" s="79">
        <f>ТАБЕЛЬ!H38</f>
        <v>0.29166666666666669</v>
      </c>
      <c r="H24" s="79">
        <f>ТАБЕЛЬ!I38</f>
        <v>0.29166666666666669</v>
      </c>
      <c r="I24" s="79">
        <f>ТАБЕЛЬ!J38</f>
        <v>0.29166666666666669</v>
      </c>
      <c r="J24" s="79">
        <f>ТАБЕЛЬ!K38</f>
        <v>0.29166666666666669</v>
      </c>
      <c r="K24" s="79">
        <f>ТАБЕЛЬ!L38</f>
        <v>0.29166666666666669</v>
      </c>
      <c r="L24" s="79">
        <f>ТАБЕЛЬ!M38</f>
        <v>0.20833333333333334</v>
      </c>
      <c r="M24" s="79">
        <f>ТАБЕЛЬ!N38</f>
        <v>0</v>
      </c>
      <c r="N24" s="79">
        <f>ТАБЕЛЬ!O38</f>
        <v>0.29166666666666669</v>
      </c>
      <c r="O24" s="79">
        <f>ТАБЕЛЬ!P38</f>
        <v>0.29166666666666669</v>
      </c>
      <c r="P24" s="79">
        <f>ТАБЕЛЬ!Q38</f>
        <v>0.29166666666666669</v>
      </c>
      <c r="Q24" s="79">
        <f>ТАБЕЛЬ!C40</f>
        <v>0.29166666666666669</v>
      </c>
      <c r="R24" s="79">
        <f>ТАБЕЛЬ!D40</f>
        <v>0.29166666666666669</v>
      </c>
      <c r="S24" s="79">
        <f>ТАБЕЛЬ!E40</f>
        <v>0.20833333333333334</v>
      </c>
      <c r="T24" s="79">
        <f>ТАБЕЛЬ!F40</f>
        <v>0</v>
      </c>
      <c r="U24" s="125">
        <f>ТАБЕЛЬ!G40</f>
        <v>0.47222222222222227</v>
      </c>
      <c r="V24" s="125">
        <f>ТАБЕЛЬ!H40</f>
        <v>0.16666666666666666</v>
      </c>
      <c r="W24" s="125">
        <f>ТАБЕЛЬ!I40</f>
        <v>0.30555555555555552</v>
      </c>
      <c r="X24" s="125">
        <f>ТАБЕЛЬ!J40</f>
        <v>0</v>
      </c>
      <c r="Y24" s="125">
        <f>ТАБЕЛЬ!K40</f>
        <v>0.47222222222222227</v>
      </c>
      <c r="Z24" s="125">
        <f>ТАБЕЛЬ!L40</f>
        <v>0.16666666666666666</v>
      </c>
      <c r="AA24" s="125">
        <f>ТАБЕЛЬ!M40</f>
        <v>0.30555555555555552</v>
      </c>
      <c r="AB24" s="125">
        <f>ТАБЕЛЬ!N40</f>
        <v>0</v>
      </c>
      <c r="AC24" s="79">
        <f>ТАБЕЛЬ!O40</f>
        <v>0.47222222222222227</v>
      </c>
      <c r="AD24" s="79">
        <f>ТАБЕЛЬ!P40</f>
        <v>0.16666666666666666</v>
      </c>
      <c r="AE24" s="79">
        <f>ТАБЕЛЬ!Q40</f>
        <v>0.30555555555555552</v>
      </c>
      <c r="AF24" s="79">
        <f>ТАБЕЛЬ!R40</f>
        <v>0</v>
      </c>
      <c r="AG24" s="295"/>
      <c r="AH24" s="186"/>
      <c r="AI24" s="186"/>
      <c r="AJ24" s="186"/>
      <c r="AK24" s="186"/>
      <c r="AL24" s="186"/>
      <c r="AM24" s="186"/>
      <c r="AN24" s="186"/>
      <c r="AO24" s="186"/>
      <c r="AP24" s="294"/>
      <c r="AQ24" s="293"/>
      <c r="AR24" s="293"/>
      <c r="AS24" s="284"/>
      <c r="AT24" s="285"/>
      <c r="AU24" s="285"/>
      <c r="AV24" s="286"/>
      <c r="AW24" s="287"/>
      <c r="AX24" s="290"/>
      <c r="AY24" s="283"/>
      <c r="AZ24" s="182"/>
      <c r="BA24" s="182"/>
      <c r="BB24" s="291"/>
      <c r="BC24" s="292"/>
    </row>
    <row r="25" spans="1:62" ht="32.25" customHeight="1">
      <c r="A25" s="104" t="str">
        <f>ТАБЕЛЬ!B41</f>
        <v>7. Хотянович Вячеслав Семенович</v>
      </c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6"/>
      <c r="AG25" s="295">
        <f>ТАБЕЛЬ!S43</f>
        <v>14</v>
      </c>
      <c r="AH25" s="186"/>
      <c r="AI25" s="186"/>
      <c r="AJ25" s="186"/>
      <c r="AK25" s="186"/>
      <c r="AL25" s="186"/>
      <c r="AM25" s="186"/>
      <c r="AN25" s="186"/>
      <c r="AO25" s="186"/>
      <c r="AP25" s="294"/>
      <c r="AQ25" s="293"/>
      <c r="AR25" s="293"/>
      <c r="AS25" s="284">
        <f>ТАБЕЛЬ!AI41</f>
        <v>3.9444444444444438</v>
      </c>
      <c r="AT25" s="285"/>
      <c r="AU25" s="285"/>
      <c r="AV25" s="286"/>
      <c r="AW25" s="287">
        <f>AS25</f>
        <v>3.9444444444444438</v>
      </c>
      <c r="AX25" s="288"/>
      <c r="AY25" s="281"/>
      <c r="AZ25" s="180"/>
      <c r="BA25" s="180"/>
      <c r="BB25" s="291" t="str">
        <f>ТАБЕЛЬ!AS41</f>
        <v>слесарь по ремонту подв.состава</v>
      </c>
      <c r="BC25" s="292">
        <f>ТАБЕЛЬ!AV41</f>
        <v>2677</v>
      </c>
    </row>
    <row r="26" spans="1:62" ht="15.75">
      <c r="A26" s="96" t="str">
        <f>ТАБЕЛЬ!B42</f>
        <v>см</v>
      </c>
      <c r="B26" s="79" t="str">
        <f>ТАБЕЛЬ!C42</f>
        <v>НС</v>
      </c>
      <c r="C26" s="79" t="str">
        <f>ТАБЕЛЬ!D42</f>
        <v>А</v>
      </c>
      <c r="D26" s="79" t="str">
        <f>ТАБЕЛЬ!E42</f>
        <v>Б</v>
      </c>
      <c r="E26" s="79" t="str">
        <f>ТАБЕЛЬ!F42</f>
        <v>Б</v>
      </c>
      <c r="F26" s="79" t="str">
        <f>ТАБЕЛЬ!G42</f>
        <v>Б</v>
      </c>
      <c r="G26" s="79" t="str">
        <f>ТАБЕЛЬ!H42</f>
        <v>Б</v>
      </c>
      <c r="H26" s="79" t="str">
        <f>ТАБЕЛЬ!I42</f>
        <v>Б</v>
      </c>
      <c r="I26" s="79" t="str">
        <f>ТАБЕЛЬ!J42</f>
        <v>В</v>
      </c>
      <c r="J26" s="79" t="str">
        <f>ТАБЕЛЬ!K42</f>
        <v>О</v>
      </c>
      <c r="K26" s="79" t="str">
        <f>ТАБЕЛЬ!L42</f>
        <v>О</v>
      </c>
      <c r="L26" s="79" t="str">
        <f>ТАБЕЛЬ!M42</f>
        <v>О</v>
      </c>
      <c r="M26" s="79" t="str">
        <f>ТАБЕЛЬ!N42</f>
        <v>О</v>
      </c>
      <c r="N26" s="79" t="str">
        <f>ТАБЕЛЬ!O42</f>
        <v>О</v>
      </c>
      <c r="O26" s="79" t="str">
        <f>ТАБЕЛЬ!P42</f>
        <v>О</v>
      </c>
      <c r="P26" s="79" t="str">
        <f>ТАБЕЛЬ!Q42</f>
        <v>В</v>
      </c>
      <c r="Q26" s="79" t="str">
        <f>ТАБЕЛЬ!C44</f>
        <v>Я</v>
      </c>
      <c r="R26" s="79" t="str">
        <f>ТАБЕЛЬ!D44</f>
        <v>НС</v>
      </c>
      <c r="S26" s="79" t="str">
        <f>ТАБЕЛЬ!E44</f>
        <v>НС</v>
      </c>
      <c r="T26" s="79" t="str">
        <f>ТАБЕЛЬ!F44</f>
        <v>В</v>
      </c>
      <c r="U26" s="79" t="str">
        <f>ТАБЕЛЬ!G44</f>
        <v>Я</v>
      </c>
      <c r="V26" s="79" t="str">
        <f>ТАБЕЛЬ!H44</f>
        <v>НС</v>
      </c>
      <c r="W26" s="79" t="str">
        <f>ТАБЕЛЬ!I44</f>
        <v>НС</v>
      </c>
      <c r="X26" s="79" t="str">
        <f>ТАБЕЛЬ!J44</f>
        <v>В</v>
      </c>
      <c r="Y26" s="79" t="str">
        <f>ТАБЕЛЬ!K44</f>
        <v>Я</v>
      </c>
      <c r="Z26" s="79" t="str">
        <f>ТАБЕЛЬ!L44</f>
        <v>НС</v>
      </c>
      <c r="AA26" s="79" t="str">
        <f>ТАБЕЛЬ!M44</f>
        <v>НС</v>
      </c>
      <c r="AB26" s="79" t="str">
        <f>ТАБЕЛЬ!N44</f>
        <v>В</v>
      </c>
      <c r="AC26" s="79" t="str">
        <f>ТАБЕЛЬ!O44</f>
        <v>Я</v>
      </c>
      <c r="AD26" s="79" t="str">
        <f>ТАБЕЛЬ!P44</f>
        <v>НС</v>
      </c>
      <c r="AE26" s="79" t="str">
        <f>ТАБЕЛЬ!Q44</f>
        <v>НС</v>
      </c>
      <c r="AF26" s="111" t="str">
        <f>ТАБЕЛЬ!R44</f>
        <v>В</v>
      </c>
      <c r="AG26" s="295"/>
      <c r="AH26" s="186"/>
      <c r="AI26" s="186"/>
      <c r="AJ26" s="186"/>
      <c r="AK26" s="186"/>
      <c r="AL26" s="186"/>
      <c r="AM26" s="186"/>
      <c r="AN26" s="186"/>
      <c r="AO26" s="186"/>
      <c r="AP26" s="294"/>
      <c r="AQ26" s="293"/>
      <c r="AR26" s="293"/>
      <c r="AS26" s="284"/>
      <c r="AT26" s="285"/>
      <c r="AU26" s="285"/>
      <c r="AV26" s="286"/>
      <c r="AW26" s="287"/>
      <c r="AX26" s="289"/>
      <c r="AY26" s="282"/>
      <c r="AZ26" s="181"/>
      <c r="BA26" s="181"/>
      <c r="BB26" s="291"/>
      <c r="BC26" s="292"/>
    </row>
    <row r="27" spans="1:62" ht="15.75">
      <c r="A27" s="97"/>
      <c r="B27" s="79">
        <f>ТАБЕЛЬ!C43</f>
        <v>0.16666666666666666</v>
      </c>
      <c r="C27" s="125">
        <f>ТАБЕЛЬ!D43</f>
        <v>0.30555555555555552</v>
      </c>
      <c r="D27" s="125">
        <f>ТАБЕЛЬ!E43</f>
        <v>0</v>
      </c>
      <c r="E27" s="125">
        <f>ТАБЕЛЬ!F43</f>
        <v>0.47222222222222227</v>
      </c>
      <c r="F27" s="125">
        <f>ТАБЕЛЬ!G43</f>
        <v>0.16666666666666666</v>
      </c>
      <c r="G27" s="125">
        <f>ТАБЕЛЬ!H43</f>
        <v>0.30555555555555552</v>
      </c>
      <c r="H27" s="125">
        <f>ТАБЕЛЬ!I43</f>
        <v>0</v>
      </c>
      <c r="I27" s="125">
        <f>ТАБЕЛЬ!J43</f>
        <v>0</v>
      </c>
      <c r="J27" s="125">
        <f>ТАБЕЛЬ!K43</f>
        <v>0.16666666666666666</v>
      </c>
      <c r="K27" s="125">
        <f>ТАБЕЛЬ!L43</f>
        <v>0.30555555555555552</v>
      </c>
      <c r="L27" s="125">
        <f>ТАБЕЛЬ!M43</f>
        <v>0</v>
      </c>
      <c r="M27" s="125">
        <f>ТАБЕЛЬ!N43</f>
        <v>0.47222222222222227</v>
      </c>
      <c r="N27" s="125">
        <f>ТАБЕЛЬ!O43</f>
        <v>0.16666666666666666</v>
      </c>
      <c r="O27" s="125">
        <f>ТАБЕЛЬ!P43</f>
        <v>0.30555555555555552</v>
      </c>
      <c r="P27" s="125">
        <f>ТАБЕЛЬ!Q43</f>
        <v>0</v>
      </c>
      <c r="Q27" s="79">
        <f>ТАБЕЛЬ!C45</f>
        <v>0.47222222222222227</v>
      </c>
      <c r="R27" s="79">
        <f>ТАБЕЛЬ!D45</f>
        <v>0.16666666666666666</v>
      </c>
      <c r="S27" s="79">
        <f>ТАБЕЛЬ!E45</f>
        <v>0.30555555555555552</v>
      </c>
      <c r="T27" s="79">
        <f>ТАБЕЛЬ!F45</f>
        <v>0</v>
      </c>
      <c r="U27" s="79">
        <f>ТАБЕЛЬ!G45</f>
        <v>0.47222222222222227</v>
      </c>
      <c r="V27" s="79">
        <f>ТАБЕЛЬ!H45</f>
        <v>0.16666666666666666</v>
      </c>
      <c r="W27" s="79">
        <f>ТАБЕЛЬ!I45</f>
        <v>0.30555555555555552</v>
      </c>
      <c r="X27" s="79">
        <f>ТАБЕЛЬ!J45</f>
        <v>0</v>
      </c>
      <c r="Y27" s="79">
        <f>ТАБЕЛЬ!K45</f>
        <v>0.47222222222222227</v>
      </c>
      <c r="Z27" s="79">
        <f>ТАБЕЛЬ!L45</f>
        <v>0.16666666666666666</v>
      </c>
      <c r="AA27" s="79">
        <f>ТАБЕЛЬ!M45</f>
        <v>0.30555555555555552</v>
      </c>
      <c r="AB27" s="79">
        <f>ТАБЕЛЬ!N45</f>
        <v>0</v>
      </c>
      <c r="AC27" s="79">
        <f>ТАБЕЛЬ!O45</f>
        <v>0.47222222222222227</v>
      </c>
      <c r="AD27" s="79">
        <f>ТАБЕЛЬ!P45</f>
        <v>0.16666666666666666</v>
      </c>
      <c r="AE27" s="79">
        <f>ТАБЕЛЬ!Q45</f>
        <v>0.30555555555555552</v>
      </c>
      <c r="AF27" s="111">
        <f>ТАБЕЛЬ!R45</f>
        <v>0</v>
      </c>
      <c r="AG27" s="295"/>
      <c r="AH27" s="186"/>
      <c r="AI27" s="186"/>
      <c r="AJ27" s="186"/>
      <c r="AK27" s="186"/>
      <c r="AL27" s="186"/>
      <c r="AM27" s="186"/>
      <c r="AN27" s="186"/>
      <c r="AO27" s="186"/>
      <c r="AP27" s="294"/>
      <c r="AQ27" s="293"/>
      <c r="AR27" s="293"/>
      <c r="AS27" s="284"/>
      <c r="AT27" s="285"/>
      <c r="AU27" s="285"/>
      <c r="AV27" s="286"/>
      <c r="AW27" s="287"/>
      <c r="AX27" s="290"/>
      <c r="AY27" s="283"/>
      <c r="AZ27" s="182"/>
      <c r="BA27" s="182"/>
      <c r="BB27" s="291"/>
      <c r="BC27" s="292"/>
    </row>
    <row r="28" spans="1:62" ht="31.5" customHeight="1">
      <c r="A28" s="104">
        <f>ТАБЕЛЬ!B46</f>
        <v>0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6"/>
      <c r="AG28" s="278" t="str">
        <f>ТАБЕЛЬ!S48</f>
        <v>--</v>
      </c>
      <c r="AH28" s="186"/>
      <c r="AI28" s="186"/>
      <c r="AJ28" s="186"/>
      <c r="AK28" s="186"/>
      <c r="AL28" s="186"/>
      <c r="AM28" s="186"/>
      <c r="AN28" s="186"/>
      <c r="AO28" s="186"/>
      <c r="AP28" s="294"/>
      <c r="AQ28" s="293"/>
      <c r="AR28" s="293"/>
      <c r="AS28" s="284">
        <f>ТАБЕЛЬ!AE48</f>
        <v>0</v>
      </c>
      <c r="AT28" s="285"/>
      <c r="AU28" s="285"/>
      <c r="AV28" s="286"/>
      <c r="AW28" s="287">
        <f>AS28</f>
        <v>0</v>
      </c>
      <c r="AX28" s="288"/>
      <c r="AY28" s="281"/>
      <c r="AZ28" s="180"/>
      <c r="BA28" s="180"/>
      <c r="BB28" s="291">
        <f>ТАБЕЛЬ!AS46</f>
        <v>0</v>
      </c>
      <c r="BC28" s="292">
        <f>ТАБЕЛЬ!AV46</f>
        <v>0</v>
      </c>
    </row>
    <row r="29" spans="1:62" ht="15.75">
      <c r="A29" s="96"/>
      <c r="B29" s="79" t="str">
        <f>ТАБЕЛЬ!C47</f>
        <v>--</v>
      </c>
      <c r="C29" s="79" t="str">
        <f>ТАБЕЛЬ!D47</f>
        <v>--</v>
      </c>
      <c r="D29" s="79" t="str">
        <f>ТАБЕЛЬ!E47</f>
        <v>--</v>
      </c>
      <c r="E29" s="79" t="str">
        <f>ТАБЕЛЬ!F47</f>
        <v>--</v>
      </c>
      <c r="F29" s="79" t="str">
        <f>ТАБЕЛЬ!G47</f>
        <v>--</v>
      </c>
      <c r="G29" s="79" t="str">
        <f>ТАБЕЛЬ!H47</f>
        <v>--</v>
      </c>
      <c r="H29" s="79" t="str">
        <f>ТАБЕЛЬ!I47</f>
        <v>--</v>
      </c>
      <c r="I29" s="79" t="str">
        <f>ТАБЕЛЬ!J47</f>
        <v>--</v>
      </c>
      <c r="J29" s="79" t="str">
        <f>ТАБЕЛЬ!K47</f>
        <v>--</v>
      </c>
      <c r="K29" s="79" t="str">
        <f>ТАБЕЛЬ!L47</f>
        <v>--</v>
      </c>
      <c r="L29" s="79" t="str">
        <f>ТАБЕЛЬ!M47</f>
        <v>--</v>
      </c>
      <c r="M29" s="79" t="str">
        <f>ТАБЕЛЬ!N47</f>
        <v>--</v>
      </c>
      <c r="N29" s="79" t="str">
        <f>ТАБЕЛЬ!O47</f>
        <v>--</v>
      </c>
      <c r="O29" s="79" t="str">
        <f>ТАБЕЛЬ!P47</f>
        <v>--</v>
      </c>
      <c r="P29" s="79" t="str">
        <f>ТАБЕЛЬ!Q47</f>
        <v>--</v>
      </c>
      <c r="Q29" s="79" t="str">
        <f>ТАБЕЛЬ!C49</f>
        <v>--</v>
      </c>
      <c r="R29" s="79" t="str">
        <f>ТАБЕЛЬ!D49</f>
        <v>--</v>
      </c>
      <c r="S29" s="79" t="str">
        <f>ТАБЕЛЬ!E49</f>
        <v>--</v>
      </c>
      <c r="T29" s="79" t="str">
        <f>ТАБЕЛЬ!F49</f>
        <v>--</v>
      </c>
      <c r="U29" s="79" t="str">
        <f>ТАБЕЛЬ!G49</f>
        <v>--</v>
      </c>
      <c r="V29" s="79" t="str">
        <f>ТАБЕЛЬ!H49</f>
        <v>--</v>
      </c>
      <c r="W29" s="79" t="str">
        <f>ТАБЕЛЬ!I49</f>
        <v>--</v>
      </c>
      <c r="X29" s="79" t="str">
        <f>ТАБЕЛЬ!J49</f>
        <v>--</v>
      </c>
      <c r="Y29" s="79" t="str">
        <f>ТАБЕЛЬ!K49</f>
        <v>--</v>
      </c>
      <c r="Z29" s="79" t="str">
        <f>ТАБЕЛЬ!L49</f>
        <v>--</v>
      </c>
      <c r="AA29" s="79" t="str">
        <f>ТАБЕЛЬ!M49</f>
        <v>--</v>
      </c>
      <c r="AB29" s="79" t="str">
        <f>ТАБЕЛЬ!N49</f>
        <v>--</v>
      </c>
      <c r="AC29" s="79" t="str">
        <f>ТАБЕЛЬ!O49</f>
        <v>--</v>
      </c>
      <c r="AD29" s="79" t="str">
        <f>ТАБЕЛЬ!P49</f>
        <v>--</v>
      </c>
      <c r="AE29" s="79" t="str">
        <f>ТАБЕЛЬ!Q49</f>
        <v>--</v>
      </c>
      <c r="AF29" s="79" t="str">
        <f>ТАБЕЛЬ!R49</f>
        <v>--</v>
      </c>
      <c r="AG29" s="279"/>
      <c r="AH29" s="186"/>
      <c r="AI29" s="186"/>
      <c r="AJ29" s="186"/>
      <c r="AK29" s="186"/>
      <c r="AL29" s="186"/>
      <c r="AM29" s="186"/>
      <c r="AN29" s="186"/>
      <c r="AO29" s="186"/>
      <c r="AP29" s="294"/>
      <c r="AQ29" s="293"/>
      <c r="AR29" s="293"/>
      <c r="AS29" s="284"/>
      <c r="AT29" s="285"/>
      <c r="AU29" s="285"/>
      <c r="AV29" s="286"/>
      <c r="AW29" s="287"/>
      <c r="AX29" s="289"/>
      <c r="AY29" s="282"/>
      <c r="AZ29" s="181"/>
      <c r="BA29" s="181"/>
      <c r="BB29" s="291"/>
      <c r="BC29" s="292"/>
    </row>
    <row r="30" spans="1:62" ht="15.75">
      <c r="A30" s="97"/>
      <c r="B30" s="79">
        <f>ТАБЕЛЬ!C48</f>
        <v>0</v>
      </c>
      <c r="C30" s="79">
        <f>ТАБЕЛЬ!D48</f>
        <v>0</v>
      </c>
      <c r="D30" s="79">
        <f>ТАБЕЛЬ!E48</f>
        <v>0</v>
      </c>
      <c r="E30" s="79">
        <f>ТАБЕЛЬ!F48</f>
        <v>0</v>
      </c>
      <c r="F30" s="79">
        <f>ТАБЕЛЬ!G48</f>
        <v>0</v>
      </c>
      <c r="G30" s="79">
        <f>ТАБЕЛЬ!H48</f>
        <v>0</v>
      </c>
      <c r="H30" s="79">
        <f>ТАБЕЛЬ!I48</f>
        <v>0</v>
      </c>
      <c r="I30" s="79">
        <f>ТАБЕЛЬ!J48</f>
        <v>0</v>
      </c>
      <c r="J30" s="79">
        <f>ТАБЕЛЬ!K48</f>
        <v>0</v>
      </c>
      <c r="K30" s="79">
        <f>ТАБЕЛЬ!L48</f>
        <v>0</v>
      </c>
      <c r="L30" s="79">
        <f>ТАБЕЛЬ!M48</f>
        <v>0</v>
      </c>
      <c r="M30" s="79">
        <f>ТАБЕЛЬ!N48</f>
        <v>0</v>
      </c>
      <c r="N30" s="79">
        <f>ТАБЕЛЬ!O48</f>
        <v>0</v>
      </c>
      <c r="O30" s="79">
        <f>ТАБЕЛЬ!P48</f>
        <v>0</v>
      </c>
      <c r="P30" s="79">
        <f>ТАБЕЛЬ!Q48</f>
        <v>0</v>
      </c>
      <c r="Q30" s="79">
        <f>ТАБЕЛЬ!C50</f>
        <v>0</v>
      </c>
      <c r="R30" s="79">
        <f>ТАБЕЛЬ!D50</f>
        <v>0</v>
      </c>
      <c r="S30" s="79">
        <f>ТАБЕЛЬ!E50</f>
        <v>0</v>
      </c>
      <c r="T30" s="79">
        <f>ТАБЕЛЬ!F50</f>
        <v>0</v>
      </c>
      <c r="U30" s="79">
        <f>ТАБЕЛЬ!G50</f>
        <v>0</v>
      </c>
      <c r="V30" s="79">
        <f>ТАБЕЛЬ!H50</f>
        <v>0</v>
      </c>
      <c r="W30" s="79">
        <f>ТАБЕЛЬ!I50</f>
        <v>0</v>
      </c>
      <c r="X30" s="79">
        <f>ТАБЕЛЬ!J50</f>
        <v>0</v>
      </c>
      <c r="Y30" s="79">
        <f>ТАБЕЛЬ!K50</f>
        <v>0</v>
      </c>
      <c r="Z30" s="79">
        <f>ТАБЕЛЬ!L50</f>
        <v>0</v>
      </c>
      <c r="AA30" s="79">
        <f>ТАБЕЛЬ!M50</f>
        <v>0</v>
      </c>
      <c r="AB30" s="79">
        <f>ТАБЕЛЬ!N50</f>
        <v>0</v>
      </c>
      <c r="AC30" s="79">
        <f>ТАБЕЛЬ!O50</f>
        <v>0</v>
      </c>
      <c r="AD30" s="79">
        <f>ТАБЕЛЬ!P50</f>
        <v>0</v>
      </c>
      <c r="AE30" s="79">
        <f>ТАБЕЛЬ!Q50</f>
        <v>0</v>
      </c>
      <c r="AF30" s="79">
        <f>ТАБЕЛЬ!R50</f>
        <v>0</v>
      </c>
      <c r="AG30" s="280"/>
      <c r="AH30" s="186"/>
      <c r="AI30" s="186"/>
      <c r="AJ30" s="186"/>
      <c r="AK30" s="186"/>
      <c r="AL30" s="186"/>
      <c r="AM30" s="186"/>
      <c r="AN30" s="186"/>
      <c r="AO30" s="186"/>
      <c r="AP30" s="294"/>
      <c r="AQ30" s="293"/>
      <c r="AR30" s="293"/>
      <c r="AS30" s="284"/>
      <c r="AT30" s="285"/>
      <c r="AU30" s="285"/>
      <c r="AV30" s="286"/>
      <c r="AW30" s="287"/>
      <c r="AX30" s="290"/>
      <c r="AY30" s="283"/>
      <c r="AZ30" s="182"/>
      <c r="BA30" s="182"/>
      <c r="BB30" s="291"/>
      <c r="BC30" s="292"/>
    </row>
  </sheetData>
  <mergeCells count="187">
    <mergeCell ref="A6:A7"/>
    <mergeCell ref="B6:Q6"/>
    <mergeCell ref="AG6:AO8"/>
    <mergeCell ref="AP6:AP8"/>
    <mergeCell ref="AQ6:AR7"/>
    <mergeCell ref="B1:E1"/>
    <mergeCell ref="G1:M1"/>
    <mergeCell ref="AW1:BD1"/>
    <mergeCell ref="B2:F2"/>
    <mergeCell ref="G2:M2"/>
    <mergeCell ref="N2:BC2"/>
    <mergeCell ref="AS6:AS8"/>
    <mergeCell ref="BB6:BB8"/>
    <mergeCell ref="BC6:BC8"/>
    <mergeCell ref="BD6:BD8"/>
    <mergeCell ref="B7:Q7"/>
    <mergeCell ref="B9:AF9"/>
    <mergeCell ref="L3:BB3"/>
    <mergeCell ref="O4:P4"/>
    <mergeCell ref="Q4:V4"/>
    <mergeCell ref="X4:Z4"/>
    <mergeCell ref="BB4:BC4"/>
    <mergeCell ref="AM10:AM12"/>
    <mergeCell ref="AN10:AN12"/>
    <mergeCell ref="AO10:AO12"/>
    <mergeCell ref="AP10:AP12"/>
    <mergeCell ref="AQ10:AQ12"/>
    <mergeCell ref="AR10:AR12"/>
    <mergeCell ref="AG10:AG12"/>
    <mergeCell ref="AH10:AH12"/>
    <mergeCell ref="AI10:AI12"/>
    <mergeCell ref="AJ10:AJ12"/>
    <mergeCell ref="AK10:AK12"/>
    <mergeCell ref="AL10:AL12"/>
    <mergeCell ref="AY10:AY12"/>
    <mergeCell ref="AZ10:AZ12"/>
    <mergeCell ref="BA10:BA12"/>
    <mergeCell ref="BB10:BB12"/>
    <mergeCell ref="BC10:BC12"/>
    <mergeCell ref="BD10:BD12"/>
    <mergeCell ref="AS10:AS12"/>
    <mergeCell ref="AT10:AT12"/>
    <mergeCell ref="AU10:AU12"/>
    <mergeCell ref="AV10:AV12"/>
    <mergeCell ref="AW10:AW12"/>
    <mergeCell ref="AX10:AX12"/>
    <mergeCell ref="AM13:AM15"/>
    <mergeCell ref="AN13:AN15"/>
    <mergeCell ref="AO13:AO15"/>
    <mergeCell ref="AP13:AP15"/>
    <mergeCell ref="AQ13:AQ15"/>
    <mergeCell ref="AR13:AR15"/>
    <mergeCell ref="BB13:BB15"/>
    <mergeCell ref="BC13:BC15"/>
    <mergeCell ref="BD13:BD15"/>
    <mergeCell ref="AG13:AG15"/>
    <mergeCell ref="AH13:AH15"/>
    <mergeCell ref="AI13:AI15"/>
    <mergeCell ref="AJ13:AJ15"/>
    <mergeCell ref="AK13:AK15"/>
    <mergeCell ref="AL13:AL15"/>
    <mergeCell ref="AY13:AY15"/>
    <mergeCell ref="AZ13:AZ15"/>
    <mergeCell ref="BA13:BA15"/>
    <mergeCell ref="AS13:AS15"/>
    <mergeCell ref="AT13:AT15"/>
    <mergeCell ref="AU13:AU15"/>
    <mergeCell ref="AV13:AV15"/>
    <mergeCell ref="AW13:AW15"/>
    <mergeCell ref="AX13:AX15"/>
    <mergeCell ref="AM16:AM18"/>
    <mergeCell ref="AN16:AN18"/>
    <mergeCell ref="AO16:AO18"/>
    <mergeCell ref="AP16:AP18"/>
    <mergeCell ref="AQ16:AQ18"/>
    <mergeCell ref="AR16:AR18"/>
    <mergeCell ref="AG16:AG18"/>
    <mergeCell ref="AH16:AH18"/>
    <mergeCell ref="AI16:AI18"/>
    <mergeCell ref="AJ16:AJ18"/>
    <mergeCell ref="AK16:AK18"/>
    <mergeCell ref="AL16:AL18"/>
    <mergeCell ref="AY16:AY18"/>
    <mergeCell ref="AZ16:AZ18"/>
    <mergeCell ref="BA16:BA18"/>
    <mergeCell ref="BB16:BB18"/>
    <mergeCell ref="BC16:BC18"/>
    <mergeCell ref="BD16:BD18"/>
    <mergeCell ref="AS16:AS18"/>
    <mergeCell ref="AT16:AT18"/>
    <mergeCell ref="AU16:AU18"/>
    <mergeCell ref="AV16:AV18"/>
    <mergeCell ref="AW16:AW18"/>
    <mergeCell ref="AX16:AX18"/>
    <mergeCell ref="AM19:AM21"/>
    <mergeCell ref="AN19:AN21"/>
    <mergeCell ref="AO19:AO21"/>
    <mergeCell ref="AP19:AP21"/>
    <mergeCell ref="AQ19:AQ21"/>
    <mergeCell ref="AR19:AR21"/>
    <mergeCell ref="AG19:AG21"/>
    <mergeCell ref="AH19:AH21"/>
    <mergeCell ref="AI19:AI21"/>
    <mergeCell ref="AJ19:AJ21"/>
    <mergeCell ref="AK19:AK21"/>
    <mergeCell ref="AL19:AL21"/>
    <mergeCell ref="AY19:AY21"/>
    <mergeCell ref="AZ19:AZ21"/>
    <mergeCell ref="BA19:BA21"/>
    <mergeCell ref="BB19:BB21"/>
    <mergeCell ref="BC19:BC21"/>
    <mergeCell ref="BD19:BD21"/>
    <mergeCell ref="AS19:AS21"/>
    <mergeCell ref="AT19:AT21"/>
    <mergeCell ref="AU19:AU21"/>
    <mergeCell ref="AV19:AV21"/>
    <mergeCell ref="AW19:AW21"/>
    <mergeCell ref="AX19:AX21"/>
    <mergeCell ref="BB22:BB24"/>
    <mergeCell ref="BC22:BC24"/>
    <mergeCell ref="AG25:AG27"/>
    <mergeCell ref="AH25:AH27"/>
    <mergeCell ref="AI25:AI27"/>
    <mergeCell ref="AJ25:AJ27"/>
    <mergeCell ref="AK25:AK27"/>
    <mergeCell ref="AS22:AS24"/>
    <mergeCell ref="AT22:AT24"/>
    <mergeCell ref="AU22:AU24"/>
    <mergeCell ref="AV22:AV24"/>
    <mergeCell ref="AW22:AW24"/>
    <mergeCell ref="AX22:AX24"/>
    <mergeCell ref="AM22:AM24"/>
    <mergeCell ref="AN22:AN24"/>
    <mergeCell ref="AO22:AO24"/>
    <mergeCell ref="AP22:AP24"/>
    <mergeCell ref="AQ22:AQ24"/>
    <mergeCell ref="AR22:AR24"/>
    <mergeCell ref="AG22:AG24"/>
    <mergeCell ref="AH22:AH24"/>
    <mergeCell ref="AI22:AI24"/>
    <mergeCell ref="AJ22:AJ24"/>
    <mergeCell ref="AK22:AK24"/>
    <mergeCell ref="AL25:AL27"/>
    <mergeCell ref="AM25:AM27"/>
    <mergeCell ref="AN25:AN27"/>
    <mergeCell ref="AO25:AO27"/>
    <mergeCell ref="AP25:AP27"/>
    <mergeCell ref="AQ25:AQ27"/>
    <mergeCell ref="AY22:AY24"/>
    <mergeCell ref="AZ22:AZ24"/>
    <mergeCell ref="BA22:BA24"/>
    <mergeCell ref="AL22:AL24"/>
    <mergeCell ref="AX25:AX27"/>
    <mergeCell ref="AY25:AY27"/>
    <mergeCell ref="AZ25:AZ27"/>
    <mergeCell ref="BA25:BA27"/>
    <mergeCell ref="BB25:BB27"/>
    <mergeCell ref="BC25:BC27"/>
    <mergeCell ref="AR25:AR27"/>
    <mergeCell ref="AS25:AS27"/>
    <mergeCell ref="AT25:AT27"/>
    <mergeCell ref="AU25:AU27"/>
    <mergeCell ref="AV25:AV27"/>
    <mergeCell ref="AW25:AW27"/>
    <mergeCell ref="AM28:AM30"/>
    <mergeCell ref="AN28:AN30"/>
    <mergeCell ref="AO28:AO30"/>
    <mergeCell ref="AP28:AP30"/>
    <mergeCell ref="AQ28:AQ30"/>
    <mergeCell ref="AR28:AR30"/>
    <mergeCell ref="BB28:BB30"/>
    <mergeCell ref="BC28:BC30"/>
    <mergeCell ref="AG28:AG30"/>
    <mergeCell ref="AH28:AH30"/>
    <mergeCell ref="AI28:AI30"/>
    <mergeCell ref="AJ28:AJ30"/>
    <mergeCell ref="AK28:AK30"/>
    <mergeCell ref="AL28:AL30"/>
    <mergeCell ref="AY28:AY30"/>
    <mergeCell ref="AZ28:AZ30"/>
    <mergeCell ref="BA28:BA30"/>
    <mergeCell ref="AS28:AS30"/>
    <mergeCell ref="AT28:AT30"/>
    <mergeCell ref="AU28:AU30"/>
    <mergeCell ref="AV28:AV30"/>
    <mergeCell ref="AW28:AW30"/>
    <mergeCell ref="AX28:AX30"/>
  </mergeCells>
  <conditionalFormatting sqref="B8:AF8">
    <cfRule type="expression" dxfId="121" priority="72" stopIfTrue="1">
      <formula>OR(WEEKDAY(B8,2)&gt;5,ISNUMBER(MATCH(B8,празд,0)))</formula>
    </cfRule>
  </conditionalFormatting>
  <conditionalFormatting sqref="B11:AF12 B17:AF18 B20:AF21 B26:AF27 B29:AF30 B14:AF15 B23:AF24">
    <cfRule type="containsText" dxfId="120" priority="62" operator="containsText" text="мо">
      <formula>NOT(ISERROR(SEARCH("мо",B11)))</formula>
    </cfRule>
    <cfRule type="containsText" dxfId="119" priority="63" operator="containsText" text="а">
      <formula>NOT(ISERROR(SEARCH("а",B11)))</formula>
    </cfRule>
    <cfRule type="containsText" dxfId="118" priority="64" operator="containsText" text="ск">
      <formula>NOT(ISERROR(SEARCH("ск",B11)))</formula>
    </cfRule>
    <cfRule type="containsText" dxfId="117" priority="65" operator="containsText" text="к">
      <formula>NOT(ISERROR(SEARCH("к",B11)))</formula>
    </cfRule>
    <cfRule type="containsText" dxfId="116" priority="66" operator="containsText" text="б">
      <formula>NOT(ISERROR(SEARCH("б",B11)))</formula>
    </cfRule>
    <cfRule type="containsText" dxfId="115" priority="67" operator="containsText" text="нп">
      <formula>NOT(ISERROR(SEARCH("нп",B11)))</formula>
    </cfRule>
    <cfRule type="containsText" dxfId="114" priority="68" operator="containsText" text="нсп">
      <formula>NOT(ISERROR(SEARCH("нсп",B11)))</formula>
    </cfRule>
    <cfRule type="containsText" dxfId="113" priority="69" operator="containsText" text="яп">
      <formula>NOT(ISERROR(SEARCH("яп",B11)))</formula>
    </cfRule>
    <cfRule type="containsText" dxfId="112" priority="70" operator="containsText" text="о">
      <formula>NOT(ISERROR(SEARCH("о",B11)))</formula>
    </cfRule>
    <cfRule type="containsText" dxfId="111" priority="71" operator="containsText" text="в">
      <formula>NOT(ISERROR(SEARCH("в",B11)))</formula>
    </cfRule>
  </conditionalFormatting>
  <conditionalFormatting sqref="B9 B11:AF12 B17:AF18 B20:AF21 B26:AF27 B29:AF30 B14:AF15 B23:AF24">
    <cfRule type="containsText" dxfId="110" priority="59" operator="containsText" text="у">
      <formula>NOT(ISERROR(SEARCH("у",B9)))</formula>
    </cfRule>
    <cfRule type="containsText" dxfId="109" priority="60" operator="containsText" text="Д">
      <formula>NOT(ISERROR(SEARCH("Д",B9)))</formula>
    </cfRule>
    <cfRule type="beginsWith" dxfId="108" priority="61" operator="beginsWith" text="г">
      <formula>LEFT(B9,1)="г"</formula>
    </cfRule>
  </conditionalFormatting>
  <conditionalFormatting sqref="B11:AF12 B17:AF18 B20:AF21 B26:AF27 B29:AF30 B14:AF15 B23:AF24">
    <cfRule type="containsText" dxfId="107" priority="58" operator="containsText" text="Р">
      <formula>NOT(ISERROR(SEARCH("Р",B11)))</formula>
    </cfRule>
  </conditionalFormatting>
  <conditionalFormatting sqref="B11:AF12 B17:AF18 B20:AF21 B26:AF27 B29:AF30 B14:AF15 B23:AF24">
    <cfRule type="containsText" dxfId="106" priority="48" operator="containsText" text="мо">
      <formula>NOT(ISERROR(SEARCH("мо",B11)))</formula>
    </cfRule>
    <cfRule type="containsText" dxfId="105" priority="49" operator="containsText" text="а">
      <formula>NOT(ISERROR(SEARCH("а",B11)))</formula>
    </cfRule>
    <cfRule type="containsText" dxfId="104" priority="50" operator="containsText" text="ск">
      <formula>NOT(ISERROR(SEARCH("ск",B11)))</formula>
    </cfRule>
    <cfRule type="containsText" dxfId="103" priority="51" operator="containsText" text="к">
      <formula>NOT(ISERROR(SEARCH("к",B11)))</formula>
    </cfRule>
    <cfRule type="containsText" dxfId="102" priority="52" operator="containsText" text="б">
      <formula>NOT(ISERROR(SEARCH("б",B11)))</formula>
    </cfRule>
    <cfRule type="containsText" dxfId="101" priority="53" operator="containsText" text="нп">
      <formula>NOT(ISERROR(SEARCH("нп",B11)))</formula>
    </cfRule>
    <cfRule type="containsText" dxfId="100" priority="54" operator="containsText" text="нсп">
      <formula>NOT(ISERROR(SEARCH("нсп",B11)))</formula>
    </cfRule>
    <cfRule type="containsText" dxfId="99" priority="55" operator="containsText" text="яп">
      <formula>NOT(ISERROR(SEARCH("яп",B11)))</formula>
    </cfRule>
    <cfRule type="containsText" dxfId="98" priority="56" operator="containsText" text="о">
      <formula>NOT(ISERROR(SEARCH("о",B11)))</formula>
    </cfRule>
    <cfRule type="containsText" dxfId="97" priority="57" operator="containsText" text="в">
      <formula>NOT(ISERROR(SEARCH("в",B11)))</formula>
    </cfRule>
  </conditionalFormatting>
  <conditionalFormatting sqref="B11:AF12 B17:AF18 B20:AF21 B26:AF27 B29:AF30 B14:AF15 B23:AF24">
    <cfRule type="containsText" dxfId="96" priority="39" operator="containsText" text="а">
      <formula>NOT(ISERROR(SEARCH("а",B11)))</formula>
    </cfRule>
    <cfRule type="containsText" dxfId="95" priority="40" operator="containsText" text="ск">
      <formula>NOT(ISERROR(SEARCH("ск",B11)))</formula>
    </cfRule>
    <cfRule type="containsText" dxfId="94" priority="41" operator="containsText" text="к">
      <formula>NOT(ISERROR(SEARCH("к",B11)))</formula>
    </cfRule>
    <cfRule type="containsText" dxfId="93" priority="42" operator="containsText" text="б">
      <formula>NOT(ISERROR(SEARCH("б",B11)))</formula>
    </cfRule>
    <cfRule type="containsText" dxfId="92" priority="43" operator="containsText" text="нп">
      <formula>NOT(ISERROR(SEARCH("нп",B11)))</formula>
    </cfRule>
    <cfRule type="containsText" dxfId="91" priority="44" operator="containsText" text="нсп">
      <formula>NOT(ISERROR(SEARCH("нсп",B11)))</formula>
    </cfRule>
    <cfRule type="containsText" dxfId="90" priority="45" operator="containsText" text="яп">
      <formula>NOT(ISERROR(SEARCH("яп",B11)))</formula>
    </cfRule>
    <cfRule type="containsText" dxfId="89" priority="46" operator="containsText" text="о">
      <formula>NOT(ISERROR(SEARCH("о",B11)))</formula>
    </cfRule>
    <cfRule type="containsText" dxfId="88" priority="47" operator="containsText" text="в">
      <formula>NOT(ISERROR(SEARCH("в",B11)))</formula>
    </cfRule>
  </conditionalFormatting>
  <conditionalFormatting sqref="BD12:BF12 BD15 BD18 BD21:BF21">
    <cfRule type="cellIs" dxfId="87" priority="38" operator="notEqual">
      <formula>#REF!+SUM($AH$10:$AP$12)+#REF!</formula>
    </cfRule>
  </conditionalFormatting>
  <conditionalFormatting sqref="BD15:BF15 BD18 BD21:BF21">
    <cfRule type="cellIs" dxfId="86" priority="37" operator="notEqual">
      <formula>#REF!+SUM($AH$10:$AP$12)+#REF!</formula>
    </cfRule>
  </conditionalFormatting>
  <conditionalFormatting sqref="AG10 AG13 AG16:AG30">
    <cfRule type="cellIs" dxfId="85" priority="36" operator="lessThan">
      <formula>0</formula>
    </cfRule>
  </conditionalFormatting>
  <conditionalFormatting sqref="BF18">
    <cfRule type="cellIs" dxfId="84" priority="35" operator="notEqual">
      <formula>#REF!+SUM(#REF!)+BH16</formula>
    </cfRule>
  </conditionalFormatting>
  <conditionalFormatting sqref="BE18">
    <cfRule type="cellIs" dxfId="83" priority="34" operator="notEqual">
      <formula>#REF!+SUM(#REF!)+BH16</formula>
    </cfRule>
  </conditionalFormatting>
  <conditionalFormatting sqref="B26:AE27">
    <cfRule type="containsText" dxfId="82" priority="24" operator="containsText" text="мо">
      <formula>NOT(ISERROR(SEARCH("мо",B26)))</formula>
    </cfRule>
    <cfRule type="containsText" dxfId="81" priority="25" operator="containsText" text="а">
      <formula>NOT(ISERROR(SEARCH("а",B26)))</formula>
    </cfRule>
    <cfRule type="containsText" dxfId="80" priority="26" operator="containsText" text="ск">
      <formula>NOT(ISERROR(SEARCH("ск",B26)))</formula>
    </cfRule>
    <cfRule type="containsText" dxfId="79" priority="27" operator="containsText" text="к">
      <formula>NOT(ISERROR(SEARCH("к",B26)))</formula>
    </cfRule>
    <cfRule type="containsText" dxfId="78" priority="28" operator="containsText" text="б">
      <formula>NOT(ISERROR(SEARCH("б",B26)))</formula>
    </cfRule>
    <cfRule type="containsText" dxfId="77" priority="29" operator="containsText" text="нп">
      <formula>NOT(ISERROR(SEARCH("нп",B26)))</formula>
    </cfRule>
    <cfRule type="containsText" dxfId="76" priority="30" operator="containsText" text="нсп">
      <formula>NOT(ISERROR(SEARCH("нсп",B26)))</formula>
    </cfRule>
    <cfRule type="containsText" dxfId="75" priority="31" operator="containsText" text="яп">
      <formula>NOT(ISERROR(SEARCH("яп",B26)))</formula>
    </cfRule>
    <cfRule type="containsText" dxfId="74" priority="32" operator="containsText" text="о">
      <formula>NOT(ISERROR(SEARCH("о",B26)))</formula>
    </cfRule>
    <cfRule type="containsText" dxfId="73" priority="33" operator="containsText" text="в">
      <formula>NOT(ISERROR(SEARCH("в",B26)))</formula>
    </cfRule>
  </conditionalFormatting>
  <conditionalFormatting sqref="B26:AE27">
    <cfRule type="containsText" dxfId="72" priority="21" operator="containsText" text="у">
      <formula>NOT(ISERROR(SEARCH("у",B26)))</formula>
    </cfRule>
    <cfRule type="containsText" dxfId="71" priority="22" operator="containsText" text="Д">
      <formula>NOT(ISERROR(SEARCH("Д",B26)))</formula>
    </cfRule>
    <cfRule type="beginsWith" dxfId="70" priority="23" operator="beginsWith" text="г">
      <formula>LEFT(B26,1)="г"</formula>
    </cfRule>
  </conditionalFormatting>
  <conditionalFormatting sqref="B26:AE27">
    <cfRule type="containsText" dxfId="69" priority="20" operator="containsText" text="Р">
      <formula>NOT(ISERROR(SEARCH("Р",B26)))</formula>
    </cfRule>
  </conditionalFormatting>
  <conditionalFormatting sqref="B26:AE27">
    <cfRule type="containsText" dxfId="68" priority="10" operator="containsText" text="мо">
      <formula>NOT(ISERROR(SEARCH("мо",B26)))</formula>
    </cfRule>
    <cfRule type="containsText" dxfId="67" priority="11" operator="containsText" text="а">
      <formula>NOT(ISERROR(SEARCH("а",B26)))</formula>
    </cfRule>
    <cfRule type="containsText" dxfId="66" priority="12" operator="containsText" text="ск">
      <formula>NOT(ISERROR(SEARCH("ск",B26)))</formula>
    </cfRule>
    <cfRule type="containsText" dxfId="65" priority="13" operator="containsText" text="к">
      <formula>NOT(ISERROR(SEARCH("к",B26)))</formula>
    </cfRule>
    <cfRule type="containsText" dxfId="64" priority="14" operator="containsText" text="б">
      <formula>NOT(ISERROR(SEARCH("б",B26)))</formula>
    </cfRule>
    <cfRule type="containsText" dxfId="63" priority="15" operator="containsText" text="нп">
      <formula>NOT(ISERROR(SEARCH("нп",B26)))</formula>
    </cfRule>
    <cfRule type="containsText" dxfId="62" priority="16" operator="containsText" text="нсп">
      <formula>NOT(ISERROR(SEARCH("нсп",B26)))</formula>
    </cfRule>
    <cfRule type="containsText" dxfId="61" priority="17" operator="containsText" text="яп">
      <formula>NOT(ISERROR(SEARCH("яп",B26)))</formula>
    </cfRule>
    <cfRule type="containsText" dxfId="60" priority="18" operator="containsText" text="о">
      <formula>NOT(ISERROR(SEARCH("о",B26)))</formula>
    </cfRule>
    <cfRule type="containsText" dxfId="59" priority="19" operator="containsText" text="в">
      <formula>NOT(ISERROR(SEARCH("в",B26)))</formula>
    </cfRule>
  </conditionalFormatting>
  <conditionalFormatting sqref="B26:AE27">
    <cfRule type="containsText" dxfId="58" priority="1" operator="containsText" text="а">
      <formula>NOT(ISERROR(SEARCH("а",B26)))</formula>
    </cfRule>
    <cfRule type="containsText" dxfId="57" priority="2" operator="containsText" text="ск">
      <formula>NOT(ISERROR(SEARCH("ск",B26)))</formula>
    </cfRule>
    <cfRule type="containsText" dxfId="56" priority="3" operator="containsText" text="к">
      <formula>NOT(ISERROR(SEARCH("к",B26)))</formula>
    </cfRule>
    <cfRule type="containsText" dxfId="55" priority="4" operator="containsText" text="б">
      <formula>NOT(ISERROR(SEARCH("б",B26)))</formula>
    </cfRule>
    <cfRule type="containsText" dxfId="54" priority="5" operator="containsText" text="нп">
      <formula>NOT(ISERROR(SEARCH("нп",B26)))</formula>
    </cfRule>
    <cfRule type="containsText" dxfId="53" priority="6" operator="containsText" text="нсп">
      <formula>NOT(ISERROR(SEARCH("нсп",B26)))</formula>
    </cfRule>
    <cfRule type="containsText" dxfId="52" priority="7" operator="containsText" text="яп">
      <formula>NOT(ISERROR(SEARCH("яп",B26)))</formula>
    </cfRule>
    <cfRule type="containsText" dxfId="51" priority="8" operator="containsText" text="о">
      <formula>NOT(ISERROR(SEARCH("о",B26)))</formula>
    </cfRule>
    <cfRule type="containsText" dxfId="50" priority="9" operator="containsText" text="в">
      <formula>NOT(ISERROR(SEARCH("в",B26)))</formula>
    </cfRule>
  </conditionalFormatting>
  <pageMargins left="0.70866141732283472" right="0.70866141732283472" top="0.74803149606299213" bottom="0.74803149606299213" header="0.31496062992125984" footer="0.31496062992125984"/>
  <pageSetup paperSize="9" scale="64" orientation="landscape" verticalDpi="0" r:id="rId1"/>
  <headerFooter>
    <oddFooter>&amp;L&amp;14Руководитель подразделения ТЧЗР _____________ Н.Н.Капитан
Табель составил ТЧМ ____________ А.П.Телеш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нормы времени</vt:lpstr>
      <vt:lpstr>ТАБЕЛЬ</vt:lpstr>
      <vt:lpstr>ДЛЯ ФОРМУЛЫ </vt:lpstr>
      <vt:lpstr>ТАБЕЛЬ!Заголовки_для_печати</vt:lpstr>
      <vt:lpstr>'ДЛЯ ФОРМУЛЫ '!Область_печати</vt:lpstr>
      <vt:lpstr>ТАБЕЛЬ!Область_печати</vt:lpstr>
    </vt:vector>
  </TitlesOfParts>
  <Company>[42810043]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ОТИЗ</dc:creator>
  <cp:lastModifiedBy>tch11-buhtim1</cp:lastModifiedBy>
  <cp:lastPrinted>2018-08-14T06:37:02Z</cp:lastPrinted>
  <dcterms:created xsi:type="dcterms:W3CDTF">2010-11-23T12:10:04Z</dcterms:created>
  <dcterms:modified xsi:type="dcterms:W3CDTF">2018-10-22T11:01:39Z</dcterms:modified>
</cp:coreProperties>
</file>