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19200" windowHeight="11460"/>
  </bookViews>
  <sheets>
    <sheet name="РОТР" sheetId="3" r:id="rId1"/>
    <sheet name="Расчет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6" i="1"/>
  <c r="I5" i="1"/>
  <c r="I4" i="1"/>
  <c r="H4" i="1" s="1"/>
  <c r="I2" i="1"/>
  <c r="H2" i="1" l="1"/>
  <c r="H3" i="1" s="1"/>
  <c r="H41" i="1" s="1"/>
  <c r="H5" i="1"/>
  <c r="I33" i="1" l="1"/>
  <c r="B29" i="1"/>
  <c r="B33" i="1"/>
  <c r="B19" i="1"/>
  <c r="H6" i="1"/>
  <c r="B18" i="1" l="1"/>
  <c r="I30" i="1"/>
  <c r="B30" i="1"/>
  <c r="B32" i="1"/>
  <c r="B31" i="1"/>
  <c r="B14" i="1"/>
  <c r="B15" i="1" s="1"/>
  <c r="B20" i="1"/>
  <c r="B34" i="1" l="1"/>
  <c r="C35" i="1" s="1"/>
  <c r="B35" i="1"/>
  <c r="I32" i="1"/>
  <c r="I31" i="1"/>
  <c r="B37" i="1" s="1"/>
  <c r="B21" i="1"/>
  <c r="B23" i="1" s="1"/>
  <c r="D25" i="1" s="1"/>
  <c r="D13" i="3" s="1"/>
  <c r="D26" i="1" l="1"/>
  <c r="C31" i="1"/>
  <c r="C32" i="1"/>
  <c r="B39" i="1" l="1"/>
  <c r="E42" i="1" s="1"/>
  <c r="A44" i="1" l="1"/>
  <c r="E41" i="1" s="1"/>
  <c r="D12" i="3" s="1"/>
</calcChain>
</file>

<file path=xl/sharedStrings.xml><?xml version="1.0" encoding="utf-8"?>
<sst xmlns="http://schemas.openxmlformats.org/spreadsheetml/2006/main" count="50" uniqueCount="45">
  <si>
    <t>Радиус резервуара, м</t>
  </si>
  <si>
    <t>Длина резервуара, м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</si>
  <si>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04"/>
      </rPr>
      <t>=</t>
    </r>
  </si>
  <si>
    <r>
      <rPr>
        <sz val="12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charset val="204"/>
        <scheme val="minor"/>
      </rPr>
      <t>sect=</t>
    </r>
  </si>
  <si>
    <t>a=</t>
  </si>
  <si>
    <t>b=</t>
  </si>
  <si>
    <t>c=</t>
  </si>
  <si>
    <t>коэф. Р=</t>
  </si>
  <si>
    <r>
      <rPr>
        <sz val="12"/>
        <color theme="1"/>
        <rFont val="Calibri"/>
        <family val="2"/>
        <charset val="204"/>
        <scheme val="minor"/>
      </rPr>
      <t>S</t>
    </r>
    <r>
      <rPr>
        <sz val="11"/>
        <color theme="1"/>
        <rFont val="Symbol"/>
        <family val="1"/>
        <charset val="2"/>
      </rPr>
      <t>D=</t>
    </r>
  </si>
  <si>
    <t xml:space="preserve"> - равна радиусу</t>
  </si>
  <si>
    <t xml:space="preserve"> - радиус минус уровень ДТ</t>
  </si>
  <si>
    <t>Стороны треугольника ABC:</t>
  </si>
  <si>
    <t xml:space="preserve"> - площадь сектора ABCD</t>
  </si>
  <si>
    <t xml:space="preserve"> -рад, равнобедренного треугольника ABC</t>
  </si>
  <si>
    <t xml:space="preserve"> - площадь треугольника ABC</t>
  </si>
  <si>
    <t>h=</t>
  </si>
  <si>
    <t xml:space="preserve">a= </t>
  </si>
  <si>
    <t>Vс.э.=</t>
  </si>
  <si>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charset val="204"/>
      </rPr>
      <t>=</t>
    </r>
  </si>
  <si>
    <t>Vэ=</t>
  </si>
  <si>
    <t>Пшлощадь отн. Большей стороны</t>
  </si>
  <si>
    <t>Площадь отн. Малой оси:</t>
  </si>
  <si>
    <t>yo1=</t>
  </si>
  <si>
    <t>xo1=</t>
  </si>
  <si>
    <t>ro1=</t>
  </si>
  <si>
    <t>yo2=</t>
  </si>
  <si>
    <t>xo2=</t>
  </si>
  <si>
    <t xml:space="preserve"> - основание прямоугольного треугольника</t>
  </si>
  <si>
    <t>Диаметр резервуара, м</t>
  </si>
  <si>
    <t>Толщина стенки рез-ра, м</t>
  </si>
  <si>
    <t>Укажите диаметр резервуара в миллиметрах:</t>
  </si>
  <si>
    <t>Укажите толщину стенки резервуара в миллиметрах:</t>
  </si>
  <si>
    <t>Укажите длинну резервуара в миллиметрах:</t>
  </si>
  <si>
    <t xml:space="preserve"> - коэф. по формуле Герона для нахождения площади треугольника, =a+b+c/2</t>
  </si>
  <si>
    <t>Укажите уровень жидкости в резервуаре, в миллиметрах:</t>
  </si>
  <si>
    <t>В резервуаре находится:</t>
  </si>
  <si>
    <t>м.куб.</t>
  </si>
  <si>
    <t>V полного эл резервуара=</t>
  </si>
  <si>
    <t>Укажите размер малой стороны эллипса на торце р-ра:</t>
  </si>
  <si>
    <t>В резервуаре больше середины:</t>
  </si>
  <si>
    <t>Объем оставшегося топлива&lt;R:</t>
  </si>
  <si>
    <t>Объем оставшегося топлива&gt;R:</t>
  </si>
  <si>
    <t>В цилиндрическом объеме:</t>
  </si>
  <si>
    <t>Уровень жидкости</t>
  </si>
  <si>
    <t>В резервуаременьше середины: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</si>
</sst>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164" fontId="4" fillId="0" borderId="0" xfId="0" applyNumberFormat="1" applyFont="1"/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0" fontId="0" fillId="0" borderId="0" xfId="0" applyFill="1"/>
    <xf numFmtId="0" fontId="4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0" fillId="0" borderId="3" xfId="0" applyBorder="1"/>
    <xf numFmtId="164" fontId="0" fillId="2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1" xfId="0" applyBorder="1"/>
    <xf numFmtId="164" fontId="0" fillId="0" borderId="4" xfId="0" applyNumberFormat="1" applyBorder="1"/>
    <xf numFmtId="164" fontId="0" fillId="0" borderId="7" xfId="0" applyNumberFormat="1" applyBorder="1"/>
    <xf numFmtId="164" fontId="4" fillId="0" borderId="3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0" fillId="0" borderId="0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171450</xdr:rowOff>
    </xdr:from>
    <xdr:to>
      <xdr:col>5</xdr:col>
      <xdr:colOff>0</xdr:colOff>
      <xdr:row>11</xdr:row>
      <xdr:rowOff>57150</xdr:rowOff>
    </xdr:to>
    <xdr:sp macro="" textlink="">
      <xdr:nvSpPr>
        <xdr:cNvPr id="2" name="Блок-схема: узел 1"/>
        <xdr:cNvSpPr/>
      </xdr:nvSpPr>
      <xdr:spPr>
        <a:xfrm>
          <a:off x="1924050" y="742950"/>
          <a:ext cx="1371600" cy="1219200"/>
        </a:xfrm>
        <a:prstGeom prst="flowChartConnecto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</a:t>
          </a:r>
        </a:p>
      </xdr:txBody>
    </xdr:sp>
    <xdr:clientData/>
  </xdr:twoCellAnchor>
  <xdr:twoCellAnchor>
    <xdr:from>
      <xdr:col>3</xdr:col>
      <xdr:colOff>66675</xdr:colOff>
      <xdr:row>9</xdr:row>
      <xdr:rowOff>0</xdr:rowOff>
    </xdr:from>
    <xdr:to>
      <xdr:col>4</xdr:col>
      <xdr:colOff>552450</xdr:colOff>
      <xdr:row>9</xdr:row>
      <xdr:rowOff>9525</xdr:rowOff>
    </xdr:to>
    <xdr:cxnSp macro="">
      <xdr:nvCxnSpPr>
        <xdr:cNvPr id="6" name="Прямая соединительная линия 5"/>
        <xdr:cNvCxnSpPr/>
      </xdr:nvCxnSpPr>
      <xdr:spPr>
        <a:xfrm>
          <a:off x="1895475" y="1524000"/>
          <a:ext cx="10953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9711</xdr:colOff>
      <xdr:row>4</xdr:row>
      <xdr:rowOff>155811</xdr:rowOff>
    </xdr:from>
    <xdr:to>
      <xdr:col>4</xdr:col>
      <xdr:colOff>607415</xdr:colOff>
      <xdr:row>11</xdr:row>
      <xdr:rowOff>55824</xdr:rowOff>
    </xdr:to>
    <xdr:sp macro="" textlink="">
      <xdr:nvSpPr>
        <xdr:cNvPr id="7" name="Хорда 6"/>
        <xdr:cNvSpPr/>
      </xdr:nvSpPr>
      <xdr:spPr>
        <a:xfrm rot="17532793">
          <a:off x="1987331" y="654691"/>
          <a:ext cx="1233513" cy="1378754"/>
        </a:xfrm>
        <a:prstGeom prst="chord">
          <a:avLst>
            <a:gd name="adj1" fmla="val 5104161"/>
            <a:gd name="adj2" fmla="val 13781774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accent1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</xdr:col>
      <xdr:colOff>714375</xdr:colOff>
      <xdr:row>8</xdr:row>
      <xdr:rowOff>38100</xdr:rowOff>
    </xdr:from>
    <xdr:to>
      <xdr:col>3</xdr:col>
      <xdr:colOff>716768</xdr:colOff>
      <xdr:row>11</xdr:row>
      <xdr:rowOff>38100</xdr:rowOff>
    </xdr:to>
    <xdr:cxnSp macro="">
      <xdr:nvCxnSpPr>
        <xdr:cNvPr id="9" name="Прямая соединительная линия 8"/>
        <xdr:cNvCxnSpPr>
          <a:endCxn id="8" idx="0"/>
        </xdr:cNvCxnSpPr>
      </xdr:nvCxnSpPr>
      <xdr:spPr>
        <a:xfrm>
          <a:off x="2619375" y="1371600"/>
          <a:ext cx="2393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55000</xdr:colOff>
      <xdr:row>8</xdr:row>
      <xdr:rowOff>57150</xdr:rowOff>
    </xdr:from>
    <xdr:to>
      <xdr:col>3</xdr:col>
      <xdr:colOff>723900</xdr:colOff>
      <xdr:row>8</xdr:row>
      <xdr:rowOff>177067</xdr:rowOff>
    </xdr:to>
    <xdr:cxnSp macro="">
      <xdr:nvCxnSpPr>
        <xdr:cNvPr id="14" name="Прямая соединительная линия 13"/>
        <xdr:cNvCxnSpPr/>
      </xdr:nvCxnSpPr>
      <xdr:spPr>
        <a:xfrm flipH="1">
          <a:off x="1960000" y="1390650"/>
          <a:ext cx="668900" cy="1199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723900</xdr:colOff>
      <xdr:row>8</xdr:row>
      <xdr:rowOff>47625</xdr:rowOff>
    </xdr:from>
    <xdr:to>
      <xdr:col>4</xdr:col>
      <xdr:colOff>552450</xdr:colOff>
      <xdr:row>8</xdr:row>
      <xdr:rowOff>180975</xdr:rowOff>
    </xdr:to>
    <xdr:cxnSp macro="">
      <xdr:nvCxnSpPr>
        <xdr:cNvPr id="16" name="Прямая соединительная линия 15"/>
        <xdr:cNvCxnSpPr/>
      </xdr:nvCxnSpPr>
      <xdr:spPr>
        <a:xfrm>
          <a:off x="2628900" y="1381125"/>
          <a:ext cx="609600" cy="133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314325</xdr:colOff>
      <xdr:row>8</xdr:row>
      <xdr:rowOff>76200</xdr:rowOff>
    </xdr:from>
    <xdr:ext cx="252249" cy="266700"/>
    <xdr:sp macro="" textlink="">
      <xdr:nvSpPr>
        <xdr:cNvPr id="17" name="TextBox 16"/>
        <xdr:cNvSpPr txBox="1"/>
      </xdr:nvSpPr>
      <xdr:spPr>
        <a:xfrm>
          <a:off x="2143125" y="1409700"/>
          <a:ext cx="252249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a</a:t>
          </a:r>
          <a:endParaRPr lang="ru-RU" sz="1100"/>
        </a:p>
      </xdr:txBody>
    </xdr:sp>
    <xdr:clientData/>
  </xdr:oneCellAnchor>
  <xdr:oneCellAnchor>
    <xdr:from>
      <xdr:col>3</xdr:col>
      <xdr:colOff>285750</xdr:colOff>
      <xdr:row>7</xdr:row>
      <xdr:rowOff>95250</xdr:rowOff>
    </xdr:from>
    <xdr:ext cx="258789" cy="264560"/>
    <xdr:sp macro="" textlink="">
      <xdr:nvSpPr>
        <xdr:cNvPr id="18" name="TextBox 17"/>
        <xdr:cNvSpPr txBox="1"/>
      </xdr:nvSpPr>
      <xdr:spPr>
        <a:xfrm>
          <a:off x="2190750" y="123825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  <a:endParaRPr lang="ru-RU" sz="1100"/>
        </a:p>
      </xdr:txBody>
    </xdr:sp>
    <xdr:clientData/>
  </xdr:oneCellAnchor>
  <xdr:oneCellAnchor>
    <xdr:from>
      <xdr:col>2</xdr:col>
      <xdr:colOff>466725</xdr:colOff>
      <xdr:row>8</xdr:row>
      <xdr:rowOff>76200</xdr:rowOff>
    </xdr:from>
    <xdr:ext cx="266291" cy="264560"/>
    <xdr:sp macro="" textlink="">
      <xdr:nvSpPr>
        <xdr:cNvPr id="3" name="TextBox 2"/>
        <xdr:cNvSpPr txBox="1"/>
      </xdr:nvSpPr>
      <xdr:spPr>
        <a:xfrm>
          <a:off x="1685925" y="1409700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А</a:t>
          </a:r>
        </a:p>
      </xdr:txBody>
    </xdr:sp>
    <xdr:clientData/>
  </xdr:oneCellAnchor>
  <xdr:oneCellAnchor>
    <xdr:from>
      <xdr:col>3</xdr:col>
      <xdr:colOff>628650</xdr:colOff>
      <xdr:row>6</xdr:row>
      <xdr:rowOff>152400</xdr:rowOff>
    </xdr:from>
    <xdr:ext cx="261418" cy="264560"/>
    <xdr:sp macro="" textlink="">
      <xdr:nvSpPr>
        <xdr:cNvPr id="4" name="TextBox 3"/>
        <xdr:cNvSpPr txBox="1"/>
      </xdr:nvSpPr>
      <xdr:spPr>
        <a:xfrm>
          <a:off x="2533650" y="1104900"/>
          <a:ext cx="2614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</a:t>
          </a:r>
          <a:endParaRPr lang="ru-RU" sz="1100"/>
        </a:p>
      </xdr:txBody>
    </xdr:sp>
    <xdr:clientData/>
  </xdr:oneCellAnchor>
  <xdr:oneCellAnchor>
    <xdr:from>
      <xdr:col>4</xdr:col>
      <xdr:colOff>495300</xdr:colOff>
      <xdr:row>8</xdr:row>
      <xdr:rowOff>85725</xdr:rowOff>
    </xdr:from>
    <xdr:ext cx="259879" cy="264560"/>
    <xdr:sp macro="" textlink="">
      <xdr:nvSpPr>
        <xdr:cNvPr id="5" name="TextBox 4"/>
        <xdr:cNvSpPr txBox="1"/>
      </xdr:nvSpPr>
      <xdr:spPr>
        <a:xfrm>
          <a:off x="2933700" y="1419225"/>
          <a:ext cx="259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  <a:endParaRPr lang="ru-RU" sz="1100"/>
        </a:p>
      </xdr:txBody>
    </xdr:sp>
    <xdr:clientData/>
  </xdr:oneCellAnchor>
  <xdr:oneCellAnchor>
    <xdr:from>
      <xdr:col>3</xdr:col>
      <xdr:colOff>581025</xdr:colOff>
      <xdr:row>11</xdr:row>
      <xdr:rowOff>38100</xdr:rowOff>
    </xdr:from>
    <xdr:ext cx="271485" cy="264560"/>
    <xdr:sp macro="" textlink="">
      <xdr:nvSpPr>
        <xdr:cNvPr id="8" name="TextBox 7"/>
        <xdr:cNvSpPr txBox="1"/>
      </xdr:nvSpPr>
      <xdr:spPr>
        <a:xfrm>
          <a:off x="2486025" y="1943100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</a:t>
          </a:r>
          <a:endParaRPr lang="ru-RU" sz="1100"/>
        </a:p>
      </xdr:txBody>
    </xdr:sp>
    <xdr:clientData/>
  </xdr:oneCellAnchor>
  <xdr:twoCellAnchor editAs="oneCell">
    <xdr:from>
      <xdr:col>9</xdr:col>
      <xdr:colOff>47626</xdr:colOff>
      <xdr:row>28</xdr:row>
      <xdr:rowOff>0</xdr:rowOff>
    </xdr:from>
    <xdr:to>
      <xdr:col>12</xdr:col>
      <xdr:colOff>114300</xdr:colOff>
      <xdr:row>41</xdr:row>
      <xdr:rowOff>67081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1" y="4972050"/>
          <a:ext cx="1895474" cy="2562631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26</xdr:row>
      <xdr:rowOff>9525</xdr:rowOff>
    </xdr:from>
    <xdr:to>
      <xdr:col>6</xdr:col>
      <xdr:colOff>561975</xdr:colOff>
      <xdr:row>38</xdr:row>
      <xdr:rowOff>47625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4600575"/>
          <a:ext cx="2190750" cy="2324100"/>
        </a:xfrm>
        <a:prstGeom prst="rect">
          <a:avLst/>
        </a:prstGeom>
      </xdr:spPr>
    </xdr:pic>
    <xdr:clientData/>
  </xdr:twoCellAnchor>
  <xdr:oneCellAnchor>
    <xdr:from>
      <xdr:col>3</xdr:col>
      <xdr:colOff>714375</xdr:colOff>
      <xdr:row>8</xdr:row>
      <xdr:rowOff>19050</xdr:rowOff>
    </xdr:from>
    <xdr:ext cx="244298" cy="264560"/>
    <xdr:sp macro="" textlink="">
      <xdr:nvSpPr>
        <xdr:cNvPr id="12" name="TextBox 11"/>
        <xdr:cNvSpPr txBox="1"/>
      </xdr:nvSpPr>
      <xdr:spPr>
        <a:xfrm>
          <a:off x="2619375" y="1543050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19" sqref="I19"/>
    </sheetView>
  </sheetViews>
  <sheetFormatPr defaultRowHeight="15" x14ac:dyDescent="0.25"/>
  <cols>
    <col min="4" max="4" width="9.5703125" bestFit="1" customWidth="1"/>
  </cols>
  <sheetData>
    <row r="1" spans="1:7" ht="15.75" thickBot="1" x14ac:dyDescent="0.3"/>
    <row r="2" spans="1:7" ht="15.75" thickBot="1" x14ac:dyDescent="0.3">
      <c r="A2" t="s">
        <v>30</v>
      </c>
      <c r="G2" s="24">
        <v>2254</v>
      </c>
    </row>
    <row r="3" spans="1:7" ht="15.75" thickBot="1" x14ac:dyDescent="0.3"/>
    <row r="4" spans="1:7" ht="15.75" thickBot="1" x14ac:dyDescent="0.3">
      <c r="A4" t="s">
        <v>31</v>
      </c>
      <c r="G4" s="24">
        <v>5</v>
      </c>
    </row>
    <row r="5" spans="1:7" ht="15.75" thickBot="1" x14ac:dyDescent="0.3"/>
    <row r="6" spans="1:7" ht="15.75" thickBot="1" x14ac:dyDescent="0.3">
      <c r="A6" t="s">
        <v>32</v>
      </c>
      <c r="G6" s="24">
        <v>6574</v>
      </c>
    </row>
    <row r="7" spans="1:7" ht="15.75" thickBot="1" x14ac:dyDescent="0.3"/>
    <row r="8" spans="1:7" ht="15.75" thickBot="1" x14ac:dyDescent="0.3">
      <c r="A8" t="s">
        <v>34</v>
      </c>
      <c r="G8" s="31">
        <v>880</v>
      </c>
    </row>
    <row r="9" spans="1:7" ht="15.75" thickBot="1" x14ac:dyDescent="0.3">
      <c r="G9" s="30"/>
    </row>
    <row r="10" spans="1:7" ht="15.75" thickBot="1" x14ac:dyDescent="0.3">
      <c r="A10" t="s">
        <v>38</v>
      </c>
      <c r="G10" s="24">
        <v>0.58799999999999997</v>
      </c>
    </row>
    <row r="12" spans="1:7" x14ac:dyDescent="0.25">
      <c r="A12" t="s">
        <v>35</v>
      </c>
      <c r="D12" s="4">
        <f>IF(Расчет!H6&lt;Расчет!H3,Расчет!E41,Расчет!E42)</f>
        <v>11.280535119296022</v>
      </c>
      <c r="E12" t="s">
        <v>36</v>
      </c>
    </row>
    <row r="13" spans="1:7" x14ac:dyDescent="0.25">
      <c r="A13" t="s">
        <v>42</v>
      </c>
      <c r="D13" s="4">
        <f>Расчет!D25</f>
        <v>9.3875620799894861</v>
      </c>
      <c r="E1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28" workbookViewId="0">
      <selection activeCell="I46" sqref="I46"/>
    </sheetView>
  </sheetViews>
  <sheetFormatPr defaultRowHeight="15" x14ac:dyDescent="0.25"/>
  <cols>
    <col min="2" max="2" width="10.28515625" customWidth="1"/>
    <col min="4" max="4" width="11.7109375" customWidth="1"/>
    <col min="7" max="7" width="24.42578125" customWidth="1"/>
    <col min="9" max="9" width="8.5703125" bestFit="1" customWidth="1"/>
    <col min="15" max="15" width="12" bestFit="1" customWidth="1"/>
  </cols>
  <sheetData>
    <row r="2" spans="1:11" x14ac:dyDescent="0.25">
      <c r="G2" t="s">
        <v>28</v>
      </c>
      <c r="H2" s="5">
        <f>I2/1000-H4</f>
        <v>2.2440000000000002</v>
      </c>
      <c r="I2">
        <f>РОТР!G2</f>
        <v>2254</v>
      </c>
    </row>
    <row r="3" spans="1:11" x14ac:dyDescent="0.25">
      <c r="G3" t="s">
        <v>0</v>
      </c>
      <c r="H3" s="5">
        <f>H2/2-H4</f>
        <v>1.1120000000000001</v>
      </c>
    </row>
    <row r="4" spans="1:11" x14ac:dyDescent="0.25">
      <c r="G4" t="s">
        <v>29</v>
      </c>
      <c r="H4">
        <f>(I4*2)/1000</f>
        <v>0.01</v>
      </c>
      <c r="I4">
        <f>РОТР!G4</f>
        <v>5</v>
      </c>
    </row>
    <row r="5" spans="1:11" x14ac:dyDescent="0.25">
      <c r="G5" t="s">
        <v>1</v>
      </c>
      <c r="H5" s="5">
        <f>I5/1000-H4</f>
        <v>6.5640000000000001</v>
      </c>
      <c r="I5" s="7">
        <f>РОТР!G6</f>
        <v>6574</v>
      </c>
    </row>
    <row r="6" spans="1:11" x14ac:dyDescent="0.25">
      <c r="G6" t="s">
        <v>43</v>
      </c>
      <c r="H6" s="5">
        <f>I6/1000</f>
        <v>0.88</v>
      </c>
      <c r="I6" s="7">
        <f>РОТР!G8</f>
        <v>880</v>
      </c>
    </row>
    <row r="14" spans="1:11" x14ac:dyDescent="0.25">
      <c r="A14" s="1" t="s">
        <v>2</v>
      </c>
      <c r="B14" s="4">
        <f>2*ACOS((H3-H6)/H3)</f>
        <v>2.7212384787962898</v>
      </c>
      <c r="C14" t="s">
        <v>13</v>
      </c>
    </row>
    <row r="15" spans="1:11" ht="15.75" x14ac:dyDescent="0.25">
      <c r="A15" s="2" t="s">
        <v>3</v>
      </c>
      <c r="B15" s="4">
        <f>(B14*(H3^2))/2</f>
        <v>1.6824655567623401</v>
      </c>
      <c r="C15" t="s">
        <v>12</v>
      </c>
      <c r="K15" s="8"/>
    </row>
    <row r="16" spans="1:11" x14ac:dyDescent="0.25">
      <c r="A16" s="2"/>
      <c r="K16" s="8"/>
    </row>
    <row r="17" spans="1:15" x14ac:dyDescent="0.25">
      <c r="A17" s="32" t="s">
        <v>11</v>
      </c>
      <c r="B17" s="32"/>
      <c r="C17" s="32"/>
      <c r="K17" s="8"/>
      <c r="N17" s="5"/>
    </row>
    <row r="18" spans="1:15" x14ac:dyDescent="0.25">
      <c r="A18" s="2" t="s">
        <v>4</v>
      </c>
      <c r="B18" s="4">
        <f>SQRT((H3^2)-(H3-H6)^2)</f>
        <v>1.0875293099498515</v>
      </c>
      <c r="C18" t="s">
        <v>27</v>
      </c>
      <c r="K18" s="9"/>
    </row>
    <row r="19" spans="1:15" x14ac:dyDescent="0.25">
      <c r="A19" s="2" t="s">
        <v>5</v>
      </c>
      <c r="B19" s="3">
        <f>H3</f>
        <v>1.1120000000000001</v>
      </c>
      <c r="C19" t="s">
        <v>9</v>
      </c>
      <c r="K19" s="9"/>
    </row>
    <row r="20" spans="1:15" x14ac:dyDescent="0.25">
      <c r="A20" s="2" t="s">
        <v>6</v>
      </c>
      <c r="B20" s="3">
        <f>H3-H6</f>
        <v>0.2320000000000001</v>
      </c>
      <c r="C20" t="s">
        <v>10</v>
      </c>
    </row>
    <row r="21" spans="1:15" x14ac:dyDescent="0.25">
      <c r="A21" s="2" t="s">
        <v>7</v>
      </c>
      <c r="B21" s="4">
        <f>(B18+B19+B20)/2</f>
        <v>1.2157646549749259</v>
      </c>
      <c r="C21" t="s">
        <v>33</v>
      </c>
    </row>
    <row r="22" spans="1:15" x14ac:dyDescent="0.25">
      <c r="K22" s="14"/>
    </row>
    <row r="23" spans="1:15" ht="15.75" x14ac:dyDescent="0.25">
      <c r="A23" s="2" t="s">
        <v>8</v>
      </c>
      <c r="B23" s="6">
        <f>(SQRT((B21*(B21-B18))*(B21-B19)*(B21-B20)))*2</f>
        <v>0.2523067999083658</v>
      </c>
      <c r="C23" t="s">
        <v>14</v>
      </c>
      <c r="F23" s="5"/>
    </row>
    <row r="24" spans="1:15" x14ac:dyDescent="0.25">
      <c r="J24" s="14"/>
      <c r="K24" s="14"/>
      <c r="N24" s="12"/>
      <c r="O24" s="13"/>
    </row>
    <row r="25" spans="1:15" x14ac:dyDescent="0.25">
      <c r="A25" s="33" t="s">
        <v>40</v>
      </c>
      <c r="B25" s="33"/>
      <c r="C25" s="33"/>
      <c r="D25" s="10">
        <f>IF(B20&lt;0,(B15+B23)*H5,(B15-B23)*H5)</f>
        <v>9.3875620799894861</v>
      </c>
      <c r="J25" s="14"/>
      <c r="K25" s="14"/>
      <c r="N25" s="11"/>
      <c r="O25" s="13"/>
    </row>
    <row r="26" spans="1:15" x14ac:dyDescent="0.25">
      <c r="A26" s="33" t="s">
        <v>41</v>
      </c>
      <c r="B26" s="33"/>
      <c r="C26" s="33"/>
      <c r="D26" s="10">
        <f>IF(B20&gt;0,(B15-B23)*H5,(B15+B23)*H5)</f>
        <v>9.3875620799894861</v>
      </c>
      <c r="J26" s="14"/>
      <c r="K26" s="14"/>
      <c r="N26" s="11"/>
      <c r="O26" s="13"/>
    </row>
    <row r="27" spans="1:15" x14ac:dyDescent="0.25">
      <c r="J27" s="14"/>
      <c r="K27" s="14"/>
      <c r="N27" s="12"/>
      <c r="O27" s="14"/>
    </row>
    <row r="28" spans="1:15" x14ac:dyDescent="0.25">
      <c r="A28" t="s">
        <v>21</v>
      </c>
      <c r="H28" t="s">
        <v>20</v>
      </c>
      <c r="N28" s="12"/>
      <c r="O28" s="14"/>
    </row>
    <row r="29" spans="1:15" x14ac:dyDescent="0.25">
      <c r="A29" s="15" t="s">
        <v>5</v>
      </c>
      <c r="B29" s="6">
        <f>H3</f>
        <v>1.1120000000000001</v>
      </c>
      <c r="H29" s="15" t="s">
        <v>5</v>
      </c>
      <c r="I29">
        <f>РОТР!G10</f>
        <v>0.58799999999999997</v>
      </c>
      <c r="N29" s="12"/>
      <c r="O29" s="14"/>
    </row>
    <row r="30" spans="1:15" x14ac:dyDescent="0.25">
      <c r="A30" s="15" t="s">
        <v>15</v>
      </c>
      <c r="B30" s="19">
        <f>H6</f>
        <v>0.88</v>
      </c>
      <c r="H30" s="15" t="s">
        <v>15</v>
      </c>
      <c r="I30" s="5">
        <f>H6</f>
        <v>0.88</v>
      </c>
      <c r="N30" s="12"/>
      <c r="O30" s="14"/>
    </row>
    <row r="31" spans="1:15" x14ac:dyDescent="0.25">
      <c r="A31" s="15" t="s">
        <v>23</v>
      </c>
      <c r="B31" s="19">
        <f>(B29/B33)*SQRT(2*B29*H6-(H6^2))</f>
        <v>1.0875293099498515</v>
      </c>
      <c r="C31" s="5">
        <f>B35*SIN(B34)</f>
        <v>1.0875293099498515</v>
      </c>
      <c r="H31" s="15" t="s">
        <v>26</v>
      </c>
      <c r="I31" s="22">
        <f>I29/I33*SQRT(2*I33*I30-I30^2)</f>
        <v>0.57506046245549691</v>
      </c>
      <c r="N31" s="12"/>
      <c r="O31" s="14"/>
    </row>
    <row r="32" spans="1:15" x14ac:dyDescent="0.25">
      <c r="A32" s="15" t="s">
        <v>22</v>
      </c>
      <c r="B32" s="23">
        <f>B33-H6</f>
        <v>0.2320000000000001</v>
      </c>
      <c r="C32" s="5">
        <f>B35*COS(B34)</f>
        <v>0.23200000000000012</v>
      </c>
      <c r="H32" s="15" t="s">
        <v>25</v>
      </c>
      <c r="I32" s="5">
        <f>I33-I30</f>
        <v>0.2320000000000001</v>
      </c>
    </row>
    <row r="33" spans="1:9" x14ac:dyDescent="0.25">
      <c r="A33" s="15" t="s">
        <v>16</v>
      </c>
      <c r="B33" s="6">
        <f>H3</f>
        <v>1.1120000000000001</v>
      </c>
      <c r="H33" s="15" t="s">
        <v>16</v>
      </c>
      <c r="I33">
        <f>H3</f>
        <v>1.1120000000000001</v>
      </c>
    </row>
    <row r="34" spans="1:9" x14ac:dyDescent="0.25">
      <c r="A34" s="16" t="s">
        <v>18</v>
      </c>
      <c r="B34" s="6">
        <f>ATAN(B31/B32)</f>
        <v>1.3606192393981449</v>
      </c>
      <c r="H34" s="16"/>
    </row>
    <row r="35" spans="1:9" x14ac:dyDescent="0.25">
      <c r="A35" s="16" t="s">
        <v>24</v>
      </c>
      <c r="B35" s="6">
        <f>SQRT(B32^2+B31^2)</f>
        <v>1.1120000000000001</v>
      </c>
      <c r="C35" s="5">
        <f>B31/SIN(B34)</f>
        <v>1.1120000000000001</v>
      </c>
      <c r="H35" s="16"/>
    </row>
    <row r="36" spans="1:9" x14ac:dyDescent="0.25">
      <c r="A36" s="17"/>
      <c r="B36" s="18"/>
      <c r="H36" s="17"/>
    </row>
    <row r="37" spans="1:9" x14ac:dyDescent="0.25">
      <c r="A37" s="16" t="s">
        <v>19</v>
      </c>
      <c r="B37" s="6">
        <f>4/3*PI()*B31*B30*I31</f>
        <v>2.3052910338920922</v>
      </c>
    </row>
    <row r="38" spans="1:9" x14ac:dyDescent="0.25">
      <c r="A38" s="16"/>
      <c r="B38" s="6"/>
    </row>
    <row r="39" spans="1:9" x14ac:dyDescent="0.25">
      <c r="A39" s="16" t="s">
        <v>17</v>
      </c>
      <c r="B39" s="6">
        <f>B37/2</f>
        <v>1.1526455169460461</v>
      </c>
    </row>
    <row r="40" spans="1:9" ht="15.75" thickBot="1" x14ac:dyDescent="0.3"/>
    <row r="41" spans="1:9" ht="15.75" thickBot="1" x14ac:dyDescent="0.3">
      <c r="A41" s="20" t="s">
        <v>44</v>
      </c>
      <c r="B41" s="21"/>
      <c r="C41" s="21"/>
      <c r="D41" s="27"/>
      <c r="E41" s="25">
        <f>A44+D25</f>
        <v>11.280535119296022</v>
      </c>
      <c r="G41" t="s">
        <v>37</v>
      </c>
      <c r="H41" s="5">
        <f>4/3*PI()*I29*H3*H3</f>
        <v>3.0456185562525815</v>
      </c>
    </row>
    <row r="42" spans="1:9" ht="15.75" thickBot="1" x14ac:dyDescent="0.3">
      <c r="A42" s="28" t="s">
        <v>39</v>
      </c>
      <c r="B42" s="29"/>
      <c r="C42" s="29"/>
      <c r="D42" s="29"/>
      <c r="E42" s="26">
        <f>B39+D26</f>
        <v>10.540207596935533</v>
      </c>
    </row>
    <row r="44" spans="1:9" x14ac:dyDescent="0.25">
      <c r="A44" s="5">
        <f>H41-B39</f>
        <v>1.8929730393065354</v>
      </c>
      <c r="B44" s="5"/>
    </row>
  </sheetData>
  <mergeCells count="3">
    <mergeCell ref="A17:C17"/>
    <mergeCell ref="A25:C25"/>
    <mergeCell ref="A26:C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РОТР</vt:lpstr>
      <vt:lpstr>Расчет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Турецков Евгений</dc:creator>
  <cp:lastModifiedBy>Евгений</cp:lastModifiedBy>
  <dcterms:created xsi:type="dcterms:W3CDTF">2018-01-16T06:03:50Z</dcterms:created>
  <dcterms:modified xsi:type="dcterms:W3CDTF">2018-02-06T17:10:13Z</dcterms:modified>
</cp:coreProperties>
</file>