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ая жана жол\кипиш 2018\"/>
    </mc:Choice>
  </mc:AlternateContent>
  <bookViews>
    <workbookView xWindow="0" yWindow="0" windowWidth="20490" windowHeight="7020"/>
  </bookViews>
  <sheets>
    <sheet name="с учетом скидо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O46" i="1"/>
  <c r="O45" i="1"/>
  <c r="E22" i="1"/>
  <c r="N13" i="1" s="1"/>
  <c r="E21" i="1"/>
  <c r="I42" i="1"/>
  <c r="H42" i="1"/>
  <c r="I41" i="1"/>
  <c r="H41" i="1"/>
  <c r="M39" i="1"/>
  <c r="K39" i="1" s="1"/>
  <c r="I39" i="1"/>
  <c r="H39" i="1"/>
  <c r="I36" i="1"/>
  <c r="H36" i="1"/>
  <c r="E36" i="1"/>
  <c r="I35" i="1"/>
  <c r="H35" i="1"/>
  <c r="E35" i="1"/>
  <c r="I34" i="1"/>
  <c r="H34" i="1"/>
  <c r="E34" i="1"/>
  <c r="E38" i="1" s="1"/>
  <c r="F33" i="1"/>
  <c r="I31" i="1"/>
  <c r="H31" i="1"/>
  <c r="E31" i="1"/>
  <c r="I30" i="1"/>
  <c r="H30" i="1"/>
  <c r="E29" i="1"/>
  <c r="L28" i="1"/>
  <c r="I27" i="1"/>
  <c r="H27" i="1"/>
  <c r="E27" i="1"/>
  <c r="L26" i="1"/>
  <c r="I26" i="1"/>
  <c r="H26" i="1"/>
  <c r="E26" i="1"/>
  <c r="I25" i="1"/>
  <c r="H25" i="1"/>
  <c r="E25" i="1"/>
  <c r="L24" i="1"/>
  <c r="I24" i="1"/>
  <c r="L20" i="1" s="1"/>
  <c r="H24" i="1"/>
  <c r="E24" i="1"/>
  <c r="L22" i="1"/>
  <c r="I22" i="1"/>
  <c r="H22" i="1"/>
  <c r="I21" i="1"/>
  <c r="H21" i="1"/>
  <c r="N20" i="1"/>
  <c r="I20" i="1"/>
  <c r="H20" i="1"/>
  <c r="E20" i="1"/>
  <c r="I18" i="1"/>
  <c r="L11" i="1" s="1"/>
  <c r="H18" i="1"/>
  <c r="E18" i="1"/>
  <c r="I17" i="1"/>
  <c r="H17" i="1"/>
  <c r="E17" i="1"/>
  <c r="N9" i="1" s="1"/>
  <c r="I16" i="1"/>
  <c r="H16" i="1"/>
  <c r="E16" i="1"/>
  <c r="L15" i="1"/>
  <c r="I14" i="1"/>
  <c r="H14" i="1"/>
  <c r="E14" i="1"/>
  <c r="L13" i="1"/>
  <c r="I13" i="1"/>
  <c r="L9" i="1" s="1"/>
  <c r="H13" i="1"/>
  <c r="E13" i="1"/>
  <c r="N11" i="1"/>
  <c r="I11" i="1"/>
  <c r="L18" i="1" s="1"/>
  <c r="H11" i="1"/>
  <c r="I10" i="1"/>
  <c r="I7" i="1"/>
  <c r="H7" i="1"/>
  <c r="E7" i="1"/>
  <c r="N6" i="1"/>
  <c r="I6" i="1"/>
  <c r="I43" i="1" s="1"/>
  <c r="H6" i="1"/>
  <c r="E6" i="1"/>
  <c r="L46" i="1" l="1"/>
  <c r="L45" i="1"/>
  <c r="L29" i="1"/>
  <c r="M34" i="1"/>
  <c r="K34" i="1" s="1"/>
  <c r="M37" i="1"/>
  <c r="K37" i="1" s="1"/>
  <c r="L6" i="1"/>
  <c r="L16" i="1" s="1"/>
  <c r="L47" i="1" l="1"/>
  <c r="K46" i="1" s="1"/>
  <c r="K45" i="1" s="1"/>
  <c r="M15" i="1"/>
  <c r="M11" i="1"/>
  <c r="M6" i="1"/>
  <c r="M13" i="1"/>
  <c r="M9" i="1"/>
  <c r="M28" i="1"/>
  <c r="M18" i="1"/>
  <c r="M26" i="1"/>
  <c r="M24" i="1"/>
  <c r="M22" i="1"/>
  <c r="M20" i="1"/>
</calcChain>
</file>

<file path=xl/sharedStrings.xml><?xml version="1.0" encoding="utf-8"?>
<sst xmlns="http://schemas.openxmlformats.org/spreadsheetml/2006/main" count="81" uniqueCount="70">
  <si>
    <t>Потребность в пестицидах</t>
  </si>
  <si>
    <t>на 2018 год</t>
  </si>
  <si>
    <t>№</t>
  </si>
  <si>
    <t>Наименования</t>
  </si>
  <si>
    <t>Норма</t>
  </si>
  <si>
    <t>Обрабатываемая площадь, га,тонн</t>
  </si>
  <si>
    <t>%</t>
  </si>
  <si>
    <t>требуемый объем</t>
  </si>
  <si>
    <t>цена</t>
  </si>
  <si>
    <t>гектарная стоимость</t>
  </si>
  <si>
    <t>всего сумма</t>
  </si>
  <si>
    <t>%,денежная доля</t>
  </si>
  <si>
    <t>%, обработки</t>
  </si>
  <si>
    <t>Протравка зерновых</t>
  </si>
  <si>
    <t>протравка зерновых</t>
  </si>
  <si>
    <t>Виал ТТ</t>
  </si>
  <si>
    <t>Олимп форте</t>
  </si>
  <si>
    <t>сульфонил мочевина зерновые</t>
  </si>
  <si>
    <t>Протравка масличных</t>
  </si>
  <si>
    <t>Калибр</t>
  </si>
  <si>
    <t>0,6-6</t>
  </si>
  <si>
    <t>57,42-574,2</t>
  </si>
  <si>
    <t>эфир зерновые</t>
  </si>
  <si>
    <t>Гербицидная обработка зерновых</t>
  </si>
  <si>
    <t>га</t>
  </si>
  <si>
    <t>граминициды</t>
  </si>
  <si>
    <t>Москит форте</t>
  </si>
  <si>
    <t>против широколистных</t>
  </si>
  <si>
    <t>Москит Премиум</t>
  </si>
  <si>
    <t>фунгицид зерновые</t>
  </si>
  <si>
    <t>Пикасо</t>
  </si>
  <si>
    <t>итого</t>
  </si>
  <si>
    <t>Магнум супер</t>
  </si>
  <si>
    <t>протравка масленичных</t>
  </si>
  <si>
    <t>Эстет</t>
  </si>
  <si>
    <t>эфир</t>
  </si>
  <si>
    <t>сульфонил мочевина масленичных</t>
  </si>
  <si>
    <t>Дискатор</t>
  </si>
  <si>
    <t>Скаут форте</t>
  </si>
  <si>
    <t>против овсюжный</t>
  </si>
  <si>
    <t>МЦПа</t>
  </si>
  <si>
    <t>Смарагд</t>
  </si>
  <si>
    <t>Гербицидная обработка масличных</t>
  </si>
  <si>
    <t>Канонир дуо</t>
  </si>
  <si>
    <t>Хакер</t>
  </si>
  <si>
    <t xml:space="preserve">фунгицид </t>
  </si>
  <si>
    <t>Гербитокс</t>
  </si>
  <si>
    <t>Спирит гранд</t>
  </si>
  <si>
    <t>инсектицид</t>
  </si>
  <si>
    <t>Экспресс</t>
  </si>
  <si>
    <t>евролайтинг</t>
  </si>
  <si>
    <t>ДАШ</t>
  </si>
  <si>
    <t>Кинетик</t>
  </si>
  <si>
    <t>на 1 га</t>
  </si>
  <si>
    <t>зерновые,га</t>
  </si>
  <si>
    <t>всего</t>
  </si>
  <si>
    <t>Фунгицидная обработка</t>
  </si>
  <si>
    <t>Пиксель</t>
  </si>
  <si>
    <t>Колосаль ПРО</t>
  </si>
  <si>
    <t>Эмити(лен)</t>
  </si>
  <si>
    <t>масленичные,га</t>
  </si>
  <si>
    <t>итого фунгицидная обр.пш-ца</t>
  </si>
  <si>
    <t>пар</t>
  </si>
  <si>
    <t>ФОБОС</t>
  </si>
  <si>
    <t>ПАР</t>
  </si>
  <si>
    <t>ТОРНАДО 500</t>
  </si>
  <si>
    <t>ПАК</t>
  </si>
  <si>
    <t>август</t>
  </si>
  <si>
    <t>30,01,2018</t>
  </si>
  <si>
    <t>курс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</si>
</sst>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3" xfId="0" applyBorder="1"/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/>
    <xf numFmtId="3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0" fillId="4" borderId="1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0" borderId="0" xfId="0" applyNumberFormat="1"/>
    <xf numFmtId="3" fontId="7" fillId="0" borderId="1" xfId="0" applyNumberFormat="1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7" xfId="0" applyBorder="1"/>
    <xf numFmtId="3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0" fillId="0" borderId="8" xfId="0" applyBorder="1"/>
    <xf numFmtId="0" fontId="0" fillId="2" borderId="11" xfId="0" applyFill="1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0" borderId="13" xfId="0" applyBorder="1"/>
    <xf numFmtId="0" fontId="0" fillId="2" borderId="0" xfId="0" applyFill="1" applyAlignment="1">
      <alignment horizontal="right"/>
    </xf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0" fillId="2" borderId="14" xfId="0" applyFill="1" applyBorder="1"/>
    <xf numFmtId="0" fontId="0" fillId="0" borderId="15" xfId="0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0" fontId="2" fillId="2" borderId="11" xfId="0" applyFont="1" applyFill="1" applyBorder="1"/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8" xfId="0" applyFont="1" applyFill="1" applyBorder="1"/>
    <xf numFmtId="0" fontId="2" fillId="0" borderId="19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0" fontId="0" fillId="2" borderId="13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0" xfId="0" applyBorder="1"/>
    <xf numFmtId="3" fontId="3" fillId="0" borderId="20" xfId="0" applyNumberFormat="1" applyFont="1" applyBorder="1" applyAlignment="1">
      <alignment horizontal="center"/>
    </xf>
    <xf numFmtId="0" fontId="3" fillId="0" borderId="20" xfId="0" applyFont="1" applyBorder="1"/>
    <xf numFmtId="0" fontId="0" fillId="0" borderId="21" xfId="0" applyBorder="1"/>
    <xf numFmtId="0" fontId="0" fillId="2" borderId="20" xfId="0" applyFill="1" applyBorder="1"/>
    <xf numFmtId="0" fontId="1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3" fontId="0" fillId="0" borderId="6" xfId="0" applyNumberFormat="1" applyBorder="1"/>
    <xf numFmtId="0" fontId="0" fillId="0" borderId="24" xfId="0" applyBorder="1"/>
    <xf numFmtId="0" fontId="0" fillId="0" borderId="25" xfId="0" applyBorder="1"/>
    <xf numFmtId="2" fontId="0" fillId="5" borderId="1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5" borderId="0" xfId="0" applyFill="1" applyAlignment="1">
      <alignment horizontal="right"/>
    </xf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Border="1"/>
    <xf numFmtId="0" fontId="0" fillId="0" borderId="26" xfId="0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0" fillId="0" borderId="17" xfId="0" applyBorder="1"/>
    <xf numFmtId="3" fontId="8" fillId="0" borderId="1" xfId="0" applyNumberFormat="1" applyFont="1" applyBorder="1"/>
    <xf numFmtId="9" fontId="0" fillId="0" borderId="0" xfId="0" applyNumberForma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8" fillId="0" borderId="0" xfId="0" applyFont="1"/>
    <xf numFmtId="3" fontId="8" fillId="4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3" fontId="8" fillId="0" borderId="2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17" xfId="0" applyBorder="1" applyAlignment="1">
      <alignment horizontal="center" textRotation="90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171296296296296"/>
          <c:w val="0.89166666666666661"/>
          <c:h val="0.63905037911927665"/>
        </c:manualLayout>
      </c:layout>
      <c:pie3DChart>
        <c:varyColors val="1"/>
        <c:ser>
          <c:idx val="1"/>
          <c:order val="0"/>
          <c:tx>
            <c:strRef>
              <c:f>'с учетом скидок'!$M$4</c:f>
              <c:strCache>
                <c:ptCount val="1"/>
                <c:pt idx="0">
                  <c:v>%,денежная доля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B/>
              <a:contourClr>
                <a:srgbClr val="000000"/>
              </a:contourClr>
            </a:sp3d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50800">
                <a:bevelB/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50800">
                <a:bevelB/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2DE7B90-8BFB-4049-A8A4-27807424EE61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66FFF776-3268-467B-B598-A49BDA22918C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  <a:fld id="{98AE47B0-FFE2-44F0-AC38-A03230F6B456}" type="CELLREF">
                      <a:rPr lang="ru-RU" baseline="0"/>
                      <a:pPr/>
                      <a:t>[ССЫЛКА НА ЯЧЕЙКУ]</a:t>
                    </a:fld>
                    <a:endParaRPr lang="ru-RU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44444444444445"/>
                      <c:h val="0.16645851560221639"/>
                    </c:manualLayout>
                  </c15:layout>
                  <c15:dlblFieldTable>
                    <c15:dlblFTEntry>
                      <c15:txfldGUID>{98AE47B0-FFE2-44F0-AC38-A03230F6B456}</c15:txfldGUID>
                      <c15:f>'с учетом скидок'!$M$6</c15:f>
                      <c15:dlblFieldTableCache>
                        <c:ptCount val="1"/>
                        <c:pt idx="0">
                          <c:v>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'с учетом скидок'!$L$5</c:f>
              <c:strCache>
                <c:ptCount val="1"/>
                <c:pt idx="0">
                  <c:v>протравка зерновых</c:v>
                </c:pt>
              </c:strCache>
            </c:strRef>
          </c:cat>
          <c:val>
            <c:numRef>
              <c:f>'с учетом скидок'!$L$6:$M$6</c:f>
              <c:numCache>
                <c:formatCode>0</c:formatCode>
                <c:ptCount val="2"/>
                <c:pt idx="0" formatCode="#,##0">
                  <c:v>39560.800000000003</c:v>
                </c:pt>
                <c:pt idx="1">
                  <c:v>5.6908020747128525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'с учетом скидок'!$L$7</c15:sqref>
                        </c15:formulaRef>
                      </c:ext>
                    </c:extLst>
                    <c:strCache>
                      <c:ptCount val="1"/>
                      <c:pt idx="0">
                        <c:v>сульфонил мочевина зерновые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1">
                            <a:lumMod val="60000"/>
                            <a:lumOff val="40000"/>
                          </a:schemeClr>
                        </a:gs>
                        <a:gs pos="0">
                          <a:schemeClr val="accent1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2">
                            <a:lumMod val="60000"/>
                            <a:lumOff val="40000"/>
                          </a:schemeClr>
                        </a:gs>
                        <a:gs pos="0">
                          <a:schemeClr val="accent2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3">
                            <a:lumMod val="60000"/>
                            <a:lumOff val="40000"/>
                          </a:schemeClr>
                        </a:gs>
                        <a:gs pos="0">
                          <a:schemeClr val="accent3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>
                      <c15:layout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'с учетом скидок'!$L$5</c15:sqref>
                        </c15:formulaRef>
                      </c:ext>
                    </c:extLst>
                    <c:strCache>
                      <c:ptCount val="1"/>
                      <c:pt idx="0">
                        <c:v>протравка зерновых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'с учетом скидок'!$L$9:$N$9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 formatCode="#,##0">
                        <c:v>105414.39999999999</c:v>
                      </c:pt>
                      <c:pt idx="1">
                        <c:v>15.16381079817927</c:v>
                      </c:pt>
                      <c:pt idx="2" formatCode="#,##0">
                        <c:v>96.287533663889647</c:v>
                      </c:pt>
                    </c:numCache>
                  </c:numRef>
                </c:val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 учетом скидок'!$L$10</c15:sqref>
                        </c15:formulaRef>
                      </c:ext>
                    </c:extLst>
                    <c:strCache>
                      <c:ptCount val="1"/>
                      <c:pt idx="0">
                        <c:v>эфир зерновые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1">
                            <a:lumMod val="60000"/>
                            <a:lumOff val="40000"/>
                          </a:schemeClr>
                        </a:gs>
                        <a:gs pos="0">
                          <a:schemeClr val="accent1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2">
                            <a:lumMod val="60000"/>
                            <a:lumOff val="40000"/>
                          </a:schemeClr>
                        </a:gs>
                        <a:gs pos="0">
                          <a:schemeClr val="accent2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3">
                            <a:lumMod val="60000"/>
                            <a:lumOff val="40000"/>
                          </a:schemeClr>
                        </a:gs>
                        <a:gs pos="0">
                          <a:schemeClr val="accent3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 учетом скидок'!$L$5</c15:sqref>
                        </c15:formulaRef>
                      </c:ext>
                    </c:extLst>
                    <c:strCache>
                      <c:ptCount val="1"/>
                      <c:pt idx="0">
                        <c:v>протравка зерновых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'с учетом скидок'!$L$11:$N$11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 formatCode="#,##0">
                        <c:v>109532</c:v>
                      </c:pt>
                      <c:pt idx="1">
                        <c:v>15.756125580055208</c:v>
                      </c:pt>
                      <c:pt idx="2" formatCode="#,##0">
                        <c:v>95.250560016108338</c:v>
                      </c:pt>
                    </c:numCache>
                  </c:numRef>
                </c:val>
              </c15:ser>
            </c15:filteredPieSeries>
            <c15:filteredPi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 учетом скидок'!$L$12</c15:sqref>
                        </c15:formulaRef>
                      </c:ext>
                    </c:extLst>
                    <c:strCache>
                      <c:ptCount val="1"/>
                      <c:pt idx="0">
                        <c:v>граминициды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1">
                            <a:lumMod val="60000"/>
                            <a:lumOff val="40000"/>
                          </a:schemeClr>
                        </a:gs>
                        <a:gs pos="0">
                          <a:schemeClr val="accent1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2">
                            <a:lumMod val="60000"/>
                            <a:lumOff val="40000"/>
                          </a:schemeClr>
                        </a:gs>
                        <a:gs pos="0">
                          <a:schemeClr val="accent2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3">
                            <a:lumMod val="60000"/>
                            <a:lumOff val="40000"/>
                          </a:schemeClr>
                        </a:gs>
                        <a:gs pos="0">
                          <a:schemeClr val="accent3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 учетом скидок'!$L$5</c15:sqref>
                        </c15:formulaRef>
                      </c:ext>
                    </c:extLst>
                    <c:strCache>
                      <c:ptCount val="1"/>
                      <c:pt idx="0">
                        <c:v>протравка зерновых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'с учетом скидок'!$L$13:$N$13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 formatCode="#,##0">
                        <c:v>295950</c:v>
                      </c:pt>
                      <c:pt idx="1">
                        <c:v>42.572265323534118</c:v>
                      </c:pt>
                      <c:pt idx="2" formatCode="#,##0">
                        <c:v>67</c:v>
                      </c:pt>
                    </c:numCache>
                  </c:numRef>
                </c:val>
              </c15:ser>
            </c15:filteredPieSeries>
            <c15:filteredPi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 учетом скидок'!$L$14</c15:sqref>
                        </c15:formulaRef>
                      </c:ext>
                    </c:extLst>
                    <c:strCache>
                      <c:ptCount val="1"/>
                      <c:pt idx="0">
                        <c:v>фунгицид зерновые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>
                      <a:gsLst>
                        <a:gs pos="100000">
                          <a:schemeClr val="accent1">
                            <a:lumMod val="60000"/>
                            <a:lumOff val="40000"/>
                          </a:schemeClr>
                        </a:gs>
                        <a:gs pos="0">
                          <a:schemeClr val="accent1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Pt>
                  <c:idx val="1"/>
                  <c:bubble3D val="0"/>
                  <c:spPr>
                    <a:gradFill>
                      <a:gsLst>
                        <a:gs pos="100000">
                          <a:schemeClr val="accent2">
                            <a:lumMod val="60000"/>
                            <a:lumOff val="40000"/>
                          </a:schemeClr>
                        </a:gs>
                        <a:gs pos="0">
                          <a:schemeClr val="accent2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Pt>
                  <c:idx val="2"/>
                  <c:bubble3D val="0"/>
                  <c:spPr>
                    <a:gradFill>
                      <a:gsLst>
                        <a:gs pos="100000">
                          <a:schemeClr val="accent3">
                            <a:lumMod val="60000"/>
                            <a:lumOff val="40000"/>
                          </a:schemeClr>
                        </a:gs>
                        <a:gs pos="0">
                          <a:schemeClr val="accent3"/>
                        </a:gs>
                      </a:gsLst>
                      <a:lin ang="5400000" scaled="0"/>
                    </a:gradFill>
                    <a:ln w="50800">
                      <a:solidFill>
                        <a:schemeClr val="lt1"/>
                      </a:solidFill>
                    </a:ln>
                    <a:effectLst/>
                    <a:sp3d contourW="50800">
                      <a:contourClr>
                        <a:schemeClr val="lt1"/>
                      </a:contourClr>
                    </a:sp3d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dk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 учетом скидок'!$L$5</c15:sqref>
                        </c15:formulaRef>
                      </c:ext>
                    </c:extLst>
                    <c:strCache>
                      <c:ptCount val="1"/>
                      <c:pt idx="0">
                        <c:v>протравка зерновых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'с учетом скидок'!$L$15:$N$15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 formatCode="#,##0">
                        <c:v>144713.70000000001</c:v>
                      </c:pt>
                      <c:pt idx="1">
                        <c:v>20.816996223518569</c:v>
                      </c:pt>
                      <c:pt idx="2" formatCode="General">
                        <c:v>53</c:v>
                      </c:pt>
                    </c:numCache>
                  </c:numRef>
                </c:val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2</xdr:row>
      <xdr:rowOff>28575</xdr:rowOff>
    </xdr:from>
    <xdr:to>
      <xdr:col>21</xdr:col>
      <xdr:colOff>219075</xdr:colOff>
      <xdr:row>13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I1" workbookViewId="0">
      <selection activeCell="L15" sqref="L15"/>
    </sheetView>
  </sheetViews>
  <sheetFormatPr defaultRowHeight="15" x14ac:dyDescent="0.25"/>
  <cols>
    <col min="2" max="2" width="17.28515625" customWidth="1"/>
    <col min="4" max="4" width="13.5703125" customWidth="1"/>
    <col min="8" max="8" width="13.140625" customWidth="1"/>
    <col min="11" max="11" width="13.85546875" customWidth="1"/>
    <col min="12" max="12" width="22.85546875" customWidth="1"/>
    <col min="13" max="13" width="17.140625" customWidth="1"/>
    <col min="14" max="14" width="15.140625" customWidth="1"/>
    <col min="15" max="15" width="12.85546875" customWidth="1"/>
  </cols>
  <sheetData>
    <row r="1" spans="1:14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14" x14ac:dyDescent="0.25">
      <c r="A2" s="125"/>
      <c r="B2" s="125"/>
      <c r="C2" s="125"/>
      <c r="D2" s="125"/>
      <c r="E2" s="125"/>
      <c r="F2" s="125"/>
      <c r="G2" s="125"/>
      <c r="H2" s="125"/>
      <c r="I2" s="125"/>
    </row>
    <row r="3" spans="1:14" ht="15.75" thickBot="1" x14ac:dyDescent="0.3">
      <c r="A3" s="124" t="s">
        <v>1</v>
      </c>
      <c r="B3" s="124"/>
      <c r="C3" s="124"/>
      <c r="D3" s="124"/>
      <c r="E3" s="124"/>
      <c r="F3" s="124"/>
      <c r="G3" s="124"/>
      <c r="H3" s="124"/>
      <c r="I3" s="124"/>
    </row>
    <row r="4" spans="1:14" ht="51.75" x14ac:dyDescent="0.25">
      <c r="A4" s="1" t="s">
        <v>2</v>
      </c>
      <c r="B4" s="2" t="s">
        <v>3</v>
      </c>
      <c r="C4" s="1" t="s">
        <v>4</v>
      </c>
      <c r="D4" s="2" t="s">
        <v>5</v>
      </c>
      <c r="E4" s="1" t="s">
        <v>6</v>
      </c>
      <c r="F4" s="2" t="s">
        <v>7</v>
      </c>
      <c r="G4" s="1" t="s">
        <v>8</v>
      </c>
      <c r="H4" s="2" t="s">
        <v>9</v>
      </c>
      <c r="I4" s="3" t="s">
        <v>10</v>
      </c>
      <c r="J4" s="4"/>
      <c r="L4" s="5"/>
      <c r="M4" s="6" t="s">
        <v>11</v>
      </c>
      <c r="N4" s="7" t="s">
        <v>12</v>
      </c>
    </row>
    <row r="5" spans="1:14" ht="15.75" x14ac:dyDescent="0.25">
      <c r="A5" s="8"/>
      <c r="B5" s="126" t="s">
        <v>13</v>
      </c>
      <c r="C5" s="127"/>
      <c r="D5" s="127"/>
      <c r="E5" s="128"/>
      <c r="F5" s="9">
        <v>5747</v>
      </c>
      <c r="G5" s="8"/>
      <c r="H5" s="8"/>
      <c r="I5" s="10"/>
      <c r="J5" s="11"/>
      <c r="K5" s="12"/>
      <c r="L5" s="7" t="s">
        <v>14</v>
      </c>
      <c r="M5" s="13" t="s">
        <v>6</v>
      </c>
      <c r="N5" s="5"/>
    </row>
    <row r="6" spans="1:14" ht="15.75" x14ac:dyDescent="0.25">
      <c r="A6" s="14">
        <v>1</v>
      </c>
      <c r="B6" s="15" t="s">
        <v>15</v>
      </c>
      <c r="C6" s="15">
        <v>0.4</v>
      </c>
      <c r="D6" s="15">
        <v>3180</v>
      </c>
      <c r="E6" s="16">
        <f>SUM(D6)*100/F5</f>
        <v>55.333217330781274</v>
      </c>
      <c r="F6" s="16">
        <v>945</v>
      </c>
      <c r="G6" s="15">
        <v>19.84</v>
      </c>
      <c r="H6" s="17">
        <f>SUM(G6)*C6</f>
        <v>7.9359999999999999</v>
      </c>
      <c r="I6" s="18">
        <f>SUM(G6)*F6</f>
        <v>18748.8</v>
      </c>
      <c r="J6" s="11"/>
      <c r="L6" s="19">
        <f>SUM(I6)+I7+I8</f>
        <v>39560.800000000003</v>
      </c>
      <c r="M6" s="20">
        <f>SUM(L6)*M16/L16</f>
        <v>5.6908020747128525</v>
      </c>
      <c r="N6" s="19">
        <f>SUM(E6)+E7+E8</f>
        <v>100</v>
      </c>
    </row>
    <row r="7" spans="1:14" ht="15.75" x14ac:dyDescent="0.25">
      <c r="A7" s="14">
        <v>2</v>
      </c>
      <c r="B7" s="15" t="s">
        <v>16</v>
      </c>
      <c r="C7" s="15">
        <v>0.25</v>
      </c>
      <c r="D7" s="15">
        <v>2567</v>
      </c>
      <c r="E7" s="16">
        <f>SUM(D7)*100/F5</f>
        <v>44.666782669218726</v>
      </c>
      <c r="F7" s="16">
        <v>540</v>
      </c>
      <c r="G7" s="15">
        <v>38.54</v>
      </c>
      <c r="H7" s="21">
        <f>SUM(G7)*C7</f>
        <v>9.6349999999999998</v>
      </c>
      <c r="I7" s="22">
        <f>ROUND((G7)*F7,0)</f>
        <v>20812</v>
      </c>
      <c r="J7" s="11"/>
      <c r="K7" s="23"/>
      <c r="L7" s="7" t="s">
        <v>17</v>
      </c>
      <c r="M7" s="5"/>
      <c r="N7" s="5"/>
    </row>
    <row r="8" spans="1:14" ht="15.75" x14ac:dyDescent="0.25">
      <c r="A8" s="14"/>
      <c r="B8" s="15"/>
      <c r="C8" s="15"/>
      <c r="D8" s="15"/>
      <c r="E8" s="16"/>
      <c r="F8" s="16"/>
      <c r="G8" s="15"/>
      <c r="H8" s="21"/>
      <c r="I8" s="22"/>
      <c r="J8" s="11"/>
      <c r="L8" s="7"/>
      <c r="M8" s="5"/>
      <c r="N8" s="5"/>
    </row>
    <row r="9" spans="1:14" ht="15.75" x14ac:dyDescent="0.25">
      <c r="A9" s="8"/>
      <c r="B9" s="129" t="s">
        <v>18</v>
      </c>
      <c r="C9" s="130"/>
      <c r="D9" s="130"/>
      <c r="E9" s="131"/>
      <c r="F9" s="24">
        <v>187</v>
      </c>
      <c r="G9" s="8"/>
      <c r="H9" s="15"/>
      <c r="I9" s="10"/>
      <c r="J9" s="11"/>
      <c r="L9" s="19">
        <f>SUM(I13)+I14+I15+I17+I16</f>
        <v>105414.39999999999</v>
      </c>
      <c r="M9" s="20">
        <f>SUM(L9)*M16/L16</f>
        <v>15.16381079817927</v>
      </c>
      <c r="N9" s="19">
        <f>SUM(E13)+E14+E15+E17</f>
        <v>96.287533663889647</v>
      </c>
    </row>
    <row r="10" spans="1:14" ht="15.75" x14ac:dyDescent="0.25">
      <c r="A10" s="8">
        <v>1</v>
      </c>
      <c r="B10" s="15" t="s">
        <v>19</v>
      </c>
      <c r="C10" s="15" t="s">
        <v>20</v>
      </c>
      <c r="D10" s="15">
        <v>187</v>
      </c>
      <c r="E10" s="15">
        <v>100</v>
      </c>
      <c r="F10" s="16">
        <v>140</v>
      </c>
      <c r="G10" s="15">
        <v>95.7</v>
      </c>
      <c r="H10" s="25" t="s">
        <v>21</v>
      </c>
      <c r="I10" s="22">
        <f>ROUND((G10)*F10,0)</f>
        <v>13398</v>
      </c>
      <c r="J10" s="11"/>
      <c r="L10" s="7" t="s">
        <v>22</v>
      </c>
      <c r="M10" s="5"/>
      <c r="N10" s="5"/>
    </row>
    <row r="11" spans="1:14" ht="15.75" x14ac:dyDescent="0.25">
      <c r="A11" s="14">
        <v>2</v>
      </c>
      <c r="B11" s="15" t="s">
        <v>16</v>
      </c>
      <c r="C11" s="15">
        <v>0.25</v>
      </c>
      <c r="D11" s="15">
        <v>175</v>
      </c>
      <c r="E11" s="15">
        <v>100</v>
      </c>
      <c r="F11" s="16">
        <v>45</v>
      </c>
      <c r="G11" s="15">
        <v>38.54</v>
      </c>
      <c r="H11" s="21">
        <f>SUM(G11)*C11</f>
        <v>9.6349999999999998</v>
      </c>
      <c r="I11" s="22">
        <f>ROUND((G11)*F11,0)</f>
        <v>1734</v>
      </c>
      <c r="J11" s="11"/>
      <c r="K11" s="23"/>
      <c r="L11" s="19">
        <f>SUM(I18)+I19+I20</f>
        <v>109532</v>
      </c>
      <c r="M11" s="20">
        <f>SUM(L11)*M16/L16</f>
        <v>15.756125580055208</v>
      </c>
      <c r="N11" s="19">
        <f>SUM(E18)+E19+E20</f>
        <v>95.250560016108338</v>
      </c>
    </row>
    <row r="12" spans="1:14" ht="16.5" thickBot="1" x14ac:dyDescent="0.3">
      <c r="A12" s="26"/>
      <c r="B12" s="132" t="s">
        <v>23</v>
      </c>
      <c r="C12" s="133"/>
      <c r="D12" s="133"/>
      <c r="E12" s="134"/>
      <c r="F12" s="27">
        <v>39731</v>
      </c>
      <c r="G12" s="28" t="s">
        <v>24</v>
      </c>
      <c r="H12" s="26"/>
      <c r="I12" s="29"/>
      <c r="J12" s="11"/>
      <c r="L12" s="7" t="s">
        <v>25</v>
      </c>
      <c r="M12" s="5"/>
      <c r="N12" s="5"/>
    </row>
    <row r="13" spans="1:14" ht="15.75" x14ac:dyDescent="0.25">
      <c r="A13" s="30">
        <v>1</v>
      </c>
      <c r="B13" s="31" t="s">
        <v>26</v>
      </c>
      <c r="C13" s="31">
        <v>1.2E-2</v>
      </c>
      <c r="D13" s="32">
        <v>35156</v>
      </c>
      <c r="E13" s="16">
        <f>SUM(D13)*100/F12</f>
        <v>88.48506204223402</v>
      </c>
      <c r="F13" s="32">
        <v>422</v>
      </c>
      <c r="G13" s="31">
        <v>237.3</v>
      </c>
      <c r="H13" s="33">
        <f t="shared" ref="H13:H24" si="0">SUM(G13)*C13</f>
        <v>2.8476000000000004</v>
      </c>
      <c r="I13" s="22">
        <f>ROUND((G13)*F13,0)</f>
        <v>100141</v>
      </c>
      <c r="J13" s="115" t="s">
        <v>27</v>
      </c>
      <c r="L13" s="19">
        <f>SUM(I21)+I22</f>
        <v>295950</v>
      </c>
      <c r="M13" s="20">
        <f>SUM(L13)*M16/L16</f>
        <v>42.572265323534118</v>
      </c>
      <c r="N13" s="19">
        <f>SUM(E21)+E22</f>
        <v>67</v>
      </c>
    </row>
    <row r="14" spans="1:14" ht="15.75" x14ac:dyDescent="0.25">
      <c r="A14" s="34">
        <v>2</v>
      </c>
      <c r="B14" s="15" t="s">
        <v>28</v>
      </c>
      <c r="C14" s="15">
        <v>1.2E-2</v>
      </c>
      <c r="D14" s="16">
        <v>500</v>
      </c>
      <c r="E14" s="16">
        <f>SUM(D14)*100/F12</f>
        <v>1.2584631647831668</v>
      </c>
      <c r="F14" s="16">
        <v>6</v>
      </c>
      <c r="G14" s="15">
        <v>237</v>
      </c>
      <c r="H14" s="21">
        <f t="shared" si="0"/>
        <v>2.8439999999999999</v>
      </c>
      <c r="I14" s="22">
        <f>ROUND((G14)*F14,0)</f>
        <v>1422</v>
      </c>
      <c r="J14" s="116"/>
      <c r="L14" s="7" t="s">
        <v>29</v>
      </c>
      <c r="M14" s="5"/>
      <c r="N14" s="5"/>
    </row>
    <row r="15" spans="1:14" ht="15.75" x14ac:dyDescent="0.25">
      <c r="A15" s="35">
        <v>3</v>
      </c>
      <c r="B15" s="15"/>
      <c r="C15" s="15"/>
      <c r="D15" s="16"/>
      <c r="E15" s="16"/>
      <c r="F15" s="16"/>
      <c r="G15" s="15"/>
      <c r="H15" s="21"/>
      <c r="I15" s="22"/>
      <c r="J15" s="116"/>
      <c r="L15" s="19">
        <f>SUM(I34)+I35</f>
        <v>144713.70000000001</v>
      </c>
      <c r="M15" s="20">
        <f>SUM(L15)*M16/L16</f>
        <v>20.816996223518569</v>
      </c>
      <c r="N15" s="7">
        <v>53</v>
      </c>
    </row>
    <row r="16" spans="1:14" ht="15.75" x14ac:dyDescent="0.25">
      <c r="A16" s="34">
        <v>4</v>
      </c>
      <c r="B16" s="15" t="s">
        <v>30</v>
      </c>
      <c r="C16" s="15">
        <v>0.05</v>
      </c>
      <c r="D16" s="16">
        <v>36389</v>
      </c>
      <c r="E16" s="16">
        <f>SUM(D16)*100/F12</f>
        <v>91.588432206589317</v>
      </c>
      <c r="F16" s="16">
        <v>1855</v>
      </c>
      <c r="G16" s="15">
        <v>0.01</v>
      </c>
      <c r="H16" s="21">
        <f t="shared" ref="H16" si="1">SUM(G16)*C16</f>
        <v>5.0000000000000001E-4</v>
      </c>
      <c r="I16" s="22">
        <f>ROUND((G16)*F16,0)</f>
        <v>19</v>
      </c>
      <c r="J16" s="116"/>
      <c r="K16" s="36" t="s">
        <v>31</v>
      </c>
      <c r="L16" s="37">
        <f>SUM(L6)+L9+L11+L13+L15</f>
        <v>695170.89999999991</v>
      </c>
      <c r="M16" s="38">
        <v>100</v>
      </c>
      <c r="N16" s="39"/>
    </row>
    <row r="17" spans="1:14" ht="16.5" thickBot="1" x14ac:dyDescent="0.3">
      <c r="A17" s="40">
        <v>5</v>
      </c>
      <c r="B17" s="41" t="s">
        <v>32</v>
      </c>
      <c r="C17" s="41">
        <v>0.01</v>
      </c>
      <c r="D17" s="42">
        <v>2600</v>
      </c>
      <c r="E17" s="16">
        <f>SUM(D17)*100/F12</f>
        <v>6.5440084568724677</v>
      </c>
      <c r="F17" s="42">
        <v>26</v>
      </c>
      <c r="G17" s="41">
        <v>147.4</v>
      </c>
      <c r="H17" s="43">
        <f>SUM(G17)*C17</f>
        <v>1.474</v>
      </c>
      <c r="I17" s="44">
        <f>SUM(G17)*F17</f>
        <v>3832.4</v>
      </c>
      <c r="J17" s="117"/>
      <c r="L17" s="7" t="s">
        <v>33</v>
      </c>
      <c r="M17" s="20"/>
      <c r="N17" s="7"/>
    </row>
    <row r="18" spans="1:14" ht="15.75" x14ac:dyDescent="0.25">
      <c r="A18" s="45">
        <v>6</v>
      </c>
      <c r="B18" s="46" t="s">
        <v>34</v>
      </c>
      <c r="C18" s="46">
        <v>0.35</v>
      </c>
      <c r="D18" s="47">
        <v>34743</v>
      </c>
      <c r="E18" s="16">
        <f>SUM(D18)*100/F12</f>
        <v>87.445571468123134</v>
      </c>
      <c r="F18" s="47">
        <v>12160</v>
      </c>
      <c r="G18" s="46">
        <v>8.1</v>
      </c>
      <c r="H18" s="33">
        <f t="shared" si="0"/>
        <v>2.8349999999999995</v>
      </c>
      <c r="I18" s="22">
        <f>ROUND((G18)*F18,0)</f>
        <v>98496</v>
      </c>
      <c r="J18" s="115" t="s">
        <v>35</v>
      </c>
      <c r="K18" s="23"/>
      <c r="L18" s="19">
        <f>SUM(I10)+I11</f>
        <v>15132</v>
      </c>
      <c r="M18" s="19">
        <f>SUM(L18)*M29/L29</f>
        <v>15.392095631989356</v>
      </c>
      <c r="N18" s="7">
        <v>100</v>
      </c>
    </row>
    <row r="19" spans="1:14" ht="15.75" x14ac:dyDescent="0.25">
      <c r="A19" s="48">
        <v>7</v>
      </c>
      <c r="B19" s="49"/>
      <c r="C19" s="49"/>
      <c r="D19" s="50"/>
      <c r="E19" s="50"/>
      <c r="F19" s="50"/>
      <c r="G19" s="49"/>
      <c r="H19" s="17"/>
      <c r="I19" s="18"/>
      <c r="J19" s="116"/>
      <c r="L19" s="7" t="s">
        <v>36</v>
      </c>
      <c r="M19" s="7"/>
      <c r="N19" s="7"/>
    </row>
    <row r="20" spans="1:14" ht="16.5" thickBot="1" x14ac:dyDescent="0.3">
      <c r="A20" s="51">
        <v>8</v>
      </c>
      <c r="B20" s="52" t="s">
        <v>37</v>
      </c>
      <c r="C20" s="52">
        <v>0.4</v>
      </c>
      <c r="D20" s="53">
        <v>3101</v>
      </c>
      <c r="E20" s="16">
        <f>SUM(D20)*100/F12</f>
        <v>7.8049885479852001</v>
      </c>
      <c r="F20" s="54">
        <v>1240</v>
      </c>
      <c r="G20" s="52">
        <v>8.9</v>
      </c>
      <c r="H20" s="55">
        <f t="shared" si="0"/>
        <v>3.5600000000000005</v>
      </c>
      <c r="I20" s="22">
        <f>ROUND((G20)*F20,0)</f>
        <v>11036</v>
      </c>
      <c r="J20" s="117"/>
      <c r="L20" s="19">
        <f>SUM(I25)+I24</f>
        <v>20459</v>
      </c>
      <c r="M20" s="19">
        <f>SUM(L20)*M29/L29</f>
        <v>20.810658507459042</v>
      </c>
      <c r="N20" s="19">
        <f>SUM(E24)+E25+E27+E28</f>
        <v>50.820727389765047</v>
      </c>
    </row>
    <row r="21" spans="1:14" ht="15.75" x14ac:dyDescent="0.25">
      <c r="A21" s="30">
        <v>9</v>
      </c>
      <c r="B21" s="31" t="s">
        <v>38</v>
      </c>
      <c r="C21" s="31">
        <v>0.4</v>
      </c>
      <c r="D21" s="32">
        <v>23562</v>
      </c>
      <c r="E21" s="16">
        <f>ROUND((D21)*100/F12,0)</f>
        <v>59</v>
      </c>
      <c r="F21" s="32">
        <v>9425</v>
      </c>
      <c r="G21" s="31">
        <v>27.87</v>
      </c>
      <c r="H21" s="33">
        <f t="shared" si="0"/>
        <v>11.148000000000001</v>
      </c>
      <c r="I21" s="22">
        <f>ROUND((G21)*F21,0)</f>
        <v>262675</v>
      </c>
      <c r="J21" s="115" t="s">
        <v>39</v>
      </c>
      <c r="L21" s="7" t="s">
        <v>40</v>
      </c>
      <c r="M21" s="7"/>
      <c r="N21" s="7"/>
    </row>
    <row r="22" spans="1:14" ht="15.75" thickBot="1" x14ac:dyDescent="0.3">
      <c r="A22" s="56">
        <v>10</v>
      </c>
      <c r="B22" s="57" t="s">
        <v>41</v>
      </c>
      <c r="C22" s="57">
        <v>0.9</v>
      </c>
      <c r="D22" s="58">
        <v>3361</v>
      </c>
      <c r="E22" s="58">
        <f>ROUND((D22)*100/F12,0)</f>
        <v>8</v>
      </c>
      <c r="F22" s="58">
        <v>3025</v>
      </c>
      <c r="G22" s="57">
        <v>11</v>
      </c>
      <c r="H22" s="59">
        <f t="shared" si="0"/>
        <v>9.9</v>
      </c>
      <c r="I22" s="22">
        <f>ROUND((G22)*F22,0)</f>
        <v>33275</v>
      </c>
      <c r="J22" s="117"/>
      <c r="L22" s="60">
        <f>SUM(I26)+I27</f>
        <v>16090.2</v>
      </c>
      <c r="M22" s="60">
        <f>SUM(L22)*M29/L29</f>
        <v>16.366765605196612</v>
      </c>
      <c r="N22" s="61">
        <v>44</v>
      </c>
    </row>
    <row r="23" spans="1:14" ht="15.75" x14ac:dyDescent="0.25">
      <c r="A23" s="62"/>
      <c r="B23" s="118" t="s">
        <v>42</v>
      </c>
      <c r="C23" s="119"/>
      <c r="D23" s="119"/>
      <c r="E23" s="120"/>
      <c r="F23" s="63">
        <v>6214</v>
      </c>
      <c r="G23" s="64" t="s">
        <v>24</v>
      </c>
      <c r="H23" s="62"/>
      <c r="I23" s="65"/>
      <c r="J23" s="4"/>
      <c r="L23" s="7" t="s">
        <v>25</v>
      </c>
      <c r="M23" s="7"/>
      <c r="N23" s="7"/>
    </row>
    <row r="24" spans="1:14" ht="15.75" x14ac:dyDescent="0.25">
      <c r="A24" s="66">
        <v>1</v>
      </c>
      <c r="B24" s="67" t="s">
        <v>43</v>
      </c>
      <c r="C24" s="67">
        <v>0.03</v>
      </c>
      <c r="D24" s="67">
        <v>419</v>
      </c>
      <c r="E24" s="68">
        <f>SUM(D24)*100/F23</f>
        <v>6.7428387512069516</v>
      </c>
      <c r="F24" s="69">
        <v>13</v>
      </c>
      <c r="G24" s="70">
        <v>149</v>
      </c>
      <c r="H24" s="21">
        <f t="shared" si="0"/>
        <v>4.47</v>
      </c>
      <c r="I24" s="22">
        <f>ROUND((G24)*F24,0)</f>
        <v>1937</v>
      </c>
      <c r="J24" s="11"/>
      <c r="L24" s="19">
        <f>SUM(I32)+I31+I30</f>
        <v>45429</v>
      </c>
      <c r="M24" s="19">
        <f>SUM(L24)*M29/L29</f>
        <v>46.209854114832439</v>
      </c>
      <c r="N24" s="7">
        <v>66</v>
      </c>
    </row>
    <row r="25" spans="1:14" ht="16.5" thickBot="1" x14ac:dyDescent="0.3">
      <c r="A25" s="14">
        <v>2</v>
      </c>
      <c r="B25" s="15" t="s">
        <v>44</v>
      </c>
      <c r="C25" s="15">
        <v>0.1</v>
      </c>
      <c r="D25" s="16">
        <v>1959</v>
      </c>
      <c r="E25" s="68">
        <f>SUM(D25)*100/F23</f>
        <v>31.52558738332797</v>
      </c>
      <c r="F25" s="16">
        <v>196</v>
      </c>
      <c r="G25" s="15">
        <v>94.5</v>
      </c>
      <c r="H25" s="17">
        <f>SUM(G25)*C25</f>
        <v>9.4500000000000011</v>
      </c>
      <c r="I25" s="18">
        <f>SUM(G25)*F25</f>
        <v>18522</v>
      </c>
      <c r="J25" s="71"/>
      <c r="L25" s="7" t="s">
        <v>45</v>
      </c>
      <c r="M25" s="19"/>
      <c r="N25" s="7"/>
    </row>
    <row r="26" spans="1:14" ht="15.75" x14ac:dyDescent="0.25">
      <c r="A26" s="14">
        <v>3</v>
      </c>
      <c r="B26" s="15" t="s">
        <v>46</v>
      </c>
      <c r="C26" s="15">
        <v>0.6</v>
      </c>
      <c r="D26" s="16">
        <v>1956</v>
      </c>
      <c r="E26" s="68">
        <f>SUM(D26)*100/F23</f>
        <v>31.477309301577083</v>
      </c>
      <c r="F26" s="16">
        <v>1180</v>
      </c>
      <c r="G26" s="15">
        <v>7.29</v>
      </c>
      <c r="H26" s="17">
        <f>SUM(G26)*C26</f>
        <v>4.3739999999999997</v>
      </c>
      <c r="I26" s="18">
        <f>SUM(G26)*F26</f>
        <v>8602.2000000000007</v>
      </c>
      <c r="J26" s="72"/>
      <c r="L26" s="19">
        <f>SUM(I36)+I37</f>
        <v>810</v>
      </c>
      <c r="M26" s="19">
        <f>SUM(L26)*M29/L29</f>
        <v>0.82392264485272126</v>
      </c>
      <c r="N26" s="7"/>
    </row>
    <row r="27" spans="1:14" ht="15.75" x14ac:dyDescent="0.25">
      <c r="A27" s="14">
        <v>4</v>
      </c>
      <c r="B27" s="15" t="s">
        <v>47</v>
      </c>
      <c r="C27" s="15">
        <v>0.5</v>
      </c>
      <c r="D27" s="16">
        <v>780</v>
      </c>
      <c r="E27" s="68">
        <f>SUM(D27)*100/F23</f>
        <v>12.552301255230125</v>
      </c>
      <c r="F27" s="16">
        <v>390</v>
      </c>
      <c r="G27" s="15">
        <v>19.2</v>
      </c>
      <c r="H27" s="21">
        <f t="shared" ref="H27" si="2">SUM(G27)*C27</f>
        <v>9.6</v>
      </c>
      <c r="I27" s="22">
        <f>ROUND((G27)*F27,0)</f>
        <v>7488</v>
      </c>
      <c r="J27" s="73"/>
      <c r="L27" s="19" t="s">
        <v>48</v>
      </c>
      <c r="M27" s="19"/>
      <c r="N27" s="7"/>
    </row>
    <row r="28" spans="1:14" ht="15.75" x14ac:dyDescent="0.25">
      <c r="A28" s="8">
        <v>5</v>
      </c>
      <c r="B28" s="15" t="s">
        <v>49</v>
      </c>
      <c r="C28" s="15">
        <v>0.03</v>
      </c>
      <c r="D28" s="16">
        <v>1500</v>
      </c>
      <c r="E28" s="68"/>
      <c r="F28" s="16">
        <v>45</v>
      </c>
      <c r="G28" s="15"/>
      <c r="H28" s="74"/>
      <c r="I28" s="75"/>
      <c r="J28" s="73"/>
      <c r="L28" s="19">
        <f>SUM(I39)</f>
        <v>390</v>
      </c>
      <c r="M28" s="19">
        <f>SUM(L28)*M29/L29</f>
        <v>0.39670349566982877</v>
      </c>
      <c r="N28" s="7"/>
    </row>
    <row r="29" spans="1:14" ht="15.75" x14ac:dyDescent="0.25">
      <c r="A29" s="8">
        <v>6</v>
      </c>
      <c r="B29" s="15" t="s">
        <v>50</v>
      </c>
      <c r="C29" s="15">
        <v>1</v>
      </c>
      <c r="D29" s="16">
        <v>504</v>
      </c>
      <c r="E29" s="68">
        <f>SUM(D29)*100/F23</f>
        <v>8.1107177341486967</v>
      </c>
      <c r="F29" s="16">
        <v>504</v>
      </c>
      <c r="G29" s="15"/>
      <c r="H29" s="74"/>
      <c r="I29" s="75"/>
      <c r="J29" s="73"/>
      <c r="K29" s="36" t="s">
        <v>31</v>
      </c>
      <c r="L29" s="37">
        <f>SUM(L18)+L20+L22+L24+L26+L28</f>
        <v>98310.2</v>
      </c>
      <c r="M29" s="38">
        <v>100</v>
      </c>
      <c r="N29" s="38"/>
    </row>
    <row r="30" spans="1:14" x14ac:dyDescent="0.25">
      <c r="A30" s="14">
        <v>7</v>
      </c>
      <c r="B30" s="15" t="s">
        <v>51</v>
      </c>
      <c r="C30" s="15">
        <v>0.3</v>
      </c>
      <c r="D30" s="16">
        <v>5650</v>
      </c>
      <c r="E30" s="76"/>
      <c r="F30" s="77">
        <v>1700</v>
      </c>
      <c r="G30" s="15">
        <v>0.3</v>
      </c>
      <c r="H30" s="21">
        <f t="shared" ref="H30" si="3">SUM(G30)*C30</f>
        <v>0.09</v>
      </c>
      <c r="I30" s="22">
        <f>ROUND((G30)*F30,0)</f>
        <v>510</v>
      </c>
      <c r="J30" s="73"/>
      <c r="K30" s="36"/>
      <c r="L30" s="78"/>
      <c r="M30" s="79"/>
      <c r="N30" s="80"/>
    </row>
    <row r="31" spans="1:14" x14ac:dyDescent="0.25">
      <c r="A31" s="14">
        <v>8</v>
      </c>
      <c r="B31" s="15" t="s">
        <v>52</v>
      </c>
      <c r="C31" s="15">
        <v>0.35</v>
      </c>
      <c r="D31" s="16">
        <v>3471</v>
      </c>
      <c r="E31" s="68">
        <f>SUM(D31)*100/F23</f>
        <v>55.85774058577406</v>
      </c>
      <c r="F31" s="16">
        <v>1215</v>
      </c>
      <c r="G31" s="15">
        <v>36.97</v>
      </c>
      <c r="H31" s="21">
        <f>SUM(G31)*C31</f>
        <v>12.939499999999999</v>
      </c>
      <c r="I31" s="22">
        <f>ROUND((G31)*F31,0)</f>
        <v>44919</v>
      </c>
      <c r="J31" s="73"/>
      <c r="K31" s="81"/>
      <c r="L31" s="82"/>
      <c r="M31" s="83"/>
      <c r="N31" s="84"/>
    </row>
    <row r="32" spans="1:14" ht="28.5" x14ac:dyDescent="0.45">
      <c r="A32" s="14">
        <v>9</v>
      </c>
      <c r="B32" s="15"/>
      <c r="C32" s="15"/>
      <c r="D32" s="16"/>
      <c r="E32" s="68"/>
      <c r="F32" s="16"/>
      <c r="G32" s="15"/>
      <c r="H32" s="21"/>
      <c r="I32" s="22"/>
      <c r="J32" s="73"/>
      <c r="K32" s="85" t="s">
        <v>53</v>
      </c>
      <c r="L32" s="86" t="s">
        <v>54</v>
      </c>
      <c r="M32" s="85" t="s">
        <v>55</v>
      </c>
    </row>
    <row r="33" spans="1:15" ht="28.5" x14ac:dyDescent="0.45">
      <c r="A33" s="8"/>
      <c r="B33" s="87" t="s">
        <v>56</v>
      </c>
      <c r="C33" s="88"/>
      <c r="D33" s="88"/>
      <c r="E33" s="89"/>
      <c r="F33" s="16">
        <f>SUM(F34:F36)</f>
        <v>9765</v>
      </c>
      <c r="G33" s="8" t="s">
        <v>24</v>
      </c>
      <c r="H33" s="8"/>
      <c r="I33" s="10"/>
      <c r="J33" s="73"/>
      <c r="K33" s="85"/>
      <c r="L33" s="86"/>
      <c r="M33" s="85"/>
      <c r="N33" s="23"/>
    </row>
    <row r="34" spans="1:15" ht="28.5" x14ac:dyDescent="0.45">
      <c r="A34" s="14">
        <v>1</v>
      </c>
      <c r="B34" s="15" t="s">
        <v>57</v>
      </c>
      <c r="C34" s="15">
        <v>0.45</v>
      </c>
      <c r="D34" s="16">
        <v>17778</v>
      </c>
      <c r="E34" s="68">
        <f>SUM(D34)*100/F12</f>
        <v>44.745916287030276</v>
      </c>
      <c r="F34" s="16">
        <v>8000</v>
      </c>
      <c r="G34" s="15">
        <v>14.73</v>
      </c>
      <c r="H34" s="21">
        <f>SUM(G34)*C34</f>
        <v>6.6285000000000007</v>
      </c>
      <c r="I34" s="22">
        <f>ROUND((G34)*F34,0)</f>
        <v>117840</v>
      </c>
      <c r="J34" s="73"/>
      <c r="K34" s="90">
        <f>SUM(M34)/L34</f>
        <v>17.496939417583246</v>
      </c>
      <c r="L34" s="91">
        <v>39731</v>
      </c>
      <c r="M34" s="91">
        <f>SUM(I6+I7+I8+I13+I14+I17+I18+I20+I21+I22+I34+I35+I16)</f>
        <v>695170.89999999991</v>
      </c>
    </row>
    <row r="35" spans="1:15" ht="28.5" x14ac:dyDescent="0.45">
      <c r="A35" s="14">
        <v>2</v>
      </c>
      <c r="B35" s="15" t="s">
        <v>58</v>
      </c>
      <c r="C35" s="15">
        <v>0.4</v>
      </c>
      <c r="D35" s="16">
        <v>3282</v>
      </c>
      <c r="E35" s="68">
        <f>SUM(D35)*100/F12</f>
        <v>8.2605522136367071</v>
      </c>
      <c r="F35" s="16">
        <v>955</v>
      </c>
      <c r="G35" s="15">
        <v>28.14</v>
      </c>
      <c r="H35" s="17">
        <f>SUM(G35)*C35</f>
        <v>11.256</v>
      </c>
      <c r="I35" s="18">
        <f t="shared" ref="I35" si="4">SUM(G35)*F35</f>
        <v>26873.7</v>
      </c>
      <c r="J35" s="73"/>
      <c r="K35" s="90"/>
      <c r="L35" s="91"/>
      <c r="M35" s="91"/>
    </row>
    <row r="36" spans="1:15" ht="28.5" x14ac:dyDescent="0.45">
      <c r="A36" s="14">
        <v>3</v>
      </c>
      <c r="B36" s="92" t="s">
        <v>59</v>
      </c>
      <c r="C36" s="15">
        <v>0.25</v>
      </c>
      <c r="D36" s="16">
        <v>3601</v>
      </c>
      <c r="E36" s="68">
        <f>SUM(D36)*100/F23</f>
        <v>57.94979079497908</v>
      </c>
      <c r="F36" s="16">
        <v>810</v>
      </c>
      <c r="G36" s="15">
        <v>1</v>
      </c>
      <c r="H36" s="93">
        <f>SUM(G36)*C36</f>
        <v>0.25</v>
      </c>
      <c r="I36" s="22">
        <f>ROUND((G36)*F36,0)</f>
        <v>810</v>
      </c>
      <c r="J36" s="73"/>
      <c r="K36" s="86"/>
      <c r="L36" s="86" t="s">
        <v>60</v>
      </c>
      <c r="M36" s="86"/>
    </row>
    <row r="37" spans="1:15" ht="23.25" x14ac:dyDescent="0.35">
      <c r="A37" s="14"/>
      <c r="B37" s="15"/>
      <c r="C37" s="15"/>
      <c r="D37" s="16"/>
      <c r="E37" s="68"/>
      <c r="F37" s="16"/>
      <c r="G37" s="15"/>
      <c r="H37" s="21"/>
      <c r="I37" s="22"/>
      <c r="J37" s="73"/>
      <c r="K37" s="94">
        <f>SUM(M37)/L37</f>
        <v>15.820759575152881</v>
      </c>
      <c r="L37" s="95">
        <v>6214</v>
      </c>
      <c r="M37" s="95">
        <f>SUM(I10+I11+I25+I26+I31+I36+I30)+I24+I39+I27+I32</f>
        <v>98310.2</v>
      </c>
    </row>
    <row r="38" spans="1:15" ht="29.25" thickBot="1" x14ac:dyDescent="0.5">
      <c r="A38" s="8"/>
      <c r="B38" s="87" t="s">
        <v>61</v>
      </c>
      <c r="C38" s="88"/>
      <c r="D38" s="89"/>
      <c r="E38" s="96">
        <f>SUM(E34:E35)</f>
        <v>53.006468500666983</v>
      </c>
      <c r="F38" s="97" t="s">
        <v>6</v>
      </c>
      <c r="G38" s="8"/>
      <c r="H38" s="8"/>
      <c r="I38" s="10"/>
      <c r="J38" s="98"/>
      <c r="K38" s="86"/>
      <c r="L38" s="85" t="s">
        <v>62</v>
      </c>
      <c r="M38" s="86"/>
    </row>
    <row r="39" spans="1:15" ht="28.5" x14ac:dyDescent="0.45">
      <c r="A39" s="14"/>
      <c r="B39" s="15" t="s">
        <v>63</v>
      </c>
      <c r="C39" s="15">
        <v>0.06</v>
      </c>
      <c r="D39" s="16">
        <v>6483</v>
      </c>
      <c r="E39" s="77"/>
      <c r="F39" s="16">
        <v>390</v>
      </c>
      <c r="G39" s="15">
        <v>1</v>
      </c>
      <c r="H39" s="21">
        <f>SUM(G39)*C39</f>
        <v>0.06</v>
      </c>
      <c r="I39" s="22">
        <f>ROUND((G39)*F39,0)</f>
        <v>390</v>
      </c>
      <c r="J39" s="73"/>
      <c r="K39" s="90">
        <f>SUM(M39)/L39</f>
        <v>9.1832288868994336</v>
      </c>
      <c r="L39" s="85">
        <v>6702</v>
      </c>
      <c r="M39" s="91">
        <f>SUM(I41)+I42</f>
        <v>61546</v>
      </c>
    </row>
    <row r="40" spans="1:15" ht="28.5" x14ac:dyDescent="0.45">
      <c r="A40" s="8"/>
      <c r="B40" s="8"/>
      <c r="C40" s="99" t="s">
        <v>64</v>
      </c>
      <c r="D40" s="100"/>
      <c r="E40" s="100"/>
      <c r="F40" s="101">
        <v>6702</v>
      </c>
      <c r="G40" s="8" t="s">
        <v>24</v>
      </c>
      <c r="H40" s="8"/>
      <c r="I40" s="10"/>
      <c r="J40" s="11"/>
      <c r="K40" s="90"/>
      <c r="L40" s="85"/>
      <c r="M40" s="91"/>
    </row>
    <row r="41" spans="1:15" ht="29.25" thickBot="1" x14ac:dyDescent="0.5">
      <c r="A41" s="14">
        <v>1</v>
      </c>
      <c r="B41" s="15" t="s">
        <v>65</v>
      </c>
      <c r="C41" s="15">
        <v>2</v>
      </c>
      <c r="D41" s="16">
        <v>3877</v>
      </c>
      <c r="E41" s="16"/>
      <c r="F41" s="16">
        <v>7780</v>
      </c>
      <c r="G41" s="15">
        <v>6.12</v>
      </c>
      <c r="H41" s="17">
        <f>SUM(G41)*C41</f>
        <v>12.24</v>
      </c>
      <c r="I41" s="18">
        <f>ROUND((G41)*F41,0)</f>
        <v>47614</v>
      </c>
      <c r="J41" s="11"/>
      <c r="K41" s="90"/>
      <c r="L41" s="85"/>
      <c r="M41" s="91"/>
    </row>
    <row r="42" spans="1:15" ht="28.5" x14ac:dyDescent="0.45">
      <c r="A42" s="14">
        <v>2</v>
      </c>
      <c r="B42" s="46" t="s">
        <v>34</v>
      </c>
      <c r="C42" s="46">
        <v>0.3</v>
      </c>
      <c r="D42" s="16">
        <v>5678</v>
      </c>
      <c r="E42" s="16"/>
      <c r="F42" s="16">
        <v>1720</v>
      </c>
      <c r="G42" s="102">
        <v>8.1</v>
      </c>
      <c r="H42" s="21">
        <f>SUM(G42)*C42</f>
        <v>2.4299999999999997</v>
      </c>
      <c r="I42" s="22">
        <f>ROUND((G42)*F42,0)</f>
        <v>13932</v>
      </c>
      <c r="J42" s="11"/>
      <c r="K42" s="90"/>
      <c r="L42" s="85"/>
      <c r="M42" s="91"/>
    </row>
    <row r="43" spans="1:15" ht="29.25" thickBot="1" x14ac:dyDescent="0.5">
      <c r="A43" s="8"/>
      <c r="B43" s="103" t="s">
        <v>68</v>
      </c>
      <c r="C43" s="8"/>
      <c r="D43" s="8"/>
      <c r="E43" s="8"/>
      <c r="F43" s="121" t="s">
        <v>31</v>
      </c>
      <c r="G43" s="122"/>
      <c r="H43" s="123"/>
      <c r="I43" s="104">
        <f>SUM(I6:I42)</f>
        <v>855027.09999999986</v>
      </c>
      <c r="J43" s="105"/>
      <c r="K43" s="86"/>
      <c r="L43" s="86"/>
      <c r="M43" s="106"/>
    </row>
    <row r="44" spans="1:15" ht="28.5" x14ac:dyDescent="0.45">
      <c r="K44" s="107"/>
      <c r="L44" s="108"/>
      <c r="M44" s="109"/>
      <c r="N44" s="113" t="s">
        <v>69</v>
      </c>
      <c r="O44" s="113" t="s">
        <v>31</v>
      </c>
    </row>
    <row r="45" spans="1:15" ht="28.5" x14ac:dyDescent="0.45">
      <c r="K45" s="107">
        <f>SUM(L45)*K46/L46</f>
        <v>0.85474951612644801</v>
      </c>
      <c r="L45" s="110">
        <f>SUM(I7+I10+I11+I13+I14+I15+I18+I20+I31+I34)+I21+I22+I24+I36+I37+I8+I39+I27+I32+I42+I30+I16</f>
        <v>730834</v>
      </c>
      <c r="M45" s="109" t="s">
        <v>66</v>
      </c>
      <c r="N45" s="113">
        <v>325.2</v>
      </c>
      <c r="O45" s="114">
        <f>SUM(N45)*L45</f>
        <v>237667216.79999998</v>
      </c>
    </row>
    <row r="46" spans="1:15" ht="28.5" x14ac:dyDescent="0.45">
      <c r="K46" s="107">
        <f>SUM(L46)*K47/L47</f>
        <v>0.14525048387355208</v>
      </c>
      <c r="L46" s="111">
        <f>SUM(I41+I35+I26+I25+I6+I19+I17+I29)</f>
        <v>124193.09999999999</v>
      </c>
      <c r="M46" s="109" t="s">
        <v>67</v>
      </c>
      <c r="N46" s="113">
        <v>322.07</v>
      </c>
      <c r="O46" s="114">
        <f>SUM(N46)*L46</f>
        <v>39998871.716999993</v>
      </c>
    </row>
    <row r="47" spans="1:15" ht="28.5" x14ac:dyDescent="0.45">
      <c r="K47" s="107">
        <v>1</v>
      </c>
      <c r="L47" s="112">
        <f>SUM(L45:L46)</f>
        <v>855027.1</v>
      </c>
      <c r="M47" s="109"/>
      <c r="O47" s="114">
        <f>SUM(O45:O46)</f>
        <v>277666088.51699996</v>
      </c>
    </row>
    <row r="48" spans="1:15" x14ac:dyDescent="0.25">
      <c r="M48" s="114"/>
      <c r="O48" s="114"/>
    </row>
    <row r="49" spans="15:15" x14ac:dyDescent="0.25">
      <c r="O49" s="114"/>
    </row>
    <row r="50" spans="15:15" x14ac:dyDescent="0.25">
      <c r="O50" s="114"/>
    </row>
  </sheetData>
  <mergeCells count="11">
    <mergeCell ref="B12:E12"/>
    <mergeCell ref="A1:I1"/>
    <mergeCell ref="A2:I2"/>
    <mergeCell ref="A3:I3"/>
    <mergeCell ref="B5:E5"/>
    <mergeCell ref="B9:E9"/>
    <mergeCell ref="J13:J17"/>
    <mergeCell ref="J18:J20"/>
    <mergeCell ref="J21:J22"/>
    <mergeCell ref="B23:E23"/>
    <mergeCell ref="F43:H43"/>
  </mergeCells>
  <conditionalFormatting sqref="L4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{A4DAFD2D-9CA2-4B72-A17E-086E9EF42508}</x14:id>
        </ext>
      </extLst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DAFD2D-9CA2-4B72-A17E-086E9EF425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учетом скидок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2018-01-30T04:41:28Z</dcterms:created>
  <dcterms:modified xsi:type="dcterms:W3CDTF">2018-02-01T04:16:56Z</dcterms:modified>
</cp:coreProperties>
</file>