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 activeTab="1"/>
  </bookViews>
  <sheets>
    <sheet name="Вхідні данні" sheetId="1" r:id="rId1"/>
    <sheet name="2" sheetId="2" r:id="rId2"/>
    <sheet name="табл. 1" sheetId="3" r:id="rId3"/>
  </sheets>
  <definedNames>
    <definedName name="_Toc119313278" localSheetId="1">'2'!$A$1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9" i="2"/>
  <c r="C51" i="3"/>
  <c r="H30" i="3"/>
  <c r="F22" i="3"/>
  <c r="F14" i="3"/>
  <c r="F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6" i="3"/>
  <c r="D23" i="3"/>
  <c r="D22" i="3"/>
  <c r="D15" i="3"/>
  <c r="D14" i="3"/>
  <c r="D7" i="3"/>
  <c r="D6" i="3"/>
  <c r="C30" i="3"/>
  <c r="C4" i="2" l="1"/>
  <c r="C6" i="3"/>
  <c r="G30" i="3"/>
  <c r="H29" i="3" s="1"/>
  <c r="F30" i="3"/>
  <c r="E30" i="3"/>
  <c r="D30" i="3"/>
  <c r="B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18" i="2"/>
  <c r="C17" i="2" s="1"/>
  <c r="C19" i="2" s="1"/>
  <c r="C14" i="2"/>
  <c r="C15" i="2" s="1"/>
  <c r="C10" i="2"/>
  <c r="C11" i="2" s="1"/>
  <c r="C7" i="2"/>
  <c r="C8" i="2" s="1"/>
  <c r="C5" i="2"/>
  <c r="B32" i="1"/>
  <c r="C2" i="2"/>
  <c r="C3" i="2" s="1"/>
  <c r="B27" i="1"/>
  <c r="I29" i="3" l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C12" i="2"/>
  <c r="C25" i="2" s="1"/>
  <c r="I30" i="3" l="1"/>
  <c r="J29" i="3" s="1"/>
  <c r="C24" i="2"/>
  <c r="J17" i="3" l="1"/>
  <c r="J9" i="3"/>
  <c r="J25" i="3"/>
  <c r="J13" i="3"/>
  <c r="J21" i="3"/>
  <c r="J28" i="3"/>
  <c r="J7" i="3"/>
  <c r="J11" i="3"/>
  <c r="J15" i="3"/>
  <c r="J19" i="3"/>
  <c r="J23" i="3"/>
  <c r="J27" i="3"/>
  <c r="J6" i="3"/>
  <c r="J8" i="3"/>
  <c r="J12" i="3"/>
  <c r="J16" i="3"/>
  <c r="J20" i="3"/>
  <c r="J24" i="3"/>
  <c r="J10" i="3"/>
  <c r="J14" i="3"/>
  <c r="J18" i="3"/>
  <c r="J22" i="3"/>
  <c r="J26" i="3"/>
</calcChain>
</file>

<file path=xl/sharedStrings.xml><?xml version="1.0" encoding="utf-8"?>
<sst xmlns="http://schemas.openxmlformats.org/spreadsheetml/2006/main" count="126" uniqueCount="106">
  <si>
    <t>Номер генерального плану</t>
  </si>
  <si>
    <t>Довжина населеного пункту, м</t>
  </si>
  <si>
    <t>Ширина населеного пункту, м</t>
  </si>
  <si>
    <t>Кількість мешканців у населеному пункті, тис. осіб</t>
  </si>
  <si>
    <t>Ступінь благоустрою житлової забудови</t>
  </si>
  <si>
    <t xml:space="preserve">Виробничий об’єкт </t>
  </si>
  <si>
    <t>Одиниця виміру продукції, що випускається</t>
  </si>
  <si>
    <t>Кількість продукції, що випускається за зміну</t>
  </si>
  <si>
    <t>Категорія виробництва за пожежовибухонебезпекою</t>
  </si>
  <si>
    <t>Ступінь вогнестійкості будівлі</t>
  </si>
  <si>
    <t>Кількість робочих змін</t>
  </si>
  <si>
    <t>Кількість працівників, що працюють в зміну</t>
  </si>
  <si>
    <t>Кількість працівників в зміну, що приймають душ, %</t>
  </si>
  <si>
    <t>Площа виробничого об’єкта, га</t>
  </si>
  <si>
    <t>без ванн</t>
  </si>
  <si>
    <t>Цукровий завод</t>
  </si>
  <si>
    <t>Поверховість будівлі (висота одного поверху 3 м)</t>
  </si>
  <si>
    <t>1 т буряків</t>
  </si>
  <si>
    <t>В</t>
  </si>
  <si>
    <t>&lt; 150</t>
  </si>
  <si>
    <r>
      <t>Кількість поливок за добу (n</t>
    </r>
    <r>
      <rPr>
        <vertAlign val="subscript"/>
        <sz val="12"/>
        <color theme="1"/>
        <rFont val="Calibri"/>
        <family val="2"/>
        <charset val="204"/>
        <scheme val="minor"/>
      </rPr>
      <t>пол</t>
    </r>
    <r>
      <rPr>
        <sz val="12"/>
        <color theme="1"/>
        <rFont val="Calibri"/>
        <family val="2"/>
        <charset val="204"/>
        <scheme val="minor"/>
      </rPr>
      <t>)</t>
    </r>
  </si>
  <si>
    <r>
      <t>Тривалість однієї поливки (t</t>
    </r>
    <r>
      <rPr>
        <vertAlign val="subscript"/>
        <sz val="12"/>
        <color theme="1"/>
        <rFont val="Calibri"/>
        <family val="2"/>
        <charset val="204"/>
        <scheme val="minor"/>
      </rPr>
      <t>пол</t>
    </r>
    <r>
      <rPr>
        <sz val="12"/>
        <color theme="1"/>
        <rFont val="Calibri"/>
        <family val="2"/>
        <charset val="204"/>
        <scheme val="minor"/>
      </rPr>
      <t>), годин</t>
    </r>
  </si>
  <si>
    <r>
      <t>Витрати води на виробничі потреби для випуску одиниці продукції, м</t>
    </r>
    <r>
      <rPr>
        <vertAlign val="superscript"/>
        <sz val="12"/>
        <color theme="1"/>
        <rFont val="Calibri"/>
        <family val="2"/>
        <charset val="204"/>
        <scheme val="minor"/>
      </rPr>
      <t>3</t>
    </r>
    <r>
      <rPr>
        <sz val="12"/>
        <color theme="1"/>
        <rFont val="Calibri"/>
        <family val="2"/>
        <charset val="204"/>
        <scheme val="minor"/>
      </rPr>
      <t>/(одиниця продукції)</t>
    </r>
  </si>
  <si>
    <r>
      <t>Об’єм виробничого корпусу, тис.м</t>
    </r>
    <r>
      <rPr>
        <vertAlign val="superscript"/>
        <sz val="12"/>
        <color theme="1"/>
        <rFont val="Calibri"/>
        <family val="2"/>
        <charset val="204"/>
        <scheme val="minor"/>
      </rPr>
      <t>3</t>
    </r>
  </si>
  <si>
    <t>вхіднні данні</t>
  </si>
  <si>
    <t>2. Визначення розрахункових витрат води на потреби водоспоживачів</t>
  </si>
  <si>
    <t>м3/доб</t>
  </si>
  <si>
    <t>Додаток 2</t>
  </si>
  <si>
    <t>з ваннами та місцевими водонагрівачами</t>
  </si>
  <si>
    <t>з центральним гарячим водопостачанням</t>
  </si>
  <si>
    <t>СУМА</t>
  </si>
  <si>
    <t>Кмах.год</t>
  </si>
  <si>
    <r>
      <rPr>
        <b/>
        <sz val="11"/>
        <color theme="1"/>
        <rFont val="Calibri"/>
        <family val="2"/>
        <charset val="204"/>
        <scheme val="minor"/>
      </rPr>
      <t>Q</t>
    </r>
    <r>
      <rPr>
        <sz val="11"/>
        <color theme="1"/>
        <rFont val="Calibri"/>
        <family val="2"/>
        <scheme val="minor"/>
      </rPr>
      <t>мах.доб</t>
    </r>
  </si>
  <si>
    <r>
      <rPr>
        <b/>
        <sz val="11"/>
        <color theme="1"/>
        <rFont val="Calibri"/>
        <family val="2"/>
        <charset val="204"/>
        <scheme val="minor"/>
      </rPr>
      <t>Q</t>
    </r>
    <r>
      <rPr>
        <sz val="11"/>
        <color theme="1"/>
        <rFont val="Calibri"/>
        <family val="2"/>
        <scheme val="minor"/>
      </rPr>
      <t>сер.доб</t>
    </r>
  </si>
  <si>
    <t>qmaх.год</t>
  </si>
  <si>
    <t>Амах</t>
  </si>
  <si>
    <t>Додаток 3</t>
  </si>
  <si>
    <t>Кількість мешканців, тис. осіб</t>
  </si>
  <si>
    <r>
      <t>b</t>
    </r>
    <r>
      <rPr>
        <vertAlign val="subscript"/>
        <sz val="11"/>
        <color theme="1"/>
        <rFont val="Calibri"/>
        <family val="2"/>
        <charset val="204"/>
        <scheme val="minor"/>
      </rPr>
      <t xml:space="preserve">max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</si>
  <si>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м3/год</t>
  </si>
  <si>
    <t>2.2 Поливка вулиць та зелених насаджень</t>
  </si>
  <si>
    <t>Qпол.доб</t>
  </si>
  <si>
    <t>Qпол.год</t>
  </si>
  <si>
    <t>3.3. Витрати води на виробничі потреби виробничого об'єкта</t>
  </si>
  <si>
    <t>Qвир.зм</t>
  </si>
  <si>
    <t>Qвир.год</t>
  </si>
  <si>
    <t>м3/зм</t>
  </si>
  <si>
    <t>Qвир.доб</t>
  </si>
  <si>
    <t>2.4. Господарсько-питні потреби працівників на виробничому об'єкті</t>
  </si>
  <si>
    <t>Qг-п.зм</t>
  </si>
  <si>
    <t>Qг-п.доб</t>
  </si>
  <si>
    <t>2.5. Витрата води на прийняття душу працівниками виробничого об’єкта</t>
  </si>
  <si>
    <t>Qдуш.зм</t>
  </si>
  <si>
    <t>Nдуш.кабін</t>
  </si>
  <si>
    <t>N душ каб</t>
  </si>
  <si>
    <t>зависит от номера групи</t>
  </si>
  <si>
    <t>Q душ.доб</t>
  </si>
  <si>
    <t>Q розр</t>
  </si>
  <si>
    <t>2.8. Розрахункові добові витрати води</t>
  </si>
  <si>
    <t>на поливку</t>
  </si>
  <si>
    <t>на душ</t>
  </si>
  <si>
    <t>Години доби</t>
  </si>
  <si>
    <t>Населений пункт</t>
  </si>
  <si>
    <t>Виробниче підприємство</t>
  </si>
  <si>
    <t>Всього за добу</t>
  </si>
  <si>
    <t>на г-п водоспоживання жителів</t>
  </si>
  <si>
    <t>на виробничі потреби</t>
  </si>
  <si>
    <t>на г-п водоспоживання робочих</t>
  </si>
  <si>
    <t xml:space="preserve">%, </t>
  </si>
  <si>
    <r>
      <t>м</t>
    </r>
    <r>
      <rPr>
        <vertAlign val="superscript"/>
        <sz val="14"/>
        <rFont val="Times New Roman"/>
        <family val="1"/>
      </rPr>
      <t>3</t>
    </r>
  </si>
  <si>
    <t>%</t>
  </si>
  <si>
    <t>0--1</t>
  </si>
  <si>
    <t>1--2</t>
  </si>
  <si>
    <t>2--3</t>
  </si>
  <si>
    <t>3--4</t>
  </si>
  <si>
    <t>4--5</t>
  </si>
  <si>
    <t>5--6</t>
  </si>
  <si>
    <t>6--7</t>
  </si>
  <si>
    <t>7--8</t>
  </si>
  <si>
    <t>8--9</t>
  </si>
  <si>
    <t>9--10</t>
  </si>
  <si>
    <t>10--11</t>
  </si>
  <si>
    <t>11--12</t>
  </si>
  <si>
    <t>12--13</t>
  </si>
  <si>
    <t>13--14</t>
  </si>
  <si>
    <t>14--15</t>
  </si>
  <si>
    <t>15--16</t>
  </si>
  <si>
    <t>16--17</t>
  </si>
  <si>
    <t>17--18</t>
  </si>
  <si>
    <t>18--19</t>
  </si>
  <si>
    <t>19--20</t>
  </si>
  <si>
    <t>20--21</t>
  </si>
  <si>
    <t>21--22</t>
  </si>
  <si>
    <t>22--23</t>
  </si>
  <si>
    <t>23--24</t>
  </si>
  <si>
    <t>ВСЕГО</t>
  </si>
  <si>
    <t xml:space="preserve">Таблиця 1. Погодинне водоспоживання в населеному пункті </t>
  </si>
  <si>
    <t>Рисунок.1. Графік неравномірності водоспоживання</t>
  </si>
  <si>
    <t>2.7. Визначення витрат води для пожежогасіння</t>
  </si>
  <si>
    <t xml:space="preserve">3. Гідравлічний розрахунок водопровідної мережі </t>
  </si>
  <si>
    <t>Qрівн.розп.</t>
  </si>
  <si>
    <t>qпит</t>
  </si>
  <si>
    <t>Q мах.год</t>
  </si>
  <si>
    <t>л/с</t>
  </si>
  <si>
    <t>л/(с*м)</t>
  </si>
  <si>
    <t>как 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</si>
</sst>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bscript"/>
      <sz val="12"/>
      <color theme="1"/>
      <name val="Calibri"/>
      <family val="2"/>
      <charset val="204"/>
      <scheme val="minor"/>
    </font>
    <font>
      <vertAlign val="superscript"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bscript"/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10"/>
      <name val="Arial Cyr"/>
      <charset val="204"/>
    </font>
    <font>
      <sz val="12"/>
      <name val="Times New Roman"/>
      <family val="1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5" fillId="0" borderId="1" xfId="0" applyFont="1" applyBorder="1"/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2" fontId="0" fillId="0" borderId="1" xfId="0" applyNumberFormat="1" applyBorder="1"/>
    <xf numFmtId="0" fontId="2" fillId="0" borderId="1" xfId="0" applyFont="1" applyBorder="1"/>
    <xf numFmtId="0" fontId="0" fillId="2" borderId="1" xfId="0" applyFill="1" applyBorder="1"/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0" fontId="20" fillId="0" borderId="0" xfId="0" applyFont="1"/>
    <xf numFmtId="2" fontId="0" fillId="0" borderId="0" xfId="0" applyNumberFormat="1" applyBorder="1"/>
    <xf numFmtId="164" fontId="16" fillId="0" borderId="0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2" fontId="0" fillId="2" borderId="1" xfId="0" applyNumberFormat="1" applyFill="1" applyBorder="1"/>
    <xf numFmtId="164" fontId="0" fillId="0" borderId="1" xfId="0" applyNumberFormat="1" applyBorder="1"/>
    <xf numFmtId="0" fontId="22" fillId="2" borderId="1" xfId="0" applyFont="1" applyFill="1" applyBorder="1"/>
    <xf numFmtId="2" fontId="22" fillId="2" borderId="1" xfId="0" applyNumberFormat="1" applyFont="1" applyFill="1" applyBorder="1"/>
    <xf numFmtId="0" fontId="5" fillId="2" borderId="0" xfId="0" applyFont="1" applyFill="1" applyBorder="1"/>
    <xf numFmtId="164" fontId="0" fillId="2" borderId="0" xfId="0" applyNumberFormat="1" applyFill="1"/>
    <xf numFmtId="164" fontId="0" fillId="0" borderId="0" xfId="0" applyNumberFormat="1" applyFill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8820826952528"/>
          <c:y val="9.5588235294117641E-2"/>
          <c:w val="0.83767228177641651"/>
          <c:h val="0.617647058823529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'табл. 1'!$J$6:$J$29</c:f>
              <c:numCache>
                <c:formatCode>0.00</c:formatCode>
                <c:ptCount val="24"/>
                <c:pt idx="0">
                  <c:v>4.498468703380289</c:v>
                </c:pt>
                <c:pt idx="1">
                  <c:v>4.3982128121531563</c:v>
                </c:pt>
                <c:pt idx="2">
                  <c:v>0.69467628197338327</c:v>
                </c:pt>
                <c:pt idx="3">
                  <c:v>0.80907111831757594</c:v>
                </c:pt>
                <c:pt idx="4">
                  <c:v>2.1150941103352974</c:v>
                </c:pt>
                <c:pt idx="5">
                  <c:v>3.6546808650998392</c:v>
                </c:pt>
                <c:pt idx="6">
                  <c:v>4.1265213722991678</c:v>
                </c:pt>
                <c:pt idx="7">
                  <c:v>4.5078374934464769</c:v>
                </c:pt>
                <c:pt idx="8">
                  <c:v>7.2820763877556471</c:v>
                </c:pt>
                <c:pt idx="9">
                  <c:v>6.9530308238401286</c:v>
                </c:pt>
                <c:pt idx="10">
                  <c:v>4.2409162086433598</c:v>
                </c:pt>
                <c:pt idx="11">
                  <c:v>5.7661806932325979</c:v>
                </c:pt>
                <c:pt idx="12">
                  <c:v>6.0807817702673166</c:v>
                </c:pt>
                <c:pt idx="13">
                  <c:v>4.9130240648859607</c:v>
                </c:pt>
                <c:pt idx="14">
                  <c:v>4.0121265359549758</c:v>
                </c:pt>
                <c:pt idx="15">
                  <c:v>3.7070736390371271</c:v>
                </c:pt>
                <c:pt idx="16">
                  <c:v>6.9007602666083372</c:v>
                </c:pt>
                <c:pt idx="17">
                  <c:v>7.1818204965285144</c:v>
                </c:pt>
                <c:pt idx="18">
                  <c:v>4.7747587782495939</c:v>
                </c:pt>
                <c:pt idx="19">
                  <c:v>4.3934426571022849</c:v>
                </c:pt>
                <c:pt idx="20">
                  <c:v>4.2504643887602302</c:v>
                </c:pt>
                <c:pt idx="21">
                  <c:v>2.3582060531989879</c:v>
                </c:pt>
                <c:pt idx="22">
                  <c:v>1.5717033606121951</c:v>
                </c:pt>
                <c:pt idx="23">
                  <c:v>0.80907111831757594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2-47AE-8AA7-EF9EFD996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5466336"/>
        <c:axId val="1"/>
      </c:barChart>
      <c:catAx>
        <c:axId val="20546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Години</a:t>
                </a:r>
              </a:p>
            </c:rich>
          </c:tx>
          <c:layout>
            <c:manualLayout>
              <c:xMode val="edge"/>
              <c:yMode val="edge"/>
              <c:x val="0.50076569678407346"/>
              <c:y val="0.82720588235294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/>
                  <a:t>%Q</a:t>
                </a:r>
                <a:r>
                  <a:rPr lang="ru-RU"/>
                  <a:t>доб</a:t>
                </a:r>
              </a:p>
            </c:rich>
          </c:tx>
          <c:layout>
            <c:manualLayout>
              <c:xMode val="edge"/>
              <c:yMode val="edge"/>
              <c:x val="2.4502297090352222E-2"/>
              <c:y val="0.2683823529411764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054663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30</xdr:row>
      <xdr:rowOff>152400</xdr:rowOff>
    </xdr:from>
    <xdr:to>
      <xdr:col>9</xdr:col>
      <xdr:colOff>590550</xdr:colOff>
      <xdr:row>46</xdr:row>
      <xdr:rowOff>114300</xdr:rowOff>
    </xdr:to>
    <xdr:graphicFrame macro="">
      <xdr:nvGraphicFramePr>
        <xdr:cNvPr id="2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4" workbookViewId="0">
      <selection activeCell="D29" sqref="D29"/>
    </sheetView>
  </sheetViews>
  <sheetFormatPr defaultRowHeight="15" x14ac:dyDescent="0.25"/>
  <cols>
    <col min="1" max="1" width="43.85546875" bestFit="1" customWidth="1"/>
    <col min="2" max="2" width="16.85546875" bestFit="1" customWidth="1"/>
    <col min="3" max="3" width="23.7109375" bestFit="1" customWidth="1"/>
  </cols>
  <sheetData>
    <row r="1" spans="1:3" ht="21" x14ac:dyDescent="0.35">
      <c r="A1" s="44" t="s">
        <v>24</v>
      </c>
      <c r="B1" s="44"/>
    </row>
    <row r="2" spans="1:3" ht="16.5" x14ac:dyDescent="0.25">
      <c r="A2" s="7" t="s">
        <v>0</v>
      </c>
      <c r="B2" s="5">
        <v>4</v>
      </c>
      <c r="C2" s="9"/>
    </row>
    <row r="3" spans="1:3" ht="18.75" x14ac:dyDescent="0.25">
      <c r="A3" s="7" t="s">
        <v>1</v>
      </c>
      <c r="B3" s="5">
        <v>2600</v>
      </c>
      <c r="C3" s="3"/>
    </row>
    <row r="4" spans="1:3" ht="18.75" x14ac:dyDescent="0.25">
      <c r="A4" s="7" t="s">
        <v>2</v>
      </c>
      <c r="B4" s="5">
        <v>1500</v>
      </c>
      <c r="C4" s="3"/>
    </row>
    <row r="5" spans="1:3" ht="31.5" x14ac:dyDescent="0.25">
      <c r="A5" s="7" t="s">
        <v>3</v>
      </c>
      <c r="B5" s="5">
        <v>8000</v>
      </c>
      <c r="C5" s="3"/>
    </row>
    <row r="6" spans="1:3" ht="18.75" x14ac:dyDescent="0.25">
      <c r="A6" s="7" t="s">
        <v>20</v>
      </c>
      <c r="B6" s="5">
        <v>3</v>
      </c>
      <c r="C6" s="3"/>
    </row>
    <row r="7" spans="1:3" ht="18.75" x14ac:dyDescent="0.25">
      <c r="A7" s="7" t="s">
        <v>21</v>
      </c>
      <c r="B7" s="5">
        <v>2</v>
      </c>
      <c r="C7" s="3"/>
    </row>
    <row r="8" spans="1:3" ht="16.5" customHeight="1" x14ac:dyDescent="0.25">
      <c r="A8" s="42" t="s">
        <v>16</v>
      </c>
      <c r="B8" s="43">
        <v>3</v>
      </c>
    </row>
    <row r="9" spans="1:3" ht="16.5" customHeight="1" x14ac:dyDescent="0.25">
      <c r="A9" s="42"/>
      <c r="B9" s="43"/>
    </row>
    <row r="10" spans="1:3" ht="15.75" x14ac:dyDescent="0.25">
      <c r="A10" s="8" t="s">
        <v>4</v>
      </c>
      <c r="B10" s="6" t="s">
        <v>14</v>
      </c>
    </row>
    <row r="11" spans="1:3" ht="15.75" x14ac:dyDescent="0.25">
      <c r="A11" s="8" t="s">
        <v>5</v>
      </c>
      <c r="B11" s="6" t="s">
        <v>15</v>
      </c>
    </row>
    <row r="12" spans="1:3" ht="31.5" x14ac:dyDescent="0.25">
      <c r="A12" s="7" t="s">
        <v>6</v>
      </c>
      <c r="B12" s="6" t="s">
        <v>17</v>
      </c>
    </row>
    <row r="13" spans="1:3" ht="31.5" x14ac:dyDescent="0.25">
      <c r="A13" s="7" t="s">
        <v>7</v>
      </c>
      <c r="B13" s="5">
        <v>4</v>
      </c>
    </row>
    <row r="14" spans="1:3" ht="49.5" x14ac:dyDescent="0.25">
      <c r="A14" s="7" t="s">
        <v>22</v>
      </c>
      <c r="B14" s="5">
        <v>1.5</v>
      </c>
    </row>
    <row r="15" spans="1:3" ht="18" x14ac:dyDescent="0.25">
      <c r="A15" s="7" t="s">
        <v>23</v>
      </c>
      <c r="B15" s="5">
        <v>90</v>
      </c>
    </row>
    <row r="16" spans="1:3" ht="31.5" x14ac:dyDescent="0.25">
      <c r="A16" s="7" t="s">
        <v>8</v>
      </c>
      <c r="B16" s="5" t="s">
        <v>18</v>
      </c>
    </row>
    <row r="17" spans="1:3" ht="15.75" x14ac:dyDescent="0.25">
      <c r="A17" s="7" t="s">
        <v>9</v>
      </c>
      <c r="B17" s="5">
        <v>2</v>
      </c>
    </row>
    <row r="18" spans="1:3" ht="15.75" x14ac:dyDescent="0.25">
      <c r="A18" s="7" t="s">
        <v>10</v>
      </c>
      <c r="B18" s="5">
        <v>3</v>
      </c>
    </row>
    <row r="19" spans="1:3" ht="31.5" x14ac:dyDescent="0.25">
      <c r="A19" s="7" t="s">
        <v>11</v>
      </c>
      <c r="B19" s="5">
        <v>55</v>
      </c>
    </row>
    <row r="20" spans="1:3" ht="31.5" x14ac:dyDescent="0.25">
      <c r="A20" s="7" t="s">
        <v>12</v>
      </c>
      <c r="B20" s="5">
        <v>100</v>
      </c>
    </row>
    <row r="21" spans="1:3" ht="15.75" x14ac:dyDescent="0.25">
      <c r="A21" s="7" t="s">
        <v>13</v>
      </c>
      <c r="B21" s="6" t="s">
        <v>19</v>
      </c>
    </row>
    <row r="23" spans="1:3" x14ac:dyDescent="0.25">
      <c r="A23" s="45" t="s">
        <v>27</v>
      </c>
      <c r="B23" s="45"/>
    </row>
    <row r="24" spans="1:3" ht="16.5" x14ac:dyDescent="0.25">
      <c r="A24" s="2" t="s">
        <v>14</v>
      </c>
      <c r="B24" s="1">
        <v>120</v>
      </c>
    </row>
    <row r="25" spans="1:3" ht="16.5" x14ac:dyDescent="0.25">
      <c r="A25" s="2" t="s">
        <v>28</v>
      </c>
      <c r="B25" s="1">
        <v>0</v>
      </c>
    </row>
    <row r="26" spans="1:3" ht="16.5" x14ac:dyDescent="0.25">
      <c r="A26" s="2" t="s">
        <v>29</v>
      </c>
      <c r="B26" s="1">
        <v>0</v>
      </c>
    </row>
    <row r="27" spans="1:3" ht="16.5" x14ac:dyDescent="0.25">
      <c r="A27" s="2" t="s">
        <v>30</v>
      </c>
      <c r="B27" s="1">
        <f>SUM(B24:B26)</f>
        <v>120</v>
      </c>
    </row>
    <row r="29" spans="1:3" ht="16.5" x14ac:dyDescent="0.25">
      <c r="A29" s="11" t="s">
        <v>31</v>
      </c>
      <c r="B29" s="41">
        <v>1.3</v>
      </c>
    </row>
    <row r="30" spans="1:3" ht="16.5" x14ac:dyDescent="0.25">
      <c r="A30" s="39" t="s">
        <v>35</v>
      </c>
      <c r="B30" s="40">
        <v>1.4</v>
      </c>
      <c r="C30" t="s">
        <v>105</v>
      </c>
    </row>
    <row r="31" spans="1:3" x14ac:dyDescent="0.25">
      <c r="A31" s="45" t="s">
        <v>36</v>
      </c>
      <c r="B31" s="45"/>
    </row>
    <row r="32" spans="1:3" x14ac:dyDescent="0.25">
      <c r="A32" s="16" t="s">
        <v>37</v>
      </c>
      <c r="B32" s="14">
        <f>B5</f>
        <v>8000</v>
      </c>
    </row>
    <row r="33" spans="1:3" ht="18" x14ac:dyDescent="0.35">
      <c r="A33" s="16" t="s">
        <v>38</v>
      </c>
      <c r="B33" s="15">
        <v>1.35</v>
      </c>
    </row>
    <row r="35" spans="1:3" x14ac:dyDescent="0.25">
      <c r="A35" s="17" t="s">
        <v>54</v>
      </c>
      <c r="B35" s="17">
        <v>12</v>
      </c>
      <c r="C35" s="17" t="s">
        <v>55</v>
      </c>
    </row>
  </sheetData>
  <mergeCells count="5">
    <mergeCell ref="A8:A9"/>
    <mergeCell ref="B8:B9"/>
    <mergeCell ref="A1:B1"/>
    <mergeCell ref="A23:B23"/>
    <mergeCell ref="A31:B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1" workbookViewId="0">
      <selection activeCell="C30" sqref="C30"/>
    </sheetView>
  </sheetViews>
  <sheetFormatPr defaultRowHeight="15" x14ac:dyDescent="0.25"/>
  <cols>
    <col min="1" max="1" width="5.140625" style="12" customWidth="1"/>
    <col min="2" max="2" width="11.5703125" bestFit="1" customWidth="1"/>
    <col min="3" max="3" width="10.140625" customWidth="1"/>
    <col min="4" max="4" width="7.7109375" bestFit="1" customWidth="1"/>
  </cols>
  <sheetData>
    <row r="1" spans="1:10" ht="50.25" customHeight="1" x14ac:dyDescent="0.25">
      <c r="A1" s="51" t="s">
        <v>25</v>
      </c>
      <c r="B1" s="51"/>
      <c r="C1" s="51"/>
      <c r="D1" s="51"/>
      <c r="E1" s="50"/>
      <c r="F1" s="50"/>
      <c r="G1" s="50"/>
      <c r="H1" s="50"/>
      <c r="I1" s="50"/>
      <c r="J1" s="10"/>
    </row>
    <row r="2" spans="1:10" x14ac:dyDescent="0.25">
      <c r="A2" s="36">
        <v>2.1</v>
      </c>
      <c r="B2" s="16" t="s">
        <v>33</v>
      </c>
      <c r="C2" s="1">
        <f>1.1*(('Вхідні данні'!B5*'Вхідні данні'!B27)/1000)</f>
        <v>1056</v>
      </c>
      <c r="D2" s="1" t="s">
        <v>26</v>
      </c>
    </row>
    <row r="3" spans="1:10" x14ac:dyDescent="0.25">
      <c r="A3" s="36">
        <v>2.2000000000000002</v>
      </c>
      <c r="B3" s="16" t="s">
        <v>32</v>
      </c>
      <c r="C3" s="1">
        <f>C2*'Вхідні данні'!B29</f>
        <v>1372.8</v>
      </c>
      <c r="D3" s="1" t="s">
        <v>26</v>
      </c>
    </row>
    <row r="4" spans="1:10" x14ac:dyDescent="0.25">
      <c r="A4" s="36">
        <v>2.2999999999999998</v>
      </c>
      <c r="B4" s="1" t="s">
        <v>34</v>
      </c>
      <c r="C4" s="15">
        <f>C3/24*C5</f>
        <v>108.10799999999999</v>
      </c>
      <c r="D4" s="1" t="s">
        <v>39</v>
      </c>
    </row>
    <row r="5" spans="1:10" x14ac:dyDescent="0.25">
      <c r="A5" s="36">
        <v>2.4</v>
      </c>
      <c r="B5" s="1" t="s">
        <v>31</v>
      </c>
      <c r="C5" s="1">
        <f>'Вхідні данні'!B30*'Вхідні данні'!B33</f>
        <v>1.89</v>
      </c>
      <c r="D5" s="1"/>
    </row>
    <row r="6" spans="1:10" x14ac:dyDescent="0.25">
      <c r="A6" s="52" t="s">
        <v>40</v>
      </c>
      <c r="B6" s="52"/>
      <c r="C6" s="52"/>
      <c r="D6" s="52"/>
    </row>
    <row r="7" spans="1:10" x14ac:dyDescent="0.25">
      <c r="A7" s="36">
        <v>2.5</v>
      </c>
      <c r="B7" s="1" t="s">
        <v>41</v>
      </c>
      <c r="C7" s="1">
        <f>(50*'Вхідні данні'!B5)/1000</f>
        <v>400</v>
      </c>
      <c r="D7" s="1" t="s">
        <v>26</v>
      </c>
    </row>
    <row r="8" spans="1:10" x14ac:dyDescent="0.25">
      <c r="A8" s="36">
        <v>2.6</v>
      </c>
      <c r="B8" s="1" t="s">
        <v>42</v>
      </c>
      <c r="C8" s="15">
        <f>C7/('Вхідні данні'!B6*'Вхідні данні'!B7)</f>
        <v>66.666666666666671</v>
      </c>
      <c r="D8" s="1" t="s">
        <v>39</v>
      </c>
    </row>
    <row r="9" spans="1:10" ht="29.25" customHeight="1" x14ac:dyDescent="0.25">
      <c r="A9" s="53" t="s">
        <v>43</v>
      </c>
      <c r="B9" s="53"/>
      <c r="C9" s="53"/>
      <c r="D9" s="53"/>
    </row>
    <row r="10" spans="1:10" x14ac:dyDescent="0.25">
      <c r="A10" s="36">
        <v>2.7</v>
      </c>
      <c r="B10" s="1" t="s">
        <v>44</v>
      </c>
      <c r="C10" s="1">
        <f>'Вхідні данні'!B13*'Вхідні данні'!B14</f>
        <v>6</v>
      </c>
      <c r="D10" s="1" t="s">
        <v>46</v>
      </c>
    </row>
    <row r="11" spans="1:10" x14ac:dyDescent="0.25">
      <c r="A11" s="36">
        <v>2.8</v>
      </c>
      <c r="B11" s="1" t="s">
        <v>45</v>
      </c>
      <c r="C11" s="1">
        <f>C10/8</f>
        <v>0.75</v>
      </c>
      <c r="D11" s="1" t="s">
        <v>39</v>
      </c>
    </row>
    <row r="12" spans="1:10" x14ac:dyDescent="0.25">
      <c r="A12" s="36">
        <v>2.9</v>
      </c>
      <c r="B12" s="1" t="s">
        <v>47</v>
      </c>
      <c r="C12" s="1">
        <f>C10*'Вхідні данні'!B18</f>
        <v>18</v>
      </c>
      <c r="D12" s="1" t="s">
        <v>26</v>
      </c>
    </row>
    <row r="13" spans="1:10" ht="29.25" customHeight="1" x14ac:dyDescent="0.25">
      <c r="A13" s="47" t="s">
        <v>48</v>
      </c>
      <c r="B13" s="47"/>
      <c r="C13" s="47"/>
      <c r="D13" s="47"/>
    </row>
    <row r="14" spans="1:10" x14ac:dyDescent="0.25">
      <c r="A14" s="15">
        <v>2.1</v>
      </c>
      <c r="B14" s="1" t="s">
        <v>49</v>
      </c>
      <c r="C14" s="15">
        <f>('Вхідні данні'!B19*25)/1000</f>
        <v>1.375</v>
      </c>
      <c r="D14" s="1" t="s">
        <v>46</v>
      </c>
    </row>
    <row r="15" spans="1:10" x14ac:dyDescent="0.25">
      <c r="A15" s="15">
        <v>2.11</v>
      </c>
      <c r="B15" s="1" t="s">
        <v>50</v>
      </c>
      <c r="C15" s="15">
        <f>C14*'Вхідні данні'!B18</f>
        <v>4.125</v>
      </c>
      <c r="D15" s="1" t="s">
        <v>46</v>
      </c>
    </row>
    <row r="16" spans="1:10" ht="30" customHeight="1" x14ac:dyDescent="0.25">
      <c r="A16" s="49" t="s">
        <v>51</v>
      </c>
      <c r="B16" s="49"/>
      <c r="C16" s="49"/>
      <c r="D16" s="49"/>
    </row>
    <row r="17" spans="1:4" x14ac:dyDescent="0.25">
      <c r="A17" s="15">
        <v>2.12</v>
      </c>
      <c r="B17" s="1" t="s">
        <v>52</v>
      </c>
      <c r="C17" s="15">
        <f>(C18*45*500)/(1000*60)</f>
        <v>1.71875</v>
      </c>
      <c r="D17" s="1" t="s">
        <v>46</v>
      </c>
    </row>
    <row r="18" spans="1:4" x14ac:dyDescent="0.25">
      <c r="A18" s="15">
        <v>2.13</v>
      </c>
      <c r="B18" s="1" t="s">
        <v>53</v>
      </c>
      <c r="C18" s="14">
        <f>('Вхідні данні'!B19*'Вхідні данні'!B20)/(100*'Вхідні данні'!B35)</f>
        <v>4.583333333333333</v>
      </c>
      <c r="D18" s="1"/>
    </row>
    <row r="19" spans="1:4" x14ac:dyDescent="0.25">
      <c r="A19" s="15">
        <v>2.14</v>
      </c>
      <c r="B19" s="1" t="s">
        <v>56</v>
      </c>
      <c r="C19" s="15">
        <f>C17*'Вхідні данні'!B18</f>
        <v>5.15625</v>
      </c>
      <c r="D19" s="1" t="s">
        <v>26</v>
      </c>
    </row>
    <row r="20" spans="1:4" ht="30.75" customHeight="1" x14ac:dyDescent="0.25">
      <c r="A20" s="49" t="s">
        <v>98</v>
      </c>
      <c r="B20" s="49"/>
      <c r="C20" s="49"/>
      <c r="D20" s="49"/>
    </row>
    <row r="21" spans="1:4" x14ac:dyDescent="0.25">
      <c r="A21" s="35">
        <v>2.15</v>
      </c>
      <c r="B21" s="17"/>
      <c r="C21" s="17"/>
      <c r="D21" s="17"/>
    </row>
    <row r="22" spans="1:4" x14ac:dyDescent="0.25">
      <c r="A22" s="35">
        <v>2.16</v>
      </c>
      <c r="B22" s="17"/>
      <c r="C22" s="17"/>
      <c r="D22" s="17"/>
    </row>
    <row r="23" spans="1:4" ht="29.25" customHeight="1" x14ac:dyDescent="0.25">
      <c r="A23" s="48" t="s">
        <v>58</v>
      </c>
      <c r="B23" s="48"/>
      <c r="C23" s="48"/>
      <c r="D23" s="48"/>
    </row>
    <row r="24" spans="1:4" x14ac:dyDescent="0.25">
      <c r="A24" s="15">
        <v>2.17</v>
      </c>
      <c r="B24" s="1" t="s">
        <v>57</v>
      </c>
      <c r="C24" s="15">
        <f>C3+C7+C12+C15+C19</f>
        <v>1800.08125</v>
      </c>
      <c r="D24" s="1" t="s">
        <v>26</v>
      </c>
    </row>
    <row r="25" spans="1:4" x14ac:dyDescent="0.25">
      <c r="A25" s="35">
        <v>2.1800000000000002</v>
      </c>
      <c r="B25" s="37" t="s">
        <v>57</v>
      </c>
      <c r="C25" s="38">
        <f>C3+C7+C12+C15</f>
        <v>1794.925</v>
      </c>
      <c r="D25" s="37" t="s">
        <v>26</v>
      </c>
    </row>
    <row r="26" spans="1:4" x14ac:dyDescent="0.25">
      <c r="A26" s="46"/>
      <c r="B26" s="46"/>
      <c r="C26" s="46"/>
      <c r="D26" s="46"/>
    </row>
    <row r="27" spans="1:4" ht="30" customHeight="1" x14ac:dyDescent="0.25">
      <c r="A27" s="47" t="s">
        <v>99</v>
      </c>
      <c r="B27" s="47"/>
      <c r="C27" s="47"/>
      <c r="D27" s="47"/>
    </row>
    <row r="28" spans="1:4" x14ac:dyDescent="0.25">
      <c r="A28" s="36">
        <v>3.1</v>
      </c>
      <c r="B28" s="1" t="s">
        <v>101</v>
      </c>
      <c r="C28" s="1">
        <f>C29/('Вхідні данні'!B3*2+'Вхідні данні'!B4*2)</f>
        <v>5.6389463414634147E-2</v>
      </c>
      <c r="D28" s="1" t="s">
        <v>104</v>
      </c>
    </row>
    <row r="29" spans="1:4" x14ac:dyDescent="0.25">
      <c r="A29" s="36">
        <v>3.2</v>
      </c>
      <c r="B29" s="1" t="s">
        <v>100</v>
      </c>
      <c r="C29" s="15">
        <f>'табл. 1'!C51/(1000/3600)</f>
        <v>462.39359999999999</v>
      </c>
      <c r="D29" s="1" t="s">
        <v>103</v>
      </c>
    </row>
    <row r="30" spans="1:4" x14ac:dyDescent="0.25">
      <c r="A30" s="36">
        <v>3.3</v>
      </c>
      <c r="B30" s="1"/>
      <c r="C30" s="60"/>
      <c r="D30" s="1"/>
    </row>
    <row r="31" spans="1:4" x14ac:dyDescent="0.25">
      <c r="A31" s="36">
        <v>3.4</v>
      </c>
      <c r="B31" s="1"/>
      <c r="C31" s="1"/>
      <c r="D31" s="1"/>
    </row>
    <row r="32" spans="1:4" x14ac:dyDescent="0.25">
      <c r="A32" s="36">
        <v>3.5</v>
      </c>
      <c r="B32" s="1"/>
      <c r="C32" s="1"/>
      <c r="D32" s="1"/>
    </row>
    <row r="33" spans="1:4" x14ac:dyDescent="0.25">
      <c r="A33" s="36">
        <v>3.6</v>
      </c>
      <c r="B33" s="1"/>
      <c r="C33" s="1"/>
      <c r="D33" s="1"/>
    </row>
    <row r="34" spans="1:4" x14ac:dyDescent="0.25">
      <c r="A34" s="36">
        <v>3.7</v>
      </c>
      <c r="B34" s="1"/>
      <c r="C34" s="1"/>
      <c r="D34" s="1"/>
    </row>
    <row r="35" spans="1:4" x14ac:dyDescent="0.25">
      <c r="A35" s="36">
        <v>3.8</v>
      </c>
      <c r="B35" s="1"/>
      <c r="C35" s="1"/>
      <c r="D35" s="1"/>
    </row>
    <row r="36" spans="1:4" x14ac:dyDescent="0.25">
      <c r="A36" s="36">
        <v>3.9</v>
      </c>
      <c r="B36" s="1"/>
      <c r="C36" s="1"/>
      <c r="D36" s="1"/>
    </row>
    <row r="37" spans="1:4" x14ac:dyDescent="0.25">
      <c r="A37" s="15">
        <v>3.1</v>
      </c>
      <c r="B37" s="1"/>
      <c r="C37" s="1"/>
      <c r="D37" s="1"/>
    </row>
  </sheetData>
  <mergeCells count="10">
    <mergeCell ref="A26:D26"/>
    <mergeCell ref="A27:D27"/>
    <mergeCell ref="A23:D23"/>
    <mergeCell ref="A20:D20"/>
    <mergeCell ref="E1:I1"/>
    <mergeCell ref="A1:D1"/>
    <mergeCell ref="A6:D6"/>
    <mergeCell ref="A9:D9"/>
    <mergeCell ref="A13:D13"/>
    <mergeCell ref="A16:D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F56" sqref="F56"/>
    </sheetView>
  </sheetViews>
  <sheetFormatPr defaultRowHeight="15" x14ac:dyDescent="0.25"/>
  <cols>
    <col min="2" max="2" width="9.7109375" customWidth="1"/>
  </cols>
  <sheetData>
    <row r="1" spans="1:10" ht="15" customHeight="1" x14ac:dyDescent="0.25">
      <c r="A1" s="54" t="s">
        <v>96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8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ht="18.75" x14ac:dyDescent="0.25">
      <c r="A3" s="56" t="s">
        <v>61</v>
      </c>
      <c r="B3" s="57" t="s">
        <v>62</v>
      </c>
      <c r="C3" s="57"/>
      <c r="D3" s="57"/>
      <c r="E3" s="57" t="s">
        <v>63</v>
      </c>
      <c r="F3" s="57"/>
      <c r="G3" s="57"/>
      <c r="H3" s="57"/>
      <c r="I3" s="57" t="s">
        <v>64</v>
      </c>
      <c r="J3" s="57"/>
    </row>
    <row r="4" spans="1:10" ht="87" x14ac:dyDescent="0.25">
      <c r="A4" s="56"/>
      <c r="B4" s="58" t="s">
        <v>65</v>
      </c>
      <c r="C4" s="59"/>
      <c r="D4" s="18" t="s">
        <v>59</v>
      </c>
      <c r="E4" s="18" t="s">
        <v>66</v>
      </c>
      <c r="F4" s="18" t="s">
        <v>60</v>
      </c>
      <c r="G4" s="58" t="s">
        <v>67</v>
      </c>
      <c r="H4" s="59"/>
      <c r="I4" s="57"/>
      <c r="J4" s="57"/>
    </row>
    <row r="5" spans="1:10" ht="22.5" x14ac:dyDescent="0.25">
      <c r="A5" s="56"/>
      <c r="B5" s="34" t="s">
        <v>68</v>
      </c>
      <c r="C5" s="19" t="s">
        <v>69</v>
      </c>
      <c r="D5" s="19" t="s">
        <v>69</v>
      </c>
      <c r="E5" s="19" t="s">
        <v>69</v>
      </c>
      <c r="F5" s="19" t="s">
        <v>69</v>
      </c>
      <c r="G5" s="19" t="s">
        <v>68</v>
      </c>
      <c r="H5" s="19" t="s">
        <v>69</v>
      </c>
      <c r="I5" s="19" t="s">
        <v>69</v>
      </c>
      <c r="J5" s="19" t="s">
        <v>70</v>
      </c>
    </row>
    <row r="6" spans="1:10" ht="16.5" x14ac:dyDescent="0.25">
      <c r="A6" s="20" t="s">
        <v>71</v>
      </c>
      <c r="B6" s="4">
        <v>0.85</v>
      </c>
      <c r="C6" s="21">
        <f>$C$30*$B6/100</f>
        <v>11.668799999999999</v>
      </c>
      <c r="D6" s="22">
        <f>'2'!$C$8</f>
        <v>66.666666666666671</v>
      </c>
      <c r="E6" s="22">
        <f>'2'!$C$11</f>
        <v>0.75</v>
      </c>
      <c r="F6" s="22">
        <f>'2'!$C$17</f>
        <v>1.71875</v>
      </c>
      <c r="G6" s="23">
        <v>12.5</v>
      </c>
      <c r="H6" s="24">
        <f>$H$30*$G6/$G$30</f>
        <v>0.171875</v>
      </c>
      <c r="I6" s="25">
        <f t="shared" ref="I6:I28" si="0">H6+F6+E6+D6+C6</f>
        <v>80.976091666666676</v>
      </c>
      <c r="J6" s="24">
        <f t="shared" ref="J6:J29" si="1">($I6/$I$30)*100</f>
        <v>4.498468703380289</v>
      </c>
    </row>
    <row r="7" spans="1:10" ht="16.5" x14ac:dyDescent="0.25">
      <c r="A7" s="26" t="s">
        <v>72</v>
      </c>
      <c r="B7" s="4">
        <v>0.85</v>
      </c>
      <c r="C7" s="21">
        <f t="shared" ref="C7:C29" si="2">$C$30*$B7/100</f>
        <v>11.668799999999999</v>
      </c>
      <c r="D7" s="22">
        <f>'2'!$C$8</f>
        <v>66.666666666666671</v>
      </c>
      <c r="E7" s="22">
        <f>'2'!$C$11</f>
        <v>0.75</v>
      </c>
      <c r="F7" s="27"/>
      <c r="G7" s="23">
        <v>6.25</v>
      </c>
      <c r="H7" s="24">
        <f>$H$30*$G7/$G$30</f>
        <v>8.59375E-2</v>
      </c>
      <c r="I7" s="24">
        <f t="shared" si="0"/>
        <v>79.171404166666676</v>
      </c>
      <c r="J7" s="24">
        <f t="shared" si="1"/>
        <v>4.3982128121531563</v>
      </c>
    </row>
    <row r="8" spans="1:10" ht="16.5" x14ac:dyDescent="0.25">
      <c r="A8" s="26" t="s">
        <v>73</v>
      </c>
      <c r="B8" s="4">
        <v>0.85</v>
      </c>
      <c r="C8" s="21">
        <f t="shared" si="2"/>
        <v>11.668799999999999</v>
      </c>
      <c r="D8" s="27"/>
      <c r="E8" s="22">
        <f>'2'!$C$11</f>
        <v>0.75</v>
      </c>
      <c r="F8" s="27"/>
      <c r="G8" s="23">
        <v>6.25</v>
      </c>
      <c r="H8" s="24">
        <f t="shared" ref="H8:H13" si="3">$H$30*$G8/$G$30</f>
        <v>8.59375E-2</v>
      </c>
      <c r="I8" s="24">
        <f t="shared" si="0"/>
        <v>12.504737499999999</v>
      </c>
      <c r="J8" s="24">
        <f t="shared" si="1"/>
        <v>0.69467628197338327</v>
      </c>
    </row>
    <row r="9" spans="1:10" ht="16.5" x14ac:dyDescent="0.25">
      <c r="A9" s="26" t="s">
        <v>74</v>
      </c>
      <c r="B9" s="4">
        <v>1</v>
      </c>
      <c r="C9" s="21">
        <f t="shared" si="2"/>
        <v>13.728</v>
      </c>
      <c r="D9" s="27"/>
      <c r="E9" s="22">
        <f>'2'!$C$11</f>
        <v>0.75</v>
      </c>
      <c r="F9" s="27"/>
      <c r="G9" s="23">
        <v>6.25</v>
      </c>
      <c r="H9" s="24">
        <f t="shared" si="3"/>
        <v>8.59375E-2</v>
      </c>
      <c r="I9" s="24">
        <f t="shared" si="0"/>
        <v>14.5639375</v>
      </c>
      <c r="J9" s="24">
        <f t="shared" si="1"/>
        <v>0.80907111831757594</v>
      </c>
    </row>
    <row r="10" spans="1:10" ht="16.5" x14ac:dyDescent="0.25">
      <c r="A10" s="26" t="s">
        <v>75</v>
      </c>
      <c r="B10" s="4">
        <v>2.7</v>
      </c>
      <c r="C10" s="21">
        <f t="shared" si="2"/>
        <v>37.065599999999996</v>
      </c>
      <c r="D10" s="22"/>
      <c r="E10" s="22">
        <f>'2'!$C$11</f>
        <v>0.75</v>
      </c>
      <c r="F10" s="27"/>
      <c r="G10" s="23">
        <v>18.75</v>
      </c>
      <c r="H10" s="24">
        <f t="shared" si="3"/>
        <v>0.2578125</v>
      </c>
      <c r="I10" s="24">
        <f t="shared" si="0"/>
        <v>38.073412499999996</v>
      </c>
      <c r="J10" s="24">
        <f t="shared" si="1"/>
        <v>2.1150941103352974</v>
      </c>
    </row>
    <row r="11" spans="1:10" ht="16.5" x14ac:dyDescent="0.25">
      <c r="A11" s="26" t="s">
        <v>76</v>
      </c>
      <c r="B11" s="4">
        <v>4.7</v>
      </c>
      <c r="C11" s="21">
        <f t="shared" si="2"/>
        <v>64.521599999999992</v>
      </c>
      <c r="D11" s="22"/>
      <c r="E11" s="22">
        <f>'2'!$C$11</f>
        <v>0.75</v>
      </c>
      <c r="F11" s="27"/>
      <c r="G11" s="23">
        <v>37.5</v>
      </c>
      <c r="H11" s="24">
        <f t="shared" si="3"/>
        <v>0.515625</v>
      </c>
      <c r="I11" s="24">
        <f t="shared" si="0"/>
        <v>65.787224999999992</v>
      </c>
      <c r="J11" s="24">
        <f t="shared" si="1"/>
        <v>3.6546808650998392</v>
      </c>
    </row>
    <row r="12" spans="1:10" ht="16.5" x14ac:dyDescent="0.25">
      <c r="A12" s="26" t="s">
        <v>77</v>
      </c>
      <c r="B12" s="4">
        <v>5.35</v>
      </c>
      <c r="C12" s="21">
        <f t="shared" si="2"/>
        <v>73.444800000000001</v>
      </c>
      <c r="D12" s="27"/>
      <c r="E12" s="22">
        <f>'2'!$C$11</f>
        <v>0.75</v>
      </c>
      <c r="F12" s="27"/>
      <c r="G12" s="23">
        <v>6.25</v>
      </c>
      <c r="H12" s="24">
        <f t="shared" si="3"/>
        <v>8.59375E-2</v>
      </c>
      <c r="I12" s="24">
        <f t="shared" si="0"/>
        <v>74.280737500000001</v>
      </c>
      <c r="J12" s="24">
        <f t="shared" si="1"/>
        <v>4.1265213722991678</v>
      </c>
    </row>
    <row r="13" spans="1:10" ht="16.5" x14ac:dyDescent="0.25">
      <c r="A13" s="26" t="s">
        <v>78</v>
      </c>
      <c r="B13" s="4">
        <v>5.85</v>
      </c>
      <c r="C13" s="21">
        <f t="shared" si="2"/>
        <v>80.308799999999991</v>
      </c>
      <c r="D13" s="22"/>
      <c r="E13" s="22">
        <f>'2'!$C$11</f>
        <v>0.75</v>
      </c>
      <c r="F13" s="27"/>
      <c r="G13" s="23">
        <v>6.25</v>
      </c>
      <c r="H13" s="24">
        <f t="shared" si="3"/>
        <v>8.59375E-2</v>
      </c>
      <c r="I13" s="24">
        <f t="shared" si="0"/>
        <v>81.144737499999991</v>
      </c>
      <c r="J13" s="24">
        <f t="shared" si="1"/>
        <v>4.5078374934464769</v>
      </c>
    </row>
    <row r="14" spans="1:10" ht="16.5" x14ac:dyDescent="0.25">
      <c r="A14" s="26" t="s">
        <v>79</v>
      </c>
      <c r="B14" s="4">
        <v>4.5</v>
      </c>
      <c r="C14" s="21">
        <f t="shared" si="2"/>
        <v>61.775999999999996</v>
      </c>
      <c r="D14" s="22">
        <f>'2'!$C$8</f>
        <v>66.666666666666671</v>
      </c>
      <c r="E14" s="22">
        <f>'2'!$C$11</f>
        <v>0.75</v>
      </c>
      <c r="F14" s="22">
        <f>'2'!$C$17</f>
        <v>1.71875</v>
      </c>
      <c r="G14" s="23">
        <v>12.5</v>
      </c>
      <c r="H14" s="24">
        <f>$H$30*$G14/$G$30</f>
        <v>0.171875</v>
      </c>
      <c r="I14" s="24">
        <f t="shared" si="0"/>
        <v>131.08329166666667</v>
      </c>
      <c r="J14" s="24">
        <f t="shared" si="1"/>
        <v>7.2820763877556471</v>
      </c>
    </row>
    <row r="15" spans="1:10" ht="16.5" x14ac:dyDescent="0.25">
      <c r="A15" s="26" t="s">
        <v>80</v>
      </c>
      <c r="B15" s="4">
        <v>4.2</v>
      </c>
      <c r="C15" s="21">
        <f t="shared" si="2"/>
        <v>57.657600000000002</v>
      </c>
      <c r="D15" s="22">
        <f>'2'!$C$8</f>
        <v>66.666666666666671</v>
      </c>
      <c r="E15" s="22">
        <f>'2'!$C$11</f>
        <v>0.75</v>
      </c>
      <c r="F15" s="27"/>
      <c r="G15" s="23">
        <v>6.25</v>
      </c>
      <c r="H15" s="24">
        <f>$H$30*$G15/$G$30</f>
        <v>8.59375E-2</v>
      </c>
      <c r="I15" s="24">
        <f t="shared" si="0"/>
        <v>125.16020416666667</v>
      </c>
      <c r="J15" s="24">
        <f t="shared" si="1"/>
        <v>6.9530308238401286</v>
      </c>
    </row>
    <row r="16" spans="1:10" ht="16.5" x14ac:dyDescent="0.25">
      <c r="A16" s="26" t="s">
        <v>81</v>
      </c>
      <c r="B16" s="4">
        <v>5.5</v>
      </c>
      <c r="C16" s="21">
        <f t="shared" si="2"/>
        <v>75.503999999999991</v>
      </c>
      <c r="D16" s="27"/>
      <c r="E16" s="22">
        <f>'2'!$C$11</f>
        <v>0.75</v>
      </c>
      <c r="F16" s="27"/>
      <c r="G16" s="23">
        <v>6.25</v>
      </c>
      <c r="H16" s="24">
        <f t="shared" ref="H16:H29" si="4">$H$30*$G16/$G$30</f>
        <v>8.59375E-2</v>
      </c>
      <c r="I16" s="24">
        <f t="shared" si="0"/>
        <v>76.339937499999991</v>
      </c>
      <c r="J16" s="24">
        <f t="shared" si="1"/>
        <v>4.2409162086433598</v>
      </c>
    </row>
    <row r="17" spans="1:10" ht="16.5" x14ac:dyDescent="0.25">
      <c r="A17" s="26" t="s">
        <v>82</v>
      </c>
      <c r="B17" s="4">
        <v>7.5</v>
      </c>
      <c r="C17" s="21">
        <f t="shared" si="2"/>
        <v>102.96</v>
      </c>
      <c r="D17" s="27"/>
      <c r="E17" s="22">
        <f>'2'!$C$11</f>
        <v>0.75</v>
      </c>
      <c r="F17" s="27"/>
      <c r="G17" s="23">
        <v>6.25</v>
      </c>
      <c r="H17" s="24">
        <f t="shared" si="4"/>
        <v>8.59375E-2</v>
      </c>
      <c r="I17" s="24">
        <f t="shared" si="0"/>
        <v>103.79593749999999</v>
      </c>
      <c r="J17" s="24">
        <f t="shared" si="1"/>
        <v>5.7661806932325979</v>
      </c>
    </row>
    <row r="18" spans="1:10" ht="16.5" x14ac:dyDescent="0.25">
      <c r="A18" s="26" t="s">
        <v>83</v>
      </c>
      <c r="B18" s="4">
        <v>7.9</v>
      </c>
      <c r="C18" s="21">
        <f t="shared" si="2"/>
        <v>108.45120000000001</v>
      </c>
      <c r="D18" s="22"/>
      <c r="E18" s="22">
        <f>'2'!$C$11</f>
        <v>0.75</v>
      </c>
      <c r="F18" s="27"/>
      <c r="G18" s="23">
        <v>18.75</v>
      </c>
      <c r="H18" s="24">
        <f t="shared" si="4"/>
        <v>0.2578125</v>
      </c>
      <c r="I18" s="24">
        <f t="shared" si="0"/>
        <v>109.45901250000001</v>
      </c>
      <c r="J18" s="24">
        <f t="shared" si="1"/>
        <v>6.0807817702673166</v>
      </c>
    </row>
    <row r="19" spans="1:10" ht="16.5" x14ac:dyDescent="0.25">
      <c r="A19" s="26" t="s">
        <v>84</v>
      </c>
      <c r="B19" s="4">
        <v>6.35</v>
      </c>
      <c r="C19" s="21">
        <f t="shared" si="2"/>
        <v>87.172799999999995</v>
      </c>
      <c r="D19" s="22"/>
      <c r="E19" s="22">
        <f>'2'!$C$11</f>
        <v>0.75</v>
      </c>
      <c r="F19" s="27"/>
      <c r="G19" s="23">
        <v>37.5</v>
      </c>
      <c r="H19" s="24">
        <f t="shared" si="4"/>
        <v>0.515625</v>
      </c>
      <c r="I19" s="24">
        <f t="shared" si="0"/>
        <v>88.438424999999995</v>
      </c>
      <c r="J19" s="24">
        <f t="shared" si="1"/>
        <v>4.9130240648859607</v>
      </c>
    </row>
    <row r="20" spans="1:10" ht="16.5" x14ac:dyDescent="0.25">
      <c r="A20" s="26" t="s">
        <v>85</v>
      </c>
      <c r="B20" s="4">
        <v>5.2</v>
      </c>
      <c r="C20" s="21">
        <f t="shared" si="2"/>
        <v>71.385600000000011</v>
      </c>
      <c r="D20" s="27"/>
      <c r="E20" s="22">
        <f>'2'!$C$11</f>
        <v>0.75</v>
      </c>
      <c r="F20" s="27"/>
      <c r="G20" s="23">
        <v>6.25</v>
      </c>
      <c r="H20" s="24">
        <f t="shared" si="4"/>
        <v>8.59375E-2</v>
      </c>
      <c r="I20" s="24">
        <f t="shared" si="0"/>
        <v>72.221537500000011</v>
      </c>
      <c r="J20" s="24">
        <f t="shared" si="1"/>
        <v>4.0121265359549758</v>
      </c>
    </row>
    <row r="21" spans="1:10" ht="16.5" x14ac:dyDescent="0.25">
      <c r="A21" s="26" t="s">
        <v>86</v>
      </c>
      <c r="B21" s="4">
        <v>4.8</v>
      </c>
      <c r="C21" s="21">
        <f t="shared" si="2"/>
        <v>65.89439999999999</v>
      </c>
      <c r="D21" s="27"/>
      <c r="E21" s="22">
        <f>'2'!$C$11</f>
        <v>0.75</v>
      </c>
      <c r="F21" s="27"/>
      <c r="G21" s="23">
        <v>6.25</v>
      </c>
      <c r="H21" s="24">
        <f t="shared" si="4"/>
        <v>8.59375E-2</v>
      </c>
      <c r="I21" s="24">
        <f t="shared" si="0"/>
        <v>66.73033749999999</v>
      </c>
      <c r="J21" s="24">
        <f t="shared" si="1"/>
        <v>3.7070736390371271</v>
      </c>
    </row>
    <row r="22" spans="1:10" ht="16.5" x14ac:dyDescent="0.25">
      <c r="A22" s="26" t="s">
        <v>87</v>
      </c>
      <c r="B22" s="4">
        <v>4</v>
      </c>
      <c r="C22" s="21">
        <f t="shared" si="2"/>
        <v>54.911999999999999</v>
      </c>
      <c r="D22" s="22">
        <f>'2'!$C$8</f>
        <v>66.666666666666671</v>
      </c>
      <c r="E22" s="22">
        <f>'2'!$C$11</f>
        <v>0.75</v>
      </c>
      <c r="F22" s="22">
        <f>'2'!$C$17</f>
        <v>1.71875</v>
      </c>
      <c r="G22" s="23">
        <v>12.5</v>
      </c>
      <c r="H22" s="24">
        <f t="shared" si="4"/>
        <v>0.171875</v>
      </c>
      <c r="I22" s="24">
        <f t="shared" si="0"/>
        <v>124.21929166666666</v>
      </c>
      <c r="J22" s="24">
        <f t="shared" si="1"/>
        <v>6.9007602666083372</v>
      </c>
    </row>
    <row r="23" spans="1:10" ht="16.5" x14ac:dyDescent="0.25">
      <c r="A23" s="26" t="s">
        <v>88</v>
      </c>
      <c r="B23" s="4">
        <v>4.5</v>
      </c>
      <c r="C23" s="21">
        <f t="shared" si="2"/>
        <v>61.775999999999996</v>
      </c>
      <c r="D23" s="22">
        <f>'2'!$C$8</f>
        <v>66.666666666666671</v>
      </c>
      <c r="E23" s="22">
        <f>'2'!$C$11</f>
        <v>0.75</v>
      </c>
      <c r="F23" s="27"/>
      <c r="G23" s="23">
        <v>6.25</v>
      </c>
      <c r="H23" s="24">
        <f t="shared" si="4"/>
        <v>8.59375E-2</v>
      </c>
      <c r="I23" s="24">
        <f t="shared" si="0"/>
        <v>129.27860416666667</v>
      </c>
      <c r="J23" s="24">
        <f t="shared" si="1"/>
        <v>7.1818204965285144</v>
      </c>
    </row>
    <row r="24" spans="1:10" ht="16.5" x14ac:dyDescent="0.25">
      <c r="A24" s="26" t="s">
        <v>89</v>
      </c>
      <c r="B24" s="4">
        <v>6.2</v>
      </c>
      <c r="C24" s="21">
        <f t="shared" si="2"/>
        <v>85.113600000000005</v>
      </c>
      <c r="D24" s="27"/>
      <c r="E24" s="22">
        <f>'2'!$C$11</f>
        <v>0.75</v>
      </c>
      <c r="F24" s="27"/>
      <c r="G24" s="23">
        <v>6.25</v>
      </c>
      <c r="H24" s="24">
        <f t="shared" si="4"/>
        <v>8.59375E-2</v>
      </c>
      <c r="I24" s="24">
        <f t="shared" si="0"/>
        <v>85.949537500000005</v>
      </c>
      <c r="J24" s="24">
        <f t="shared" si="1"/>
        <v>4.7747587782495939</v>
      </c>
    </row>
    <row r="25" spans="1:10" ht="16.5" x14ac:dyDescent="0.25">
      <c r="A25" s="26" t="s">
        <v>90</v>
      </c>
      <c r="B25" s="4">
        <v>5.7</v>
      </c>
      <c r="C25" s="21">
        <f t="shared" si="2"/>
        <v>78.249600000000001</v>
      </c>
      <c r="D25" s="27"/>
      <c r="E25" s="22">
        <f>'2'!$C$11</f>
        <v>0.75</v>
      </c>
      <c r="F25" s="27"/>
      <c r="G25" s="23">
        <v>6.25</v>
      </c>
      <c r="H25" s="24">
        <f t="shared" si="4"/>
        <v>8.59375E-2</v>
      </c>
      <c r="I25" s="24">
        <f t="shared" si="0"/>
        <v>79.085537500000001</v>
      </c>
      <c r="J25" s="24">
        <f t="shared" si="1"/>
        <v>4.3934426571022849</v>
      </c>
    </row>
    <row r="26" spans="1:10" ht="16.5" x14ac:dyDescent="0.25">
      <c r="A26" s="26" t="s">
        <v>91</v>
      </c>
      <c r="B26" s="4">
        <v>5.5</v>
      </c>
      <c r="C26" s="21">
        <f t="shared" si="2"/>
        <v>75.503999999999991</v>
      </c>
      <c r="D26" s="22"/>
      <c r="E26" s="22">
        <f>'2'!$C$11</f>
        <v>0.75</v>
      </c>
      <c r="F26" s="27"/>
      <c r="G26" s="23">
        <v>18.75</v>
      </c>
      <c r="H26" s="24">
        <f t="shared" si="4"/>
        <v>0.2578125</v>
      </c>
      <c r="I26" s="24">
        <f t="shared" si="0"/>
        <v>76.511812499999991</v>
      </c>
      <c r="J26" s="24">
        <f t="shared" si="1"/>
        <v>4.2504643887602302</v>
      </c>
    </row>
    <row r="27" spans="1:10" ht="16.5" x14ac:dyDescent="0.25">
      <c r="A27" s="26" t="s">
        <v>92</v>
      </c>
      <c r="B27" s="4">
        <v>3</v>
      </c>
      <c r="C27" s="21">
        <f t="shared" si="2"/>
        <v>41.183999999999997</v>
      </c>
      <c r="D27" s="22"/>
      <c r="E27" s="22">
        <f>'2'!$C$11</f>
        <v>0.75</v>
      </c>
      <c r="F27" s="27"/>
      <c r="G27" s="23">
        <v>37.5</v>
      </c>
      <c r="H27" s="24">
        <f t="shared" si="4"/>
        <v>0.515625</v>
      </c>
      <c r="I27" s="24">
        <f t="shared" si="0"/>
        <v>42.449624999999997</v>
      </c>
      <c r="J27" s="24">
        <f t="shared" si="1"/>
        <v>2.3582060531989879</v>
      </c>
    </row>
    <row r="28" spans="1:10" ht="16.5" x14ac:dyDescent="0.25">
      <c r="A28" s="26" t="s">
        <v>93</v>
      </c>
      <c r="B28" s="4">
        <v>2</v>
      </c>
      <c r="C28" s="21">
        <f t="shared" si="2"/>
        <v>27.456</v>
      </c>
      <c r="D28" s="27"/>
      <c r="E28" s="22">
        <f>'2'!$C$11</f>
        <v>0.75</v>
      </c>
      <c r="F28" s="27"/>
      <c r="G28" s="23">
        <v>6.25</v>
      </c>
      <c r="H28" s="24">
        <f t="shared" si="4"/>
        <v>8.59375E-2</v>
      </c>
      <c r="I28" s="24">
        <f t="shared" si="0"/>
        <v>28.2919375</v>
      </c>
      <c r="J28" s="24">
        <f t="shared" si="1"/>
        <v>1.5717033606121951</v>
      </c>
    </row>
    <row r="29" spans="1:10" ht="16.5" x14ac:dyDescent="0.25">
      <c r="A29" s="26" t="s">
        <v>94</v>
      </c>
      <c r="B29" s="4">
        <v>1</v>
      </c>
      <c r="C29" s="21">
        <f t="shared" si="2"/>
        <v>13.728</v>
      </c>
      <c r="D29" s="22"/>
      <c r="E29" s="22">
        <f>'2'!$C$11</f>
        <v>0.75</v>
      </c>
      <c r="F29" s="27"/>
      <c r="G29" s="23">
        <v>6.25</v>
      </c>
      <c r="H29" s="24">
        <f t="shared" si="4"/>
        <v>8.59375E-2</v>
      </c>
      <c r="I29" s="24">
        <f>H29+F29+E29+D29+C29</f>
        <v>14.5639375</v>
      </c>
      <c r="J29" s="24">
        <f t="shared" si="1"/>
        <v>0.80907111831757594</v>
      </c>
    </row>
    <row r="30" spans="1:10" ht="15.75" x14ac:dyDescent="0.25">
      <c r="A30" s="28" t="s">
        <v>95</v>
      </c>
      <c r="B30" s="29">
        <f>SUM(B6:B29)</f>
        <v>100</v>
      </c>
      <c r="C30" s="30">
        <f>'2'!C3</f>
        <v>1372.8</v>
      </c>
      <c r="D30" s="29">
        <f>SUM(D6:D29)</f>
        <v>400.00000000000006</v>
      </c>
      <c r="E30" s="29">
        <f>SUM(E6:E29)</f>
        <v>18</v>
      </c>
      <c r="F30" s="29">
        <f>SUM(F6:F29)</f>
        <v>5.15625</v>
      </c>
      <c r="G30" s="29">
        <f>SUM(G6:G29)</f>
        <v>300</v>
      </c>
      <c r="H30" s="30">
        <f>'2'!C15</f>
        <v>4.125</v>
      </c>
      <c r="I30" s="29">
        <f>SUM(I6:I29)</f>
        <v>1800.0812499999997</v>
      </c>
      <c r="J30" s="28">
        <v>100</v>
      </c>
    </row>
    <row r="31" spans="1:10" ht="15.75" x14ac:dyDescent="0.25">
      <c r="C31" s="13"/>
      <c r="H31" s="32"/>
      <c r="I31" s="33"/>
      <c r="J31" s="32"/>
    </row>
    <row r="48" spans="1:1" ht="18.75" x14ac:dyDescent="0.3">
      <c r="A48" s="31" t="s">
        <v>97</v>
      </c>
    </row>
    <row r="51" spans="2:3" x14ac:dyDescent="0.25">
      <c r="B51" t="s">
        <v>102</v>
      </c>
      <c r="C51" s="13">
        <f>C14+D14</f>
        <v>128.44266666666667</v>
      </c>
    </row>
    <row r="53" spans="2:3" x14ac:dyDescent="0.25">
      <c r="B53" s="13"/>
    </row>
  </sheetData>
  <mergeCells count="7">
    <mergeCell ref="A1:J2"/>
    <mergeCell ref="A3:A5"/>
    <mergeCell ref="B3:D3"/>
    <mergeCell ref="E3:H3"/>
    <mergeCell ref="I3:J4"/>
    <mergeCell ref="B4:C4"/>
    <mergeCell ref="G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Вхідні данні</vt:lpstr>
      <vt:lpstr>2</vt:lpstr>
      <vt:lpstr>табл. 1</vt:lpstr>
      <vt:lpstr>'2'!_Toc119313278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2018-02-09T20:09:25Z</dcterms:modified>
</cp:coreProperties>
</file>