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Праздники2017" localSheetId="0">Лист1!$T$21:$W$31</definedName>
    <definedName name="Праздники2018" localSheetId="0">Лист1!$AC$19:$AF$31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Q70" i="1" l="1"/>
  <c r="F46" i="1"/>
  <c r="A46" i="1"/>
  <c r="A41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I15" i="1"/>
  <c r="B15" i="1"/>
  <c r="I14" i="1"/>
  <c r="F14" i="1"/>
  <c r="B42" i="1" s="1"/>
  <c r="G13" i="1"/>
  <c r="C12" i="1"/>
  <c r="B10" i="1"/>
  <c r="E9" i="1"/>
  <c r="F2" i="1"/>
  <c r="N1" i="1"/>
  <c r="O32" i="1" l="1"/>
  <c r="X32" i="1"/>
  <c r="AG32" i="1"/>
  <c r="R24" i="1"/>
  <c r="R25" i="1" s="1"/>
  <c r="R26" i="1" s="1"/>
  <c r="R27" i="1" s="1"/>
  <c r="R28" i="1" s="1"/>
  <c r="R29" i="1" s="1"/>
  <c r="R30" i="1" s="1"/>
  <c r="R31" i="1" s="1"/>
  <c r="I10" i="1"/>
  <c r="D20" i="1"/>
  <c r="E20" i="1" s="1"/>
  <c r="D21" i="1"/>
  <c r="E21" i="1" s="1"/>
  <c r="G21" i="1" s="1"/>
  <c r="B22" i="1"/>
  <c r="A22" i="1" s="1"/>
  <c r="E10" i="1"/>
  <c r="B20" i="1"/>
  <c r="A20" i="1" s="1"/>
  <c r="B21" i="1"/>
  <c r="A21" i="1" s="1"/>
  <c r="D22" i="1"/>
  <c r="E22" i="1" s="1"/>
  <c r="G22" i="1" s="1"/>
  <c r="Q82" i="1"/>
  <c r="J15" i="1" l="1" a="1"/>
  <c r="J15" i="1" s="1"/>
  <c r="I16" i="1" s="1"/>
  <c r="B23" i="1"/>
  <c r="A23" i="1" s="1"/>
  <c r="D23" i="1"/>
  <c r="E23" i="1" s="1"/>
  <c r="G23" i="1" s="1"/>
  <c r="R82" i="1"/>
  <c r="G20" i="1"/>
  <c r="D24" i="1"/>
  <c r="B24" i="1"/>
  <c r="F15" i="1" a="1"/>
  <c r="F15" i="1" s="1"/>
  <c r="F16" i="1" s="1"/>
  <c r="A42" i="1" l="1"/>
  <c r="E24" i="1"/>
  <c r="D25" i="1"/>
  <c r="U82" i="1"/>
  <c r="A24" i="1"/>
  <c r="B25" i="1"/>
  <c r="G24" i="1" l="1"/>
  <c r="A25" i="1"/>
  <c r="B26" i="1"/>
  <c r="E25" i="1"/>
  <c r="G25" i="1" s="1"/>
  <c r="D26" i="1"/>
  <c r="E26" i="1" l="1"/>
  <c r="G26" i="1" s="1"/>
  <c r="D27" i="1"/>
  <c r="A26" i="1"/>
  <c r="B27" i="1"/>
  <c r="A27" i="1" l="1"/>
  <c r="B28" i="1"/>
  <c r="E27" i="1"/>
  <c r="D28" i="1"/>
  <c r="E28" i="1" l="1"/>
  <c r="G28" i="1" s="1"/>
  <c r="D29" i="1"/>
  <c r="G27" i="1"/>
  <c r="A28" i="1"/>
  <c r="B29" i="1"/>
  <c r="A29" i="1" l="1"/>
  <c r="B30" i="1"/>
  <c r="E29" i="1"/>
  <c r="G29" i="1" s="1"/>
  <c r="D30" i="1"/>
  <c r="E30" i="1" l="1"/>
  <c r="G30" i="1" s="1"/>
  <c r="D31" i="1"/>
  <c r="E31" i="1" s="1"/>
  <c r="A30" i="1"/>
  <c r="B31" i="1"/>
  <c r="A31" i="1" l="1"/>
  <c r="A32" i="1" s="1"/>
  <c r="G31" i="1"/>
  <c r="H32" i="1" s="1"/>
  <c r="E32" i="1"/>
  <c r="G32" i="1" s="1"/>
  <c r="C42" i="1" s="1"/>
  <c r="D42" i="1" s="1"/>
  <c r="A44" i="1" l="1"/>
  <c r="S82" i="1" l="1"/>
  <c r="V82" i="1" l="1"/>
  <c r="W82" i="1" s="1"/>
  <c r="T82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в эту ячейку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<sst xmlns="http://schemas.openxmlformats.org/spreadsheetml/2006/main" count="114" uniqueCount="94">
  <si>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</si>
  <si>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</si>
  <si>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</si>
  <si>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</si>
  <si>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</si>
  <si>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</si>
  <si>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</si>
  <si>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</si>
  <si>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>Богун Богдан Іванович</t>
  </si>
  <si>
    <t xml:space="preserve">Посада: </t>
  </si>
  <si>
    <t>Дорожній працівник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</si>
  <si>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</si>
  <si>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</si>
  <si>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</si>
  <si>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</si>
  <si>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>календарных дней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</si>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</sst>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;@"/>
    <numFmt numFmtId="165" formatCode="[$-419]d\ mmm;@"/>
    <numFmt numFmtId="166" formatCode="dd/mm/yy;@"/>
    <numFmt numFmtId="167" formatCode="[$-419]mmmm\ yyyy;@"/>
    <numFmt numFmtId="168" formatCode="[$-419]d\ mmm\ yy;@"/>
    <numFmt numFmtId="169" formatCode="[$-419]mmmm;@"/>
    <numFmt numFmtId="170" formatCode="mmmm\ yyyy"/>
    <numFmt numFmtId="171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1" xfId="0" applyFont="1" applyFill="1" applyBorder="1" applyProtection="1"/>
    <xf numFmtId="0" fontId="5" fillId="0" borderId="0" xfId="0" applyFont="1" applyFill="1" applyProtection="1"/>
    <xf numFmtId="0" fontId="4" fillId="0" borderId="2" xfId="0" applyFont="1" applyFill="1" applyBorder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4" fillId="0" borderId="3" xfId="0" applyFont="1" applyFill="1" applyBorder="1" applyProtection="1"/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14" fontId="4" fillId="0" borderId="0" xfId="0" applyNumberFormat="1" applyFont="1" applyFill="1" applyAlignment="1" applyProtection="1">
      <alignment horizontal="right"/>
    </xf>
    <xf numFmtId="1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6" fontId="4" fillId="2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7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8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8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7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9" fontId="1" fillId="0" borderId="24" xfId="0" applyNumberFormat="1" applyFont="1" applyFill="1" applyBorder="1" applyProtection="1"/>
    <xf numFmtId="169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9" fontId="1" fillId="0" borderId="0" xfId="0" applyNumberFormat="1" applyFont="1" applyFill="1" applyProtection="1"/>
    <xf numFmtId="168" fontId="7" fillId="0" borderId="26" xfId="0" applyNumberFormat="1" applyFont="1" applyFill="1" applyBorder="1" applyProtection="1"/>
    <xf numFmtId="169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7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9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8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9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8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8" fillId="0" borderId="20" xfId="0" applyNumberFormat="1" applyFont="1" applyFill="1" applyBorder="1" applyAlignment="1" applyProtection="1">
      <alignment horizontal="center"/>
    </xf>
    <xf numFmtId="167" fontId="9" fillId="0" borderId="19" xfId="0" applyNumberFormat="1" applyFont="1" applyFill="1" applyBorder="1" applyAlignment="1" applyProtection="1">
      <alignment horizontal="center"/>
    </xf>
    <xf numFmtId="4" fontId="10" fillId="0" borderId="18" xfId="0" applyNumberFormat="1" applyFont="1" applyFill="1" applyBorder="1" applyAlignment="1" applyProtection="1">
      <alignment horizontal="center"/>
    </xf>
    <xf numFmtId="4" fontId="8" fillId="0" borderId="19" xfId="0" applyNumberFormat="1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0" fontId="12" fillId="0" borderId="17" xfId="0" applyFont="1" applyFill="1" applyBorder="1" applyProtection="1"/>
    <xf numFmtId="0" fontId="1" fillId="0" borderId="20" xfId="0" applyFont="1" applyFill="1" applyBorder="1" applyProtection="1"/>
    <xf numFmtId="1" fontId="12" fillId="0" borderId="20" xfId="0" applyNumberFormat="1" applyFont="1" applyFill="1" applyBorder="1" applyAlignment="1" applyProtection="1">
      <alignment horizontal="center"/>
    </xf>
    <xf numFmtId="0" fontId="12" fillId="0" borderId="19" xfId="0" applyFont="1" applyFill="1" applyBorder="1" applyProtection="1"/>
    <xf numFmtId="0" fontId="1" fillId="0" borderId="2" xfId="0" applyFont="1" applyFill="1" applyBorder="1" applyProtection="1"/>
    <xf numFmtId="0" fontId="13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4" fillId="0" borderId="2" xfId="1" applyNumberFormat="1" applyFont="1" applyFill="1" applyBorder="1" applyAlignment="1" applyProtection="1">
      <alignment horizontal="center"/>
    </xf>
    <xf numFmtId="4" fontId="8" fillId="0" borderId="41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/>
    <xf numFmtId="0" fontId="1" fillId="0" borderId="0" xfId="0" applyFont="1" applyFill="1" applyAlignment="1" applyProtection="1"/>
    <xf numFmtId="170" fontId="1" fillId="0" borderId="0" xfId="0" applyNumberFormat="1" applyFont="1" applyFill="1" applyAlignment="1" applyProtection="1">
      <alignment horizontal="left"/>
    </xf>
    <xf numFmtId="0" fontId="13" fillId="0" borderId="27" xfId="0" applyFont="1" applyFill="1" applyBorder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3" fillId="0" borderId="2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7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7" fontId="7" fillId="0" borderId="0" xfId="0" applyNumberFormat="1" applyFont="1" applyFill="1" applyBorder="1" applyAlignment="1" applyProtection="1">
      <alignment horizontal="left"/>
    </xf>
    <xf numFmtId="1" fontId="14" fillId="2" borderId="2" xfId="0" applyNumberFormat="1" applyFont="1" applyFill="1" applyBorder="1" applyAlignment="1" applyProtection="1">
      <alignment horizontal="center"/>
    </xf>
    <xf numFmtId="167" fontId="17" fillId="0" borderId="0" xfId="0" applyNumberFormat="1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8"/>
  <sheetViews>
    <sheetView tabSelected="1" workbookViewId="0">
      <selection activeCell="F16" sqref="F16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4" ht="18.75" x14ac:dyDescent="0.3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 x14ac:dyDescent="0.25">
      <c r="F2" s="6" t="str">
        <f>TEXT(EDATE(F1,0),"[$-422]ММММ ГГГГ")</f>
        <v>січень 2017</v>
      </c>
      <c r="I2" s="7" t="s">
        <v>3</v>
      </c>
    </row>
    <row r="3" spans="1:14" x14ac:dyDescent="0.25">
      <c r="B3" s="8" t="s">
        <v>4</v>
      </c>
      <c r="D3" s="1" t="s">
        <v>5</v>
      </c>
      <c r="E3" s="9">
        <v>1</v>
      </c>
      <c r="I3" s="10" t="s">
        <v>4</v>
      </c>
    </row>
    <row r="4" spans="1:14" x14ac:dyDescent="0.25">
      <c r="I4" s="10" t="s">
        <v>6</v>
      </c>
    </row>
    <row r="5" spans="1:14" x14ac:dyDescent="0.25">
      <c r="B5" s="1" t="s">
        <v>7</v>
      </c>
      <c r="D5" s="11" t="s">
        <v>8</v>
      </c>
      <c r="I5" s="12"/>
    </row>
    <row r="7" spans="1:14" x14ac:dyDescent="0.25">
      <c r="B7" s="1" t="s">
        <v>9</v>
      </c>
      <c r="D7" s="13" t="s">
        <v>10</v>
      </c>
    </row>
    <row r="9" spans="1:14" x14ac:dyDescent="0.25">
      <c r="B9" s="1" t="s">
        <v>11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 x14ac:dyDescent="0.25">
      <c r="A10" s="15"/>
      <c r="B10" s="15">
        <f>DATEDIF(D9,E15,"M")</f>
        <v>9</v>
      </c>
      <c r="C10" s="1" t="s">
        <v>12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 x14ac:dyDescent="0.25">
      <c r="B12" s="12" t="s">
        <v>13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 x14ac:dyDescent="0.25">
      <c r="E13" s="1" t="s">
        <v>14</v>
      </c>
      <c r="F13" s="17">
        <v>43122</v>
      </c>
      <c r="G13" s="12" t="str">
        <f>"за "&amp;(F13-F12+1&amp;" ")&amp; " дня"</f>
        <v>за 295  дня</v>
      </c>
    </row>
    <row r="14" spans="1:14" x14ac:dyDescent="0.25">
      <c r="F14" s="18">
        <f>ROUND((F13-F12)/354*24,0)</f>
        <v>20</v>
      </c>
      <c r="G14" s="1" t="s">
        <v>15</v>
      </c>
      <c r="I14" s="18">
        <f>ROUND((F13-F12)/354*24,0)</f>
        <v>20</v>
      </c>
      <c r="J14" s="1" t="s">
        <v>15</v>
      </c>
    </row>
    <row r="15" spans="1:14" x14ac:dyDescent="0.25">
      <c r="B15" s="12" t="str">
        <f>"Термін "&amp;LOWER(LEFT(B3,SEARCH(" ",B3))&amp;" включно з:")</f>
        <v>Термін відпустка  включно з:</v>
      </c>
      <c r="D15" s="15"/>
      <c r="E15" s="19">
        <v>43122</v>
      </c>
      <c r="F15" s="20">
        <f t="array" ref="F15">SMALL(IF(COUNTIF(K20:AF31,E15+ROW($1:$100)-1)=0,E15+ROW($1:$100)-1),F14)</f>
        <v>43141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</row>
    <row r="16" spans="1:14" x14ac:dyDescent="0.25">
      <c r="B16" s="12" t="s">
        <v>16</v>
      </c>
      <c r="F16" s="24">
        <f>WORKDAY(F15,1,IF(YEAR(F15)=2018,Праздники2018,IF(YEAR(F15)=2017,Праздники2017,Праздники2016)))</f>
        <v>43143</v>
      </c>
      <c r="I16" s="1" t="str">
        <f>"Выходить на раб.  "&amp;TEXT(WORKDAY(J15,1),"ДД.ММ.ГГ")</f>
        <v>Выходить на раб.  12.02.18</v>
      </c>
    </row>
    <row r="17" spans="1:39" x14ac:dyDescent="0.25">
      <c r="A17" s="25" t="s">
        <v>17</v>
      </c>
      <c r="B17" s="26" t="s">
        <v>18</v>
      </c>
      <c r="C17" s="27"/>
      <c r="D17" s="28" t="s">
        <v>19</v>
      </c>
      <c r="E17" s="25" t="s">
        <v>20</v>
      </c>
      <c r="F17" s="25" t="s">
        <v>21</v>
      </c>
      <c r="G17" s="29" t="s">
        <v>22</v>
      </c>
      <c r="H17" s="30" t="s">
        <v>23</v>
      </c>
      <c r="I17" s="12" t="s">
        <v>24</v>
      </c>
      <c r="R17" s="12" t="s">
        <v>25</v>
      </c>
      <c r="AA17" s="12" t="s">
        <v>26</v>
      </c>
    </row>
    <row r="18" spans="1:39" x14ac:dyDescent="0.25">
      <c r="A18" s="31" t="s">
        <v>27</v>
      </c>
      <c r="B18" s="32"/>
      <c r="C18" s="33"/>
      <c r="D18" s="34" t="s">
        <v>28</v>
      </c>
      <c r="E18" s="31" t="s">
        <v>29</v>
      </c>
      <c r="F18" s="35"/>
      <c r="G18" s="36" t="s">
        <v>30</v>
      </c>
      <c r="H18" s="37" t="s">
        <v>31</v>
      </c>
      <c r="I18" s="38" t="s">
        <v>32</v>
      </c>
      <c r="J18" s="27"/>
      <c r="K18" s="39" t="s">
        <v>33</v>
      </c>
      <c r="L18" s="38"/>
      <c r="M18" s="38"/>
      <c r="N18" s="27"/>
      <c r="O18" s="28" t="s">
        <v>34</v>
      </c>
      <c r="R18" s="39" t="s">
        <v>32</v>
      </c>
      <c r="S18" s="27"/>
      <c r="T18" s="39" t="s">
        <v>33</v>
      </c>
      <c r="U18" s="38"/>
      <c r="V18" s="38"/>
      <c r="W18" s="27"/>
      <c r="X18" s="28" t="s">
        <v>34</v>
      </c>
      <c r="AA18" s="39" t="s">
        <v>32</v>
      </c>
      <c r="AB18" s="27"/>
      <c r="AC18" s="39" t="s">
        <v>33</v>
      </c>
      <c r="AD18" s="38"/>
      <c r="AE18" s="38"/>
      <c r="AF18" s="27"/>
      <c r="AG18" s="28" t="s">
        <v>34</v>
      </c>
    </row>
    <row r="19" spans="1:39" ht="15.75" thickBot="1" x14ac:dyDescent="0.3">
      <c r="A19" s="40"/>
      <c r="B19" s="41"/>
      <c r="C19" s="42"/>
      <c r="D19" s="43" t="s">
        <v>35</v>
      </c>
      <c r="E19" s="44"/>
      <c r="F19" s="44"/>
      <c r="G19" s="45" t="s">
        <v>36</v>
      </c>
      <c r="H19" s="46" t="s">
        <v>36</v>
      </c>
      <c r="I19" s="47"/>
      <c r="J19" s="48"/>
      <c r="K19" s="49"/>
      <c r="L19" s="47"/>
      <c r="M19" s="47"/>
      <c r="N19" s="48"/>
      <c r="O19" s="50" t="s">
        <v>37</v>
      </c>
      <c r="R19" s="49"/>
      <c r="S19" s="48"/>
      <c r="T19" s="32"/>
      <c r="U19" s="51"/>
      <c r="V19" s="51"/>
      <c r="W19" s="33"/>
      <c r="X19" s="34" t="s">
        <v>37</v>
      </c>
      <c r="AA19" s="49" t="s">
        <v>38</v>
      </c>
      <c r="AB19" s="48"/>
      <c r="AC19" s="32"/>
      <c r="AD19" s="51"/>
      <c r="AE19" s="51"/>
      <c r="AF19" s="33"/>
      <c r="AG19" s="34" t="s">
        <v>37</v>
      </c>
      <c r="AM19" s="52" t="str">
        <f>I20</f>
        <v>Январь 2016</v>
      </c>
    </row>
    <row r="20" spans="1:39" x14ac:dyDescent="0.25">
      <c r="A20" s="53" t="str">
        <f>IF(B20="","",MAX($A$18:A19)+1)</f>
        <v/>
      </c>
      <c r="B20" s="54" t="str">
        <f>TEXT(IF(AND(ROW(A1)&gt;11+(DAY($D$9)&lt;=DAY($E$15))-$B$10,B$10&lt;12),IF(B19="",$D$9,EOMONTH(B19,0)+1),IF(EDATE($D$9,12)&gt;$E$15,"",EOMONTH($E$15,ROW(A1)-14)+1)),"ММММ ГГГГ")</f>
        <v/>
      </c>
      <c r="C20" s="55"/>
      <c r="D20" s="56" t="str">
        <f>IF(AND(ROW(A1)&gt;11+(DAY($D$9)&lt;=DAY($E$15))-$B$10,B$10&lt;12),IF(D19="",$D$9,EOMONTH(D19,0)+1),IF(EDATE($D$9,12)&gt;$E$15,"",EOMONTH($E$15,ROW(A1)-14)+1))</f>
        <v/>
      </c>
      <c r="E20" s="57" t="str">
        <f>IF(D20="","",EOMONTH(D20,0)-(D20-1)-COUNTIFS($K$20:$AF$31,"&gt;="&amp;D20,$K$20:$AF$31,"&lt;="&amp;EOMONTH(D20,0)))</f>
        <v/>
      </c>
      <c r="F20" s="58"/>
      <c r="G20" s="59" t="str">
        <f>IFERROR(ROUND(F20/E20, 2),"")</f>
        <v/>
      </c>
      <c r="H20" s="37"/>
      <c r="I20" s="60" t="s">
        <v>39</v>
      </c>
      <c r="J20" s="61"/>
      <c r="K20" s="62">
        <v>42370</v>
      </c>
      <c r="L20" s="62">
        <v>42376</v>
      </c>
      <c r="M20" s="62"/>
      <c r="N20" s="62"/>
      <c r="O20" s="63">
        <f>COUNT(K20:N20)</f>
        <v>2</v>
      </c>
      <c r="P20" s="64"/>
      <c r="R20" s="65" t="s">
        <v>40</v>
      </c>
      <c r="S20" s="66"/>
      <c r="T20" s="67">
        <v>42736</v>
      </c>
      <c r="U20" s="67">
        <v>42742</v>
      </c>
      <c r="V20" s="67"/>
      <c r="W20" s="67"/>
      <c r="X20" s="63">
        <f>COUNT(T20:W20)</f>
        <v>2</v>
      </c>
      <c r="AA20" s="65" t="s">
        <v>41</v>
      </c>
      <c r="AB20" s="66"/>
      <c r="AC20" s="67">
        <v>43101</v>
      </c>
      <c r="AD20" s="67">
        <v>43107</v>
      </c>
      <c r="AE20" s="67"/>
      <c r="AF20" s="67"/>
      <c r="AG20" s="63">
        <f>COUNT(AC20:AF20)</f>
        <v>2</v>
      </c>
      <c r="AM20" s="68" t="s">
        <v>39</v>
      </c>
    </row>
    <row r="21" spans="1:39" x14ac:dyDescent="0.25">
      <c r="A21" s="53" t="str">
        <f>IF(B21="","",MAX($A$18:A20)+1)</f>
        <v/>
      </c>
      <c r="B21" s="69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70"/>
      <c r="D21" s="56" t="str">
        <f t="shared" ref="D21:D31" si="1">IF(AND(ROW(A2)&gt;11+(DAY($D$9)&lt;=DAY($E$15))-$B$10,B$10&lt;12),IF(D20="",$D$9,EOMONTH(D20,0)+1),IF(EDATE($D$9,12)&gt;$E$15,"",EOMONTH($E$15,ROW(A2)-14)+1))</f>
        <v/>
      </c>
      <c r="E21" s="71" t="str">
        <f t="shared" ref="E21:E31" si="2">IF(D21="","",EOMONTH(D21,0)-(D21-1)-COUNTIFS($K$20:$AF$31,"&gt;="&amp;D21,$K$20:$AF$31,"&lt;="&amp;EOMONTH(D21,0)))</f>
        <v/>
      </c>
      <c r="F21" s="72"/>
      <c r="G21" s="59" t="str">
        <f t="shared" ref="G21:G32" si="3">IFERROR(ROUND(F21/E21, 2),"")</f>
        <v/>
      </c>
      <c r="H21" s="37"/>
      <c r="I21" s="73" t="str">
        <f>TEXT(EDATE(I20,1),"[$-F419]ММММ ГГГГ")</f>
        <v>февраль 2016</v>
      </c>
      <c r="J21" s="61"/>
      <c r="K21" s="62"/>
      <c r="L21" s="62"/>
      <c r="M21" s="62"/>
      <c r="N21" s="62"/>
      <c r="O21" s="63">
        <f t="shared" ref="O21:O31" si="4">COUNT(K21:N21)</f>
        <v>0</v>
      </c>
      <c r="P21" s="64"/>
      <c r="R21" s="74" t="str">
        <f>TEXT(EDATE(R20,1),"[$-419]ММММ ГГГГ")</f>
        <v>Февраль 2017</v>
      </c>
      <c r="S21" s="66"/>
      <c r="T21" s="67"/>
      <c r="U21" s="67"/>
      <c r="V21" s="67"/>
      <c r="W21" s="67"/>
      <c r="X21" s="63">
        <f t="shared" ref="X21:X31" si="5">COUNT(T21:W21)</f>
        <v>0</v>
      </c>
      <c r="AA21" s="75" t="s">
        <v>42</v>
      </c>
      <c r="AB21" s="66"/>
      <c r="AC21" s="67"/>
      <c r="AD21" s="67"/>
      <c r="AE21" s="67"/>
      <c r="AF21" s="67"/>
      <c r="AG21" s="63">
        <f t="shared" ref="AG21:AG31" si="6">COUNT(AC21:AF21)</f>
        <v>0</v>
      </c>
      <c r="AM21" s="76" t="str">
        <f>TEXT(EDATE(AM20,1),"[$-419]ММММ ГГГГ")</f>
        <v>Февраль 2016</v>
      </c>
    </row>
    <row r="22" spans="1:39" x14ac:dyDescent="0.25">
      <c r="A22" s="53" t="str">
        <f>IF(B22="","",MAX($A$18:A21)+1)</f>
        <v/>
      </c>
      <c r="B22" s="69" t="str">
        <f t="shared" si="0"/>
        <v/>
      </c>
      <c r="C22" s="70"/>
      <c r="D22" s="56" t="str">
        <f t="shared" si="1"/>
        <v/>
      </c>
      <c r="E22" s="71" t="str">
        <f t="shared" si="2"/>
        <v/>
      </c>
      <c r="F22" s="72"/>
      <c r="G22" s="59" t="str">
        <f t="shared" si="3"/>
        <v/>
      </c>
      <c r="H22" s="37"/>
      <c r="I22" s="73" t="str">
        <f t="shared" ref="I22:I31" si="7">TEXT(EDATE(I21,1),"[$-F419]ММММ ГГГГ")</f>
        <v>март 2016</v>
      </c>
      <c r="J22" s="61"/>
      <c r="K22" s="62">
        <v>42437</v>
      </c>
      <c r="L22" s="62"/>
      <c r="M22" s="62"/>
      <c r="N22" s="62"/>
      <c r="O22" s="63">
        <f t="shared" si="4"/>
        <v>1</v>
      </c>
      <c r="P22" s="64"/>
      <c r="R22" s="74" t="str">
        <f>TEXT(EDATE(R21,1),"[$-419]ММММ ГГГГ")</f>
        <v>Март 2017</v>
      </c>
      <c r="S22" s="66"/>
      <c r="T22" s="67">
        <v>42802</v>
      </c>
      <c r="U22" s="67"/>
      <c r="V22" s="67"/>
      <c r="W22" s="67"/>
      <c r="X22" s="63">
        <f t="shared" si="5"/>
        <v>1</v>
      </c>
      <c r="AA22" s="75" t="s">
        <v>43</v>
      </c>
      <c r="AB22" s="66"/>
      <c r="AC22" s="67">
        <v>43167</v>
      </c>
      <c r="AD22" s="67"/>
      <c r="AE22" s="67"/>
      <c r="AF22" s="67"/>
      <c r="AG22" s="63">
        <f t="shared" si="6"/>
        <v>1</v>
      </c>
      <c r="AM22" s="76" t="str">
        <f t="shared" ref="AM22:AM31" si="8">TEXT(EDATE(AM21,1),"[$-419]ММММ ГГГГ")</f>
        <v>Март 2016</v>
      </c>
    </row>
    <row r="23" spans="1:39" x14ac:dyDescent="0.25">
      <c r="A23" s="53">
        <f>IF(B23="","",MAX($A$18:A22)+1)</f>
        <v>1</v>
      </c>
      <c r="B23" s="69" t="str">
        <f t="shared" si="0"/>
        <v>Апрель 2017</v>
      </c>
      <c r="C23" s="70"/>
      <c r="D23" s="56">
        <f t="shared" si="1"/>
        <v>42828</v>
      </c>
      <c r="E23" s="71">
        <f t="shared" si="2"/>
        <v>27</v>
      </c>
      <c r="F23" s="72">
        <v>5360</v>
      </c>
      <c r="G23" s="59">
        <f t="shared" si="3"/>
        <v>198.52</v>
      </c>
      <c r="H23" s="37"/>
      <c r="I23" s="73" t="str">
        <f t="shared" si="7"/>
        <v>апрель 2016</v>
      </c>
      <c r="J23" s="61"/>
      <c r="K23" s="62"/>
      <c r="L23" s="62"/>
      <c r="M23" s="62"/>
      <c r="N23" s="62"/>
      <c r="O23" s="63">
        <f t="shared" si="4"/>
        <v>0</v>
      </c>
      <c r="P23" s="64"/>
      <c r="R23" s="74" t="str">
        <f t="shared" ref="R23:R31" si="9">TEXT(EDATE(R22,1),"[$-419]ММММ ГГГГ")</f>
        <v>Апрель 2017</v>
      </c>
      <c r="S23" s="66"/>
      <c r="T23" s="67">
        <v>42841</v>
      </c>
      <c r="U23" s="67"/>
      <c r="V23" s="67"/>
      <c r="W23" s="67"/>
      <c r="X23" s="63">
        <f t="shared" si="5"/>
        <v>1</v>
      </c>
      <c r="AA23" s="75" t="s">
        <v>44</v>
      </c>
      <c r="AB23" s="66"/>
      <c r="AC23" s="67">
        <v>43198</v>
      </c>
      <c r="AD23" s="67"/>
      <c r="AE23" s="67"/>
      <c r="AF23" s="67"/>
      <c r="AG23" s="63">
        <f t="shared" si="6"/>
        <v>1</v>
      </c>
      <c r="AM23" s="76" t="str">
        <f t="shared" si="8"/>
        <v>Апрель 2016</v>
      </c>
    </row>
    <row r="24" spans="1:39" x14ac:dyDescent="0.25">
      <c r="A24" s="53">
        <f>IF(B24="","",MAX($A$18:A23)+1)</f>
        <v>2</v>
      </c>
      <c r="B24" s="69" t="str">
        <f t="shared" si="0"/>
        <v>Май 2017</v>
      </c>
      <c r="C24" s="70"/>
      <c r="D24" s="56">
        <f t="shared" si="1"/>
        <v>42856</v>
      </c>
      <c r="E24" s="71">
        <f t="shared" si="2"/>
        <v>28</v>
      </c>
      <c r="F24" s="72">
        <v>5050</v>
      </c>
      <c r="G24" s="59">
        <f t="shared" si="3"/>
        <v>180.36</v>
      </c>
      <c r="H24" s="37"/>
      <c r="I24" s="73" t="str">
        <f t="shared" si="7"/>
        <v>май 2016</v>
      </c>
      <c r="J24" s="61"/>
      <c r="K24" s="62">
        <v>42491</v>
      </c>
      <c r="L24" s="62">
        <v>42492</v>
      </c>
      <c r="M24" s="62">
        <v>42499</v>
      </c>
      <c r="N24" s="62"/>
      <c r="O24" s="63">
        <f t="shared" si="4"/>
        <v>3</v>
      </c>
      <c r="P24" s="64"/>
      <c r="R24" s="74" t="str">
        <f t="shared" si="9"/>
        <v>Май 2017</v>
      </c>
      <c r="S24" s="66"/>
      <c r="T24" s="67">
        <v>42856</v>
      </c>
      <c r="U24" s="67">
        <v>42857</v>
      </c>
      <c r="V24" s="67">
        <v>42864</v>
      </c>
      <c r="W24" s="67"/>
      <c r="X24" s="63">
        <f t="shared" si="5"/>
        <v>3</v>
      </c>
      <c r="AA24" s="75" t="s">
        <v>45</v>
      </c>
      <c r="AB24" s="66"/>
      <c r="AC24" s="67">
        <v>43221</v>
      </c>
      <c r="AD24" s="67">
        <v>43229</v>
      </c>
      <c r="AE24" s="67">
        <v>43247</v>
      </c>
      <c r="AF24" s="67"/>
      <c r="AG24" s="63">
        <f t="shared" si="6"/>
        <v>3</v>
      </c>
      <c r="AM24" s="76" t="str">
        <f t="shared" si="8"/>
        <v>Май 2016</v>
      </c>
    </row>
    <row r="25" spans="1:39" x14ac:dyDescent="0.25">
      <c r="A25" s="53">
        <f>IF(B25="","",MAX($A$18:A24)+1)</f>
        <v>3</v>
      </c>
      <c r="B25" s="69" t="str">
        <f t="shared" si="0"/>
        <v>Июнь 2017</v>
      </c>
      <c r="C25" s="70"/>
      <c r="D25" s="56">
        <f t="shared" si="1"/>
        <v>42887</v>
      </c>
      <c r="E25" s="71">
        <f t="shared" si="2"/>
        <v>28</v>
      </c>
      <c r="F25" s="72">
        <v>4540</v>
      </c>
      <c r="G25" s="59">
        <f t="shared" si="3"/>
        <v>162.13999999999999</v>
      </c>
      <c r="H25" s="37"/>
      <c r="I25" s="73" t="str">
        <f t="shared" si="7"/>
        <v>июнь 2016</v>
      </c>
      <c r="J25" s="61"/>
      <c r="K25" s="77">
        <v>42540</v>
      </c>
      <c r="L25" s="77">
        <v>42549</v>
      </c>
      <c r="M25" s="62"/>
      <c r="N25" s="62"/>
      <c r="O25" s="63">
        <f t="shared" si="4"/>
        <v>2</v>
      </c>
      <c r="P25" s="64"/>
      <c r="R25" s="74" t="str">
        <f t="shared" si="9"/>
        <v>Июнь 2017</v>
      </c>
      <c r="S25" s="66"/>
      <c r="T25" s="67">
        <v>42890</v>
      </c>
      <c r="U25" s="67">
        <v>42914</v>
      </c>
      <c r="V25" s="67"/>
      <c r="W25" s="67"/>
      <c r="X25" s="63">
        <f t="shared" si="5"/>
        <v>2</v>
      </c>
      <c r="AA25" s="75" t="s">
        <v>46</v>
      </c>
      <c r="AB25" s="66"/>
      <c r="AC25" s="67">
        <v>43279</v>
      </c>
      <c r="AD25" s="67"/>
      <c r="AE25" s="67"/>
      <c r="AF25" s="67"/>
      <c r="AG25" s="63">
        <f t="shared" si="6"/>
        <v>1</v>
      </c>
      <c r="AM25" s="76" t="str">
        <f t="shared" si="8"/>
        <v>Июнь 2016</v>
      </c>
    </row>
    <row r="26" spans="1:39" x14ac:dyDescent="0.25">
      <c r="A26" s="53">
        <f>IF(B26="","",MAX($A$18:A25)+1)</f>
        <v>4</v>
      </c>
      <c r="B26" s="69" t="str">
        <f t="shared" si="0"/>
        <v>Июль 2017</v>
      </c>
      <c r="C26" s="70"/>
      <c r="D26" s="56">
        <f t="shared" si="1"/>
        <v>42917</v>
      </c>
      <c r="E26" s="71">
        <f t="shared" si="2"/>
        <v>31</v>
      </c>
      <c r="F26" s="72">
        <v>3220</v>
      </c>
      <c r="G26" s="59">
        <f t="shared" si="3"/>
        <v>103.87</v>
      </c>
      <c r="H26" s="37"/>
      <c r="I26" s="73" t="str">
        <f t="shared" si="7"/>
        <v>июль 2016</v>
      </c>
      <c r="J26" s="61"/>
      <c r="K26" s="62"/>
      <c r="L26" s="62"/>
      <c r="M26" s="62"/>
      <c r="N26" s="62"/>
      <c r="O26" s="63">
        <f t="shared" si="4"/>
        <v>0</v>
      </c>
      <c r="P26" s="64"/>
      <c r="R26" s="74" t="str">
        <f t="shared" si="9"/>
        <v>Июль 2017</v>
      </c>
      <c r="S26" s="66"/>
      <c r="T26" s="67"/>
      <c r="U26" s="67"/>
      <c r="V26" s="67"/>
      <c r="W26" s="67"/>
      <c r="X26" s="63">
        <f t="shared" si="5"/>
        <v>0</v>
      </c>
      <c r="AA26" s="75" t="s">
        <v>47</v>
      </c>
      <c r="AB26" s="66"/>
      <c r="AC26" s="67"/>
      <c r="AD26" s="67"/>
      <c r="AE26" s="67"/>
      <c r="AF26" s="67"/>
      <c r="AG26" s="63">
        <f t="shared" si="6"/>
        <v>0</v>
      </c>
      <c r="AM26" s="76" t="str">
        <f t="shared" si="8"/>
        <v>Июль 2016</v>
      </c>
    </row>
    <row r="27" spans="1:39" x14ac:dyDescent="0.25">
      <c r="A27" s="53">
        <f>IF(B27="","",MAX($A$18:A26)+1)</f>
        <v>5</v>
      </c>
      <c r="B27" s="69" t="str">
        <f t="shared" si="0"/>
        <v>Август 2017</v>
      </c>
      <c r="C27" s="70"/>
      <c r="D27" s="56">
        <f t="shared" si="1"/>
        <v>42948</v>
      </c>
      <c r="E27" s="71">
        <f>IF(D27="","",EOMONTH(D27,0)-(D27-1)-COUNTIFS($K$20:$AF$31,"&gt;="&amp;D27,$K$20:$AF$31,"&lt;="&amp;EOMONTH(D27,0)))</f>
        <v>30</v>
      </c>
      <c r="F27" s="72">
        <v>3200</v>
      </c>
      <c r="G27" s="59">
        <f t="shared" si="3"/>
        <v>106.67</v>
      </c>
      <c r="H27" s="37"/>
      <c r="I27" s="73" t="str">
        <f t="shared" si="7"/>
        <v>август 2016</v>
      </c>
      <c r="J27" s="61"/>
      <c r="K27" s="62">
        <v>42606</v>
      </c>
      <c r="L27" s="62"/>
      <c r="M27" s="62"/>
      <c r="N27" s="62"/>
      <c r="O27" s="63">
        <f t="shared" si="4"/>
        <v>1</v>
      </c>
      <c r="P27" s="64"/>
      <c r="R27" s="74" t="str">
        <f t="shared" si="9"/>
        <v>Август 2017</v>
      </c>
      <c r="S27" s="66"/>
      <c r="T27" s="67">
        <v>42971</v>
      </c>
      <c r="U27" s="67"/>
      <c r="V27" s="67"/>
      <c r="W27" s="67"/>
      <c r="X27" s="63">
        <f t="shared" si="5"/>
        <v>1</v>
      </c>
      <c r="AA27" s="75" t="s">
        <v>48</v>
      </c>
      <c r="AB27" s="66"/>
      <c r="AC27" s="67">
        <v>43336</v>
      </c>
      <c r="AD27" s="67"/>
      <c r="AE27" s="67"/>
      <c r="AF27" s="67"/>
      <c r="AG27" s="63">
        <f t="shared" si="6"/>
        <v>1</v>
      </c>
      <c r="AM27" s="76" t="str">
        <f t="shared" si="8"/>
        <v>Август 2016</v>
      </c>
    </row>
    <row r="28" spans="1:39" x14ac:dyDescent="0.25">
      <c r="A28" s="53">
        <f>IF(B28="","",MAX($A$18:A27)+1)</f>
        <v>6</v>
      </c>
      <c r="B28" s="69" t="str">
        <f t="shared" si="0"/>
        <v>Сентябрь 2017</v>
      </c>
      <c r="C28" s="70"/>
      <c r="D28" s="56">
        <f t="shared" si="1"/>
        <v>42979</v>
      </c>
      <c r="E28" s="71">
        <f t="shared" si="2"/>
        <v>30</v>
      </c>
      <c r="F28" s="72">
        <v>3300</v>
      </c>
      <c r="G28" s="59">
        <f t="shared" si="3"/>
        <v>110</v>
      </c>
      <c r="H28" s="37"/>
      <c r="I28" s="78" t="str">
        <f t="shared" si="7"/>
        <v>сентябрь 2016</v>
      </c>
      <c r="J28" s="48"/>
      <c r="K28" s="62"/>
      <c r="L28" s="62"/>
      <c r="M28" s="62"/>
      <c r="N28" s="62"/>
      <c r="O28" s="63">
        <f t="shared" si="4"/>
        <v>0</v>
      </c>
      <c r="P28" s="64"/>
      <c r="R28" s="74" t="str">
        <f t="shared" si="9"/>
        <v>Сентябрь 2017</v>
      </c>
      <c r="S28" s="66"/>
      <c r="T28" s="67"/>
      <c r="U28" s="67"/>
      <c r="V28" s="67"/>
      <c r="W28" s="67"/>
      <c r="X28" s="63">
        <f t="shared" si="5"/>
        <v>0</v>
      </c>
      <c r="AA28" s="75" t="s">
        <v>49</v>
      </c>
      <c r="AB28" s="66"/>
      <c r="AC28" s="67"/>
      <c r="AD28" s="67"/>
      <c r="AE28" s="67"/>
      <c r="AF28" s="67"/>
      <c r="AG28" s="63">
        <f t="shared" si="6"/>
        <v>0</v>
      </c>
      <c r="AM28" s="76" t="str">
        <f t="shared" si="8"/>
        <v>Сентябрь 2016</v>
      </c>
    </row>
    <row r="29" spans="1:39" x14ac:dyDescent="0.25">
      <c r="A29" s="53">
        <f>IF(B29="","",MAX($A$18:A28)+1)</f>
        <v>7</v>
      </c>
      <c r="B29" s="69" t="str">
        <f t="shared" si="0"/>
        <v>Октябрь 2017</v>
      </c>
      <c r="C29" s="70"/>
      <c r="D29" s="56">
        <f t="shared" si="1"/>
        <v>43009</v>
      </c>
      <c r="E29" s="71">
        <f t="shared" si="2"/>
        <v>30</v>
      </c>
      <c r="F29" s="72">
        <v>3215</v>
      </c>
      <c r="G29" s="59">
        <f t="shared" si="3"/>
        <v>107.17</v>
      </c>
      <c r="H29" s="37"/>
      <c r="I29" s="73" t="str">
        <f t="shared" si="7"/>
        <v>октябрь 2016</v>
      </c>
      <c r="J29" s="61"/>
      <c r="K29" s="62">
        <v>42657</v>
      </c>
      <c r="L29" s="62"/>
      <c r="M29" s="62"/>
      <c r="N29" s="62"/>
      <c r="O29" s="63">
        <f t="shared" si="4"/>
        <v>1</v>
      </c>
      <c r="P29" s="64"/>
      <c r="R29" s="74" t="str">
        <f t="shared" si="9"/>
        <v>Октябрь 2017</v>
      </c>
      <c r="S29" s="66"/>
      <c r="T29" s="67">
        <v>43022</v>
      </c>
      <c r="U29" s="67"/>
      <c r="V29" s="67"/>
      <c r="W29" s="67"/>
      <c r="X29" s="63">
        <f t="shared" si="5"/>
        <v>1</v>
      </c>
      <c r="AA29" s="75" t="s">
        <v>50</v>
      </c>
      <c r="AB29" s="66"/>
      <c r="AC29" s="67">
        <v>43387</v>
      </c>
      <c r="AD29" s="67"/>
      <c r="AE29" s="67"/>
      <c r="AF29" s="67"/>
      <c r="AG29" s="63">
        <f t="shared" si="6"/>
        <v>1</v>
      </c>
      <c r="AM29" s="76" t="str">
        <f t="shared" si="8"/>
        <v>Октябрь 2016</v>
      </c>
    </row>
    <row r="30" spans="1:39" x14ac:dyDescent="0.25">
      <c r="A30" s="53">
        <f>IF(B30="","",MAX($A$18:A29)+1)</f>
        <v>8</v>
      </c>
      <c r="B30" s="69" t="str">
        <f t="shared" si="0"/>
        <v>Ноябрь 2017</v>
      </c>
      <c r="C30" s="70"/>
      <c r="D30" s="56">
        <f t="shared" si="1"/>
        <v>43040</v>
      </c>
      <c r="E30" s="71">
        <f t="shared" si="2"/>
        <v>30</v>
      </c>
      <c r="F30" s="72">
        <v>3300</v>
      </c>
      <c r="G30" s="59">
        <f t="shared" si="3"/>
        <v>110</v>
      </c>
      <c r="H30" s="37"/>
      <c r="I30" s="73" t="str">
        <f t="shared" si="7"/>
        <v>ноябрь 2016</v>
      </c>
      <c r="J30" s="61"/>
      <c r="K30" s="62"/>
      <c r="L30" s="62"/>
      <c r="M30" s="62"/>
      <c r="N30" s="62"/>
      <c r="O30" s="63">
        <f t="shared" si="4"/>
        <v>0</v>
      </c>
      <c r="P30" s="64"/>
      <c r="R30" s="74" t="str">
        <f t="shared" si="9"/>
        <v>Ноябрь 2017</v>
      </c>
      <c r="S30" s="66"/>
      <c r="T30" s="67"/>
      <c r="U30" s="67"/>
      <c r="V30" s="67"/>
      <c r="W30" s="67"/>
      <c r="X30" s="63">
        <f t="shared" si="5"/>
        <v>0</v>
      </c>
      <c r="AA30" s="75" t="s">
        <v>51</v>
      </c>
      <c r="AB30" s="66"/>
      <c r="AC30" s="67"/>
      <c r="AD30" s="67"/>
      <c r="AE30" s="67"/>
      <c r="AF30" s="67"/>
      <c r="AG30" s="63">
        <f t="shared" si="6"/>
        <v>0</v>
      </c>
      <c r="AM30" s="76" t="str">
        <f t="shared" si="8"/>
        <v>Ноябрь 2016</v>
      </c>
    </row>
    <row r="31" spans="1:39" ht="15.75" thickBot="1" x14ac:dyDescent="0.3">
      <c r="A31" s="79">
        <f>IF(B31="","",MAX($A$18:A30)+1)</f>
        <v>9</v>
      </c>
      <c r="B31" s="80" t="str">
        <f t="shared" si="0"/>
        <v>Декабрь 2017</v>
      </c>
      <c r="C31" s="81"/>
      <c r="D31" s="82">
        <f t="shared" si="1"/>
        <v>43070</v>
      </c>
      <c r="E31" s="83">
        <f t="shared" si="2"/>
        <v>30</v>
      </c>
      <c r="F31" s="84">
        <v>3210</v>
      </c>
      <c r="G31" s="85">
        <f t="shared" si="3"/>
        <v>107</v>
      </c>
      <c r="H31" s="46"/>
      <c r="I31" s="86" t="str">
        <f t="shared" si="7"/>
        <v>декабрь 2016</v>
      </c>
      <c r="J31" s="87"/>
      <c r="K31" s="88"/>
      <c r="L31" s="88"/>
      <c r="M31" s="88"/>
      <c r="N31" s="88"/>
      <c r="O31" s="89">
        <f t="shared" si="4"/>
        <v>0</v>
      </c>
      <c r="P31" s="64"/>
      <c r="R31" s="90" t="str">
        <f t="shared" si="9"/>
        <v>Декабрь 2017</v>
      </c>
      <c r="S31" s="91"/>
      <c r="T31" s="92">
        <v>43094</v>
      </c>
      <c r="U31" s="92"/>
      <c r="V31" s="92"/>
      <c r="W31" s="92"/>
      <c r="X31" s="89">
        <f t="shared" si="5"/>
        <v>1</v>
      </c>
      <c r="AA31" s="93" t="s">
        <v>52</v>
      </c>
      <c r="AB31" s="91"/>
      <c r="AC31" s="92">
        <v>43459</v>
      </c>
      <c r="AD31" s="92"/>
      <c r="AE31" s="92"/>
      <c r="AF31" s="92"/>
      <c r="AG31" s="89">
        <f t="shared" si="6"/>
        <v>1</v>
      </c>
      <c r="AM31" s="76" t="str">
        <f t="shared" si="8"/>
        <v>Декабрь 2016</v>
      </c>
    </row>
    <row r="32" spans="1:39" ht="15.75" x14ac:dyDescent="0.25">
      <c r="A32" s="94">
        <f>A31</f>
        <v>9</v>
      </c>
      <c r="B32" s="95" t="s">
        <v>53</v>
      </c>
      <c r="C32" s="48"/>
      <c r="D32" s="96" t="s">
        <v>54</v>
      </c>
      <c r="E32" s="94">
        <f>IF(SUM(E20:E31),SUM(E20:E31),"")</f>
        <v>264</v>
      </c>
      <c r="F32" s="96">
        <f>IF(SUM(F20:F31),SUM(F20:F31),"")</f>
        <v>34395</v>
      </c>
      <c r="G32" s="97">
        <f t="shared" si="3"/>
        <v>130.28</v>
      </c>
      <c r="H32" s="98">
        <f>IF(D5&lt;&gt;"",F32/COUNT(G20:G31,""))</f>
        <v>3821.6666666666665</v>
      </c>
      <c r="I32" s="99" t="s">
        <v>55</v>
      </c>
      <c r="J32" s="48"/>
      <c r="K32" s="100"/>
      <c r="L32" s="100"/>
      <c r="M32" s="100"/>
      <c r="N32" s="100"/>
      <c r="O32" s="101">
        <f>SUM(O20:O31)</f>
        <v>10</v>
      </c>
      <c r="R32" s="102" t="s">
        <v>55</v>
      </c>
      <c r="S32" s="47"/>
      <c r="T32" s="103"/>
      <c r="U32" s="103"/>
      <c r="V32" s="103"/>
      <c r="W32" s="103"/>
      <c r="X32" s="101">
        <f>SUM(X20:X31)</f>
        <v>12</v>
      </c>
      <c r="AA32" s="102" t="s">
        <v>55</v>
      </c>
      <c r="AB32" s="47"/>
      <c r="AC32" s="103"/>
      <c r="AD32" s="103"/>
      <c r="AE32" s="103"/>
      <c r="AF32" s="103"/>
      <c r="AG32" s="101">
        <f>SUM(AG20:AG31)</f>
        <v>11</v>
      </c>
    </row>
    <row r="34" spans="1:12" x14ac:dyDescent="0.25">
      <c r="B34" s="104" t="s">
        <v>56</v>
      </c>
    </row>
    <row r="35" spans="1:12" x14ac:dyDescent="0.25">
      <c r="A35" s="105" t="s">
        <v>57</v>
      </c>
      <c r="B35" s="105" t="s">
        <v>58</v>
      </c>
      <c r="C35" s="30"/>
      <c r="D35" s="106"/>
      <c r="E35" s="51"/>
      <c r="F35" s="51"/>
    </row>
    <row r="36" spans="1:12" x14ac:dyDescent="0.25">
      <c r="A36" s="107" t="s">
        <v>59</v>
      </c>
      <c r="B36" s="107" t="s">
        <v>60</v>
      </c>
      <c r="C36" s="107" t="s">
        <v>61</v>
      </c>
      <c r="D36" s="108" t="s">
        <v>62</v>
      </c>
      <c r="E36" s="36"/>
      <c r="F36" s="36"/>
    </row>
    <row r="37" spans="1:12" x14ac:dyDescent="0.25">
      <c r="A37" s="107" t="s">
        <v>63</v>
      </c>
      <c r="B37" s="107"/>
      <c r="C37" s="107" t="s">
        <v>64</v>
      </c>
      <c r="D37" s="108" t="s">
        <v>65</v>
      </c>
      <c r="E37" s="36"/>
      <c r="F37" s="36"/>
    </row>
    <row r="38" spans="1:12" x14ac:dyDescent="0.25">
      <c r="A38" s="107"/>
      <c r="B38" s="107"/>
      <c r="C38" s="107" t="s">
        <v>66</v>
      </c>
      <c r="D38" s="108" t="s">
        <v>67</v>
      </c>
      <c r="E38" s="36"/>
      <c r="F38" s="36"/>
    </row>
    <row r="39" spans="1:12" x14ac:dyDescent="0.25">
      <c r="A39" s="107"/>
      <c r="B39" s="107"/>
      <c r="C39" s="107" t="s">
        <v>68</v>
      </c>
      <c r="D39" s="108"/>
      <c r="E39" s="36"/>
      <c r="F39" s="36"/>
    </row>
    <row r="40" spans="1:12" ht="15.75" thickBot="1" x14ac:dyDescent="0.3">
      <c r="A40" s="109"/>
      <c r="B40" s="109"/>
      <c r="C40" s="109"/>
      <c r="D40" s="110"/>
      <c r="E40" s="36"/>
      <c r="F40" s="36"/>
    </row>
    <row r="41" spans="1:12" x14ac:dyDescent="0.25">
      <c r="A41" s="111">
        <f>E15</f>
        <v>43122</v>
      </c>
      <c r="B41" s="112"/>
      <c r="C41" s="112"/>
      <c r="D41" s="113"/>
      <c r="E41" s="36"/>
      <c r="F41" s="114"/>
      <c r="L41" s="115"/>
    </row>
    <row r="42" spans="1:12" ht="15.75" x14ac:dyDescent="0.25">
      <c r="A42" s="116">
        <f>F15</f>
        <v>43141</v>
      </c>
      <c r="B42" s="151" t="e">
        <f>--MID(F14,SEARCH(" ",F14)+1,SEARCH("кал",F14)-4)</f>
        <v>#VALUE!</v>
      </c>
      <c r="C42" s="117">
        <f>G32</f>
        <v>130.28</v>
      </c>
      <c r="D42" s="118" t="str">
        <f>IFERROR(ROUND(B42*C42,2),"")</f>
        <v/>
      </c>
      <c r="E42" s="119"/>
      <c r="F42" s="120"/>
    </row>
    <row r="44" spans="1:12" x14ac:dyDescent="0.25">
      <c r="A44" s="1" t="e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121"/>
      <c r="F44" s="122"/>
    </row>
    <row r="45" spans="1:12" x14ac:dyDescent="0.25">
      <c r="E45" s="122"/>
      <c r="F45" s="122"/>
    </row>
    <row r="46" spans="1:12" x14ac:dyDescent="0.25">
      <c r="A46" s="1" t="str">
        <f>"Включено до платіжної відомості за "&amp;F1&amp;" "</f>
        <v xml:space="preserve">Включено до платіжної відомості за Январь 2017  </v>
      </c>
      <c r="E46" s="123"/>
      <c r="F46" s="12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22"/>
      <c r="H46" s="122"/>
    </row>
    <row r="47" spans="1:12" x14ac:dyDescent="0.25">
      <c r="G47" s="122"/>
      <c r="H47" s="122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25">
      <c r="A61" s="51"/>
      <c r="B61" s="51"/>
      <c r="C61" s="51"/>
      <c r="D61" s="51"/>
      <c r="E61" s="138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 x14ac:dyDescent="0.25">
      <c r="A64" s="51"/>
      <c r="B64" s="51"/>
      <c r="C64" s="51"/>
      <c r="D64" s="51"/>
      <c r="E64" s="138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23" x14ac:dyDescent="0.25">
      <c r="A65" s="139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23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23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1:23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23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23" ht="18.75" x14ac:dyDescent="0.3">
      <c r="A70" s="51"/>
      <c r="B70" s="51"/>
      <c r="C70" s="51"/>
      <c r="D70" s="51"/>
      <c r="E70" s="51"/>
      <c r="F70" s="51"/>
      <c r="G70" s="51"/>
      <c r="H70" s="51"/>
      <c r="I70" s="51"/>
      <c r="J70" s="140"/>
      <c r="K70" s="51"/>
      <c r="L70" s="51"/>
      <c r="M70" s="51"/>
      <c r="N70" s="51"/>
      <c r="O70" s="51"/>
      <c r="P70" s="51"/>
      <c r="Q70" s="152" t="str">
        <f>F1</f>
        <v xml:space="preserve">Январь 2017 </v>
      </c>
      <c r="R70" s="153"/>
    </row>
    <row r="71" spans="1:23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3" x14ac:dyDescent="0.25">
      <c r="A72" s="51"/>
      <c r="B72" s="51"/>
      <c r="C72" s="51"/>
      <c r="D72" s="132"/>
      <c r="E72" s="51"/>
      <c r="F72" s="51"/>
      <c r="G72" s="51"/>
      <c r="H72" s="139"/>
      <c r="I72" s="51"/>
      <c r="J72" s="51"/>
      <c r="K72" s="132"/>
      <c r="L72" s="51"/>
      <c r="M72" s="51"/>
      <c r="N72" s="51"/>
      <c r="O72" s="51"/>
      <c r="P72" s="139"/>
      <c r="Q72" s="66"/>
      <c r="R72" s="66"/>
      <c r="S72" s="66"/>
      <c r="T72" s="66"/>
      <c r="U72" s="126" t="s">
        <v>69</v>
      </c>
      <c r="V72" s="29"/>
      <c r="W72" s="27"/>
    </row>
    <row r="73" spans="1:23" x14ac:dyDescent="0.25">
      <c r="A73" s="51"/>
      <c r="B73" s="51"/>
      <c r="C73" s="51"/>
      <c r="D73" s="132"/>
      <c r="E73" s="51"/>
      <c r="F73" s="132"/>
      <c r="G73" s="51"/>
      <c r="H73" s="36"/>
      <c r="I73" s="36"/>
      <c r="J73" s="132"/>
      <c r="K73" s="132"/>
      <c r="L73" s="36"/>
      <c r="M73" s="36"/>
      <c r="N73" s="36"/>
      <c r="O73" s="36"/>
      <c r="P73" s="36"/>
      <c r="Q73" s="128"/>
      <c r="R73" s="128"/>
      <c r="S73" s="128">
        <v>3</v>
      </c>
      <c r="T73" s="48"/>
      <c r="U73" s="129" t="s">
        <v>70</v>
      </c>
      <c r="V73" s="47"/>
      <c r="W73" s="130"/>
    </row>
    <row r="74" spans="1:23" ht="15.75" x14ac:dyDescent="0.25">
      <c r="A74" s="141"/>
      <c r="B74" s="51"/>
      <c r="C74" s="51"/>
      <c r="D74" s="36"/>
      <c r="E74" s="132"/>
      <c r="F74" s="132"/>
      <c r="G74" s="132"/>
      <c r="H74" s="36"/>
      <c r="I74" s="36"/>
      <c r="J74" s="132"/>
      <c r="K74" s="132"/>
      <c r="L74" s="51"/>
      <c r="M74" s="51"/>
      <c r="N74" s="51"/>
      <c r="O74" s="139"/>
      <c r="P74" s="51"/>
      <c r="Q74" s="133">
        <v>1.4999999999999999E-2</v>
      </c>
      <c r="R74" s="124" t="s">
        <v>72</v>
      </c>
      <c r="S74" s="66"/>
      <c r="T74" s="61"/>
      <c r="U74" s="25" t="s">
        <v>73</v>
      </c>
      <c r="V74" s="29" t="s">
        <v>71</v>
      </c>
      <c r="W74" s="127" t="s">
        <v>74</v>
      </c>
    </row>
    <row r="75" spans="1:23" ht="15.75" x14ac:dyDescent="0.25">
      <c r="A75" s="141"/>
      <c r="B75" s="51"/>
      <c r="C75" s="51"/>
      <c r="D75" s="36"/>
      <c r="E75" s="132"/>
      <c r="F75" s="132"/>
      <c r="G75" s="132"/>
      <c r="H75" s="36"/>
      <c r="I75" s="36"/>
      <c r="J75" s="36"/>
      <c r="K75" s="51"/>
      <c r="L75" s="51"/>
      <c r="M75" s="51"/>
      <c r="N75" s="142"/>
      <c r="O75" s="36"/>
      <c r="P75" s="36"/>
      <c r="Q75" s="125" t="s">
        <v>77</v>
      </c>
      <c r="R75" s="25" t="s">
        <v>75</v>
      </c>
      <c r="S75" s="25" t="s">
        <v>76</v>
      </c>
      <c r="T75" s="127" t="s">
        <v>77</v>
      </c>
      <c r="U75" s="31" t="s">
        <v>78</v>
      </c>
      <c r="V75" s="36" t="s">
        <v>79</v>
      </c>
      <c r="W75" s="31" t="s">
        <v>80</v>
      </c>
    </row>
    <row r="76" spans="1:23" x14ac:dyDescent="0.25">
      <c r="A76" s="51"/>
      <c r="B76" s="51"/>
      <c r="C76" s="51"/>
      <c r="D76" s="36"/>
      <c r="E76" s="51"/>
      <c r="F76" s="51"/>
      <c r="G76" s="51"/>
      <c r="H76" s="36"/>
      <c r="I76" s="36"/>
      <c r="J76" s="36"/>
      <c r="K76" s="36"/>
      <c r="L76" s="36"/>
      <c r="M76" s="36"/>
      <c r="N76" s="132"/>
      <c r="O76" s="36"/>
      <c r="P76" s="36"/>
      <c r="Q76" s="130"/>
      <c r="R76" s="31" t="s">
        <v>81</v>
      </c>
      <c r="S76" s="31" t="s">
        <v>82</v>
      </c>
      <c r="T76" s="31"/>
      <c r="U76" s="31" t="s">
        <v>83</v>
      </c>
      <c r="V76" s="51"/>
      <c r="W76" s="31" t="s">
        <v>84</v>
      </c>
    </row>
    <row r="77" spans="1:23" x14ac:dyDescent="0.25">
      <c r="A77" s="51"/>
      <c r="B77" s="51"/>
      <c r="C77" s="51"/>
      <c r="D77" s="36"/>
      <c r="E77" s="51"/>
      <c r="F77" s="51"/>
      <c r="G77" s="51"/>
      <c r="H77" s="36"/>
      <c r="I77" s="36"/>
      <c r="J77" s="36"/>
      <c r="K77" s="36"/>
      <c r="L77" s="36"/>
      <c r="M77" s="36"/>
      <c r="N77" s="36"/>
      <c r="O77" s="36"/>
      <c r="P77" s="36"/>
      <c r="Q77" s="130"/>
      <c r="R77" s="31" t="s">
        <v>86</v>
      </c>
      <c r="S77" s="31" t="s">
        <v>85</v>
      </c>
      <c r="T77" s="31"/>
      <c r="U77" s="31" t="s">
        <v>87</v>
      </c>
      <c r="V77" s="36"/>
      <c r="W77" s="31" t="s">
        <v>88</v>
      </c>
    </row>
    <row r="78" spans="1:23" x14ac:dyDescent="0.25">
      <c r="A78" s="51"/>
      <c r="B78" s="51"/>
      <c r="C78" s="51"/>
      <c r="D78" s="36"/>
      <c r="E78" s="51"/>
      <c r="F78" s="51"/>
      <c r="G78" s="51"/>
      <c r="H78" s="36"/>
      <c r="I78" s="36"/>
      <c r="J78" s="36"/>
      <c r="K78" s="36"/>
      <c r="L78" s="36"/>
      <c r="M78" s="36"/>
      <c r="N78" s="36"/>
      <c r="O78" s="36"/>
      <c r="P78" s="36"/>
      <c r="Q78" s="130"/>
      <c r="R78" s="31" t="s">
        <v>89</v>
      </c>
      <c r="S78" s="31"/>
      <c r="T78" s="31"/>
      <c r="U78" s="31" t="s">
        <v>90</v>
      </c>
      <c r="V78" s="36"/>
      <c r="W78" s="31" t="s">
        <v>87</v>
      </c>
    </row>
    <row r="79" spans="1:23" x14ac:dyDescent="0.25">
      <c r="A79" s="51"/>
      <c r="B79" s="51"/>
      <c r="C79" s="51"/>
      <c r="D79" s="36"/>
      <c r="E79" s="36"/>
      <c r="F79" s="51"/>
      <c r="G79" s="51"/>
      <c r="H79" s="36"/>
      <c r="I79" s="36"/>
      <c r="J79" s="36"/>
      <c r="K79" s="36"/>
      <c r="L79" s="36"/>
      <c r="M79" s="36"/>
      <c r="N79" s="36"/>
      <c r="O79" s="36"/>
      <c r="P79" s="36"/>
      <c r="Q79" s="130"/>
      <c r="R79" s="31" t="s">
        <v>91</v>
      </c>
      <c r="S79" s="31"/>
      <c r="T79" s="31"/>
      <c r="U79" s="131" t="s">
        <v>92</v>
      </c>
      <c r="V79" s="51"/>
      <c r="W79" s="31" t="s">
        <v>90</v>
      </c>
    </row>
    <row r="80" spans="1:23" x14ac:dyDescent="0.25">
      <c r="A80" s="51"/>
      <c r="B80" s="51"/>
      <c r="C80" s="51"/>
      <c r="D80" s="36"/>
      <c r="E80" s="36"/>
      <c r="F80" s="51"/>
      <c r="G80" s="51"/>
      <c r="H80" s="143"/>
      <c r="I80" s="143"/>
      <c r="J80" s="144"/>
      <c r="K80" s="36"/>
      <c r="L80" s="36"/>
      <c r="M80" s="36"/>
      <c r="N80" s="36"/>
      <c r="O80" s="36"/>
      <c r="P80" s="36"/>
      <c r="Q80" s="130"/>
      <c r="R80" s="31" t="s">
        <v>90</v>
      </c>
      <c r="S80" s="31"/>
      <c r="T80" s="31"/>
      <c r="U80" s="131" t="s">
        <v>85</v>
      </c>
      <c r="V80" s="51"/>
      <c r="W80" s="131" t="s">
        <v>93</v>
      </c>
    </row>
    <row r="81" spans="1:23" ht="15.75" thickBot="1" x14ac:dyDescent="0.3">
      <c r="A81" s="51"/>
      <c r="B81" s="51"/>
      <c r="C81" s="51"/>
      <c r="D81" s="51"/>
      <c r="E81" s="36"/>
      <c r="F81" s="51"/>
      <c r="G81" s="51"/>
      <c r="H81" s="51"/>
      <c r="I81" s="51"/>
      <c r="J81" s="51"/>
      <c r="K81" s="145"/>
      <c r="L81" s="36"/>
      <c r="M81" s="36"/>
      <c r="N81" s="36"/>
      <c r="O81" s="36"/>
      <c r="P81" s="36"/>
      <c r="Q81" s="134"/>
      <c r="R81" s="40"/>
      <c r="S81" s="40"/>
      <c r="T81" s="40"/>
      <c r="U81" s="44"/>
      <c r="V81" s="45"/>
      <c r="W81" s="40" t="s">
        <v>85</v>
      </c>
    </row>
    <row r="82" spans="1:23" ht="15.75" x14ac:dyDescent="0.25">
      <c r="A82" s="51"/>
      <c r="B82" s="51"/>
      <c r="C82" s="51"/>
      <c r="D82" s="36"/>
      <c r="E82" s="146"/>
      <c r="F82" s="146"/>
      <c r="G82" s="114"/>
      <c r="H82" s="147"/>
      <c r="I82" s="143"/>
      <c r="J82" s="144"/>
      <c r="K82" s="148"/>
      <c r="L82" s="149"/>
      <c r="M82" s="149"/>
      <c r="N82" s="144"/>
      <c r="O82" s="143"/>
      <c r="P82" s="143"/>
      <c r="Q82" s="137">
        <f>SUM(O82:P82)</f>
        <v>0</v>
      </c>
      <c r="R82" s="135">
        <f>SUM(L82,O82)</f>
        <v>0</v>
      </c>
      <c r="S82" s="135">
        <f>SUM(M82,P82)</f>
        <v>0</v>
      </c>
      <c r="T82" s="136">
        <f>SUM(R82:S82)</f>
        <v>0</v>
      </c>
      <c r="U82" s="135">
        <f>H82-R82</f>
        <v>0</v>
      </c>
      <c r="V82" s="135">
        <f>I82-S82</f>
        <v>0</v>
      </c>
      <c r="W82" s="135">
        <f>SUM(U82:V82)</f>
        <v>0</v>
      </c>
    </row>
    <row r="83" spans="1:23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1:23" x14ac:dyDescent="0.25">
      <c r="A84" s="51"/>
      <c r="B84" s="51"/>
      <c r="C84" s="51"/>
      <c r="D84" s="150"/>
      <c r="E84" s="3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23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23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23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23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23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1:23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1:23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1:23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1:23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1:23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23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1:23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16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1:16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1:16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1:16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1:16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1:16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16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16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16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16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1:16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1:16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1:16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1:16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</row>
    <row r="114" spans="1:16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1:16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1:16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1:16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1:16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</row>
    <row r="119" spans="1:16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</row>
    <row r="120" spans="1:16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  <row r="121" spans="1:16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1:16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</row>
    <row r="123" spans="1:16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1:16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</row>
    <row r="125" spans="1:16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1:16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1:16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1:16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1:16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</row>
    <row r="130" spans="1:16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</row>
    <row r="131" spans="1:16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</row>
    <row r="132" spans="1:16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</row>
    <row r="133" spans="1:16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</row>
    <row r="134" spans="1:16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</row>
    <row r="135" spans="1:16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</row>
    <row r="136" spans="1:16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</row>
    <row r="137" spans="1:16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</row>
    <row r="138" spans="1:16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</row>
    <row r="139" spans="1:16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</row>
    <row r="140" spans="1:16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</row>
    <row r="141" spans="1:16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</row>
    <row r="142" spans="1:16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</row>
    <row r="143" spans="1:16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spans="1:16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</row>
    <row r="146" spans="1:16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</row>
    <row r="147" spans="1:16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</row>
    <row r="148" spans="1:16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</row>
    <row r="149" spans="1:16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</row>
    <row r="150" spans="1:16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</row>
    <row r="151" spans="1:16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</row>
    <row r="152" spans="1:16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</row>
    <row r="153" spans="1:16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1:16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</row>
    <row r="155" spans="1:16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1:16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1:16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</row>
    <row r="159" spans="1:16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</row>
    <row r="160" spans="1:16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</row>
    <row r="161" spans="1:16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</row>
    <row r="162" spans="1:16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</row>
    <row r="163" spans="1:16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</row>
    <row r="164" spans="1:16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</row>
    <row r="165" spans="1:16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</row>
    <row r="166" spans="1:16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</row>
    <row r="167" spans="1:16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</row>
    <row r="168" spans="1:16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</row>
    <row r="169" spans="1:16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</row>
    <row r="170" spans="1:16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</row>
    <row r="171" spans="1:16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</row>
    <row r="172" spans="1:16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</row>
    <row r="173" spans="1:16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</row>
    <row r="174" spans="1:16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</row>
    <row r="175" spans="1:16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</row>
    <row r="176" spans="1:16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</row>
    <row r="177" spans="1:16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</row>
    <row r="178" spans="1:16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</row>
    <row r="179" spans="1:16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</row>
    <row r="180" spans="1:16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</row>
    <row r="181" spans="1:16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</row>
    <row r="182" spans="1:16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</row>
    <row r="183" spans="1:16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</row>
    <row r="184" spans="1:16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</row>
    <row r="185" spans="1:16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</row>
    <row r="186" spans="1:16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</row>
    <row r="187" spans="1:16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</row>
    <row r="188" spans="1:16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1:16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</row>
    <row r="190" spans="1:16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</row>
    <row r="191" spans="1:16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</row>
    <row r="192" spans="1:16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</row>
    <row r="193" spans="1:16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</row>
    <row r="194" spans="1:16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</row>
    <row r="195" spans="1:16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</row>
    <row r="196" spans="1:16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</row>
    <row r="197" spans="1:16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</row>
    <row r="198" spans="1:16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</row>
  </sheetData>
  <mergeCells count="1">
    <mergeCell ref="Q70:R70"/>
  </mergeCells>
  <conditionalFormatting sqref="AM20">
    <cfRule type="expression" dxfId="5" priority="6">
      <formula>ISBLANK(AM25)</formula>
    </cfRule>
  </conditionalFormatting>
  <conditionalFormatting sqref="I20">
    <cfRule type="expression" dxfId="4" priority="5">
      <formula>ISBLANK(I25)</formula>
    </cfRule>
  </conditionalFormatting>
  <conditionalFormatting sqref="R20">
    <cfRule type="expression" dxfId="3" priority="4">
      <formula>ISBLANK(R25)</formula>
    </cfRule>
  </conditionalFormatting>
  <conditionalFormatting sqref="F15">
    <cfRule type="expression" dxfId="2" priority="3">
      <formula>B3="Розрахункові "</formula>
    </cfRule>
  </conditionalFormatting>
  <conditionalFormatting sqref="F16">
    <cfRule type="expression" dxfId="1" priority="2">
      <formula>B3="Розрахункові "</formula>
    </cfRule>
  </conditionalFormatting>
  <conditionalFormatting sqref="B16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Лист1!Праздники2017</vt:lpstr>
      <vt:lpstr>Лист1!Праздники2018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dcterms:created xsi:type="dcterms:W3CDTF">2018-02-16T08:41:41Z</dcterms:created>
  <dcterms:modified xsi:type="dcterms:W3CDTF">2018-02-16T12:06:18Z</dcterms:modified>
</cp:coreProperties>
</file>