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Tussupbekov\Desktop\холодильник\"/>
    </mc:Choice>
  </mc:AlternateContent>
  <bookViews>
    <workbookView xWindow="0" yWindow="0" windowWidth="28800" windowHeight="12330"/>
  </bookViews>
  <sheets>
    <sheet name="Компания" sheetId="1" r:id="rId1"/>
  </sheets>
  <externalReferences>
    <externalReference r:id="rId2"/>
  </externalReferences>
  <definedNames>
    <definedName name="About_AI">#REF!</definedName>
    <definedName name="About_AI_Summ">#REF!</definedName>
    <definedName name="AI_Version">[1]Опции!$B$5</definedName>
    <definedName name="CalcMethod">[1]Проект!$F$88</definedName>
    <definedName name="COMP_LAST_COLUMN">Компания!$K:$K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EST_DATA">[1]Проект!#REF!</definedName>
    <definedName name="EST_FROM">[1]Проект!#REF!</definedName>
    <definedName name="EST_NumStages">[1]Проект!#REF!</definedName>
    <definedName name="EST_Obj_1">[1]Проект!#REF!</definedName>
    <definedName name="EST_Obj_10">[1]Проект!#REF!</definedName>
    <definedName name="EST_Obj_2">[1]Проект!#REF!</definedName>
    <definedName name="EST_Obj_3">[1]Проект!#REF!</definedName>
    <definedName name="EST_Obj_4">[1]Проект!#REF!</definedName>
    <definedName name="EST_Obj_5">[1]Проект!#REF!</definedName>
    <definedName name="EST_Obj_6">[1]Проект!#REF!</definedName>
    <definedName name="EST_Obj_7">[1]Проект!#REF!</definedName>
    <definedName name="EST_Obj_8">[1]Проект!#REF!</definedName>
    <definedName name="EST_Obj_9">[1]Проект!#REF!</definedName>
    <definedName name="EST_ProdNum">[1]Проект!#REF!</definedName>
    <definedName name="IS_SUMM">[1]Опции!$B$10</definedName>
    <definedName name="LANGUAGE">[1]Проект!$D$17</definedName>
    <definedName name="NWC_T_Cr_AdvK">[1]Проект!$B$561</definedName>
    <definedName name="NWC_T_Cr_AdvT">[1]Проект!$C$561</definedName>
    <definedName name="NWC_T_Cr_CrdK">[1]Проект!$B$562</definedName>
    <definedName name="NWC_T_Cr_CrdT">[1]Проект!$C$562</definedName>
    <definedName name="NWC_T_Cycle">[1]Проект!$B$540</definedName>
    <definedName name="NWC_T_Db_AdvK">[1]Проект!$B$549</definedName>
    <definedName name="NWC_T_Db_AdvT">[1]Проект!$C$549</definedName>
    <definedName name="NWC_T_Db_CrdK">[1]Проект!$B$550</definedName>
    <definedName name="NWC_T_Db_CrdT">[1]Проект!$C$550</definedName>
    <definedName name="NWC_T_Goods">[1]Проект!$B$544</definedName>
    <definedName name="NWC_T_Mat">[1]Проект!$B$538</definedName>
    <definedName name="PeriodTitle">[1]Проект!$F$86:$K$86</definedName>
    <definedName name="PRJ_COUNT">Компания!$D$8</definedName>
    <definedName name="PRJ_Len">[1]Проект!$D$8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fitTax">[1]Проект!$B$734</definedName>
    <definedName name="ProfitTax_Period">[1]Проект!$B$735</definedName>
    <definedName name="SENS_Parameter">[1]Анализ!$E$9</definedName>
    <definedName name="ShowRealDates">[1]Проект!$D$20</definedName>
    <definedName name="Table_1" localSheetId="0">Компания!$A$14:$M$79</definedName>
    <definedName name="Table_2" localSheetId="0">Компания!$A$82:$M$103</definedName>
    <definedName name="Table_3" localSheetId="0">Компания!$A$106:$M$131</definedName>
    <definedName name="Table_4" localSheetId="0">Компания!$A$134:$M$153</definedName>
    <definedName name="Table_5" localSheetId="0">Компания!$A$156:$M$176</definedName>
    <definedName name="Table_6" localSheetId="0">Компания!$A$179:$M$201</definedName>
    <definedName name="Table_7" localSheetId="0">Компания!$A$204:$M$225</definedName>
    <definedName name="Table_8" localSheetId="0">Компания!$A$228:$M$259</definedName>
    <definedName name="Table_9" localSheetId="0">Компания!$A$262:$M$301</definedName>
    <definedName name="VAT">[1]Проект!$B$678</definedName>
    <definedName name="VAT_OnAssets">[1]Проект!$B$681</definedName>
    <definedName name="VAT_Period">[1]Проект!$B$679</definedName>
    <definedName name="VAT_Repay">[1]Проект!$B$680</definedName>
  </definedNames>
  <calcPr calcId="162913" calcMode="manual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4" i="1"/>
  <c r="A8" i="1"/>
  <c r="B8" i="1"/>
  <c r="A9" i="1"/>
  <c r="A12" i="1"/>
  <c r="A14" i="1"/>
  <c r="G14" i="1"/>
  <c r="A16" i="1"/>
  <c r="C16" i="1"/>
  <c r="A18" i="1"/>
  <c r="A19" i="1"/>
  <c r="A20" i="1"/>
  <c r="A21" i="1"/>
  <c r="A22" i="1"/>
  <c r="A23" i="1"/>
  <c r="A24" i="1"/>
  <c r="A25" i="1"/>
  <c r="A26" i="1"/>
  <c r="G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G45" i="1"/>
  <c r="G46" i="1" s="1"/>
  <c r="A46" i="1"/>
  <c r="A48" i="1"/>
  <c r="A50" i="1"/>
  <c r="A51" i="1"/>
  <c r="A52" i="1"/>
  <c r="A53" i="1"/>
  <c r="A54" i="1"/>
  <c r="A55" i="1"/>
  <c r="A56" i="1"/>
  <c r="A57" i="1"/>
  <c r="A58" i="1"/>
  <c r="A59" i="1"/>
  <c r="G59" i="1"/>
  <c r="A60" i="1"/>
  <c r="A61" i="1"/>
  <c r="A62" i="1"/>
  <c r="A63" i="1"/>
  <c r="A64" i="1"/>
  <c r="G64" i="1"/>
  <c r="G79" i="1" s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G78" i="1"/>
  <c r="A79" i="1"/>
  <c r="A82" i="1"/>
  <c r="G82" i="1"/>
  <c r="F82" i="1" s="1"/>
  <c r="H82" i="1"/>
  <c r="A84" i="1"/>
  <c r="A85" i="1"/>
  <c r="A86" i="1"/>
  <c r="A87" i="1"/>
  <c r="F87" i="1"/>
  <c r="G87" i="1"/>
  <c r="A88" i="1"/>
  <c r="A89" i="1"/>
  <c r="A90" i="1"/>
  <c r="F90" i="1"/>
  <c r="G90" i="1"/>
  <c r="G99" i="1" s="1"/>
  <c r="G103" i="1" s="1"/>
  <c r="A91" i="1"/>
  <c r="A92" i="1"/>
  <c r="A93" i="1"/>
  <c r="A94" i="1"/>
  <c r="A95" i="1"/>
  <c r="A96" i="1"/>
  <c r="A97" i="1"/>
  <c r="A98" i="1"/>
  <c r="A99" i="1"/>
  <c r="F99" i="1"/>
  <c r="F103" i="1" s="1"/>
  <c r="A100" i="1"/>
  <c r="A101" i="1"/>
  <c r="A102" i="1"/>
  <c r="A103" i="1"/>
  <c r="A106" i="1"/>
  <c r="F106" i="1"/>
  <c r="G106" i="1"/>
  <c r="H106" i="1"/>
  <c r="I106" i="1"/>
  <c r="J106" i="1"/>
  <c r="K106" i="1"/>
  <c r="M106" i="1"/>
  <c r="A108" i="1"/>
  <c r="B108" i="1"/>
  <c r="G108" i="1"/>
  <c r="A110" i="1"/>
  <c r="H110" i="1"/>
  <c r="I110" i="1" s="1"/>
  <c r="J110" i="1" s="1"/>
  <c r="K110" i="1" s="1"/>
  <c r="A111" i="1"/>
  <c r="A112" i="1"/>
  <c r="G112" i="1"/>
  <c r="G111" i="1" s="1"/>
  <c r="H112" i="1"/>
  <c r="A114" i="1"/>
  <c r="A115" i="1"/>
  <c r="B115" i="1"/>
  <c r="A117" i="1"/>
  <c r="H117" i="1"/>
  <c r="I117" i="1" s="1"/>
  <c r="J117" i="1" s="1"/>
  <c r="K117" i="1" s="1"/>
  <c r="A118" i="1"/>
  <c r="G118" i="1"/>
  <c r="A119" i="1"/>
  <c r="H119" i="1"/>
  <c r="H118" i="1" s="1"/>
  <c r="I119" i="1"/>
  <c r="A121" i="1"/>
  <c r="A122" i="1"/>
  <c r="B122" i="1"/>
  <c r="D122" i="1"/>
  <c r="C122" i="1" s="1"/>
  <c r="A123" i="1"/>
  <c r="A124" i="1"/>
  <c r="A125" i="1"/>
  <c r="A126" i="1"/>
  <c r="A127" i="1"/>
  <c r="A128" i="1"/>
  <c r="A129" i="1"/>
  <c r="A130" i="1"/>
  <c r="A131" i="1"/>
  <c r="B131" i="1"/>
  <c r="A134" i="1"/>
  <c r="F134" i="1"/>
  <c r="G134" i="1"/>
  <c r="H134" i="1"/>
  <c r="I134" i="1"/>
  <c r="J134" i="1"/>
  <c r="K134" i="1"/>
  <c r="A137" i="1"/>
  <c r="F137" i="1"/>
  <c r="F144" i="1" s="1"/>
  <c r="A138" i="1"/>
  <c r="F138" i="1"/>
  <c r="A139" i="1"/>
  <c r="F139" i="1"/>
  <c r="A140" i="1"/>
  <c r="F140" i="1"/>
  <c r="A141" i="1"/>
  <c r="A142" i="1"/>
  <c r="F142" i="1"/>
  <c r="A144" i="1"/>
  <c r="A146" i="1"/>
  <c r="F146" i="1"/>
  <c r="A147" i="1"/>
  <c r="A148" i="1"/>
  <c r="F148" i="1"/>
  <c r="F286" i="1" s="1"/>
  <c r="A149" i="1"/>
  <c r="F149" i="1"/>
  <c r="A151" i="1"/>
  <c r="A153" i="1"/>
  <c r="A156" i="1"/>
  <c r="F156" i="1"/>
  <c r="G156" i="1"/>
  <c r="H156" i="1"/>
  <c r="I156" i="1"/>
  <c r="J156" i="1"/>
  <c r="K156" i="1"/>
  <c r="M156" i="1"/>
  <c r="A158" i="1"/>
  <c r="F158" i="1"/>
  <c r="G158" i="1"/>
  <c r="H158" i="1"/>
  <c r="I158" i="1"/>
  <c r="J158" i="1"/>
  <c r="K158" i="1"/>
  <c r="A159" i="1"/>
  <c r="A161" i="1"/>
  <c r="A162" i="1"/>
  <c r="G162" i="1"/>
  <c r="H162" i="1"/>
  <c r="I162" i="1"/>
  <c r="A163" i="1"/>
  <c r="G163" i="1"/>
  <c r="G164" i="1" s="1"/>
  <c r="H164" i="1" s="1"/>
  <c r="H165" i="1" s="1"/>
  <c r="H163" i="1"/>
  <c r="A164" i="1"/>
  <c r="A165" i="1"/>
  <c r="F165" i="1"/>
  <c r="A167" i="1"/>
  <c r="F167" i="1"/>
  <c r="A168" i="1"/>
  <c r="A169" i="1"/>
  <c r="A171" i="1"/>
  <c r="A172" i="1"/>
  <c r="A173" i="1"/>
  <c r="A174" i="1"/>
  <c r="G174" i="1"/>
  <c r="H174" i="1"/>
  <c r="I174" i="1"/>
  <c r="J174" i="1"/>
  <c r="K174" i="1"/>
  <c r="A176" i="1"/>
  <c r="B176" i="1"/>
  <c r="A179" i="1"/>
  <c r="F179" i="1"/>
  <c r="G179" i="1"/>
  <c r="H179" i="1"/>
  <c r="I179" i="1"/>
  <c r="J179" i="1"/>
  <c r="K179" i="1"/>
  <c r="M179" i="1"/>
  <c r="A181" i="1"/>
  <c r="A182" i="1"/>
  <c r="A183" i="1"/>
  <c r="A185" i="1"/>
  <c r="M185" i="1"/>
  <c r="A186" i="1"/>
  <c r="F186" i="1"/>
  <c r="G186" i="1" s="1"/>
  <c r="H186" i="1"/>
  <c r="I186" i="1"/>
  <c r="I295" i="1" s="1"/>
  <c r="A188" i="1"/>
  <c r="A189" i="1"/>
  <c r="M189" i="1"/>
  <c r="A190" i="1"/>
  <c r="M190" i="1"/>
  <c r="A191" i="1"/>
  <c r="F191" i="1"/>
  <c r="G192" i="1" s="1"/>
  <c r="G191" i="1"/>
  <c r="H191" i="1" s="1"/>
  <c r="I192" i="1" s="1"/>
  <c r="A192" i="1"/>
  <c r="A194" i="1"/>
  <c r="A195" i="1"/>
  <c r="M195" i="1"/>
  <c r="A196" i="1"/>
  <c r="M196" i="1"/>
  <c r="A197" i="1"/>
  <c r="F197" i="1"/>
  <c r="G198" i="1" s="1"/>
  <c r="G197" i="1"/>
  <c r="H198" i="1" s="1"/>
  <c r="A198" i="1"/>
  <c r="A200" i="1"/>
  <c r="G200" i="1"/>
  <c r="H200" i="1"/>
  <c r="I200" i="1"/>
  <c r="J200" i="1"/>
  <c r="K200" i="1"/>
  <c r="M200" i="1"/>
  <c r="A204" i="1"/>
  <c r="F204" i="1"/>
  <c r="G204" i="1"/>
  <c r="H204" i="1"/>
  <c r="I204" i="1"/>
  <c r="J204" i="1"/>
  <c r="K204" i="1"/>
  <c r="M204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M218" i="1"/>
  <c r="A219" i="1"/>
  <c r="A220" i="1"/>
  <c r="A221" i="1"/>
  <c r="M221" i="1"/>
  <c r="A222" i="1"/>
  <c r="A223" i="1"/>
  <c r="A224" i="1"/>
  <c r="B224" i="1"/>
  <c r="A225" i="1"/>
  <c r="A228" i="1"/>
  <c r="F228" i="1"/>
  <c r="G228" i="1"/>
  <c r="H228" i="1"/>
  <c r="I228" i="1"/>
  <c r="J228" i="1"/>
  <c r="K228" i="1"/>
  <c r="M228" i="1"/>
  <c r="A230" i="1"/>
  <c r="A231" i="1"/>
  <c r="A232" i="1"/>
  <c r="A233" i="1"/>
  <c r="A234" i="1"/>
  <c r="A235" i="1"/>
  <c r="A236" i="1"/>
  <c r="A237" i="1"/>
  <c r="M237" i="1"/>
  <c r="A239" i="1"/>
  <c r="A241" i="1"/>
  <c r="M241" i="1"/>
  <c r="A242" i="1"/>
  <c r="F242" i="1"/>
  <c r="A243" i="1"/>
  <c r="M243" i="1"/>
  <c r="A244" i="1"/>
  <c r="F244" i="1"/>
  <c r="A245" i="1"/>
  <c r="F245" i="1"/>
  <c r="G245" i="1"/>
  <c r="H245" i="1"/>
  <c r="I245" i="1"/>
  <c r="J245" i="1"/>
  <c r="K245" i="1"/>
  <c r="M245" i="1"/>
  <c r="A247" i="1"/>
  <c r="F247" i="1"/>
  <c r="A249" i="1"/>
  <c r="F249" i="1"/>
  <c r="G249" i="1"/>
  <c r="M249" i="1" s="1"/>
  <c r="H249" i="1"/>
  <c r="I249" i="1"/>
  <c r="J249" i="1"/>
  <c r="K249" i="1"/>
  <c r="A250" i="1"/>
  <c r="A251" i="1"/>
  <c r="F251" i="1"/>
  <c r="G251" i="1"/>
  <c r="H251" i="1"/>
  <c r="I251" i="1"/>
  <c r="J251" i="1"/>
  <c r="K251" i="1"/>
  <c r="A252" i="1"/>
  <c r="F252" i="1"/>
  <c r="G252" i="1"/>
  <c r="M252" i="1" s="1"/>
  <c r="H252" i="1"/>
  <c r="I252" i="1"/>
  <c r="J252" i="1"/>
  <c r="K252" i="1"/>
  <c r="A253" i="1"/>
  <c r="A254" i="1"/>
  <c r="M254" i="1"/>
  <c r="A256" i="1"/>
  <c r="A258" i="1"/>
  <c r="A259" i="1"/>
  <c r="F259" i="1"/>
  <c r="F264" i="1" s="1"/>
  <c r="F273" i="1" s="1"/>
  <c r="A262" i="1"/>
  <c r="F262" i="1"/>
  <c r="G262" i="1"/>
  <c r="H262" i="1"/>
  <c r="I262" i="1"/>
  <c r="J262" i="1"/>
  <c r="K262" i="1"/>
  <c r="A264" i="1"/>
  <c r="A265" i="1"/>
  <c r="F265" i="1"/>
  <c r="A266" i="1"/>
  <c r="F266" i="1"/>
  <c r="A267" i="1"/>
  <c r="F267" i="1"/>
  <c r="A268" i="1"/>
  <c r="F268" i="1"/>
  <c r="A269" i="1"/>
  <c r="F269" i="1"/>
  <c r="A270" i="1"/>
  <c r="F270" i="1"/>
  <c r="A271" i="1"/>
  <c r="F271" i="1"/>
  <c r="G271" i="1"/>
  <c r="H271" i="1"/>
  <c r="I271" i="1" s="1"/>
  <c r="J271" i="1" s="1"/>
  <c r="K271" i="1" s="1"/>
  <c r="A272" i="1"/>
  <c r="F272" i="1"/>
  <c r="G272" i="1"/>
  <c r="H272" i="1"/>
  <c r="I272" i="1" s="1"/>
  <c r="J272" i="1" s="1"/>
  <c r="K272" i="1" s="1"/>
  <c r="A273" i="1"/>
  <c r="A275" i="1"/>
  <c r="A276" i="1"/>
  <c r="A277" i="1"/>
  <c r="A278" i="1"/>
  <c r="F278" i="1"/>
  <c r="G278" i="1"/>
  <c r="H278" i="1"/>
  <c r="I278" i="1"/>
  <c r="J278" i="1"/>
  <c r="K278" i="1"/>
  <c r="A279" i="1"/>
  <c r="A281" i="1"/>
  <c r="A283" i="1"/>
  <c r="A284" i="1"/>
  <c r="F284" i="1"/>
  <c r="F283" i="1" s="1"/>
  <c r="F291" i="1" s="1"/>
  <c r="F300" i="1" s="1"/>
  <c r="A285" i="1"/>
  <c r="A286" i="1"/>
  <c r="A287" i="1"/>
  <c r="F287" i="1"/>
  <c r="A288" i="1"/>
  <c r="F288" i="1"/>
  <c r="A289" i="1"/>
  <c r="F289" i="1"/>
  <c r="G289" i="1"/>
  <c r="A290" i="1"/>
  <c r="F290" i="1"/>
  <c r="G290" i="1"/>
  <c r="H290" i="1"/>
  <c r="I290" i="1"/>
  <c r="J290" i="1"/>
  <c r="K290" i="1"/>
  <c r="A291" i="1"/>
  <c r="A293" i="1"/>
  <c r="F293" i="1"/>
  <c r="G293" i="1"/>
  <c r="A295" i="1"/>
  <c r="F295" i="1"/>
  <c r="G295" i="1"/>
  <c r="H295" i="1"/>
  <c r="A296" i="1"/>
  <c r="F296" i="1"/>
  <c r="A297" i="1"/>
  <c r="F297" i="1"/>
  <c r="G297" i="1"/>
  <c r="H297" i="1"/>
  <c r="I297" i="1"/>
  <c r="J297" i="1"/>
  <c r="K297" i="1"/>
  <c r="A298" i="1"/>
  <c r="F298" i="1"/>
  <c r="A300" i="1"/>
  <c r="A301" i="1"/>
  <c r="M251" i="1" l="1"/>
  <c r="G219" i="1"/>
  <c r="H182" i="1"/>
  <c r="H242" i="1" s="1"/>
  <c r="H219" i="1"/>
  <c r="H235" i="1" s="1"/>
  <c r="H289" i="1"/>
  <c r="H197" i="1"/>
  <c r="I191" i="1"/>
  <c r="J186" i="1"/>
  <c r="H192" i="1"/>
  <c r="H176" i="1"/>
  <c r="G165" i="1"/>
  <c r="F151" i="1"/>
  <c r="F153" i="1" s="1"/>
  <c r="H111" i="1"/>
  <c r="I112" i="1"/>
  <c r="H85" i="1"/>
  <c r="F114" i="1" s="1"/>
  <c r="H88" i="1"/>
  <c r="H91" i="1"/>
  <c r="H93" i="1"/>
  <c r="F219" i="1" s="1"/>
  <c r="F235" i="1" s="1"/>
  <c r="H95" i="1"/>
  <c r="H97" i="1"/>
  <c r="H100" i="1"/>
  <c r="H102" i="1"/>
  <c r="F224" i="1" s="1"/>
  <c r="H103" i="1"/>
  <c r="H86" i="1"/>
  <c r="H87" i="1"/>
  <c r="H89" i="1"/>
  <c r="H90" i="1"/>
  <c r="H92" i="1"/>
  <c r="H94" i="1"/>
  <c r="H96" i="1"/>
  <c r="H98" i="1"/>
  <c r="H99" i="1"/>
  <c r="H101" i="1"/>
  <c r="F168" i="1"/>
  <c r="F277" i="1" s="1"/>
  <c r="F275" i="1" s="1"/>
  <c r="F279" i="1" s="1"/>
  <c r="F281" i="1" s="1"/>
  <c r="F301" i="1" s="1"/>
  <c r="B169" i="1"/>
  <c r="I163" i="1"/>
  <c r="I164" i="1" s="1"/>
  <c r="J162" i="1"/>
  <c r="I118" i="1"/>
  <c r="J119" i="1"/>
  <c r="I165" i="1" l="1"/>
  <c r="J163" i="1"/>
  <c r="J164" i="1" s="1"/>
  <c r="K162" i="1"/>
  <c r="K163" i="1" s="1"/>
  <c r="I220" i="1"/>
  <c r="F236" i="1"/>
  <c r="J236" i="1"/>
  <c r="J220" i="1"/>
  <c r="H236" i="1"/>
  <c r="I236" i="1"/>
  <c r="F220" i="1"/>
  <c r="K220" i="1"/>
  <c r="G220" i="1"/>
  <c r="H220" i="1"/>
  <c r="G236" i="1"/>
  <c r="K236" i="1"/>
  <c r="G114" i="1"/>
  <c r="B140" i="1"/>
  <c r="F206" i="1"/>
  <c r="F115" i="1"/>
  <c r="F230" i="1" s="1"/>
  <c r="J112" i="1"/>
  <c r="I111" i="1"/>
  <c r="K186" i="1"/>
  <c r="K295" i="1" s="1"/>
  <c r="J295" i="1"/>
  <c r="G235" i="1"/>
  <c r="C124" i="1"/>
  <c r="C128" i="1"/>
  <c r="C131" i="1"/>
  <c r="C140" i="1"/>
  <c r="C141" i="1"/>
  <c r="C142" i="1"/>
  <c r="C144" i="1"/>
  <c r="G48" i="1"/>
  <c r="F84" i="1"/>
  <c r="C115" i="1"/>
  <c r="C125" i="1"/>
  <c r="C129" i="1"/>
  <c r="C137" i="1"/>
  <c r="C146" i="1"/>
  <c r="C147" i="1"/>
  <c r="C148" i="1"/>
  <c r="G16" i="1"/>
  <c r="H84" i="1"/>
  <c r="C114" i="1"/>
  <c r="C123" i="1"/>
  <c r="C127" i="1"/>
  <c r="C139" i="1"/>
  <c r="C181" i="1"/>
  <c r="C182" i="1"/>
  <c r="C183" i="1"/>
  <c r="C185" i="1"/>
  <c r="G84" i="1"/>
  <c r="C121" i="1"/>
  <c r="C138" i="1"/>
  <c r="C197" i="1"/>
  <c r="C198" i="1"/>
  <c r="C200" i="1"/>
  <c r="C206" i="1"/>
  <c r="C210" i="1"/>
  <c r="C214" i="1"/>
  <c r="C218" i="1"/>
  <c r="C220" i="1"/>
  <c r="C222" i="1"/>
  <c r="C225" i="1"/>
  <c r="C233" i="1"/>
  <c r="C237" i="1"/>
  <c r="C149" i="1"/>
  <c r="C191" i="1"/>
  <c r="C221" i="1"/>
  <c r="C230" i="1"/>
  <c r="C234" i="1"/>
  <c r="C247" i="1"/>
  <c r="C251" i="1"/>
  <c r="C259" i="1"/>
  <c r="C286" i="1"/>
  <c r="C287" i="1"/>
  <c r="C288" i="1"/>
  <c r="C289" i="1"/>
  <c r="C290" i="1"/>
  <c r="C291" i="1"/>
  <c r="C293" i="1"/>
  <c r="C295" i="1"/>
  <c r="C296" i="1"/>
  <c r="C297" i="1"/>
  <c r="C298" i="1"/>
  <c r="C279" i="1"/>
  <c r="C189" i="1"/>
  <c r="C196" i="1"/>
  <c r="C216" i="1"/>
  <c r="C130" i="1"/>
  <c r="C190" i="1"/>
  <c r="C209" i="1"/>
  <c r="C213" i="1"/>
  <c r="C217" i="1"/>
  <c r="C252" i="1"/>
  <c r="C278" i="1"/>
  <c r="C300" i="1"/>
  <c r="C208" i="1"/>
  <c r="C212" i="1"/>
  <c r="C219" i="1"/>
  <c r="C126" i="1"/>
  <c r="C151" i="1"/>
  <c r="C186" i="1"/>
  <c r="C192" i="1"/>
  <c r="C195" i="1"/>
  <c r="C207" i="1"/>
  <c r="C211" i="1"/>
  <c r="C215" i="1"/>
  <c r="C231" i="1"/>
  <c r="C235" i="1"/>
  <c r="C239" i="1"/>
  <c r="C241" i="1"/>
  <c r="C243" i="1"/>
  <c r="C245" i="1"/>
  <c r="C254" i="1"/>
  <c r="C258" i="1"/>
  <c r="C264" i="1"/>
  <c r="C265" i="1"/>
  <c r="C266" i="1"/>
  <c r="C267" i="1"/>
  <c r="C268" i="1"/>
  <c r="C269" i="1"/>
  <c r="C270" i="1"/>
  <c r="C271" i="1"/>
  <c r="C272" i="1"/>
  <c r="C273" i="1"/>
  <c r="C275" i="1"/>
  <c r="C276" i="1"/>
  <c r="C249" i="1"/>
  <c r="C277" i="1"/>
  <c r="C153" i="1"/>
  <c r="C232" i="1"/>
  <c r="C250" i="1"/>
  <c r="C253" i="1"/>
  <c r="C281" i="1"/>
  <c r="C244" i="1"/>
  <c r="C256" i="1"/>
  <c r="C224" i="1"/>
  <c r="C236" i="1"/>
  <c r="C284" i="1"/>
  <c r="C242" i="1"/>
  <c r="C283" i="1"/>
  <c r="C223" i="1"/>
  <c r="C285" i="1"/>
  <c r="K119" i="1"/>
  <c r="K118" i="1" s="1"/>
  <c r="J118" i="1"/>
  <c r="G182" i="1"/>
  <c r="G176" i="1"/>
  <c r="G167" i="1"/>
  <c r="J191" i="1"/>
  <c r="I289" i="1"/>
  <c r="J192" i="1"/>
  <c r="F121" i="1"/>
  <c r="I222" i="1"/>
  <c r="G222" i="1"/>
  <c r="H222" i="1"/>
  <c r="F222" i="1"/>
  <c r="K222" i="1"/>
  <c r="J222" i="1"/>
  <c r="I197" i="1"/>
  <c r="I198" i="1"/>
  <c r="H293" i="1"/>
  <c r="K164" i="1" l="1"/>
  <c r="K165" i="1" s="1"/>
  <c r="J165" i="1"/>
  <c r="I219" i="1"/>
  <c r="G242" i="1"/>
  <c r="M236" i="1"/>
  <c r="K191" i="1"/>
  <c r="K289" i="1" s="1"/>
  <c r="J289" i="1"/>
  <c r="K192" i="1"/>
  <c r="M192" i="1" s="1"/>
  <c r="J198" i="1"/>
  <c r="J219" i="1" s="1"/>
  <c r="J235" i="1" s="1"/>
  <c r="J197" i="1"/>
  <c r="I293" i="1"/>
  <c r="G169" i="1"/>
  <c r="H167" i="1"/>
  <c r="K112" i="1"/>
  <c r="K111" i="1" s="1"/>
  <c r="J111" i="1"/>
  <c r="G115" i="1"/>
  <c r="G147" i="1"/>
  <c r="G288" i="1" s="1"/>
  <c r="G206" i="1"/>
  <c r="H114" i="1"/>
  <c r="G140" i="1"/>
  <c r="G265" i="1" s="1"/>
  <c r="G230" i="1"/>
  <c r="M220" i="1"/>
  <c r="F123" i="1"/>
  <c r="F127" i="1"/>
  <c r="B137" i="1"/>
  <c r="B146" i="1"/>
  <c r="B148" i="1"/>
  <c r="F124" i="1"/>
  <c r="F128" i="1"/>
  <c r="B138" i="1"/>
  <c r="B149" i="1"/>
  <c r="F126" i="1"/>
  <c r="F130" i="1"/>
  <c r="B142" i="1"/>
  <c r="F125" i="1"/>
  <c r="F129" i="1"/>
  <c r="B139" i="1"/>
  <c r="M222" i="1"/>
  <c r="I176" i="1"/>
  <c r="I182" i="1"/>
  <c r="I242" i="1" s="1"/>
  <c r="M165" i="1"/>
  <c r="G123" i="1" l="1"/>
  <c r="F131" i="1"/>
  <c r="F231" i="1"/>
  <c r="F208" i="1"/>
  <c r="H115" i="1"/>
  <c r="I114" i="1"/>
  <c r="H140" i="1"/>
  <c r="H265" i="1" s="1"/>
  <c r="H147" i="1"/>
  <c r="H288" i="1" s="1"/>
  <c r="H230" i="1"/>
  <c r="H206" i="1"/>
  <c r="I167" i="1"/>
  <c r="I235" i="1"/>
  <c r="M219" i="1"/>
  <c r="F213" i="1"/>
  <c r="G129" i="1"/>
  <c r="F215" i="1"/>
  <c r="G126" i="1"/>
  <c r="F211" i="1"/>
  <c r="F233" i="1"/>
  <c r="F209" i="1"/>
  <c r="F232" i="1"/>
  <c r="G124" i="1"/>
  <c r="J176" i="1"/>
  <c r="J182" i="1" s="1"/>
  <c r="G130" i="1"/>
  <c r="F216" i="1"/>
  <c r="G128" i="1"/>
  <c r="G213" i="1" s="1"/>
  <c r="G125" i="1"/>
  <c r="F210" i="1"/>
  <c r="G127" i="1"/>
  <c r="F212" i="1"/>
  <c r="G168" i="1"/>
  <c r="G277" i="1" s="1"/>
  <c r="G275" i="1" s="1"/>
  <c r="G279" i="1" s="1"/>
  <c r="K197" i="1"/>
  <c r="K293" i="1" s="1"/>
  <c r="J293" i="1"/>
  <c r="K198" i="1"/>
  <c r="K219" i="1" s="1"/>
  <c r="K235" i="1" s="1"/>
  <c r="M198" i="1"/>
  <c r="K176" i="1"/>
  <c r="K182" i="1" s="1"/>
  <c r="K242" i="1" s="1"/>
  <c r="J242" i="1" l="1"/>
  <c r="M182" i="1"/>
  <c r="F234" i="1"/>
  <c r="F239" i="1" s="1"/>
  <c r="F258" i="1" s="1"/>
  <c r="G212" i="1"/>
  <c r="H127" i="1"/>
  <c r="H129" i="1"/>
  <c r="G215" i="1"/>
  <c r="H169" i="1"/>
  <c r="J114" i="1"/>
  <c r="I140" i="1"/>
  <c r="I265" i="1" s="1"/>
  <c r="I147" i="1"/>
  <c r="I288" i="1" s="1"/>
  <c r="I115" i="1"/>
  <c r="I230" i="1" s="1"/>
  <c r="I206" i="1"/>
  <c r="H125" i="1"/>
  <c r="G210" i="1"/>
  <c r="H130" i="1"/>
  <c r="G216" i="1"/>
  <c r="H126" i="1"/>
  <c r="G211" i="1"/>
  <c r="G233" i="1"/>
  <c r="M235" i="1"/>
  <c r="F253" i="1"/>
  <c r="F256" i="1" s="1"/>
  <c r="H124" i="1"/>
  <c r="G232" i="1"/>
  <c r="G209" i="1"/>
  <c r="J167" i="1"/>
  <c r="F207" i="1"/>
  <c r="G121" i="1"/>
  <c r="G208" i="1"/>
  <c r="G231" i="1"/>
  <c r="G131" i="1"/>
  <c r="H123" i="1"/>
  <c r="M114" i="1" l="1"/>
  <c r="G207" i="1"/>
  <c r="I126" i="1"/>
  <c r="H211" i="1"/>
  <c r="H233" i="1"/>
  <c r="G253" i="1"/>
  <c r="H121" i="1"/>
  <c r="I123" i="1"/>
  <c r="H131" i="1"/>
  <c r="H208" i="1"/>
  <c r="H231" i="1"/>
  <c r="G138" i="1"/>
  <c r="G268" i="1" s="1"/>
  <c r="G149" i="1"/>
  <c r="G287" i="1" s="1"/>
  <c r="G139" i="1"/>
  <c r="G267" i="1" s="1"/>
  <c r="G141" i="1"/>
  <c r="G266" i="1" s="1"/>
  <c r="G137" i="1"/>
  <c r="G146" i="1"/>
  <c r="G148" i="1"/>
  <c r="G286" i="1" s="1"/>
  <c r="G142" i="1"/>
  <c r="G270" i="1" s="1"/>
  <c r="K167" i="1"/>
  <c r="I124" i="1"/>
  <c r="H232" i="1"/>
  <c r="H209" i="1"/>
  <c r="I130" i="1"/>
  <c r="H216" i="1"/>
  <c r="H128" i="1"/>
  <c r="H168" i="1"/>
  <c r="I129" i="1"/>
  <c r="H215" i="1"/>
  <c r="I125" i="1"/>
  <c r="H210" i="1"/>
  <c r="K114" i="1"/>
  <c r="J140" i="1"/>
  <c r="J265" i="1" s="1"/>
  <c r="J147" i="1"/>
  <c r="J288" i="1" s="1"/>
  <c r="J115" i="1"/>
  <c r="J230" i="1"/>
  <c r="J206" i="1"/>
  <c r="M242" i="1"/>
  <c r="F214" i="1"/>
  <c r="I127" i="1"/>
  <c r="H212" i="1"/>
  <c r="H253" i="1" s="1"/>
  <c r="H256" i="1" s="1"/>
  <c r="J130" i="1" l="1"/>
  <c r="I216" i="1"/>
  <c r="H137" i="1"/>
  <c r="H146" i="1"/>
  <c r="H148" i="1"/>
  <c r="H286" i="1" s="1"/>
  <c r="H138" i="1"/>
  <c r="H268" i="1" s="1"/>
  <c r="H149" i="1"/>
  <c r="H287" i="1" s="1"/>
  <c r="H142" i="1"/>
  <c r="H270" i="1" s="1"/>
  <c r="H141" i="1"/>
  <c r="H266" i="1" s="1"/>
  <c r="H139" i="1"/>
  <c r="H267" i="1" s="1"/>
  <c r="F217" i="1"/>
  <c r="J123" i="1"/>
  <c r="I131" i="1"/>
  <c r="I208" i="1"/>
  <c r="I231" i="1"/>
  <c r="H277" i="1"/>
  <c r="H275" i="1" s="1"/>
  <c r="H279" i="1" s="1"/>
  <c r="I169" i="1"/>
  <c r="H213" i="1"/>
  <c r="G151" i="1"/>
  <c r="G284" i="1"/>
  <c r="G283" i="1" s="1"/>
  <c r="G291" i="1" s="1"/>
  <c r="H207" i="1"/>
  <c r="H214" i="1" s="1"/>
  <c r="H217" i="1" s="1"/>
  <c r="H223" i="1" s="1"/>
  <c r="G214" i="1"/>
  <c r="J127" i="1"/>
  <c r="I212" i="1"/>
  <c r="I253" i="1" s="1"/>
  <c r="I256" i="1" s="1"/>
  <c r="K115" i="1"/>
  <c r="M115" i="1" s="1"/>
  <c r="K140" i="1"/>
  <c r="K265" i="1" s="1"/>
  <c r="K147" i="1"/>
  <c r="K288" i="1" s="1"/>
  <c r="K206" i="1"/>
  <c r="K230" i="1"/>
  <c r="I210" i="1"/>
  <c r="J125" i="1"/>
  <c r="I215" i="1"/>
  <c r="J129" i="1"/>
  <c r="J124" i="1"/>
  <c r="I209" i="1"/>
  <c r="I232" i="1"/>
  <c r="G269" i="1"/>
  <c r="G144" i="1"/>
  <c r="G256" i="1"/>
  <c r="J126" i="1"/>
  <c r="I233" i="1"/>
  <c r="I211" i="1"/>
  <c r="K129" i="1" l="1"/>
  <c r="K215" i="1" s="1"/>
  <c r="J215" i="1"/>
  <c r="M129" i="1"/>
  <c r="G153" i="1"/>
  <c r="G181" i="1" s="1"/>
  <c r="M215" i="1"/>
  <c r="K127" i="1"/>
  <c r="K212" i="1" s="1"/>
  <c r="K253" i="1" s="1"/>
  <c r="K256" i="1" s="1"/>
  <c r="J212" i="1"/>
  <c r="J253" i="1" s="1"/>
  <c r="M212" i="1"/>
  <c r="H144" i="1"/>
  <c r="H153" i="1" s="1"/>
  <c r="H181" i="1" s="1"/>
  <c r="H269" i="1"/>
  <c r="K123" i="1"/>
  <c r="M123" i="1" s="1"/>
  <c r="J131" i="1"/>
  <c r="J231" i="1"/>
  <c r="J208" i="1"/>
  <c r="F223" i="1"/>
  <c r="H151" i="1"/>
  <c r="H284" i="1"/>
  <c r="H283" i="1" s="1"/>
  <c r="H291" i="1" s="1"/>
  <c r="K126" i="1"/>
  <c r="J233" i="1"/>
  <c r="J211" i="1"/>
  <c r="J209" i="1"/>
  <c r="J232" i="1"/>
  <c r="K124" i="1"/>
  <c r="K125" i="1"/>
  <c r="K210" i="1" s="1"/>
  <c r="M210" i="1" s="1"/>
  <c r="J210" i="1"/>
  <c r="M125" i="1"/>
  <c r="M206" i="1"/>
  <c r="H224" i="1"/>
  <c r="H234" i="1" s="1"/>
  <c r="H239" i="1" s="1"/>
  <c r="H225" i="1"/>
  <c r="I128" i="1"/>
  <c r="I168" i="1"/>
  <c r="M230" i="1"/>
  <c r="M127" i="1"/>
  <c r="G217" i="1"/>
  <c r="K130" i="1"/>
  <c r="J216" i="1"/>
  <c r="G223" i="1" l="1"/>
  <c r="K209" i="1"/>
  <c r="M209" i="1" s="1"/>
  <c r="K232" i="1"/>
  <c r="M232" i="1" s="1"/>
  <c r="M124" i="1"/>
  <c r="K211" i="1"/>
  <c r="M211" i="1" s="1"/>
  <c r="K233" i="1"/>
  <c r="F225" i="1"/>
  <c r="K216" i="1"/>
  <c r="M216" i="1" s="1"/>
  <c r="M130" i="1"/>
  <c r="I277" i="1"/>
  <c r="I275" i="1" s="1"/>
  <c r="I279" i="1" s="1"/>
  <c r="J169" i="1"/>
  <c r="J256" i="1"/>
  <c r="M256" i="1" s="1"/>
  <c r="M253" i="1"/>
  <c r="G183" i="1"/>
  <c r="G244" i="1"/>
  <c r="H183" i="1"/>
  <c r="H244" i="1"/>
  <c r="H247" i="1" s="1"/>
  <c r="H258" i="1" s="1"/>
  <c r="I213" i="1"/>
  <c r="I121" i="1"/>
  <c r="K131" i="1"/>
  <c r="M131" i="1" s="1"/>
  <c r="K208" i="1"/>
  <c r="K231" i="1"/>
  <c r="M126" i="1"/>
  <c r="I207" i="1" l="1"/>
  <c r="G247" i="1"/>
  <c r="M231" i="1"/>
  <c r="M233" i="1"/>
  <c r="M208" i="1"/>
  <c r="J128" i="1"/>
  <c r="J168" i="1"/>
  <c r="G224" i="1"/>
  <c r="G225" i="1"/>
  <c r="I142" i="1"/>
  <c r="I270" i="1" s="1"/>
  <c r="I137" i="1"/>
  <c r="I146" i="1"/>
  <c r="I148" i="1"/>
  <c r="I286" i="1" s="1"/>
  <c r="I139" i="1"/>
  <c r="I267" i="1" s="1"/>
  <c r="I141" i="1"/>
  <c r="I266" i="1" s="1"/>
  <c r="I149" i="1"/>
  <c r="I287" i="1" s="1"/>
  <c r="I138" i="1"/>
  <c r="I268" i="1" s="1"/>
  <c r="G296" i="1" l="1"/>
  <c r="J277" i="1"/>
  <c r="J275" i="1" s="1"/>
  <c r="J279" i="1" s="1"/>
  <c r="K169" i="1"/>
  <c r="I151" i="1"/>
  <c r="I284" i="1"/>
  <c r="I283" i="1" s="1"/>
  <c r="I291" i="1" s="1"/>
  <c r="G234" i="1"/>
  <c r="I144" i="1"/>
  <c r="I153" i="1" s="1"/>
  <c r="I181" i="1" s="1"/>
  <c r="I269" i="1"/>
  <c r="J213" i="1"/>
  <c r="J207" i="1" s="1"/>
  <c r="J214" i="1" s="1"/>
  <c r="J217" i="1" s="1"/>
  <c r="J223" i="1" s="1"/>
  <c r="J121" i="1"/>
  <c r="I214" i="1"/>
  <c r="I183" i="1" l="1"/>
  <c r="I244" i="1"/>
  <c r="J139" i="1"/>
  <c r="J267" i="1" s="1"/>
  <c r="J141" i="1"/>
  <c r="J266" i="1" s="1"/>
  <c r="J142" i="1"/>
  <c r="J270" i="1" s="1"/>
  <c r="J138" i="1"/>
  <c r="J268" i="1" s="1"/>
  <c r="J149" i="1"/>
  <c r="J287" i="1" s="1"/>
  <c r="J148" i="1"/>
  <c r="J286" i="1" s="1"/>
  <c r="J137" i="1"/>
  <c r="J146" i="1"/>
  <c r="G239" i="1"/>
  <c r="H296" i="1"/>
  <c r="G298" i="1"/>
  <c r="G300" i="1" s="1"/>
  <c r="J224" i="1"/>
  <c r="J234" i="1" s="1"/>
  <c r="J239" i="1" s="1"/>
  <c r="I217" i="1"/>
  <c r="K128" i="1"/>
  <c r="K168" i="1"/>
  <c r="K277" i="1" s="1"/>
  <c r="K275" i="1" s="1"/>
  <c r="K279" i="1" s="1"/>
  <c r="M169" i="1"/>
  <c r="K213" i="1" l="1"/>
  <c r="K121" i="1"/>
  <c r="M128" i="1"/>
  <c r="J225" i="1"/>
  <c r="H298" i="1"/>
  <c r="H300" i="1" s="1"/>
  <c r="J151" i="1"/>
  <c r="J284" i="1"/>
  <c r="J283" i="1" s="1"/>
  <c r="J291" i="1" s="1"/>
  <c r="G258" i="1"/>
  <c r="J144" i="1"/>
  <c r="J153" i="1" s="1"/>
  <c r="J181" i="1" s="1"/>
  <c r="J269" i="1"/>
  <c r="I247" i="1"/>
  <c r="I223" i="1"/>
  <c r="J183" i="1" l="1"/>
  <c r="J244" i="1"/>
  <c r="G259" i="1"/>
  <c r="K138" i="1"/>
  <c r="K268" i="1" s="1"/>
  <c r="K149" i="1"/>
  <c r="K287" i="1" s="1"/>
  <c r="K139" i="1"/>
  <c r="K267" i="1" s="1"/>
  <c r="K141" i="1"/>
  <c r="K266" i="1" s="1"/>
  <c r="K137" i="1"/>
  <c r="K146" i="1"/>
  <c r="K148" i="1"/>
  <c r="K286" i="1" s="1"/>
  <c r="K142" i="1"/>
  <c r="K270" i="1" s="1"/>
  <c r="M121" i="1"/>
  <c r="I224" i="1"/>
  <c r="M213" i="1"/>
  <c r="K207" i="1"/>
  <c r="I234" i="1" l="1"/>
  <c r="K214" i="1"/>
  <c r="M207" i="1"/>
  <c r="I225" i="1"/>
  <c r="K151" i="1"/>
  <c r="K284" i="1"/>
  <c r="K283" i="1" s="1"/>
  <c r="K291" i="1" s="1"/>
  <c r="J247" i="1"/>
  <c r="K144" i="1"/>
  <c r="K153" i="1" s="1"/>
  <c r="K181" i="1" s="1"/>
  <c r="K269" i="1"/>
  <c r="G264" i="1"/>
  <c r="G273" i="1" s="1"/>
  <c r="G281" i="1" s="1"/>
  <c r="G301" i="1" s="1"/>
  <c r="H259" i="1"/>
  <c r="K244" i="1" l="1"/>
  <c r="K183" i="1"/>
  <c r="M183" i="1" s="1"/>
  <c r="M181" i="1"/>
  <c r="K217" i="1"/>
  <c r="M214" i="1"/>
  <c r="H264" i="1"/>
  <c r="H273" i="1" s="1"/>
  <c r="H281" i="1" s="1"/>
  <c r="H301" i="1" s="1"/>
  <c r="I296" i="1"/>
  <c r="I239" i="1"/>
  <c r="J258" i="1"/>
  <c r="I258" i="1" l="1"/>
  <c r="J296" i="1"/>
  <c r="I298" i="1"/>
  <c r="I300" i="1" s="1"/>
  <c r="K223" i="1"/>
  <c r="M217" i="1"/>
  <c r="K247" i="1"/>
  <c r="M247" i="1" s="1"/>
  <c r="M244" i="1"/>
  <c r="J298" i="1" l="1"/>
  <c r="J300" i="1" s="1"/>
  <c r="K225" i="1"/>
  <c r="M225" i="1" s="1"/>
  <c r="K224" i="1"/>
  <c r="M223" i="1"/>
  <c r="I259" i="1"/>
  <c r="K234" i="1" l="1"/>
  <c r="M224" i="1"/>
  <c r="J259" i="1"/>
  <c r="I264" i="1"/>
  <c r="I273" i="1" s="1"/>
  <c r="I281" i="1" s="1"/>
  <c r="I301" i="1" s="1"/>
  <c r="K296" i="1"/>
  <c r="K298" i="1" s="1"/>
  <c r="K300" i="1" s="1"/>
  <c r="J264" i="1" l="1"/>
  <c r="J273" i="1" s="1"/>
  <c r="J281" i="1" s="1"/>
  <c r="J301" i="1" s="1"/>
  <c r="K239" i="1"/>
  <c r="M234" i="1"/>
  <c r="K258" i="1" l="1"/>
  <c r="M239" i="1"/>
  <c r="M258" i="1" l="1"/>
  <c r="K259" i="1"/>
  <c r="K264" i="1" s="1"/>
  <c r="K273" i="1" s="1"/>
  <c r="K281" i="1" s="1"/>
  <c r="K301" i="1" s="1"/>
  <c r="B300" i="1" l="1"/>
  <c r="B281" i="1"/>
</calcChain>
</file>

<file path=xl/comments1.xml><?xml version="1.0" encoding="utf-8"?>
<comments xmlns="http://schemas.openxmlformats.org/spreadsheetml/2006/main">
  <authors>
    <author>АИ</author>
  </authors>
  <commentList>
    <comment ref="F108" authorId="0" shapeId="0">
      <text>
        <r>
          <rPr>
            <sz val="8"/>
            <color indexed="81"/>
            <rFont val="Tahoma"/>
            <family val="2"/>
            <charset val="204"/>
          </rPr>
          <t>1 - без учета инфляции
2 - с учетом инфляции</t>
        </r>
      </text>
    </comment>
  </commentList>
</comments>
</file>

<file path=xl/sharedStrings.xml><?xml version="1.0" encoding="utf-8"?>
<sst xmlns="http://schemas.openxmlformats.org/spreadsheetml/2006/main" count="82" uniqueCount="8">
  <si>
    <t>int_end</t>
  </si>
  <si>
    <t>int_avg</t>
  </si>
  <si>
    <t>Оборот, дн.</t>
  </si>
  <si>
    <t>int_sum</t>
  </si>
  <si>
    <t>%</t>
  </si>
  <si>
    <t>int_start</t>
  </si>
  <si>
    <t xml:space="preserve">Код стр. 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</si>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</sst>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8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indexed="10"/>
      <name val="Arial Cyr"/>
      <charset val="204"/>
    </font>
    <font>
      <b/>
      <i/>
      <sz val="12"/>
      <color indexed="12"/>
      <name val="Arial Cyr"/>
      <charset val="204"/>
    </font>
    <font>
      <sz val="10"/>
      <name val="Arial Cyr"/>
      <charset val="204"/>
    </font>
    <font>
      <b/>
      <sz val="16"/>
      <color indexed="10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vertical="center"/>
    </xf>
    <xf numFmtId="3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3" fontId="2" fillId="0" borderId="1" xfId="0" applyNumberFormat="1" applyFont="1" applyBorder="1"/>
    <xf numFmtId="9" fontId="1" fillId="3" borderId="0" xfId="1" applyFont="1" applyFill="1" applyAlignment="1">
      <alignment horizontal="center"/>
    </xf>
    <xf numFmtId="9" fontId="1" fillId="3" borderId="0" xfId="0" applyNumberFormat="1" applyFont="1" applyFill="1" applyAlignment="1">
      <alignment horizontal="center"/>
    </xf>
    <xf numFmtId="3" fontId="1" fillId="3" borderId="0" xfId="0" applyNumberFormat="1" applyFont="1" applyFill="1"/>
    <xf numFmtId="0" fontId="4" fillId="0" borderId="0" xfId="0" applyFont="1"/>
    <xf numFmtId="0" fontId="1" fillId="0" borderId="0" xfId="0" applyFont="1" applyBorder="1"/>
    <xf numFmtId="9" fontId="1" fillId="3" borderId="1" xfId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3" borderId="0" xfId="0" applyFont="1" applyFill="1"/>
    <xf numFmtId="3" fontId="1" fillId="0" borderId="0" xfId="1" applyNumberFormat="1" applyFont="1"/>
    <xf numFmtId="164" fontId="1" fillId="0" borderId="0" xfId="1" applyNumberFormat="1" applyFont="1"/>
    <xf numFmtId="9" fontId="1" fillId="0" borderId="0" xfId="0" applyNumberFormat="1" applyFont="1"/>
    <xf numFmtId="9" fontId="1" fillId="3" borderId="0" xfId="0" applyNumberFormat="1" applyFont="1" applyFill="1"/>
    <xf numFmtId="3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0" borderId="1" xfId="0" applyFont="1" applyBorder="1"/>
    <xf numFmtId="1" fontId="1" fillId="3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9" fontId="1" fillId="3" borderId="3" xfId="1" applyFont="1" applyFill="1" applyBorder="1" applyAlignment="1">
      <alignment horizontal="center"/>
    </xf>
    <xf numFmtId="9" fontId="1" fillId="3" borderId="4" xfId="1" applyFont="1" applyFill="1" applyBorder="1" applyAlignment="1">
      <alignment horizontal="center"/>
    </xf>
    <xf numFmtId="9" fontId="1" fillId="3" borderId="5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/>
    <xf numFmtId="164" fontId="1" fillId="3" borderId="0" xfId="1" applyNumberFormat="1" applyFont="1" applyFill="1"/>
    <xf numFmtId="164" fontId="2" fillId="0" borderId="0" xfId="0" applyNumberFormat="1" applyFont="1"/>
    <xf numFmtId="164" fontId="1" fillId="0" borderId="0" xfId="0" applyNumberFormat="1" applyFont="1"/>
    <xf numFmtId="0" fontId="2" fillId="0" borderId="0" xfId="0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4" fillId="0" borderId="1" xfId="0" applyNumberFormat="1" applyFont="1" applyFill="1" applyBorder="1"/>
    <xf numFmtId="3" fontId="3" fillId="0" borderId="1" xfId="0" applyNumberFormat="1" applyFont="1" applyBorder="1"/>
    <xf numFmtId="3" fontId="2" fillId="0" borderId="0" xfId="0" applyNumberFormat="1" applyFont="1" applyFill="1"/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0" borderId="1" xfId="0" applyNumberFormat="1" applyFont="1" applyFill="1" applyBorder="1"/>
    <xf numFmtId="3" fontId="1" fillId="0" borderId="0" xfId="0" applyNumberFormat="1" applyFont="1" applyFill="1"/>
    <xf numFmtId="0" fontId="2" fillId="0" borderId="0" xfId="0" applyFont="1"/>
    <xf numFmtId="0" fontId="1" fillId="0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7" xfId="0" applyFont="1" applyFill="1" applyBorder="1"/>
    <xf numFmtId="0" fontId="1" fillId="4" borderId="1" xfId="0" applyFont="1" applyFill="1" applyBorder="1"/>
    <xf numFmtId="0" fontId="1" fillId="4" borderId="8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3" fillId="4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</xdr:colOff>
          <xdr:row>5</xdr:row>
          <xdr:rowOff>9525</xdr:rowOff>
        </xdr:from>
        <xdr:ext cx="1257300" cy="200025"/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Добавить...</a:t>
              </a:r>
            </a:p>
          </xdr:txBody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1647825</xdr:colOff>
          <xdr:row>5</xdr:row>
          <xdr:rowOff>9525</xdr:rowOff>
        </xdr:from>
        <xdr:ext cx="1257300" cy="200025"/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Удалить...</a:t>
              </a:r>
            </a:p>
          </xdr:txBody>
        </xdr:sp>
        <xdr:clientData fPrintsWithSheet="0"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sovayaModelProekta_TEO_SozdanieKhranilishaSvezhikhIZamorozhennykhFrukt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"/>
      <sheetName val="Сумм"/>
      <sheetName val="Анализ"/>
      <sheetName val="Отчет"/>
      <sheetName val="Опции"/>
      <sheetName val="Язык"/>
    </sheetNames>
    <definedNames>
      <definedName name="PRJ_Name" refersTo="='Проект'!$A$5"/>
    </definedNames>
    <sheetDataSet>
      <sheetData sheetId="0">
        <row r="5">
          <cell r="A5" t="str">
            <v xml:space="preserve">ФруктоХранилище </v>
          </cell>
        </row>
        <row r="8">
          <cell r="D8">
            <v>5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$</v>
          </cell>
          <cell r="D11">
            <v>1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9">
          <cell r="D19">
            <v>1</v>
          </cell>
        </row>
        <row r="20">
          <cell r="D20" t="b">
            <v>1</v>
          </cell>
        </row>
        <row r="25">
          <cell r="F25">
            <v>2010</v>
          </cell>
        </row>
        <row r="26">
          <cell r="F26">
            <v>1</v>
          </cell>
        </row>
        <row r="29">
          <cell r="G29">
            <v>40179</v>
          </cell>
        </row>
        <row r="86">
          <cell r="F86" t="str">
            <v>"0"</v>
          </cell>
          <cell r="G86">
            <v>2012</v>
          </cell>
          <cell r="H86">
            <v>2013</v>
          </cell>
          <cell r="I86">
            <v>2014</v>
          </cell>
          <cell r="J86">
            <v>2015</v>
          </cell>
          <cell r="K86">
            <v>2016</v>
          </cell>
        </row>
        <row r="88">
          <cell r="F88">
            <v>2</v>
          </cell>
        </row>
        <row r="92">
          <cell r="G92">
            <v>0.10000000000000009</v>
          </cell>
          <cell r="H92">
            <v>0.10000000000000009</v>
          </cell>
          <cell r="I92">
            <v>0.10000000000000009</v>
          </cell>
          <cell r="J92">
            <v>0.10000000000000009</v>
          </cell>
          <cell r="K92">
            <v>0.10000000000000009</v>
          </cell>
        </row>
        <row r="102">
          <cell r="G102">
            <v>0.10000000000000009</v>
          </cell>
          <cell r="H102">
            <v>0.10000000000000009</v>
          </cell>
          <cell r="I102">
            <v>0.10000000000000009</v>
          </cell>
          <cell r="J102">
            <v>0.10000000000000009</v>
          </cell>
          <cell r="K102">
            <v>0.10000000000000009</v>
          </cell>
        </row>
        <row r="538">
          <cell r="B538">
            <v>0</v>
          </cell>
        </row>
        <row r="540">
          <cell r="B540">
            <v>0</v>
          </cell>
        </row>
        <row r="544">
          <cell r="B544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678">
          <cell r="B678">
            <v>0.12</v>
          </cell>
        </row>
        <row r="679">
          <cell r="B679">
            <v>30</v>
          </cell>
        </row>
        <row r="680">
          <cell r="B680">
            <v>1</v>
          </cell>
        </row>
        <row r="681">
          <cell r="B681">
            <v>1</v>
          </cell>
        </row>
        <row r="734">
          <cell r="B734">
            <v>0.2</v>
          </cell>
        </row>
        <row r="735">
          <cell r="B735">
            <v>360</v>
          </cell>
        </row>
      </sheetData>
      <sheetData sheetId="1"/>
      <sheetData sheetId="2">
        <row r="9">
          <cell r="E9">
            <v>1</v>
          </cell>
        </row>
      </sheetData>
      <sheetData sheetId="3"/>
      <sheetData sheetId="4">
        <row r="5">
          <cell r="A5" t="str">
            <v>Версия программы</v>
          </cell>
          <cell r="B5" t="str">
            <v>5.05</v>
          </cell>
        </row>
        <row r="10">
          <cell r="B10" t="b">
            <v>1</v>
          </cell>
        </row>
      </sheetData>
      <sheetData sheetId="5">
        <row r="5">
          <cell r="A5" t="str">
            <v>Выключена</v>
          </cell>
        </row>
        <row r="8">
          <cell r="A8" t="str">
            <v>АЛЬТ-Инвест™</v>
          </cell>
        </row>
        <row r="51">
          <cell r="A51" t="str">
            <v>Метод расчета</v>
          </cell>
        </row>
        <row r="68">
          <cell r="A68" t="str">
            <v>Постоянные цены</v>
          </cell>
        </row>
        <row r="70">
          <cell r="A70" t="str">
            <v>(инфляция не учитывается)</v>
          </cell>
        </row>
        <row r="77">
          <cell r="A77" t="str">
            <v>ИТОГО</v>
          </cell>
        </row>
        <row r="375">
          <cell r="A375" t="str">
            <v>ОТЧЕТ О ПРИБЫЛЯХ И УБЫТКАХ</v>
          </cell>
        </row>
        <row r="376">
          <cell r="A376" t="str">
            <v>Выручка (нетто)</v>
          </cell>
        </row>
        <row r="377">
          <cell r="A377" t="str">
            <v xml:space="preserve"> -  Себестоимость проданных товаров</v>
          </cell>
        </row>
        <row r="378">
          <cell r="A378" t="str">
            <v xml:space="preserve">    материалы и комплектующие</v>
          </cell>
        </row>
        <row r="379">
          <cell r="A379" t="str">
            <v xml:space="preserve">    оплата труда</v>
          </cell>
        </row>
        <row r="380">
          <cell r="A380" t="str">
            <v xml:space="preserve">    налоги, относимые на текущие затраты</v>
          </cell>
        </row>
        <row r="381">
          <cell r="A381" t="str">
            <v xml:space="preserve">    производственные расходы</v>
          </cell>
        </row>
        <row r="382">
          <cell r="A382" t="str">
            <v xml:space="preserve">    начисленные лизинговые платежи</v>
          </cell>
        </row>
        <row r="383">
          <cell r="A383" t="str">
            <v xml:space="preserve">    амортизация</v>
          </cell>
        </row>
        <row r="384">
          <cell r="A384" t="str">
            <v>Валовая прибыль</v>
          </cell>
        </row>
        <row r="385">
          <cell r="A385" t="str">
            <v xml:space="preserve"> -  Коммерческие расходы</v>
          </cell>
        </row>
        <row r="386">
          <cell r="A386" t="str">
            <v xml:space="preserve"> -  Административные расходы</v>
          </cell>
        </row>
        <row r="387">
          <cell r="A387" t="str">
            <v>Прибыль (убыток) от продаж</v>
          </cell>
        </row>
        <row r="388">
          <cell r="A388" t="str">
            <v xml:space="preserve"> -  Налоги, относимые на финансовые результаты</v>
          </cell>
        </row>
        <row r="389">
          <cell r="A389" t="str">
            <v xml:space="preserve"> -  Проценты к уплате</v>
          </cell>
        </row>
        <row r="390">
          <cell r="A390" t="str">
            <v xml:space="preserve"> + Прибыль (убыток) от прочей реализации</v>
          </cell>
        </row>
        <row r="391">
          <cell r="A391" t="str">
            <v xml:space="preserve"> + Курсовая разница и доходы от конвертации</v>
          </cell>
        </row>
        <row r="392">
          <cell r="A392" t="str">
            <v xml:space="preserve"> + Прочие внереализационные доходы (расходы)</v>
          </cell>
        </row>
        <row r="393">
          <cell r="A393" t="str">
            <v>Прибыль до налогообложения</v>
          </cell>
        </row>
        <row r="394">
          <cell r="A394" t="str">
            <v xml:space="preserve"> -  Налог на прибыль</v>
          </cell>
        </row>
        <row r="395">
          <cell r="A395" t="str">
            <v>Чистая прибыль (убыток)</v>
          </cell>
        </row>
        <row r="422">
          <cell r="A422" t="str">
            <v>ОТЧЕТ О ДВИЖЕНИИ ДЕНЕЖНЫХ СРЕДСТВ</v>
          </cell>
        </row>
        <row r="423">
          <cell r="A423" t="str">
            <v>Поступления от продаж</v>
          </cell>
        </row>
        <row r="424">
          <cell r="A424" t="str">
            <v>Затраты на материалы и комплектующие</v>
          </cell>
        </row>
        <row r="425">
          <cell r="A425" t="str">
            <v>Зарплата</v>
          </cell>
        </row>
        <row r="426">
          <cell r="A426" t="str">
            <v>Общие затраты</v>
          </cell>
        </row>
        <row r="427">
          <cell r="A427" t="str">
            <v>Налоги</v>
          </cell>
        </row>
        <row r="428">
          <cell r="A428" t="str">
            <v>Выплата процентов по кредитам</v>
          </cell>
        </row>
        <row r="429">
          <cell r="A429" t="str">
            <v>Прочие поступления</v>
          </cell>
        </row>
        <row r="430">
          <cell r="A430" t="str">
            <v>Прочие затраты</v>
          </cell>
        </row>
        <row r="431">
          <cell r="A431" t="str">
            <v>Денежные потоки от операционной деятельности</v>
          </cell>
        </row>
        <row r="432">
          <cell r="A432" t="str">
            <v>Инвестиции в здания и сооружения</v>
          </cell>
        </row>
        <row r="433">
          <cell r="A433" t="str">
            <v>Инвестиции в оборудование и другие активы</v>
          </cell>
        </row>
        <row r="434">
          <cell r="A434" t="str">
            <v>Оплата расходов будущих периодов</v>
          </cell>
        </row>
        <row r="435">
          <cell r="A435" t="str">
            <v>Инвестиции в оборотный капитал</v>
          </cell>
        </row>
        <row r="436">
          <cell r="A436" t="str">
            <v>Выручка от реализации активов</v>
          </cell>
        </row>
        <row r="437">
          <cell r="A437" t="str">
            <v>Денежные потоки от инвестиционной деятельности</v>
          </cell>
        </row>
        <row r="438">
          <cell r="A438" t="str">
            <v>Поступления акционерного капитала</v>
          </cell>
        </row>
        <row r="439">
          <cell r="A439" t="str">
            <v>Целевое финансирование</v>
          </cell>
        </row>
        <row r="440">
          <cell r="A440" t="str">
            <v>Поступления кредитов</v>
          </cell>
        </row>
        <row r="441">
          <cell r="A441" t="str">
            <v>Возврат кредитов</v>
          </cell>
        </row>
        <row r="442">
          <cell r="A442" t="str">
            <v>Лизинговые платежи</v>
          </cell>
        </row>
        <row r="443">
          <cell r="A443" t="str">
            <v>Выплата дивидендов</v>
          </cell>
        </row>
        <row r="444">
          <cell r="A444" t="str">
            <v>Денежные потоки от финансовой деятельности</v>
          </cell>
        </row>
        <row r="445">
          <cell r="A445" t="str">
            <v>Суммарный денежный поток за период</v>
          </cell>
        </row>
        <row r="446">
          <cell r="A446" t="str">
            <v>Денежные средства на конец периода</v>
          </cell>
        </row>
        <row r="449">
          <cell r="A449" t="str">
            <v>БАЛАНС</v>
          </cell>
        </row>
        <row r="450">
          <cell r="A450" t="str">
            <v>Деньги</v>
          </cell>
        </row>
        <row r="451">
          <cell r="A451" t="str">
            <v>Дебиторская задолженность</v>
          </cell>
        </row>
        <row r="452">
          <cell r="A452" t="str">
            <v>Авансы уплаченные</v>
          </cell>
        </row>
        <row r="453">
          <cell r="A453" t="str">
            <v>Готовая продукция</v>
          </cell>
        </row>
        <row r="454">
          <cell r="A454" t="str">
            <v>Незавершенное производство</v>
          </cell>
        </row>
        <row r="455">
          <cell r="A455" t="str">
            <v>Материалы и комплектующие</v>
          </cell>
        </row>
        <row r="456">
          <cell r="A456" t="str">
            <v>НДС на приобретенные товары</v>
          </cell>
        </row>
        <row r="457">
          <cell r="A457" t="str">
            <v>Расходы будущих периодов</v>
          </cell>
        </row>
        <row r="458">
          <cell r="A458" t="str">
            <v>Прочие оборотные активы</v>
          </cell>
        </row>
        <row r="459">
          <cell r="A459" t="str">
            <v>Суммарные оборотные активы</v>
          </cell>
        </row>
        <row r="460">
          <cell r="A460" t="str">
            <v>Постоянные активы</v>
          </cell>
        </row>
        <row r="461">
          <cell r="A461" t="str">
            <v xml:space="preserve">    здания и сооружения</v>
          </cell>
        </row>
        <row r="462">
          <cell r="A462" t="str">
            <v xml:space="preserve">    оборудование и прочие активы</v>
          </cell>
        </row>
        <row r="463">
          <cell r="A463" t="str">
            <v>Незавершенные капиталовложения</v>
          </cell>
        </row>
        <row r="464">
          <cell r="A464" t="str">
            <v>Суммарные внеоборотные активы</v>
          </cell>
        </row>
        <row r="465">
          <cell r="A465" t="str">
            <v xml:space="preserve"> = ИТОГО АКТИВОВ</v>
          </cell>
        </row>
        <row r="466">
          <cell r="A466" t="str">
            <v>Кредиторская задолженность</v>
          </cell>
        </row>
        <row r="467">
          <cell r="A467" t="str">
            <v xml:space="preserve">    за поставленные товары</v>
          </cell>
        </row>
        <row r="468">
          <cell r="A468" t="str">
            <v xml:space="preserve">    за постоянные активы</v>
          </cell>
        </row>
        <row r="469">
          <cell r="A469" t="str">
            <v>Расчеты с бюджетом</v>
          </cell>
        </row>
        <row r="470">
          <cell r="A470" t="str">
            <v>Расчеты с персоналом</v>
          </cell>
        </row>
        <row r="471">
          <cell r="A471" t="str">
            <v>Авансы покупателей</v>
          </cell>
        </row>
        <row r="472">
          <cell r="A472" t="str">
            <v>Краткосрочные кредиты</v>
          </cell>
        </row>
        <row r="473">
          <cell r="A473" t="str">
            <v>Прочие краткосрочные обязательства</v>
          </cell>
        </row>
        <row r="474">
          <cell r="A474" t="str">
            <v>Суммарные краткосрочные обязательства</v>
          </cell>
        </row>
        <row r="475">
          <cell r="A475" t="str">
            <v>Долгосрочные обязательства</v>
          </cell>
        </row>
        <row r="476">
          <cell r="A476" t="str">
            <v>Акционерный капитал</v>
          </cell>
        </row>
        <row r="477">
          <cell r="A477" t="str">
            <v>Нераспределенная прибыль</v>
          </cell>
        </row>
        <row r="478">
          <cell r="A478" t="str">
            <v>Прочие источники финансирования</v>
          </cell>
        </row>
        <row r="479">
          <cell r="A479" t="str">
            <v>Суммарный собственный капитал</v>
          </cell>
        </row>
        <row r="480">
          <cell r="A480" t="str">
            <v xml:space="preserve"> = ИТОГО ПАССИВОВ</v>
          </cell>
        </row>
        <row r="481">
          <cell r="A481" t="str">
            <v>Контроль сходимости баланса</v>
          </cell>
        </row>
        <row r="622">
          <cell r="A622" t="str">
            <v>Сумм</v>
          </cell>
        </row>
        <row r="677">
          <cell r="A677" t="str">
            <v>Описание компании</v>
          </cell>
        </row>
        <row r="678">
          <cell r="A678" t="str">
            <v>ПРОЕКТЫ КОМПАНИИ</v>
          </cell>
        </row>
        <row r="679">
          <cell r="A679" t="str">
            <v>Название проекта</v>
          </cell>
        </row>
        <row r="680">
          <cell r="A680" t="str">
            <v>Лист</v>
          </cell>
        </row>
        <row r="681">
          <cell r="A681" t="str">
            <v>Номера периодов</v>
          </cell>
        </row>
        <row r="682">
          <cell r="A682" t="str">
            <v>НАЧАЛЬНЫЙ БАЛАНС</v>
          </cell>
        </row>
        <row r="683">
          <cell r="A683" t="str">
            <v xml:space="preserve">АКТИВ                   </v>
          </cell>
        </row>
        <row r="684">
          <cell r="A684" t="str">
            <v xml:space="preserve">Код стр. </v>
          </cell>
        </row>
        <row r="685">
          <cell r="A685" t="str">
            <v>I. ВНЕОБОРОТНЫЕ АКТИВЫ</v>
          </cell>
        </row>
        <row r="686">
          <cell r="A686" t="str">
            <v>Нематериальные активы</v>
          </cell>
        </row>
        <row r="687">
          <cell r="A687" t="str">
            <v>Основные средства</v>
          </cell>
        </row>
        <row r="688">
          <cell r="A688" t="str">
            <v>Незавершенное строительство</v>
          </cell>
        </row>
        <row r="689">
          <cell r="A689" t="str">
            <v>Доходные вложения в материальные ценности</v>
          </cell>
        </row>
        <row r="690">
          <cell r="A690" t="str">
            <v>Долгосрочные финансовые вложения</v>
          </cell>
        </row>
        <row r="691">
          <cell r="A691" t="str">
            <v>Отложенные налоговые активы</v>
          </cell>
        </row>
        <row r="692">
          <cell r="A692" t="str">
            <v>Прочие внеоборотные активы</v>
          </cell>
        </row>
        <row r="693">
          <cell r="A693" t="str">
            <v xml:space="preserve">    ИТОГО по разделу I</v>
          </cell>
        </row>
        <row r="694">
          <cell r="A694" t="str">
            <v>II. ОБОРОТНЫЕ АКТИВЫ</v>
          </cell>
        </row>
        <row r="695">
          <cell r="A695" t="str">
            <v>Запасы</v>
          </cell>
        </row>
        <row r="696">
          <cell r="A696" t="str">
            <v>в том числе:</v>
          </cell>
        </row>
        <row r="697">
          <cell r="A697" t="str">
            <v xml:space="preserve">      сырье, материалы и другие аналогичные ценности</v>
          </cell>
        </row>
        <row r="698">
          <cell r="A698" t="str">
            <v xml:space="preserve">      животные на выращивании и откорме</v>
          </cell>
        </row>
        <row r="699">
          <cell r="A699" t="str">
            <v xml:space="preserve">      затраты в незавершенном производстве</v>
          </cell>
        </row>
        <row r="700">
          <cell r="A700" t="str">
            <v xml:space="preserve">      готовая продукция и товары для перепродажи</v>
          </cell>
        </row>
        <row r="701">
          <cell r="A701" t="str">
            <v xml:space="preserve">      товары отгруженные</v>
          </cell>
        </row>
        <row r="702">
          <cell r="A702" t="str">
            <v xml:space="preserve">      расходы будущих периодов</v>
          </cell>
        </row>
        <row r="703">
          <cell r="A703" t="str">
            <v xml:space="preserve">      прочие запасы и затраты</v>
          </cell>
        </row>
        <row r="704">
          <cell r="A704" t="str">
            <v>Налог на добавленную стоимость по приобретенным ценностям</v>
          </cell>
        </row>
        <row r="705">
          <cell r="A705" t="str">
            <v>Дебиторская задолженность (платежи по которой ожидаются более чем через 12 месяцев после отчетной даты)</v>
          </cell>
        </row>
        <row r="706">
          <cell r="A706" t="str">
            <v xml:space="preserve">      в том числе покупатели и заказчики</v>
          </cell>
        </row>
        <row r="707">
          <cell r="A707" t="str">
            <v>Дебиторская задолженность (платежи по которой ожидаются в течение 12 месяцев)</v>
          </cell>
        </row>
        <row r="708">
          <cell r="A708" t="str">
            <v xml:space="preserve">      в том числе покупатели и заказчики</v>
          </cell>
        </row>
        <row r="709">
          <cell r="A709" t="str">
            <v>Краткосрочные финансовые вложения</v>
          </cell>
        </row>
        <row r="710">
          <cell r="A710" t="str">
            <v>Денежные средства</v>
          </cell>
        </row>
        <row r="711">
          <cell r="A711" t="str">
            <v>Прочие оборотные активы</v>
          </cell>
        </row>
        <row r="712">
          <cell r="A712" t="str">
            <v xml:space="preserve">      ИТОГО по разделу II</v>
          </cell>
        </row>
        <row r="713">
          <cell r="A713" t="str">
            <v>БАЛАНС</v>
          </cell>
        </row>
        <row r="714">
          <cell r="A714" t="str">
            <v>ПАССИВ</v>
          </cell>
        </row>
        <row r="715">
          <cell r="A715" t="str">
            <v>III. КАПИТАЛ И РЕЗЕРВЫ</v>
          </cell>
        </row>
        <row r="716">
          <cell r="A716" t="str">
            <v>Уставный капитал</v>
          </cell>
        </row>
        <row r="717">
          <cell r="A717" t="str">
            <v>Собственные акции, выкупленные у акционеров</v>
          </cell>
        </row>
        <row r="718">
          <cell r="A718" t="str">
            <v>Добавочный капитал</v>
          </cell>
        </row>
        <row r="719">
          <cell r="A719" t="str">
            <v>Резервный капитал</v>
          </cell>
        </row>
        <row r="720">
          <cell r="A720" t="str">
            <v>в том числе:</v>
          </cell>
        </row>
        <row r="721">
          <cell r="A721" t="str">
            <v xml:space="preserve">      резервы, образованные в соответствии с законодательством</v>
          </cell>
        </row>
        <row r="722">
          <cell r="A722" t="str">
            <v xml:space="preserve">      резервы, образованные в соответствии с учредительными документами</v>
          </cell>
        </row>
        <row r="723">
          <cell r="A723" t="str">
            <v>Нераспределенная прибыль (непокрытый убыток)</v>
          </cell>
        </row>
        <row r="724">
          <cell r="A724" t="str">
            <v xml:space="preserve">      ИТОГО по разделу III</v>
          </cell>
        </row>
        <row r="725">
          <cell r="A725" t="str">
            <v>IV. ДОЛГОСРОЧНЫЕ ОБЯЗАТЕЛЬСТВА</v>
          </cell>
        </row>
        <row r="726">
          <cell r="A726" t="str">
            <v>Займы и кредиты</v>
          </cell>
        </row>
        <row r="727">
          <cell r="A727" t="str">
            <v>Отложенные налоговые обязательства</v>
          </cell>
        </row>
        <row r="728">
          <cell r="A728" t="str">
            <v>Прочие долгосрочные обязательства</v>
          </cell>
        </row>
        <row r="729">
          <cell r="A729" t="str">
            <v xml:space="preserve">      ИТОГО по разделу IV</v>
          </cell>
        </row>
        <row r="730">
          <cell r="A730" t="str">
            <v>V. КРАТКОСРОЧНЫЕ ОБЯЗАТЕЛЬСТВА</v>
          </cell>
        </row>
        <row r="731">
          <cell r="A731" t="str">
            <v>Займы и кредиты</v>
          </cell>
        </row>
        <row r="732">
          <cell r="A732" t="str">
            <v>Кредиторская задолженность</v>
          </cell>
        </row>
        <row r="733">
          <cell r="A733" t="str">
            <v>в том числе:</v>
          </cell>
        </row>
        <row r="734">
          <cell r="A734" t="str">
            <v xml:space="preserve">      поставщики и подрядчики</v>
          </cell>
        </row>
        <row r="735">
          <cell r="A735" t="str">
            <v xml:space="preserve">      задолженность перед персоналом организации</v>
          </cell>
        </row>
        <row r="736">
          <cell r="A736" t="str">
            <v xml:space="preserve">      задолженность перед гос. внебюджетными фондами</v>
          </cell>
        </row>
        <row r="737">
          <cell r="A737" t="str">
            <v xml:space="preserve">      задолженность по налогам и сборам</v>
          </cell>
        </row>
        <row r="738">
          <cell r="A738" t="str">
            <v xml:space="preserve">      прочие кредиторы</v>
          </cell>
        </row>
        <row r="739">
          <cell r="A739" t="str">
            <v>Задолженность перед участниками (учредителями) по выплате доходов</v>
          </cell>
        </row>
        <row r="740">
          <cell r="A740" t="str">
            <v>Доходы будущих периодов</v>
          </cell>
        </row>
        <row r="741">
          <cell r="A741" t="str">
            <v>Резервы предстоящих расходов</v>
          </cell>
        </row>
        <row r="742">
          <cell r="A742" t="str">
            <v>Прочие краткосрочные обязательства</v>
          </cell>
        </row>
        <row r="743">
          <cell r="A743" t="str">
            <v xml:space="preserve">      ИТОГО по разделу V</v>
          </cell>
        </row>
        <row r="744">
          <cell r="A744" t="str">
            <v>БАЛАНС</v>
          </cell>
        </row>
        <row r="745">
          <cell r="A745" t="str">
            <v>НАЧАЛЬНЫЙ ОТЧЕТ О ПРИБЫЛЯХ И УБЫТКАХ</v>
          </cell>
        </row>
        <row r="746">
          <cell r="A746" t="str">
            <v>Доходы и расходы по обычным видам деятельности</v>
          </cell>
        </row>
        <row r="747">
          <cell r="A747" t="str">
            <v>Выpучка (нетто) от продажи товаров, пpодукции, работ, услуг (за минусом НДС, акцизов и аналогичных обязательных платежей)</v>
          </cell>
        </row>
        <row r="748">
          <cell r="A748" t="str">
            <v>Себестоимость проданных товаров, продукции, работ, услуг</v>
          </cell>
        </row>
        <row r="749">
          <cell r="A749" t="str">
            <v>Валовая прибыль</v>
          </cell>
        </row>
        <row r="750">
          <cell r="A750" t="str">
            <v>Коммерческие расходы</v>
          </cell>
        </row>
        <row r="751">
          <cell r="A751" t="str">
            <v>Управленческие расходы</v>
          </cell>
        </row>
        <row r="752">
          <cell r="A752" t="str">
            <v>Прибыль (убыток) от продаж</v>
          </cell>
        </row>
        <row r="753">
          <cell r="A753" t="str">
            <v>Прочие доходы и расходы</v>
          </cell>
        </row>
        <row r="754">
          <cell r="A754" t="str">
            <v>Проценты к получению</v>
          </cell>
        </row>
        <row r="755">
          <cell r="A755" t="str">
            <v>Проценты к уплате</v>
          </cell>
        </row>
        <row r="756">
          <cell r="A756" t="str">
            <v>Доходы от участия в других организациях</v>
          </cell>
        </row>
        <row r="757">
          <cell r="A757" t="str">
            <v>Прочие операционные доходы</v>
          </cell>
        </row>
        <row r="758">
          <cell r="A758" t="str">
            <v>Прочие операционные расходы</v>
          </cell>
        </row>
        <row r="759">
          <cell r="A759" t="str">
            <v>Внереализационные доходы</v>
          </cell>
        </row>
        <row r="760">
          <cell r="A760" t="str">
            <v>Внереализационные расходы</v>
          </cell>
        </row>
        <row r="761">
          <cell r="A761" t="str">
            <v>Прибыль (убыток) до налогообложения</v>
          </cell>
        </row>
        <row r="762">
          <cell r="A762" t="str">
            <v>Отложенные налоговые активы</v>
          </cell>
        </row>
        <row r="763">
          <cell r="A763" t="str">
            <v>Отложенные налоговые обязательства</v>
          </cell>
        </row>
        <row r="764">
          <cell r="A764" t="str">
            <v>Текущий налог на прибыль</v>
          </cell>
        </row>
        <row r="765">
          <cell r="A765" t="str">
            <v>Чистая прибыль (убыток) отчетного периода</v>
          </cell>
        </row>
        <row r="766">
          <cell r="A766" t="str">
            <v>ПРОГНОЗ ИЗМЕНЕНИЙ В ДЕЯТЕЛЬНОСТИ (БЕЗ УЧЕТА ПРОЕКТОВ)</v>
          </cell>
        </row>
        <row r="767">
          <cell r="A767" t="str">
            <v>Рост продаж в % к предыдущему периоду (без учета инфляции)</v>
          </cell>
        </row>
        <row r="768">
          <cell r="A768" t="str">
            <v>Темпы прироста цен в следствии инфляции</v>
          </cell>
        </row>
        <row r="769">
          <cell r="A769" t="str">
            <v>Доля продукции, реализуемой на внутреннем рынке</v>
          </cell>
        </row>
        <row r="770">
          <cell r="A770" t="str">
            <v>Выручка от реализации по действующему производству</v>
          </cell>
        </row>
        <row r="771">
          <cell r="A771" t="str">
            <v>НДС к выручке</v>
          </cell>
        </row>
        <row r="772">
          <cell r="A772" t="str">
            <v>Рост затрат в % к предыдущему периоду (без учета инфляции)</v>
          </cell>
        </row>
        <row r="773">
          <cell r="A773" t="str">
            <v>Темпы прироста затрат в следствии инфляции</v>
          </cell>
        </row>
        <row r="774">
          <cell r="A774" t="str">
            <v>Доля ресурсов, закупаемых на внутреннем рынке</v>
          </cell>
        </row>
        <row r="775">
          <cell r="A775" t="str">
            <v>Текущие затраты по действующему производству</v>
          </cell>
        </row>
        <row r="776">
          <cell r="A776" t="str">
            <v xml:space="preserve">    Структура затрат (в % от суммарных затрат)</v>
          </cell>
        </row>
        <row r="777">
          <cell r="A777" t="str">
            <v xml:space="preserve">      материалы и комплектующие</v>
          </cell>
        </row>
        <row r="778">
          <cell r="A778" t="str">
            <v xml:space="preserve">      оплата труда</v>
          </cell>
        </row>
        <row r="779">
          <cell r="A779" t="str">
            <v xml:space="preserve">      налоги, относимые на текущие затраты</v>
          </cell>
        </row>
        <row r="780">
          <cell r="A780" t="str">
            <v xml:space="preserve">      производственные расходы</v>
          </cell>
        </row>
        <row r="781">
          <cell r="A781" t="str">
            <v xml:space="preserve">      начисленные лизинговые платежи</v>
          </cell>
        </row>
        <row r="782">
          <cell r="A782" t="str">
            <v xml:space="preserve">      амортизация</v>
          </cell>
        </row>
        <row r="783">
          <cell r="A783" t="str">
            <v xml:space="preserve">      коммерческие расходы</v>
          </cell>
        </row>
        <row r="784">
          <cell r="A784" t="str">
            <v xml:space="preserve">      управленческие расходы</v>
          </cell>
        </row>
        <row r="785">
          <cell r="A785" t="str">
            <v>НДС к затратам</v>
          </cell>
        </row>
        <row r="786">
          <cell r="A786" t="str">
            <v>ОБОРОТНЫЙ КАПИТАЛ</v>
          </cell>
        </row>
        <row r="787">
          <cell r="A787" t="str">
            <v>Запасы материалов и комплектующих</v>
          </cell>
        </row>
        <row r="788">
          <cell r="A788" t="str">
            <v>Незавершенное производство</v>
          </cell>
        </row>
        <row r="789">
          <cell r="A789" t="str">
            <v>Готовая продукция</v>
          </cell>
        </row>
        <row r="790">
          <cell r="A790" t="str">
            <v>Дебиторская задолженность</v>
          </cell>
        </row>
        <row r="791">
          <cell r="A791" t="str">
            <v>Авансы уплаченные</v>
          </cell>
        </row>
        <row r="792">
          <cell r="A792" t="str">
            <v>НДС уплаченный</v>
          </cell>
        </row>
        <row r="793">
          <cell r="A793" t="str">
            <v>= Оборотные активы</v>
          </cell>
        </row>
        <row r="794">
          <cell r="A794" t="str">
            <v>Кредиторская задолженность</v>
          </cell>
        </row>
        <row r="795">
          <cell r="A795" t="str">
            <v>Авансы покупателей</v>
          </cell>
        </row>
        <row r="796">
          <cell r="A796" t="str">
            <v>Расчеты с бюджетом и внебюджетными фондами</v>
          </cell>
        </row>
        <row r="797">
          <cell r="A797" t="str">
            <v>Расчеты с персоналом</v>
          </cell>
        </row>
        <row r="798">
          <cell r="A798" t="str">
            <v>= Краткосрочные обязательства</v>
          </cell>
        </row>
        <row r="799">
          <cell r="A799" t="str">
            <v xml:space="preserve">= Чистый оборотный капитал </v>
          </cell>
        </row>
        <row r="800">
          <cell r="A800" t="str">
            <v>ПОСТОЯННЫЕ АКТИВЫ</v>
          </cell>
        </row>
        <row r="801">
          <cell r="A801" t="str">
            <v>Незавершенные капитальные вложения</v>
          </cell>
        </row>
        <row r="802">
          <cell r="A802" t="str">
            <v>Незавершенные капитальные вложения вводятся в эксплуатацию с интервала</v>
          </cell>
        </row>
        <row r="803">
          <cell r="A803" t="str">
            <v>Дополнительные вложения во внеоборотные активы (по действующему предприятию, в сегодняшних ценах)</v>
          </cell>
        </row>
        <row r="804">
          <cell r="A804" t="str">
            <v>Доля внеоборотных активов, приобретаемых на внутреннем рынке</v>
          </cell>
        </row>
        <row r="805">
          <cell r="A805" t="str">
            <v>Средневзвешенный темп изменения цен</v>
          </cell>
        </row>
        <row r="806">
          <cell r="A806" t="str">
            <v>Индекс роста цен</v>
          </cell>
        </row>
        <row r="807">
          <cell r="A807" t="str">
            <v>Вложения во внеоборотные активы с учетом инфляции</v>
          </cell>
        </row>
        <row r="808">
          <cell r="A808" t="str">
            <v>Полная стоимость внеоборотных активов</v>
          </cell>
        </row>
        <row r="809">
          <cell r="A809" t="str">
            <v>Остаточная стоимость внеоборотных активов</v>
          </cell>
        </row>
        <row r="810">
          <cell r="A810" t="str">
            <v xml:space="preserve">Амортизационные отчисления </v>
          </cell>
        </row>
        <row r="811">
          <cell r="A811" t="str">
            <v>Реализация основных средств (все строки без НДС):</v>
          </cell>
        </row>
        <row r="812">
          <cell r="A812" t="str">
            <v xml:space="preserve">    остаточная стоимость реализуемых активов</v>
          </cell>
        </row>
        <row r="813">
          <cell r="A813" t="str">
            <v xml:space="preserve">    затраты по реализации активов</v>
          </cell>
        </row>
        <row r="814">
          <cell r="A814" t="str">
            <v xml:space="preserve">    прибыль (+) / убыток (-) от реализации активов</v>
          </cell>
        </row>
        <row r="815">
          <cell r="A815" t="str">
            <v>НДС уплаченный по постоянным активам</v>
          </cell>
        </row>
        <row r="816">
          <cell r="A816" t="str">
            <v>ФИНАНСИРОВАНИЕ ДЕЯТЕЛЬНОСТИ КОМПАНИИ</v>
          </cell>
        </row>
        <row r="817">
          <cell r="A817" t="str">
            <v>Потребность в финансировании ЧОК</v>
          </cell>
        </row>
        <row r="818">
          <cell r="A818" t="str">
            <v>Потребность в финансировании внеоборотных активов (с НДС)</v>
          </cell>
        </row>
        <row r="819">
          <cell r="A819" t="str">
            <v xml:space="preserve"> = Инвестиционные затраты</v>
          </cell>
        </row>
        <row r="820">
          <cell r="A820" t="str">
            <v>Увеличение уставного капитала</v>
          </cell>
        </row>
        <row r="821">
          <cell r="A821" t="str">
            <v>= Уставный капитал</v>
          </cell>
        </row>
        <row r="822">
          <cell r="A822" t="str">
            <v xml:space="preserve">Краткосрочные кредиты </v>
          </cell>
        </row>
        <row r="823">
          <cell r="A823" t="str">
            <v>Увеличение задолженности</v>
          </cell>
        </row>
        <row r="824">
          <cell r="A824" t="str">
            <v>Погашение задолженности</v>
          </cell>
        </row>
        <row r="825">
          <cell r="A825" t="str">
            <v>Задолженность по кредитам</v>
          </cell>
        </row>
        <row r="826">
          <cell r="A826" t="str">
            <v>Проценты по кредитам</v>
          </cell>
        </row>
        <row r="827">
          <cell r="A827" t="str">
            <v xml:space="preserve">Долгосрочные кредиты </v>
          </cell>
        </row>
        <row r="828">
          <cell r="A828" t="str">
            <v>Увеличение задолженности</v>
          </cell>
        </row>
        <row r="829">
          <cell r="A829" t="str">
            <v>Погашение задолженности</v>
          </cell>
        </row>
        <row r="830">
          <cell r="A830" t="str">
            <v>Задолженность по кредитам</v>
          </cell>
        </row>
        <row r="831">
          <cell r="A831" t="str">
            <v>Проценты по кредитам</v>
          </cell>
        </row>
        <row r="832">
          <cell r="A832" t="str">
            <v xml:space="preserve"> = Источники финансирования</v>
          </cell>
        </row>
        <row r="835">
          <cell r="A835" t="str">
            <v>Доля</v>
          </cell>
        </row>
        <row r="836">
          <cell r="A836" t="str">
            <v>за период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M301"/>
  <sheetViews>
    <sheetView tabSelected="1" topLeftCell="A280" workbookViewId="0">
      <selection activeCell="D269" sqref="D269"/>
    </sheetView>
  </sheetViews>
  <sheetFormatPr defaultRowHeight="11.25" outlineLevelRow="1" x14ac:dyDescent="0.2"/>
  <cols>
    <col min="1" max="1" width="50.83203125" style="1" customWidth="1"/>
    <col min="2" max="3" width="12.83203125" style="1" customWidth="1"/>
    <col min="4" max="4" width="13.1640625" style="1" customWidth="1"/>
    <col min="5" max="5" width="9.1640625" style="1" customWidth="1"/>
    <col min="6" max="11" width="11.83203125" style="1" customWidth="1"/>
    <col min="12" max="12" width="1.6640625" style="1" customWidth="1"/>
    <col min="13" max="13" width="12.83203125" style="1" customWidth="1"/>
    <col min="14" max="16384" width="9.33203125" style="1"/>
  </cols>
  <sheetData>
    <row r="1" spans="1:13" s="74" customFormat="1" ht="20.25" x14ac:dyDescent="0.2">
      <c r="A1" s="75" t="str">
        <f ca="1">OFFSET([1]Язык!$A$8,0,LANGUAGE) &amp; IF(IS_SUMM," " &amp; OFFSET([1]Язык!$A$622,0,LANGUAGE),"") &amp; " " &amp; AI_Version</f>
        <v>АЛЬТ-Инвест™ Сумм 5.05</v>
      </c>
    </row>
    <row r="2" spans="1:13" s="3" customFormat="1" ht="15" x14ac:dyDescent="0.2">
      <c r="A2" s="73" t="str">
        <f ca="1">OFFSET([1]Язык!$A$677,0,LANGUAGE)</f>
        <v>Описание компании</v>
      </c>
      <c r="B2" s="72"/>
      <c r="C2" s="72"/>
    </row>
    <row r="4" spans="1:13" s="3" customFormat="1" ht="15.95" customHeight="1" x14ac:dyDescent="0.2">
      <c r="A4" s="70" t="str">
        <f ca="1">OFFSET([1]Язык!$A$678,0,LANGUAGE)</f>
        <v>ПРОЕКТЫ КОМПАНИИ</v>
      </c>
      <c r="B4" s="71"/>
      <c r="C4" s="71"/>
      <c r="D4" s="70"/>
      <c r="E4" s="69"/>
      <c r="F4" s="55"/>
      <c r="G4" s="55"/>
      <c r="H4" s="55"/>
      <c r="I4" s="55"/>
      <c r="J4" s="55"/>
      <c r="K4" s="55"/>
      <c r="L4" s="55"/>
      <c r="M4" s="12"/>
    </row>
    <row r="5" spans="1:13" x14ac:dyDescent="0.2">
      <c r="A5" s="65"/>
      <c r="B5" s="65"/>
      <c r="C5" s="65"/>
      <c r="D5" s="65"/>
      <c r="E5" s="64"/>
    </row>
    <row r="6" spans="1:13" ht="16.5" customHeight="1" x14ac:dyDescent="0.2">
      <c r="A6" s="65"/>
      <c r="B6" s="65"/>
      <c r="C6" s="65"/>
      <c r="D6" s="65"/>
      <c r="E6" s="64"/>
    </row>
    <row r="7" spans="1:13" x14ac:dyDescent="0.2">
      <c r="A7" s="65"/>
      <c r="B7" s="65"/>
      <c r="C7" s="65"/>
      <c r="D7" s="65"/>
      <c r="E7" s="64"/>
    </row>
    <row r="8" spans="1:13" x14ac:dyDescent="0.2">
      <c r="A8" s="68" t="str">
        <f ca="1">OFFSET([1]Язык!$A$679,0,LANGUAGE)</f>
        <v>Название проекта</v>
      </c>
      <c r="B8" s="68" t="str">
        <f ca="1">OFFSET([1]Язык!$A$680,0,LANGUAGE)</f>
        <v>Лист</v>
      </c>
      <c r="C8" s="65"/>
      <c r="D8" s="65">
        <v>1</v>
      </c>
      <c r="E8" s="64"/>
    </row>
    <row r="9" spans="1:13" x14ac:dyDescent="0.2">
      <c r="A9" s="67" t="str">
        <f>[1]Проект!PRJ_Name</f>
        <v xml:space="preserve">ФруктоХранилище </v>
      </c>
      <c r="B9" s="66" t="s">
        <v>7</v>
      </c>
      <c r="C9" s="65"/>
      <c r="D9" s="65"/>
      <c r="E9" s="64"/>
    </row>
    <row r="10" spans="1:13" x14ac:dyDescent="0.2">
      <c r="A10" s="63"/>
      <c r="B10" s="63"/>
      <c r="C10" s="63"/>
      <c r="D10" s="63"/>
      <c r="E10" s="62"/>
    </row>
    <row r="11" spans="1:13" collapsed="1" x14ac:dyDescent="0.2"/>
    <row r="12" spans="1:13" hidden="1" outlineLevel="1" x14ac:dyDescent="0.2">
      <c r="A12" s="61" t="str">
        <f ca="1">OFFSET([1]Язык!$A$681,0,LANGUAGE)</f>
        <v>Номера периодов</v>
      </c>
      <c r="B12" s="61"/>
      <c r="C12" s="61"/>
      <c r="D12" s="61"/>
      <c r="E12" s="61"/>
      <c r="F12" s="60">
        <v>0</v>
      </c>
      <c r="G12" s="60">
        <v>1</v>
      </c>
      <c r="H12" s="60">
        <v>2</v>
      </c>
      <c r="I12" s="60">
        <v>3</v>
      </c>
      <c r="J12" s="60">
        <v>4</v>
      </c>
      <c r="K12" s="60">
        <v>4</v>
      </c>
    </row>
    <row r="13" spans="1:13" ht="12" thickBot="1" x14ac:dyDescent="0.25"/>
    <row r="14" spans="1:13" s="3" customFormat="1" ht="15.95" customHeight="1" thickTop="1" thickBot="1" x14ac:dyDescent="0.25">
      <c r="A14" s="15" t="str">
        <f ca="1">OFFSET([1]Язык!$A$682,0,LANGUAGE)</f>
        <v>НАЧАЛЬНЫЙ БАЛАНС</v>
      </c>
      <c r="B14" s="13"/>
      <c r="C14" s="13"/>
      <c r="D14" s="15"/>
      <c r="E14" s="15"/>
      <c r="F14" s="14"/>
      <c r="G14" s="14">
        <f>[1]Проект!G29</f>
        <v>40179</v>
      </c>
      <c r="H14" s="55"/>
      <c r="I14" s="55"/>
      <c r="J14" s="55"/>
      <c r="K14" s="55"/>
      <c r="L14" s="55"/>
      <c r="M14" s="12"/>
    </row>
    <row r="15" spans="1:13" ht="12" outlineLevel="1" thickTop="1" x14ac:dyDescent="0.2"/>
    <row r="16" spans="1:13" outlineLevel="1" x14ac:dyDescent="0.2">
      <c r="A16" s="54" t="str">
        <f ca="1">OFFSET([1]Язык!$A$683,0,LANGUAGE)</f>
        <v xml:space="preserve">АКТИВ                   </v>
      </c>
      <c r="B16" s="58"/>
      <c r="C16" s="54" t="str">
        <f ca="1">OFFSET([1]Язык!$A$684,0,LANGUAGE)</f>
        <v xml:space="preserve">Код стр. </v>
      </c>
      <c r="G16" s="54" t="str">
        <f ca="1">CUR_Main</f>
        <v>$</v>
      </c>
    </row>
    <row r="17" spans="1:7" outlineLevel="1" x14ac:dyDescent="0.2">
      <c r="A17" s="9"/>
      <c r="C17" s="9"/>
    </row>
    <row r="18" spans="1:7" outlineLevel="1" x14ac:dyDescent="0.2">
      <c r="A18" s="42" t="str">
        <f ca="1">OFFSET([1]Язык!$A685,0,LANGUAGE)</f>
        <v>I. ВНЕОБОРОТНЫЕ АКТИВЫ</v>
      </c>
      <c r="C18" s="9"/>
      <c r="F18" s="59"/>
    </row>
    <row r="19" spans="1:7" outlineLevel="1" x14ac:dyDescent="0.2">
      <c r="A19" s="1" t="str">
        <f ca="1">OFFSET([1]Язык!$A686,0,LANGUAGE)</f>
        <v>Нематериальные активы</v>
      </c>
      <c r="C19" s="9">
        <v>110</v>
      </c>
      <c r="F19" s="57"/>
      <c r="G19" s="22">
        <v>0</v>
      </c>
    </row>
    <row r="20" spans="1:7" outlineLevel="1" x14ac:dyDescent="0.2">
      <c r="A20" s="1" t="str">
        <f ca="1">OFFSET([1]Язык!$A687,0,LANGUAGE)</f>
        <v>Основные средства</v>
      </c>
      <c r="C20" s="9">
        <v>120</v>
      </c>
      <c r="F20" s="57"/>
      <c r="G20" s="22">
        <v>0</v>
      </c>
    </row>
    <row r="21" spans="1:7" outlineLevel="1" x14ac:dyDescent="0.2">
      <c r="A21" s="1" t="str">
        <f ca="1">OFFSET([1]Язык!$A688,0,LANGUAGE)</f>
        <v>Незавершенное строительство</v>
      </c>
      <c r="C21" s="9">
        <v>130</v>
      </c>
      <c r="F21" s="57"/>
      <c r="G21" s="22">
        <v>0</v>
      </c>
    </row>
    <row r="22" spans="1:7" outlineLevel="1" x14ac:dyDescent="0.2">
      <c r="A22" s="1" t="str">
        <f ca="1">OFFSET([1]Язык!$A689,0,LANGUAGE)</f>
        <v>Доходные вложения в материальные ценности</v>
      </c>
      <c r="C22" s="9">
        <v>135</v>
      </c>
      <c r="F22" s="57"/>
      <c r="G22" s="22">
        <v>0</v>
      </c>
    </row>
    <row r="23" spans="1:7" outlineLevel="1" x14ac:dyDescent="0.2">
      <c r="A23" s="1" t="str">
        <f ca="1">OFFSET([1]Язык!$A690,0,LANGUAGE)</f>
        <v>Долгосрочные финансовые вложения</v>
      </c>
      <c r="C23" s="9">
        <v>140</v>
      </c>
      <c r="F23" s="57"/>
      <c r="G23" s="22">
        <v>0</v>
      </c>
    </row>
    <row r="24" spans="1:7" outlineLevel="1" x14ac:dyDescent="0.2">
      <c r="A24" s="1" t="str">
        <f ca="1">OFFSET([1]Язык!$A691,0,LANGUAGE)</f>
        <v>Отложенные налоговые активы</v>
      </c>
      <c r="C24" s="9">
        <v>145</v>
      </c>
      <c r="F24" s="57"/>
      <c r="G24" s="22">
        <v>0</v>
      </c>
    </row>
    <row r="25" spans="1:7" outlineLevel="1" x14ac:dyDescent="0.2">
      <c r="A25" s="1" t="str">
        <f ca="1">OFFSET([1]Язык!$A692,0,LANGUAGE)</f>
        <v>Прочие внеоборотные активы</v>
      </c>
      <c r="C25" s="9">
        <v>150</v>
      </c>
      <c r="F25" s="57"/>
      <c r="G25" s="22">
        <v>0</v>
      </c>
    </row>
    <row r="26" spans="1:7" outlineLevel="1" x14ac:dyDescent="0.2">
      <c r="A26" s="1" t="str">
        <f ca="1">OFFSET([1]Язык!$A693,0,LANGUAGE)</f>
        <v xml:space="preserve">    ИТОГО по разделу I</v>
      </c>
      <c r="C26" s="9">
        <v>190</v>
      </c>
      <c r="F26" s="57"/>
      <c r="G26" s="2">
        <f>SUM(G19:G25)</f>
        <v>0</v>
      </c>
    </row>
    <row r="27" spans="1:7" outlineLevel="1" x14ac:dyDescent="0.2">
      <c r="A27" s="42" t="str">
        <f ca="1">OFFSET([1]Язык!$A694,0,LANGUAGE)</f>
        <v>II. ОБОРОТНЫЕ АКТИВЫ</v>
      </c>
      <c r="C27" s="9"/>
      <c r="F27" s="57"/>
      <c r="G27" s="2"/>
    </row>
    <row r="28" spans="1:7" outlineLevel="1" x14ac:dyDescent="0.2">
      <c r="A28" s="1" t="str">
        <f ca="1">OFFSET([1]Язык!$A695,0,LANGUAGE)</f>
        <v>Запасы</v>
      </c>
      <c r="C28" s="9">
        <v>210</v>
      </c>
      <c r="F28" s="57"/>
      <c r="G28" s="22">
        <v>0</v>
      </c>
    </row>
    <row r="29" spans="1:7" outlineLevel="1" x14ac:dyDescent="0.2">
      <c r="A29" s="1" t="str">
        <f ca="1">OFFSET([1]Язык!$A696,0,LANGUAGE)</f>
        <v>в том числе:</v>
      </c>
      <c r="C29" s="9"/>
      <c r="F29" s="57"/>
      <c r="G29" s="2"/>
    </row>
    <row r="30" spans="1:7" outlineLevel="1" x14ac:dyDescent="0.2">
      <c r="A30" s="1" t="str">
        <f ca="1">OFFSET([1]Язык!$A697,0,LANGUAGE)</f>
        <v xml:space="preserve">      сырье, материалы и другие аналогичные ценности</v>
      </c>
      <c r="C30" s="9"/>
      <c r="F30" s="57"/>
      <c r="G30" s="22">
        <v>0</v>
      </c>
    </row>
    <row r="31" spans="1:7" outlineLevel="1" x14ac:dyDescent="0.2">
      <c r="A31" s="1" t="str">
        <f ca="1">OFFSET([1]Язык!$A698,0,LANGUAGE)</f>
        <v xml:space="preserve">      животные на выращивании и откорме</v>
      </c>
      <c r="C31" s="9"/>
      <c r="F31" s="57"/>
      <c r="G31" s="22">
        <v>0</v>
      </c>
    </row>
    <row r="32" spans="1:7" outlineLevel="1" x14ac:dyDescent="0.2">
      <c r="A32" s="1" t="str">
        <f ca="1">OFFSET([1]Язык!$A699,0,LANGUAGE)</f>
        <v xml:space="preserve">      затраты в незавершенном производстве</v>
      </c>
      <c r="C32" s="9"/>
      <c r="F32" s="57"/>
      <c r="G32" s="22">
        <v>0</v>
      </c>
    </row>
    <row r="33" spans="1:7" outlineLevel="1" x14ac:dyDescent="0.2">
      <c r="A33" s="1" t="str">
        <f ca="1">OFFSET([1]Язык!$A700,0,LANGUAGE)</f>
        <v xml:space="preserve">      готовая продукция и товары для перепродажи</v>
      </c>
      <c r="C33" s="9"/>
      <c r="F33" s="57"/>
      <c r="G33" s="22">
        <v>0</v>
      </c>
    </row>
    <row r="34" spans="1:7" outlineLevel="1" x14ac:dyDescent="0.2">
      <c r="A34" s="1" t="str">
        <f ca="1">OFFSET([1]Язык!$A701,0,LANGUAGE)</f>
        <v xml:space="preserve">      товары отгруженные</v>
      </c>
      <c r="C34" s="9"/>
      <c r="F34" s="57"/>
      <c r="G34" s="22">
        <v>0</v>
      </c>
    </row>
    <row r="35" spans="1:7" outlineLevel="1" x14ac:dyDescent="0.2">
      <c r="A35" s="1" t="str">
        <f ca="1">OFFSET([1]Язык!$A702,0,LANGUAGE)</f>
        <v xml:space="preserve">      расходы будущих периодов</v>
      </c>
      <c r="C35" s="9"/>
      <c r="F35" s="57"/>
      <c r="G35" s="22">
        <v>0</v>
      </c>
    </row>
    <row r="36" spans="1:7" outlineLevel="1" x14ac:dyDescent="0.2">
      <c r="A36" s="1" t="str">
        <f ca="1">OFFSET([1]Язык!$A703,0,LANGUAGE)</f>
        <v xml:space="preserve">      прочие запасы и затраты</v>
      </c>
      <c r="C36" s="9"/>
      <c r="F36" s="57"/>
      <c r="G36" s="22">
        <v>0</v>
      </c>
    </row>
    <row r="37" spans="1:7" outlineLevel="1" x14ac:dyDescent="0.2">
      <c r="A37" s="1" t="str">
        <f ca="1">OFFSET([1]Язык!$A704,0,LANGUAGE)</f>
        <v>Налог на добавленную стоимость по приобретенным ценностям</v>
      </c>
      <c r="C37" s="9">
        <v>220</v>
      </c>
      <c r="F37" s="57"/>
      <c r="G37" s="22">
        <v>0</v>
      </c>
    </row>
    <row r="38" spans="1:7" ht="33.75" outlineLevel="1" x14ac:dyDescent="0.2">
      <c r="A38" s="26" t="str">
        <f ca="1">OFFSET([1]Язык!$A705,0,LANGUAGE)</f>
        <v>Дебиторская задолженность (платежи по которой ожидаются более чем через 12 месяцев после отчетной даты)</v>
      </c>
      <c r="C38" s="9">
        <v>230</v>
      </c>
      <c r="F38" s="57"/>
      <c r="G38" s="22">
        <v>0</v>
      </c>
    </row>
    <row r="39" spans="1:7" outlineLevel="1" x14ac:dyDescent="0.2">
      <c r="A39" s="1" t="str">
        <f ca="1">OFFSET([1]Язык!$A706,0,LANGUAGE)</f>
        <v xml:space="preserve">      в том числе покупатели и заказчики</v>
      </c>
      <c r="C39" s="9"/>
      <c r="F39" s="57"/>
      <c r="G39" s="22">
        <v>0</v>
      </c>
    </row>
    <row r="40" spans="1:7" ht="22.5" outlineLevel="1" x14ac:dyDescent="0.2">
      <c r="A40" s="26" t="str">
        <f ca="1">OFFSET([1]Язык!$A707,0,LANGUAGE)</f>
        <v>Дебиторская задолженность (платежи по которой ожидаются в течение 12 месяцев)</v>
      </c>
      <c r="C40" s="9">
        <v>240</v>
      </c>
      <c r="F40" s="57"/>
      <c r="G40" s="22">
        <v>0</v>
      </c>
    </row>
    <row r="41" spans="1:7" outlineLevel="1" x14ac:dyDescent="0.2">
      <c r="A41" s="1" t="str">
        <f ca="1">OFFSET([1]Язык!$A708,0,LANGUAGE)</f>
        <v xml:space="preserve">      в том числе покупатели и заказчики</v>
      </c>
      <c r="C41" s="9"/>
      <c r="F41" s="57"/>
      <c r="G41" s="22">
        <v>0</v>
      </c>
    </row>
    <row r="42" spans="1:7" outlineLevel="1" x14ac:dyDescent="0.2">
      <c r="A42" s="1" t="str">
        <f ca="1">OFFSET([1]Язык!$A709,0,LANGUAGE)</f>
        <v>Краткосрочные финансовые вложения</v>
      </c>
      <c r="C42" s="9">
        <v>250</v>
      </c>
      <c r="F42" s="57"/>
      <c r="G42" s="22">
        <v>0</v>
      </c>
    </row>
    <row r="43" spans="1:7" outlineLevel="1" x14ac:dyDescent="0.2">
      <c r="A43" s="1" t="str">
        <f ca="1">OFFSET([1]Язык!$A710,0,LANGUAGE)</f>
        <v>Денежные средства</v>
      </c>
      <c r="C43" s="9">
        <v>260</v>
      </c>
      <c r="F43" s="57"/>
      <c r="G43" s="22">
        <v>0</v>
      </c>
    </row>
    <row r="44" spans="1:7" outlineLevel="1" x14ac:dyDescent="0.2">
      <c r="A44" s="1" t="str">
        <f ca="1">OFFSET([1]Язык!$A711,0,LANGUAGE)</f>
        <v>Прочие оборотные активы</v>
      </c>
      <c r="C44" s="9">
        <v>270</v>
      </c>
      <c r="F44" s="57"/>
      <c r="G44" s="22">
        <v>0</v>
      </c>
    </row>
    <row r="45" spans="1:7" outlineLevel="1" x14ac:dyDescent="0.2">
      <c r="A45" s="1" t="str">
        <f ca="1">OFFSET([1]Язык!$A712,0,LANGUAGE)</f>
        <v xml:space="preserve">      ИТОГО по разделу II</v>
      </c>
      <c r="C45" s="9">
        <v>290</v>
      </c>
      <c r="F45" s="57"/>
      <c r="G45" s="2">
        <f>G28+G37+G38+G40+G42+G43+G44</f>
        <v>0</v>
      </c>
    </row>
    <row r="46" spans="1:7" outlineLevel="1" x14ac:dyDescent="0.2">
      <c r="A46" s="34" t="str">
        <f ca="1">OFFSET([1]Язык!$A713,0,LANGUAGE)</f>
        <v>БАЛАНС</v>
      </c>
      <c r="B46" s="5"/>
      <c r="C46" s="6">
        <v>300</v>
      </c>
      <c r="D46" s="5"/>
      <c r="E46" s="5"/>
      <c r="F46" s="56"/>
      <c r="G46" s="52">
        <f>G26+G45</f>
        <v>0</v>
      </c>
    </row>
    <row r="47" spans="1:7" outlineLevel="1" x14ac:dyDescent="0.2">
      <c r="C47" s="9"/>
      <c r="F47" s="57"/>
      <c r="G47" s="2"/>
    </row>
    <row r="48" spans="1:7" outlineLevel="1" x14ac:dyDescent="0.2">
      <c r="A48" s="58" t="str">
        <f ca="1">OFFSET([1]Язык!$A714,0,LANGUAGE)</f>
        <v>ПАССИВ</v>
      </c>
      <c r="B48" s="58"/>
      <c r="C48" s="54" t="s">
        <v>6</v>
      </c>
      <c r="F48" s="57"/>
      <c r="G48" s="54" t="str">
        <f ca="1">CUR_Main</f>
        <v>$</v>
      </c>
    </row>
    <row r="49" spans="1:7" outlineLevel="1" x14ac:dyDescent="0.2">
      <c r="C49" s="9"/>
      <c r="F49" s="57"/>
      <c r="G49" s="2"/>
    </row>
    <row r="50" spans="1:7" outlineLevel="1" x14ac:dyDescent="0.2">
      <c r="A50" s="42" t="str">
        <f ca="1">OFFSET([1]Язык!$A715,0,LANGUAGE)</f>
        <v>III. КАПИТАЛ И РЕЗЕРВЫ</v>
      </c>
      <c r="C50" s="9"/>
      <c r="F50" s="57"/>
      <c r="G50" s="2"/>
    </row>
    <row r="51" spans="1:7" outlineLevel="1" x14ac:dyDescent="0.2">
      <c r="A51" s="1" t="str">
        <f ca="1">OFFSET([1]Язык!$A716,0,LANGUAGE)</f>
        <v>Уставный капитал</v>
      </c>
      <c r="C51" s="9">
        <v>410</v>
      </c>
      <c r="F51" s="57"/>
      <c r="G51" s="22">
        <v>0</v>
      </c>
    </row>
    <row r="52" spans="1:7" outlineLevel="1" x14ac:dyDescent="0.2">
      <c r="A52" s="1" t="str">
        <f ca="1">OFFSET([1]Язык!$A717,0,LANGUAGE)</f>
        <v>Собственные акции, выкупленные у акционеров</v>
      </c>
      <c r="C52" s="9"/>
      <c r="F52" s="57"/>
      <c r="G52" s="22">
        <v>0</v>
      </c>
    </row>
    <row r="53" spans="1:7" outlineLevel="1" x14ac:dyDescent="0.2">
      <c r="A53" s="1" t="str">
        <f ca="1">OFFSET([1]Язык!$A718,0,LANGUAGE)</f>
        <v>Добавочный капитал</v>
      </c>
      <c r="C53" s="9">
        <v>420</v>
      </c>
      <c r="F53" s="57"/>
      <c r="G53" s="22">
        <v>0</v>
      </c>
    </row>
    <row r="54" spans="1:7" outlineLevel="1" x14ac:dyDescent="0.2">
      <c r="A54" s="1" t="str">
        <f ca="1">OFFSET([1]Язык!$A719,0,LANGUAGE)</f>
        <v>Резервный капитал</v>
      </c>
      <c r="C54" s="9">
        <v>430</v>
      </c>
      <c r="F54" s="57"/>
      <c r="G54" s="22">
        <v>0</v>
      </c>
    </row>
    <row r="55" spans="1:7" outlineLevel="1" x14ac:dyDescent="0.2">
      <c r="A55" s="1" t="str">
        <f ca="1">OFFSET([1]Язык!$A720,0,LANGUAGE)</f>
        <v>в том числе:</v>
      </c>
      <c r="C55" s="9"/>
      <c r="F55" s="57"/>
      <c r="G55" s="22">
        <v>0</v>
      </c>
    </row>
    <row r="56" spans="1:7" ht="22.5" outlineLevel="1" x14ac:dyDescent="0.2">
      <c r="A56" s="26" t="str">
        <f ca="1">OFFSET([1]Язык!$A721,0,LANGUAGE)</f>
        <v xml:space="preserve">      резервы, образованные в соответствии с законодательством</v>
      </c>
      <c r="C56" s="9"/>
      <c r="F56" s="57"/>
      <c r="G56" s="22">
        <v>0</v>
      </c>
    </row>
    <row r="57" spans="1:7" ht="22.5" outlineLevel="1" x14ac:dyDescent="0.2">
      <c r="A57" s="26" t="str">
        <f ca="1">OFFSET([1]Язык!$A722,0,LANGUAGE)</f>
        <v xml:space="preserve">      резервы, образованные в соответствии с учредительными документами</v>
      </c>
      <c r="C57" s="9"/>
      <c r="F57" s="57"/>
      <c r="G57" s="22">
        <v>0</v>
      </c>
    </row>
    <row r="58" spans="1:7" outlineLevel="1" x14ac:dyDescent="0.2">
      <c r="A58" s="1" t="str">
        <f ca="1">OFFSET([1]Язык!$A723,0,LANGUAGE)</f>
        <v>Нераспределенная прибыль (непокрытый убыток)</v>
      </c>
      <c r="C58" s="9">
        <v>470</v>
      </c>
      <c r="F58" s="57"/>
      <c r="G58" s="22">
        <v>0</v>
      </c>
    </row>
    <row r="59" spans="1:7" outlineLevel="1" x14ac:dyDescent="0.2">
      <c r="A59" s="1" t="str">
        <f ca="1">OFFSET([1]Язык!$A724,0,LANGUAGE)</f>
        <v xml:space="preserve">      ИТОГО по разделу III</v>
      </c>
      <c r="C59" s="9">
        <v>490</v>
      </c>
      <c r="F59" s="57"/>
      <c r="G59" s="2">
        <f>G51+G52+G53+G54+G58</f>
        <v>0</v>
      </c>
    </row>
    <row r="60" spans="1:7" outlineLevel="1" x14ac:dyDescent="0.2">
      <c r="A60" s="42" t="str">
        <f ca="1">OFFSET([1]Язык!$A725,0,LANGUAGE)</f>
        <v>IV. ДОЛГОСРОЧНЫЕ ОБЯЗАТЕЛЬСТВА</v>
      </c>
      <c r="C60" s="9"/>
      <c r="F60" s="57"/>
      <c r="G60" s="2"/>
    </row>
    <row r="61" spans="1:7" outlineLevel="1" x14ac:dyDescent="0.2">
      <c r="A61" s="1" t="str">
        <f ca="1">OFFSET([1]Язык!$A726,0,LANGUAGE)</f>
        <v>Займы и кредиты</v>
      </c>
      <c r="C61" s="9">
        <v>510</v>
      </c>
      <c r="F61" s="57"/>
      <c r="G61" s="22">
        <v>0</v>
      </c>
    </row>
    <row r="62" spans="1:7" outlineLevel="1" x14ac:dyDescent="0.2">
      <c r="A62" s="1" t="str">
        <f ca="1">OFFSET([1]Язык!$A727,0,LANGUAGE)</f>
        <v>Отложенные налоговые обязательства</v>
      </c>
      <c r="C62" s="9">
        <v>515</v>
      </c>
      <c r="F62" s="57"/>
      <c r="G62" s="22">
        <v>0</v>
      </c>
    </row>
    <row r="63" spans="1:7" outlineLevel="1" x14ac:dyDescent="0.2">
      <c r="A63" s="1" t="str">
        <f ca="1">OFFSET([1]Язык!$A728,0,LANGUAGE)</f>
        <v>Прочие долгосрочные обязательства</v>
      </c>
      <c r="C63" s="9">
        <v>520</v>
      </c>
      <c r="F63" s="57"/>
      <c r="G63" s="22">
        <v>0</v>
      </c>
    </row>
    <row r="64" spans="1:7" outlineLevel="1" x14ac:dyDescent="0.2">
      <c r="A64" s="1" t="str">
        <f ca="1">OFFSET([1]Язык!$A729,0,LANGUAGE)</f>
        <v xml:space="preserve">      ИТОГО по разделу IV</v>
      </c>
      <c r="C64" s="9">
        <v>590</v>
      </c>
      <c r="F64" s="57"/>
      <c r="G64" s="2">
        <f>SUM(G61:G63)</f>
        <v>0</v>
      </c>
    </row>
    <row r="65" spans="1:7" outlineLevel="1" x14ac:dyDescent="0.2">
      <c r="A65" s="42" t="str">
        <f ca="1">OFFSET([1]Язык!$A730,0,LANGUAGE)</f>
        <v>V. КРАТКОСРОЧНЫЕ ОБЯЗАТЕЛЬСТВА</v>
      </c>
      <c r="C65" s="9"/>
      <c r="F65" s="57"/>
      <c r="G65" s="2"/>
    </row>
    <row r="66" spans="1:7" outlineLevel="1" x14ac:dyDescent="0.2">
      <c r="A66" s="1" t="str">
        <f ca="1">OFFSET([1]Язык!$A731,0,LANGUAGE)</f>
        <v>Займы и кредиты</v>
      </c>
      <c r="C66" s="9">
        <v>610</v>
      </c>
      <c r="F66" s="57"/>
      <c r="G66" s="22">
        <v>0</v>
      </c>
    </row>
    <row r="67" spans="1:7" outlineLevel="1" x14ac:dyDescent="0.2">
      <c r="A67" s="1" t="str">
        <f ca="1">OFFSET([1]Язык!$A732,0,LANGUAGE)</f>
        <v>Кредиторская задолженность</v>
      </c>
      <c r="C67" s="9">
        <v>620</v>
      </c>
      <c r="F67" s="57"/>
      <c r="G67" s="22">
        <v>0</v>
      </c>
    </row>
    <row r="68" spans="1:7" outlineLevel="1" x14ac:dyDescent="0.2">
      <c r="A68" s="1" t="str">
        <f ca="1">OFFSET([1]Язык!$A733,0,LANGUAGE)</f>
        <v>в том числе:</v>
      </c>
      <c r="C68" s="9"/>
      <c r="F68" s="57"/>
      <c r="G68" s="2"/>
    </row>
    <row r="69" spans="1:7" outlineLevel="1" x14ac:dyDescent="0.2">
      <c r="A69" s="1" t="str">
        <f ca="1">OFFSET([1]Язык!$A734,0,LANGUAGE)</f>
        <v xml:space="preserve">      поставщики и подрядчики</v>
      </c>
      <c r="C69" s="9"/>
      <c r="F69" s="57"/>
      <c r="G69" s="22">
        <v>0</v>
      </c>
    </row>
    <row r="70" spans="1:7" outlineLevel="1" x14ac:dyDescent="0.2">
      <c r="A70" s="1" t="str">
        <f ca="1">OFFSET([1]Язык!$A735,0,LANGUAGE)</f>
        <v xml:space="preserve">      задолженность перед персоналом организации</v>
      </c>
      <c r="C70" s="9"/>
      <c r="F70" s="57"/>
      <c r="G70" s="22">
        <v>0</v>
      </c>
    </row>
    <row r="71" spans="1:7" outlineLevel="1" x14ac:dyDescent="0.2">
      <c r="A71" s="1" t="str">
        <f ca="1">OFFSET([1]Язык!$A736,0,LANGUAGE)</f>
        <v xml:space="preserve">      задолженность перед гос. внебюджетными фондами</v>
      </c>
      <c r="C71" s="9"/>
      <c r="F71" s="57"/>
      <c r="G71" s="22">
        <v>0</v>
      </c>
    </row>
    <row r="72" spans="1:7" outlineLevel="1" x14ac:dyDescent="0.2">
      <c r="A72" s="1" t="str">
        <f ca="1">OFFSET([1]Язык!$A737,0,LANGUAGE)</f>
        <v xml:space="preserve">      задолженность по налогам и сборам</v>
      </c>
      <c r="C72" s="9"/>
      <c r="F72" s="57"/>
      <c r="G72" s="22">
        <v>0</v>
      </c>
    </row>
    <row r="73" spans="1:7" outlineLevel="1" x14ac:dyDescent="0.2">
      <c r="A73" s="1" t="str">
        <f ca="1">OFFSET([1]Язык!$A738,0,LANGUAGE)</f>
        <v xml:space="preserve">      прочие кредиторы</v>
      </c>
      <c r="C73" s="9"/>
      <c r="F73" s="57"/>
      <c r="G73" s="22">
        <v>0</v>
      </c>
    </row>
    <row r="74" spans="1:7" ht="22.5" outlineLevel="1" x14ac:dyDescent="0.2">
      <c r="A74" s="26" t="str">
        <f ca="1">OFFSET([1]Язык!$A739,0,LANGUAGE)</f>
        <v>Задолженность перед участниками (учредителями) по выплате доходов</v>
      </c>
      <c r="C74" s="9">
        <v>630</v>
      </c>
      <c r="F74" s="57"/>
      <c r="G74" s="22">
        <v>0</v>
      </c>
    </row>
    <row r="75" spans="1:7" outlineLevel="1" x14ac:dyDescent="0.2">
      <c r="A75" s="1" t="str">
        <f ca="1">OFFSET([1]Язык!$A740,0,LANGUAGE)</f>
        <v>Доходы будущих периодов</v>
      </c>
      <c r="C75" s="9">
        <v>640</v>
      </c>
      <c r="F75" s="57"/>
      <c r="G75" s="22">
        <v>0</v>
      </c>
    </row>
    <row r="76" spans="1:7" outlineLevel="1" x14ac:dyDescent="0.2">
      <c r="A76" s="1" t="str">
        <f ca="1">OFFSET([1]Язык!$A741,0,LANGUAGE)</f>
        <v>Резервы предстоящих расходов</v>
      </c>
      <c r="C76" s="9">
        <v>650</v>
      </c>
      <c r="F76" s="57"/>
      <c r="G76" s="22">
        <v>0</v>
      </c>
    </row>
    <row r="77" spans="1:7" outlineLevel="1" x14ac:dyDescent="0.2">
      <c r="A77" s="1" t="str">
        <f ca="1">OFFSET([1]Язык!$A742,0,LANGUAGE)</f>
        <v>Прочие краткосрочные обязательства</v>
      </c>
      <c r="C77" s="9">
        <v>660</v>
      </c>
      <c r="F77" s="57"/>
      <c r="G77" s="22">
        <v>0</v>
      </c>
    </row>
    <row r="78" spans="1:7" outlineLevel="1" x14ac:dyDescent="0.2">
      <c r="A78" s="42" t="str">
        <f ca="1">OFFSET([1]Язык!$A743,0,LANGUAGE)</f>
        <v xml:space="preserve">      ИТОГО по разделу V</v>
      </c>
      <c r="C78" s="9">
        <v>690</v>
      </c>
      <c r="F78" s="57"/>
      <c r="G78" s="2">
        <f>G66+G67+G74+G75+G76+G77</f>
        <v>0</v>
      </c>
    </row>
    <row r="79" spans="1:7" outlineLevel="1" x14ac:dyDescent="0.2">
      <c r="A79" s="34" t="str">
        <f ca="1">OFFSET([1]Язык!$A744,0,LANGUAGE)</f>
        <v>БАЛАНС</v>
      </c>
      <c r="B79" s="5"/>
      <c r="C79" s="6">
        <v>700</v>
      </c>
      <c r="D79" s="5"/>
      <c r="E79" s="5"/>
      <c r="F79" s="56"/>
      <c r="G79" s="52">
        <f>G59+G64+G78</f>
        <v>0</v>
      </c>
    </row>
    <row r="80" spans="1:7" outlineLevel="1" x14ac:dyDescent="0.2"/>
    <row r="81" spans="1:13" ht="12" outlineLevel="1" thickBot="1" x14ac:dyDescent="0.25"/>
    <row r="82" spans="1:13" s="3" customFormat="1" ht="15.95" customHeight="1" thickTop="1" thickBot="1" x14ac:dyDescent="0.25">
      <c r="A82" s="15" t="str">
        <f ca="1">OFFSET([1]Язык!$A745,0,LANGUAGE)</f>
        <v>НАЧАЛЬНЫЙ ОТЧЕТ О ПРИБЫЛЯХ И УБЫТКАХ</v>
      </c>
      <c r="B82" s="13"/>
      <c r="C82" s="13"/>
      <c r="D82" s="15"/>
      <c r="E82" s="15"/>
      <c r="F82" s="14">
        <f>DATE(YEAR(G82),MONTH(G82)-PRJ_Step/30,1)</f>
        <v>39814</v>
      </c>
      <c r="G82" s="14">
        <f>[1]Проект!G29</f>
        <v>40179</v>
      </c>
      <c r="H82" s="14" t="str">
        <f ca="1">OFFSET([1]Язык!$A836,0,LANGUAGE)</f>
        <v>за период</v>
      </c>
      <c r="I82" s="55"/>
      <c r="J82" s="55"/>
      <c r="K82" s="55"/>
      <c r="L82" s="55"/>
      <c r="M82" s="12"/>
    </row>
    <row r="83" spans="1:13" ht="12" outlineLevel="1" thickTop="1" x14ac:dyDescent="0.2"/>
    <row r="84" spans="1:13" outlineLevel="1" x14ac:dyDescent="0.2">
      <c r="A84" s="42" t="str">
        <f ca="1">OFFSET([1]Язык!$A746,0,LANGUAGE)</f>
        <v>Доходы и расходы по обычным видам деятельности</v>
      </c>
      <c r="F84" s="54" t="str">
        <f ca="1">CUR_Main</f>
        <v>$</v>
      </c>
      <c r="G84" s="54" t="str">
        <f ca="1">CUR_Main</f>
        <v>$</v>
      </c>
      <c r="H84" s="54" t="str">
        <f ca="1">CUR_Main</f>
        <v>$</v>
      </c>
    </row>
    <row r="85" spans="1:13" ht="33.75" outlineLevel="1" x14ac:dyDescent="0.2">
      <c r="A85" s="26" t="str">
        <f ca="1">OFFSET([1]Язык!$A747,0,LANGUAGE)</f>
        <v>Выpучка (нетто) от продажи товаров, пpодукции, работ, услуг (за минусом НДС, акцизов и аналогичных обязательных платежей)</v>
      </c>
      <c r="F85" s="22">
        <v>0</v>
      </c>
      <c r="G85" s="22">
        <v>0</v>
      </c>
      <c r="H85" s="53">
        <f>IF(MONTH(F$82)=1,G85,G85-F85)</f>
        <v>0</v>
      </c>
    </row>
    <row r="86" spans="1:13" ht="22.5" outlineLevel="1" x14ac:dyDescent="0.2">
      <c r="A86" s="26" t="str">
        <f ca="1">OFFSET([1]Язык!$A748,0,LANGUAGE)</f>
        <v>Себестоимость проданных товаров, продукции, работ, услуг</v>
      </c>
      <c r="F86" s="22">
        <v>0</v>
      </c>
      <c r="G86" s="22">
        <v>0</v>
      </c>
      <c r="H86" s="53">
        <f>IF(MONTH(F$82)=1,G86,G86-F86)</f>
        <v>0</v>
      </c>
    </row>
    <row r="87" spans="1:13" outlineLevel="1" x14ac:dyDescent="0.2">
      <c r="A87" s="34" t="str">
        <f ca="1">OFFSET([1]Язык!$A749,0,LANGUAGE)</f>
        <v>Валовая прибыль</v>
      </c>
      <c r="B87" s="5"/>
      <c r="C87" s="5"/>
      <c r="D87" s="5"/>
      <c r="E87" s="5"/>
      <c r="F87" s="52">
        <f>F85-F86</f>
        <v>0</v>
      </c>
      <c r="G87" s="52">
        <f>G85-G86</f>
        <v>0</v>
      </c>
      <c r="H87" s="51">
        <f>IF(MONTH(F$82)=1,G87,G87-F87)</f>
        <v>0</v>
      </c>
    </row>
    <row r="88" spans="1:13" outlineLevel="1" x14ac:dyDescent="0.2">
      <c r="A88" s="1" t="str">
        <f ca="1">OFFSET([1]Язык!$A750,0,LANGUAGE)</f>
        <v>Коммерческие расходы</v>
      </c>
      <c r="F88" s="22">
        <v>0</v>
      </c>
      <c r="G88" s="22">
        <v>0</v>
      </c>
      <c r="H88" s="53">
        <f>IF(MONTH(F$82)=1,G88,G88-F88)</f>
        <v>0</v>
      </c>
    </row>
    <row r="89" spans="1:13" outlineLevel="1" x14ac:dyDescent="0.2">
      <c r="A89" s="1" t="str">
        <f ca="1">OFFSET([1]Язык!$A751,0,LANGUAGE)</f>
        <v>Управленческие расходы</v>
      </c>
      <c r="F89" s="22">
        <v>0</v>
      </c>
      <c r="G89" s="22">
        <v>0</v>
      </c>
      <c r="H89" s="53">
        <f>IF(MONTH(F$82)=1,G89,G89-F89)</f>
        <v>0</v>
      </c>
    </row>
    <row r="90" spans="1:13" outlineLevel="1" x14ac:dyDescent="0.2">
      <c r="A90" s="34" t="str">
        <f ca="1">OFFSET([1]Язык!$A752,0,LANGUAGE)</f>
        <v>Прибыль (убыток) от продаж</v>
      </c>
      <c r="B90" s="5"/>
      <c r="C90" s="5"/>
      <c r="D90" s="5"/>
      <c r="E90" s="5"/>
      <c r="F90" s="52">
        <f>F87-F88-F89</f>
        <v>0</v>
      </c>
      <c r="G90" s="52">
        <f>G87-G88-G89</f>
        <v>0</v>
      </c>
      <c r="H90" s="51">
        <f>IF(MONTH(F$82)=1,G90,G90-F90)</f>
        <v>0</v>
      </c>
    </row>
    <row r="91" spans="1:13" outlineLevel="1" x14ac:dyDescent="0.2">
      <c r="A91" s="1" t="str">
        <f ca="1">OFFSET([1]Язык!$A753,0,LANGUAGE)</f>
        <v>Прочие доходы и расходы</v>
      </c>
      <c r="F91" s="22">
        <v>0</v>
      </c>
      <c r="G91" s="22">
        <v>0</v>
      </c>
      <c r="H91" s="53">
        <f>IF(MONTH(F$82)=1,G91,G91-F91)</f>
        <v>0</v>
      </c>
    </row>
    <row r="92" spans="1:13" outlineLevel="1" x14ac:dyDescent="0.2">
      <c r="A92" s="1" t="str">
        <f ca="1">OFFSET([1]Язык!$A754,0,LANGUAGE)</f>
        <v>Проценты к получению</v>
      </c>
      <c r="F92" s="22">
        <v>0</v>
      </c>
      <c r="G92" s="22">
        <v>0</v>
      </c>
      <c r="H92" s="53">
        <f>IF(MONTH(F$82)=1,G92,G92-F92)</f>
        <v>0</v>
      </c>
    </row>
    <row r="93" spans="1:13" outlineLevel="1" x14ac:dyDescent="0.2">
      <c r="A93" s="1" t="str">
        <f ca="1">OFFSET([1]Язык!$A755,0,LANGUAGE)</f>
        <v>Проценты к уплате</v>
      </c>
      <c r="F93" s="22">
        <v>0</v>
      </c>
      <c r="G93" s="22">
        <v>0</v>
      </c>
      <c r="H93" s="53">
        <f>IF(MONTH(F$82)=1,G93,G93-F93)</f>
        <v>0</v>
      </c>
    </row>
    <row r="94" spans="1:13" outlineLevel="1" x14ac:dyDescent="0.2">
      <c r="A94" s="1" t="str">
        <f ca="1">OFFSET([1]Язык!$A756,0,LANGUAGE)</f>
        <v>Доходы от участия в других организациях</v>
      </c>
      <c r="F94" s="22">
        <v>0</v>
      </c>
      <c r="G94" s="22">
        <v>0</v>
      </c>
      <c r="H94" s="53">
        <f>IF(MONTH(F$82)=1,G94,G94-F94)</f>
        <v>0</v>
      </c>
    </row>
    <row r="95" spans="1:13" outlineLevel="1" x14ac:dyDescent="0.2">
      <c r="A95" s="1" t="str">
        <f ca="1">OFFSET([1]Язык!$A757,0,LANGUAGE)</f>
        <v>Прочие операционные доходы</v>
      </c>
      <c r="F95" s="22">
        <v>0</v>
      </c>
      <c r="G95" s="22">
        <v>0</v>
      </c>
      <c r="H95" s="53">
        <f>IF(MONTH(F$82)=1,G95,G95-F95)</f>
        <v>0</v>
      </c>
    </row>
    <row r="96" spans="1:13" outlineLevel="1" x14ac:dyDescent="0.2">
      <c r="A96" s="1" t="str">
        <f ca="1">OFFSET([1]Язык!$A758,0,LANGUAGE)</f>
        <v>Прочие операционные расходы</v>
      </c>
      <c r="F96" s="22">
        <v>0</v>
      </c>
      <c r="G96" s="22">
        <v>0</v>
      </c>
      <c r="H96" s="53">
        <f>IF(MONTH(F$82)=1,G96,G96-F96)</f>
        <v>0</v>
      </c>
    </row>
    <row r="97" spans="1:13" outlineLevel="1" x14ac:dyDescent="0.2">
      <c r="A97" s="1" t="str">
        <f ca="1">OFFSET([1]Язык!$A759,0,LANGUAGE)</f>
        <v>Внереализационные доходы</v>
      </c>
      <c r="F97" s="22">
        <v>0</v>
      </c>
      <c r="G97" s="22">
        <v>0</v>
      </c>
      <c r="H97" s="53">
        <f>IF(MONTH(F$82)=1,G97,G97-F97)</f>
        <v>0</v>
      </c>
    </row>
    <row r="98" spans="1:13" outlineLevel="1" x14ac:dyDescent="0.2">
      <c r="A98" s="1" t="str">
        <f ca="1">OFFSET([1]Язык!$A760,0,LANGUAGE)</f>
        <v>Внереализационные расходы</v>
      </c>
      <c r="F98" s="22">
        <v>0</v>
      </c>
      <c r="G98" s="22">
        <v>0</v>
      </c>
      <c r="H98" s="53">
        <f>IF(MONTH(F$82)=1,G98,G98-F98)</f>
        <v>0</v>
      </c>
    </row>
    <row r="99" spans="1:13" outlineLevel="1" x14ac:dyDescent="0.2">
      <c r="A99" s="34" t="str">
        <f ca="1">OFFSET([1]Язык!$A761,0,LANGUAGE)</f>
        <v>Прибыль (убыток) до налогообложения</v>
      </c>
      <c r="B99" s="5"/>
      <c r="C99" s="5"/>
      <c r="D99" s="5"/>
      <c r="E99" s="5"/>
      <c r="F99" s="52">
        <f>F90+F92-F93+F94+F95-F96+F97-F98</f>
        <v>0</v>
      </c>
      <c r="G99" s="52">
        <f>G90+G92-G93+G94+G95-G96+G97-G98</f>
        <v>0</v>
      </c>
      <c r="H99" s="51">
        <f>IF(MONTH(F$82)=1,G99,G99-F99)</f>
        <v>0</v>
      </c>
    </row>
    <row r="100" spans="1:13" outlineLevel="1" x14ac:dyDescent="0.2">
      <c r="A100" s="1" t="str">
        <f ca="1">OFFSET([1]Язык!$A762,0,LANGUAGE)</f>
        <v>Отложенные налоговые активы</v>
      </c>
      <c r="F100" s="22">
        <v>0</v>
      </c>
      <c r="G100" s="22">
        <v>0</v>
      </c>
      <c r="H100" s="53">
        <f>IF(MONTH(F$82)=1,G100,G100-F100)</f>
        <v>0</v>
      </c>
    </row>
    <row r="101" spans="1:13" outlineLevel="1" x14ac:dyDescent="0.2">
      <c r="A101" s="1" t="str">
        <f ca="1">OFFSET([1]Язык!$A763,0,LANGUAGE)</f>
        <v>Отложенные налоговые обязательства</v>
      </c>
      <c r="F101" s="22">
        <v>0</v>
      </c>
      <c r="G101" s="22">
        <v>0</v>
      </c>
      <c r="H101" s="53">
        <f>IF(MONTH(F$82)=1,G101,G101-F101)</f>
        <v>0</v>
      </c>
    </row>
    <row r="102" spans="1:13" outlineLevel="1" x14ac:dyDescent="0.2">
      <c r="A102" s="1" t="str">
        <f ca="1">OFFSET([1]Язык!$A764,0,LANGUAGE)</f>
        <v>Текущий налог на прибыль</v>
      </c>
      <c r="F102" s="22">
        <v>0</v>
      </c>
      <c r="G102" s="22">
        <v>0</v>
      </c>
      <c r="H102" s="53">
        <f>IF(MONTH(F$82)=1,G102,G102-F102)</f>
        <v>0</v>
      </c>
    </row>
    <row r="103" spans="1:13" outlineLevel="1" x14ac:dyDescent="0.2">
      <c r="A103" s="34" t="str">
        <f ca="1">OFFSET([1]Язык!$A765,0,LANGUAGE)</f>
        <v>Чистая прибыль (убыток) отчетного периода</v>
      </c>
      <c r="B103" s="5"/>
      <c r="C103" s="5"/>
      <c r="D103" s="5"/>
      <c r="E103" s="5"/>
      <c r="F103" s="52">
        <f>F99+F100-F101-F102</f>
        <v>0</v>
      </c>
      <c r="G103" s="52">
        <f>G99+G100-G101-G102</f>
        <v>0</v>
      </c>
      <c r="H103" s="51">
        <f>IF(MONTH(F$82)=1,G103,G103-F103)</f>
        <v>0</v>
      </c>
    </row>
    <row r="104" spans="1:13" outlineLevel="1" x14ac:dyDescent="0.2"/>
    <row r="105" spans="1:13" ht="12" outlineLevel="1" thickBot="1" x14ac:dyDescent="0.25"/>
    <row r="106" spans="1:13" s="3" customFormat="1" ht="15.95" customHeight="1" thickTop="1" thickBot="1" x14ac:dyDescent="0.25">
      <c r="A106" s="15" t="str">
        <f ca="1">OFFSET([1]Язык!$A766,0,LANGUAGE)</f>
        <v>ПРОГНОЗ ИЗМЕНЕНИЙ В ДЕЯТЕЛЬНОСТИ (БЕЗ УЧЕТА ПРОЕКТОВ)</v>
      </c>
      <c r="B106" s="13"/>
      <c r="C106" s="13"/>
      <c r="D106" s="15"/>
      <c r="E106" s="15"/>
      <c r="F106" s="14">
        <f>[1]Проект!G29</f>
        <v>40179</v>
      </c>
      <c r="G106" s="13">
        <f>PeriodTitle</f>
        <v>2012</v>
      </c>
      <c r="H106" s="13">
        <f>PeriodTitle</f>
        <v>2013</v>
      </c>
      <c r="I106" s="13">
        <f>PeriodTitle</f>
        <v>2014</v>
      </c>
      <c r="J106" s="13">
        <f>PeriodTitle</f>
        <v>2015</v>
      </c>
      <c r="K106" s="13">
        <f>PeriodTitle</f>
        <v>2016</v>
      </c>
      <c r="L106" s="13"/>
      <c r="M106" s="18" t="str">
        <f ca="1">OFFSET([1]Язык!$A$77,0,LANGUAGE)</f>
        <v>ИТОГО</v>
      </c>
    </row>
    <row r="107" spans="1:13" ht="12" outlineLevel="1" thickTop="1" x14ac:dyDescent="0.2"/>
    <row r="108" spans="1:13" outlineLevel="1" x14ac:dyDescent="0.2">
      <c r="A108" s="48" t="str">
        <f ca="1">OFFSET([1]Язык!$A$51,0,LANGUAGE)</f>
        <v>Метод расчета</v>
      </c>
      <c r="B108" s="50" t="str">
        <f ca="1">OFFSET([1]Язык!$A$68,F108-1,LANGUAGE)</f>
        <v>Текущие цены</v>
      </c>
      <c r="C108" s="49"/>
      <c r="D108" s="48" t="s">
        <v>5</v>
      </c>
      <c r="E108" s="48"/>
      <c r="F108" s="47">
        <v>2</v>
      </c>
      <c r="G108" s="46" t="str">
        <f ca="1">OFFSET([1]Язык!$A$70,F108-1,LANGUAGE)</f>
        <v>(инфляция учитывается)</v>
      </c>
    </row>
    <row r="109" spans="1:13" outlineLevel="1" x14ac:dyDescent="0.2"/>
    <row r="110" spans="1:13" outlineLevel="1" x14ac:dyDescent="0.2">
      <c r="A110" s="1" t="str">
        <f ca="1">OFFSET([1]Язык!$A767,0,LANGUAGE)</f>
        <v>Рост продаж в % к предыдущему периоду (без учета инфляции)</v>
      </c>
      <c r="C110" s="9" t="s">
        <v>4</v>
      </c>
      <c r="D110" s="1" t="s">
        <v>3</v>
      </c>
      <c r="G110" s="43">
        <v>0</v>
      </c>
      <c r="H110" s="43">
        <f>G110</f>
        <v>0</v>
      </c>
      <c r="I110" s="43">
        <f>H110</f>
        <v>0</v>
      </c>
      <c r="J110" s="43">
        <f>I110</f>
        <v>0</v>
      </c>
      <c r="K110" s="43">
        <f>J110</f>
        <v>0</v>
      </c>
      <c r="L110" s="45"/>
      <c r="M110" s="44"/>
    </row>
    <row r="111" spans="1:13" outlineLevel="1" x14ac:dyDescent="0.2">
      <c r="A111" s="1" t="str">
        <f ca="1">OFFSET([1]Язык!$A768,0,LANGUAGE)</f>
        <v>Темпы прироста цен в следствии инфляции</v>
      </c>
      <c r="C111" s="9" t="s">
        <v>4</v>
      </c>
      <c r="D111" s="1" t="s">
        <v>3</v>
      </c>
      <c r="G111" s="29">
        <f>IF($F108=2,[1]Проект!G92*Компания!G112+[1]Проект!G102*(1-Компания!G112),0)</f>
        <v>0.10000000000000009</v>
      </c>
      <c r="H111" s="29">
        <f>IF($F108=2,[1]Проект!H92*Компания!H112+[1]Проект!H102*(1-Компания!H112),0)</f>
        <v>0.10000000000000009</v>
      </c>
      <c r="I111" s="29">
        <f>IF($F108=2,[1]Проект!I92*Компания!I112+[1]Проект!I102*(1-Компания!I112),0)</f>
        <v>0.10000000000000009</v>
      </c>
      <c r="J111" s="29">
        <f>IF($F108=2,[1]Проект!J92*Компания!J112+[1]Проект!J102*(1-Компания!J112),0)</f>
        <v>0.10000000000000009</v>
      </c>
      <c r="K111" s="29">
        <f>IF($F108=2,[1]Проект!K92*Компания!K112+[1]Проект!K102*(1-Компания!K112),0)</f>
        <v>0.10000000000000009</v>
      </c>
      <c r="L111" s="45"/>
      <c r="M111" s="44"/>
    </row>
    <row r="112" spans="1:13" outlineLevel="1" x14ac:dyDescent="0.2">
      <c r="A112" s="1" t="str">
        <f ca="1">OFFSET([1]Язык!$A769,0,LANGUAGE)</f>
        <v>Доля продукции, реализуемой на внутреннем рынке</v>
      </c>
      <c r="C112" s="9" t="s">
        <v>4</v>
      </c>
      <c r="D112" s="1" t="s">
        <v>1</v>
      </c>
      <c r="F112" s="43">
        <v>1</v>
      </c>
      <c r="G112" s="43">
        <f>F112</f>
        <v>1</v>
      </c>
      <c r="H112" s="43">
        <f>G112</f>
        <v>1</v>
      </c>
      <c r="I112" s="43">
        <f>H112</f>
        <v>1</v>
      </c>
      <c r="J112" s="43">
        <f>I112</f>
        <v>1</v>
      </c>
      <c r="K112" s="43">
        <f>J112</f>
        <v>1</v>
      </c>
      <c r="L112" s="45"/>
      <c r="M112" s="45"/>
    </row>
    <row r="113" spans="1:13" outlineLevel="1" x14ac:dyDescent="0.2">
      <c r="C113" s="9"/>
    </row>
    <row r="114" spans="1:13" outlineLevel="1" x14ac:dyDescent="0.2">
      <c r="A114" s="42" t="str">
        <f ca="1">OFFSET([1]Язык!$A770,0,LANGUAGE)</f>
        <v>Выручка от реализации по действующему производству</v>
      </c>
      <c r="C114" s="9" t="str">
        <f ca="1">CUR_Main</f>
        <v>$</v>
      </c>
      <c r="D114" s="1" t="s">
        <v>3</v>
      </c>
      <c r="F114" s="2">
        <f>H85</f>
        <v>0</v>
      </c>
      <c r="G114" s="2">
        <f>F114*(1+G110)*(1+G111)</f>
        <v>0</v>
      </c>
      <c r="H114" s="2">
        <f>G114*(1+H110)*(1+H111)</f>
        <v>0</v>
      </c>
      <c r="I114" s="2">
        <f>H114*(1+I110)*(1+I111)</f>
        <v>0</v>
      </c>
      <c r="J114" s="2">
        <f>I114*(1+J110)*(1+J111)</f>
        <v>0</v>
      </c>
      <c r="K114" s="2">
        <f>J114*(1+K110)*(1+K111)</f>
        <v>0</v>
      </c>
      <c r="L114" s="2"/>
      <c r="M114" s="17">
        <f>SUM(F114:K114)</f>
        <v>0</v>
      </c>
    </row>
    <row r="115" spans="1:13" outlineLevel="1" x14ac:dyDescent="0.2">
      <c r="A115" s="1" t="str">
        <f ca="1">OFFSET([1]Язык!$A771,0,LANGUAGE)</f>
        <v>НДС к выручке</v>
      </c>
      <c r="B115" s="20">
        <f>VAT</f>
        <v>0.12</v>
      </c>
      <c r="C115" s="9" t="str">
        <f ca="1">CUR_Main</f>
        <v>$</v>
      </c>
      <c r="D115" s="1" t="s">
        <v>3</v>
      </c>
      <c r="F115" s="2">
        <f>F114*$B115*F112</f>
        <v>0</v>
      </c>
      <c r="G115" s="2">
        <f>G114*$B115*G112</f>
        <v>0</v>
      </c>
      <c r="H115" s="2">
        <f>H114*$B115*H112</f>
        <v>0</v>
      </c>
      <c r="I115" s="2">
        <f>I114*$B115*I112</f>
        <v>0</v>
      </c>
      <c r="J115" s="2">
        <f>J114*$B115*J112</f>
        <v>0</v>
      </c>
      <c r="K115" s="2">
        <f>K114*$B115*K112</f>
        <v>0</v>
      </c>
      <c r="L115" s="2"/>
      <c r="M115" s="17">
        <f>SUM(F115:K115)</f>
        <v>0</v>
      </c>
    </row>
    <row r="116" spans="1:13" outlineLevel="1" x14ac:dyDescent="0.2">
      <c r="C116" s="9"/>
    </row>
    <row r="117" spans="1:13" outlineLevel="1" x14ac:dyDescent="0.2">
      <c r="A117" s="1" t="str">
        <f ca="1">OFFSET([1]Язык!$A772,0,LANGUAGE)</f>
        <v>Рост затрат в % к предыдущему периоду (без учета инфляции)</v>
      </c>
      <c r="C117" s="9" t="s">
        <v>4</v>
      </c>
      <c r="D117" s="1" t="s">
        <v>3</v>
      </c>
      <c r="G117" s="43">
        <v>0</v>
      </c>
      <c r="H117" s="43">
        <f>G117</f>
        <v>0</v>
      </c>
      <c r="I117" s="43">
        <f>H117</f>
        <v>0</v>
      </c>
      <c r="J117" s="43">
        <f>I117</f>
        <v>0</v>
      </c>
      <c r="K117" s="43">
        <f>J117</f>
        <v>0</v>
      </c>
      <c r="L117" s="29"/>
      <c r="M117" s="44"/>
    </row>
    <row r="118" spans="1:13" outlineLevel="1" x14ac:dyDescent="0.2">
      <c r="A118" s="1" t="str">
        <f ca="1">OFFSET([1]Язык!$A773,0,LANGUAGE)</f>
        <v>Темпы прироста затрат в следствии инфляции</v>
      </c>
      <c r="C118" s="9" t="s">
        <v>4</v>
      </c>
      <c r="D118" s="1" t="s">
        <v>3</v>
      </c>
      <c r="G118" s="29">
        <f>IF($F108=2,[1]Проект!G92*Компания!G119+[1]Проект!G102*(1-Компания!G119),0)</f>
        <v>0.10000000000000009</v>
      </c>
      <c r="H118" s="29">
        <f>IF($F108=2,[1]Проект!H92*Компания!H119+[1]Проект!H102*(1-Компания!H119),0)</f>
        <v>0.10000000000000009</v>
      </c>
      <c r="I118" s="29">
        <f>IF($F108=2,[1]Проект!I92*Компания!I119+[1]Проект!I102*(1-Компания!I119),0)</f>
        <v>0.10000000000000009</v>
      </c>
      <c r="J118" s="29">
        <f>IF($F108=2,[1]Проект!J92*Компания!J119+[1]Проект!J102*(1-Компания!J119),0)</f>
        <v>0.10000000000000009</v>
      </c>
      <c r="K118" s="29">
        <f>IF($F108=2,[1]Проект!K92*Компания!K119+[1]Проект!K102*(1-Компания!K119),0)</f>
        <v>0.10000000000000009</v>
      </c>
      <c r="L118" s="29"/>
      <c r="M118" s="44"/>
    </row>
    <row r="119" spans="1:13" outlineLevel="1" x14ac:dyDescent="0.2">
      <c r="A119" s="1" t="str">
        <f ca="1">OFFSET([1]Язык!$A774,0,LANGUAGE)</f>
        <v>Доля ресурсов, закупаемых на внутреннем рынке</v>
      </c>
      <c r="C119" s="9" t="s">
        <v>4</v>
      </c>
      <c r="D119" s="1" t="s">
        <v>1</v>
      </c>
      <c r="G119" s="43">
        <v>1</v>
      </c>
      <c r="H119" s="43">
        <f>G119</f>
        <v>1</v>
      </c>
      <c r="I119" s="43">
        <f>H119</f>
        <v>1</v>
      </c>
      <c r="J119" s="43">
        <f>I119</f>
        <v>1</v>
      </c>
      <c r="K119" s="43">
        <f>J119</f>
        <v>1</v>
      </c>
      <c r="L119" s="29"/>
      <c r="M119" s="29"/>
    </row>
    <row r="120" spans="1:13" outlineLevel="1" x14ac:dyDescent="0.2">
      <c r="C120" s="9"/>
    </row>
    <row r="121" spans="1:13" outlineLevel="1" x14ac:dyDescent="0.2">
      <c r="A121" s="42" t="str">
        <f ca="1">OFFSET([1]Язык!$A775,0,LANGUAGE)</f>
        <v>Текущие затраты по действующему производству</v>
      </c>
      <c r="C121" s="9" t="str">
        <f ca="1">CUR_Main</f>
        <v>$</v>
      </c>
      <c r="D121" s="1" t="s">
        <v>3</v>
      </c>
      <c r="F121" s="2">
        <f>H86+H88+H89</f>
        <v>0</v>
      </c>
      <c r="G121" s="2">
        <f>SUM(G123:G130)</f>
        <v>0</v>
      </c>
      <c r="H121" s="2">
        <f>SUM(H123:H130)</f>
        <v>0</v>
      </c>
      <c r="I121" s="2">
        <f>SUM(I123:I130)</f>
        <v>0</v>
      </c>
      <c r="J121" s="2">
        <f>SUM(J123:J130)</f>
        <v>0</v>
      </c>
      <c r="K121" s="2">
        <f>SUM(K123:K130)</f>
        <v>0</v>
      </c>
      <c r="L121" s="2"/>
      <c r="M121" s="17">
        <f>SUM(F121:K121)</f>
        <v>0</v>
      </c>
    </row>
    <row r="122" spans="1:13" outlineLevel="1" x14ac:dyDescent="0.2">
      <c r="A122" s="1" t="str">
        <f ca="1">OFFSET([1]Язык!$A776,0,LANGUAGE)</f>
        <v xml:space="preserve">    Структура затрат (в % от суммарных затрат)</v>
      </c>
      <c r="B122" s="41" t="str">
        <f ca="1">OFFSET([1]Язык!$A835,0,LANGUAGE)</f>
        <v>Доля</v>
      </c>
      <c r="C122" s="40" t="str">
        <f>IF(OR(D122&lt;0.999,D122&gt;1.001),"≠ 100% !!!","")</f>
        <v/>
      </c>
      <c r="D122" s="30">
        <f>SUM(B123:B130)</f>
        <v>1</v>
      </c>
      <c r="F122" s="2"/>
      <c r="G122" s="2"/>
      <c r="H122" s="2"/>
      <c r="I122" s="2"/>
      <c r="J122" s="2"/>
      <c r="K122" s="2"/>
      <c r="L122" s="2"/>
      <c r="M122" s="17"/>
    </row>
    <row r="123" spans="1:13" outlineLevel="1" x14ac:dyDescent="0.2">
      <c r="A123" s="1" t="str">
        <f ca="1">OFFSET([1]Язык!$A777,0,LANGUAGE)</f>
        <v xml:space="preserve">      материалы и комплектующие</v>
      </c>
      <c r="B123" s="39">
        <v>1</v>
      </c>
      <c r="C123" s="9" t="str">
        <f ca="1">CUR_Main</f>
        <v>$</v>
      </c>
      <c r="D123" s="1" t="s">
        <v>3</v>
      </c>
      <c r="F123" s="2">
        <f>F$121*$B123</f>
        <v>0</v>
      </c>
      <c r="G123" s="2">
        <f>F123*(1+G$117)*(1+G$118)</f>
        <v>0</v>
      </c>
      <c r="H123" s="2">
        <f>G123*(1+H$117)*(1+H$118)</f>
        <v>0</v>
      </c>
      <c r="I123" s="2">
        <f>H123*(1+I$117)*(1+I$118)</f>
        <v>0</v>
      </c>
      <c r="J123" s="2">
        <f>I123*(1+J$117)*(1+J$118)</f>
        <v>0</v>
      </c>
      <c r="K123" s="2">
        <f>J123*(1+K$117)*(1+K$118)</f>
        <v>0</v>
      </c>
      <c r="L123" s="2"/>
      <c r="M123" s="17">
        <f>SUM(F123:K123)</f>
        <v>0</v>
      </c>
    </row>
    <row r="124" spans="1:13" outlineLevel="1" x14ac:dyDescent="0.2">
      <c r="A124" s="1" t="str">
        <f ca="1">OFFSET([1]Язык!$A778,0,LANGUAGE)</f>
        <v xml:space="preserve">      оплата труда</v>
      </c>
      <c r="B124" s="39">
        <v>0</v>
      </c>
      <c r="C124" s="9" t="str">
        <f ca="1">CUR_Main</f>
        <v>$</v>
      </c>
      <c r="D124" s="1" t="s">
        <v>3</v>
      </c>
      <c r="F124" s="2">
        <f>F$121*$B124</f>
        <v>0</v>
      </c>
      <c r="G124" s="2">
        <f>F124*(1+G$117)*(1+G$118)</f>
        <v>0</v>
      </c>
      <c r="H124" s="2">
        <f>G124*(1+H$117)*(1+H$118)</f>
        <v>0</v>
      </c>
      <c r="I124" s="2">
        <f>H124*(1+I$117)*(1+I$118)</f>
        <v>0</v>
      </c>
      <c r="J124" s="2">
        <f>I124*(1+J$117)*(1+J$118)</f>
        <v>0</v>
      </c>
      <c r="K124" s="2">
        <f>J124*(1+K$117)*(1+K$118)</f>
        <v>0</v>
      </c>
      <c r="L124" s="2"/>
      <c r="M124" s="17">
        <f>SUM(F124:K124)</f>
        <v>0</v>
      </c>
    </row>
    <row r="125" spans="1:13" outlineLevel="1" x14ac:dyDescent="0.2">
      <c r="A125" s="1" t="str">
        <f ca="1">OFFSET([1]Язык!$A779,0,LANGUAGE)</f>
        <v xml:space="preserve">      налоги, относимые на текущие затраты</v>
      </c>
      <c r="B125" s="39">
        <v>0</v>
      </c>
      <c r="C125" s="9" t="str">
        <f ca="1">CUR_Main</f>
        <v>$</v>
      </c>
      <c r="D125" s="1" t="s">
        <v>3</v>
      </c>
      <c r="F125" s="2">
        <f>F$121*$B125</f>
        <v>0</v>
      </c>
      <c r="G125" s="2">
        <f>F125*(1+G$117)*(1+G$118)</f>
        <v>0</v>
      </c>
      <c r="H125" s="2">
        <f>G125*(1+H$117)*(1+H$118)</f>
        <v>0</v>
      </c>
      <c r="I125" s="2">
        <f>H125*(1+I$117)*(1+I$118)</f>
        <v>0</v>
      </c>
      <c r="J125" s="2">
        <f>I125*(1+J$117)*(1+J$118)</f>
        <v>0</v>
      </c>
      <c r="K125" s="2">
        <f>J125*(1+K$117)*(1+K$118)</f>
        <v>0</v>
      </c>
      <c r="L125" s="2"/>
      <c r="M125" s="17">
        <f>SUM(F125:K125)</f>
        <v>0</v>
      </c>
    </row>
    <row r="126" spans="1:13" outlineLevel="1" x14ac:dyDescent="0.2">
      <c r="A126" s="1" t="str">
        <f ca="1">OFFSET([1]Язык!$A780,0,LANGUAGE)</f>
        <v xml:space="preserve">      производственные расходы</v>
      </c>
      <c r="B126" s="39">
        <v>0</v>
      </c>
      <c r="C126" s="9" t="str">
        <f ca="1">CUR_Main</f>
        <v>$</v>
      </c>
      <c r="D126" s="1" t="s">
        <v>3</v>
      </c>
      <c r="F126" s="2">
        <f>F$121*$B126</f>
        <v>0</v>
      </c>
      <c r="G126" s="2">
        <f>F126*(1+G$117)*(1+G$118)</f>
        <v>0</v>
      </c>
      <c r="H126" s="2">
        <f>G126*(1+H$117)*(1+H$118)</f>
        <v>0</v>
      </c>
      <c r="I126" s="2">
        <f>H126*(1+I$117)*(1+I$118)</f>
        <v>0</v>
      </c>
      <c r="J126" s="2">
        <f>I126*(1+J$117)*(1+J$118)</f>
        <v>0</v>
      </c>
      <c r="K126" s="2">
        <f>J126*(1+K$117)*(1+K$118)</f>
        <v>0</v>
      </c>
      <c r="L126" s="2"/>
      <c r="M126" s="17">
        <f>SUM(F126:K126)</f>
        <v>0</v>
      </c>
    </row>
    <row r="127" spans="1:13" outlineLevel="1" x14ac:dyDescent="0.2">
      <c r="A127" s="1" t="str">
        <f ca="1">OFFSET([1]Язык!$A781,0,LANGUAGE)</f>
        <v xml:space="preserve">      начисленные лизинговые платежи</v>
      </c>
      <c r="B127" s="39">
        <v>0</v>
      </c>
      <c r="C127" s="9" t="str">
        <f ca="1">CUR_Main</f>
        <v>$</v>
      </c>
      <c r="D127" s="1" t="s">
        <v>3</v>
      </c>
      <c r="F127" s="2">
        <f>F$121*$B127</f>
        <v>0</v>
      </c>
      <c r="G127" s="2">
        <f>F127*(1+G$117)*(1+G$118)</f>
        <v>0</v>
      </c>
      <c r="H127" s="2">
        <f>G127*(1+H$117)*(1+H$118)</f>
        <v>0</v>
      </c>
      <c r="I127" s="2">
        <f>H127*(1+I$117)*(1+I$118)</f>
        <v>0</v>
      </c>
      <c r="J127" s="2">
        <f>I127*(1+J$117)*(1+J$118)</f>
        <v>0</v>
      </c>
      <c r="K127" s="2">
        <f>J127*(1+K$117)*(1+K$118)</f>
        <v>0</v>
      </c>
      <c r="L127" s="2"/>
      <c r="M127" s="17">
        <f>SUM(F127:K127)</f>
        <v>0</v>
      </c>
    </row>
    <row r="128" spans="1:13" outlineLevel="1" x14ac:dyDescent="0.2">
      <c r="A128" s="1" t="str">
        <f ca="1">OFFSET([1]Язык!$A782,0,LANGUAGE)</f>
        <v xml:space="preserve">      амортизация</v>
      </c>
      <c r="B128" s="39">
        <v>0</v>
      </c>
      <c r="C128" s="9" t="str">
        <f ca="1">CUR_Main</f>
        <v>$</v>
      </c>
      <c r="D128" s="1" t="s">
        <v>3</v>
      </c>
      <c r="F128" s="2">
        <f>F$121*$B128</f>
        <v>0</v>
      </c>
      <c r="G128" s="2">
        <f>G169</f>
        <v>0</v>
      </c>
      <c r="H128" s="2">
        <f>H169</f>
        <v>0</v>
      </c>
      <c r="I128" s="2">
        <f>I169</f>
        <v>0</v>
      </c>
      <c r="J128" s="2">
        <f>J169</f>
        <v>0</v>
      </c>
      <c r="K128" s="2">
        <f>K169</f>
        <v>0</v>
      </c>
      <c r="L128" s="2"/>
      <c r="M128" s="17">
        <f>SUM(F128:K128)</f>
        <v>0</v>
      </c>
    </row>
    <row r="129" spans="1:13" outlineLevel="1" x14ac:dyDescent="0.2">
      <c r="A129" s="1" t="str">
        <f ca="1">OFFSET([1]Язык!$A783,0,LANGUAGE)</f>
        <v xml:space="preserve">      коммерческие расходы</v>
      </c>
      <c r="B129" s="39">
        <v>0</v>
      </c>
      <c r="C129" s="9" t="str">
        <f ca="1">CUR_Main</f>
        <v>$</v>
      </c>
      <c r="D129" s="1" t="s">
        <v>3</v>
      </c>
      <c r="F129" s="2">
        <f>F$121*$B129</f>
        <v>0</v>
      </c>
      <c r="G129" s="2">
        <f>F129*(1+G$117)*(1+G$118)</f>
        <v>0</v>
      </c>
      <c r="H129" s="2">
        <f>G129*(1+H$117)*(1+H$118)</f>
        <v>0</v>
      </c>
      <c r="I129" s="2">
        <f>H129*(1+I$117)*(1+I$118)</f>
        <v>0</v>
      </c>
      <c r="J129" s="2">
        <f>I129*(1+J$117)*(1+J$118)</f>
        <v>0</v>
      </c>
      <c r="K129" s="2">
        <f>J129*(1+K$117)*(1+K$118)</f>
        <v>0</v>
      </c>
      <c r="L129" s="2"/>
      <c r="M129" s="17">
        <f>SUM(F129:K129)</f>
        <v>0</v>
      </c>
    </row>
    <row r="130" spans="1:13" outlineLevel="1" x14ac:dyDescent="0.2">
      <c r="A130" s="1" t="str">
        <f ca="1">OFFSET([1]Язык!$A784,0,LANGUAGE)</f>
        <v xml:space="preserve">      управленческие расходы</v>
      </c>
      <c r="B130" s="38">
        <v>0</v>
      </c>
      <c r="C130" s="9" t="str">
        <f ca="1">CUR_Main</f>
        <v>$</v>
      </c>
      <c r="D130" s="1" t="s">
        <v>3</v>
      </c>
      <c r="F130" s="2">
        <f>F$121*$B130</f>
        <v>0</v>
      </c>
      <c r="G130" s="2">
        <f>F130*(1+G$117)*(1+G$118)</f>
        <v>0</v>
      </c>
      <c r="H130" s="2">
        <f>G130*(1+H$117)*(1+H$118)</f>
        <v>0</v>
      </c>
      <c r="I130" s="2">
        <f>H130*(1+I$117)*(1+I$118)</f>
        <v>0</v>
      </c>
      <c r="J130" s="2">
        <f>I130*(1+J$117)*(1+J$118)</f>
        <v>0</v>
      </c>
      <c r="K130" s="2">
        <f>J130*(1+K$117)*(1+K$118)</f>
        <v>0</v>
      </c>
      <c r="L130" s="2"/>
      <c r="M130" s="17">
        <f>SUM(F130:K130)</f>
        <v>0</v>
      </c>
    </row>
    <row r="131" spans="1:13" outlineLevel="1" x14ac:dyDescent="0.2">
      <c r="A131" s="5" t="str">
        <f ca="1">OFFSET([1]Язык!$A785,0,LANGUAGE)</f>
        <v>НДС к затратам</v>
      </c>
      <c r="B131" s="37">
        <f>VAT</f>
        <v>0.12</v>
      </c>
      <c r="C131" s="6" t="str">
        <f ca="1">CUR_Main</f>
        <v>$</v>
      </c>
      <c r="D131" s="5" t="s">
        <v>3</v>
      </c>
      <c r="E131" s="5"/>
      <c r="F131" s="4">
        <f>(F123+F126+F129+F130)*$B131</f>
        <v>0</v>
      </c>
      <c r="G131" s="4">
        <f>(G123+G126+G129+G130)*$B131</f>
        <v>0</v>
      </c>
      <c r="H131" s="4">
        <f>(H123+H126+H129+H130)*$B131</f>
        <v>0</v>
      </c>
      <c r="I131" s="4">
        <f>(I123+I126+I129+I130)*$B131</f>
        <v>0</v>
      </c>
      <c r="J131" s="4">
        <f>(J123+J126+J129+J130)*$B131</f>
        <v>0</v>
      </c>
      <c r="K131" s="4">
        <f>(K123+K126+K129+K130)*$B131</f>
        <v>0</v>
      </c>
      <c r="L131" s="4"/>
      <c r="M131" s="19">
        <f>SUM(F131:K131)</f>
        <v>0</v>
      </c>
    </row>
    <row r="132" spans="1:13" outlineLevel="1" x14ac:dyDescent="0.2"/>
    <row r="133" spans="1:13" ht="12" outlineLevel="1" thickBot="1" x14ac:dyDescent="0.25"/>
    <row r="134" spans="1:13" s="3" customFormat="1" ht="15.95" customHeight="1" thickTop="1" thickBot="1" x14ac:dyDescent="0.25">
      <c r="A134" s="15" t="str">
        <f ca="1">OFFSET([1]Язык!$A786,0,LANGUAGE)</f>
        <v>ОБОРОТНЫЙ КАПИТАЛ</v>
      </c>
      <c r="B134" s="13"/>
      <c r="C134" s="13"/>
      <c r="D134" s="15"/>
      <c r="E134" s="15"/>
      <c r="F134" s="14">
        <f>[1]Проект!G29</f>
        <v>40179</v>
      </c>
      <c r="G134" s="13">
        <f>PeriodTitle</f>
        <v>2012</v>
      </c>
      <c r="H134" s="13">
        <f>PeriodTitle</f>
        <v>2013</v>
      </c>
      <c r="I134" s="13">
        <f>PeriodTitle</f>
        <v>2014</v>
      </c>
      <c r="J134" s="13">
        <f>PeriodTitle</f>
        <v>2015</v>
      </c>
      <c r="K134" s="13">
        <f>PeriodTitle</f>
        <v>2016</v>
      </c>
      <c r="L134" s="13"/>
      <c r="M134" s="36"/>
    </row>
    <row r="135" spans="1:13" ht="12" outlineLevel="1" thickTop="1" x14ac:dyDescent="0.2"/>
    <row r="136" spans="1:13" outlineLevel="1" x14ac:dyDescent="0.2">
      <c r="B136" s="9" t="s">
        <v>2</v>
      </c>
    </row>
    <row r="137" spans="1:13" outlineLevel="1" x14ac:dyDescent="0.2">
      <c r="A137" s="1" t="str">
        <f ca="1">OFFSET([1]Язык!$A787,0,LANGUAGE)</f>
        <v>Запасы материалов и комплектующих</v>
      </c>
      <c r="B137" s="35">
        <f>IF(F121&gt;0,G30/F121*PRJ_Step,0)</f>
        <v>0</v>
      </c>
      <c r="C137" s="9" t="str">
        <f ca="1">CUR_Main</f>
        <v>$</v>
      </c>
      <c r="D137" s="1" t="s">
        <v>0</v>
      </c>
      <c r="F137" s="2">
        <f>G30</f>
        <v>0</v>
      </c>
      <c r="G137" s="2">
        <f>G$121*$B137/PRJ_Step</f>
        <v>0</v>
      </c>
      <c r="H137" s="2">
        <f>H$121*$B137/PRJ_Step</f>
        <v>0</v>
      </c>
      <c r="I137" s="2">
        <f>I$121*$B137/PRJ_Step</f>
        <v>0</v>
      </c>
      <c r="J137" s="2">
        <f>J$121*$B137/PRJ_Step</f>
        <v>0</v>
      </c>
      <c r="K137" s="2">
        <f>K$121*$B137/PRJ_Step</f>
        <v>0</v>
      </c>
      <c r="L137" s="2"/>
      <c r="M137" s="2"/>
    </row>
    <row r="138" spans="1:13" outlineLevel="1" x14ac:dyDescent="0.2">
      <c r="A138" s="1" t="str">
        <f ca="1">OFFSET([1]Язык!$A788,0,LANGUAGE)</f>
        <v>Незавершенное производство</v>
      </c>
      <c r="B138" s="35">
        <f>IF(F121&gt;0,G32/F121*PRJ_Step,0)</f>
        <v>0</v>
      </c>
      <c r="C138" s="9" t="str">
        <f ca="1">CUR_Main</f>
        <v>$</v>
      </c>
      <c r="D138" s="1" t="s">
        <v>0</v>
      </c>
      <c r="F138" s="2">
        <f>G31+G32</f>
        <v>0</v>
      </c>
      <c r="G138" s="2">
        <f>G$121*$B138/PRJ_Step</f>
        <v>0</v>
      </c>
      <c r="H138" s="2">
        <f>H$121*$B138/PRJ_Step</f>
        <v>0</v>
      </c>
      <c r="I138" s="2">
        <f>I$121*$B138/PRJ_Step</f>
        <v>0</v>
      </c>
      <c r="J138" s="2">
        <f>J$121*$B138/PRJ_Step</f>
        <v>0</v>
      </c>
      <c r="K138" s="2">
        <f>K$121*$B138/PRJ_Step</f>
        <v>0</v>
      </c>
      <c r="L138" s="2"/>
      <c r="M138" s="2"/>
    </row>
    <row r="139" spans="1:13" outlineLevel="1" x14ac:dyDescent="0.2">
      <c r="A139" s="1" t="str">
        <f ca="1">OFFSET([1]Язык!$A789,0,LANGUAGE)</f>
        <v>Готовая продукция</v>
      </c>
      <c r="B139" s="35">
        <f>IF(F121&gt;0,(G33+G34)/F121*PRJ_Step,0)</f>
        <v>0</v>
      </c>
      <c r="C139" s="9" t="str">
        <f ca="1">CUR_Main</f>
        <v>$</v>
      </c>
      <c r="D139" s="1" t="s">
        <v>0</v>
      </c>
      <c r="F139" s="2">
        <f>G33+G34</f>
        <v>0</v>
      </c>
      <c r="G139" s="2">
        <f>G$121*$B139/PRJ_Step</f>
        <v>0</v>
      </c>
      <c r="H139" s="2">
        <f>H$121*$B139/PRJ_Step</f>
        <v>0</v>
      </c>
      <c r="I139" s="2">
        <f>I$121*$B139/PRJ_Step</f>
        <v>0</v>
      </c>
      <c r="J139" s="2">
        <f>J$121*$B139/PRJ_Step</f>
        <v>0</v>
      </c>
      <c r="K139" s="2">
        <f>K$121*$B139/PRJ_Step</f>
        <v>0</v>
      </c>
      <c r="L139" s="2"/>
      <c r="M139" s="2"/>
    </row>
    <row r="140" spans="1:13" outlineLevel="1" x14ac:dyDescent="0.2">
      <c r="A140" s="1" t="str">
        <f ca="1">OFFSET([1]Язык!$A790,0,LANGUAGE)</f>
        <v>Дебиторская задолженность</v>
      </c>
      <c r="B140" s="35">
        <f>IF(F114&gt;0,(G38+G40)/F114*PRJ_Step,0)</f>
        <v>0</v>
      </c>
      <c r="C140" s="9" t="str">
        <f ca="1">CUR_Main</f>
        <v>$</v>
      </c>
      <c r="D140" s="1" t="s">
        <v>0</v>
      </c>
      <c r="F140" s="2">
        <f>G38+G40</f>
        <v>0</v>
      </c>
      <c r="G140" s="2">
        <f>G$114*$B140/PRJ_Step</f>
        <v>0</v>
      </c>
      <c r="H140" s="2">
        <f>H$114*$B140/PRJ_Step</f>
        <v>0</v>
      </c>
      <c r="I140" s="2">
        <f>I$114*$B140/PRJ_Step</f>
        <v>0</v>
      </c>
      <c r="J140" s="2">
        <f>J$114*$B140/PRJ_Step</f>
        <v>0</v>
      </c>
      <c r="K140" s="2">
        <f>K$114*$B140/PRJ_Step</f>
        <v>0</v>
      </c>
      <c r="L140" s="2"/>
      <c r="M140" s="2"/>
    </row>
    <row r="141" spans="1:13" outlineLevel="1" x14ac:dyDescent="0.2">
      <c r="A141" s="1" t="str">
        <f ca="1">OFFSET([1]Язык!$A791,0,LANGUAGE)</f>
        <v>Авансы уплаченные</v>
      </c>
      <c r="B141" s="35">
        <v>0</v>
      </c>
      <c r="C141" s="9" t="str">
        <f ca="1">CUR_Main</f>
        <v>$</v>
      </c>
      <c r="D141" s="1" t="s">
        <v>0</v>
      </c>
      <c r="F141" s="2">
        <v>0</v>
      </c>
      <c r="G141" s="2">
        <f>G$121*$B141/PRJ_Step</f>
        <v>0</v>
      </c>
      <c r="H141" s="2">
        <f>H$121*$B141/PRJ_Step</f>
        <v>0</v>
      </c>
      <c r="I141" s="2">
        <f>I$121*$B141/PRJ_Step</f>
        <v>0</v>
      </c>
      <c r="J141" s="2">
        <f>J$121*$B141/PRJ_Step</f>
        <v>0</v>
      </c>
      <c r="K141" s="2">
        <f>K$121*$B141/PRJ_Step</f>
        <v>0</v>
      </c>
      <c r="L141" s="2"/>
      <c r="M141" s="2"/>
    </row>
    <row r="142" spans="1:13" outlineLevel="1" x14ac:dyDescent="0.2">
      <c r="A142" s="1" t="str">
        <f ca="1">OFFSET([1]Язык!$A792,0,LANGUAGE)</f>
        <v>НДС уплаченный</v>
      </c>
      <c r="B142" s="35">
        <f>IF(F121&gt;0,G37/F121*PRJ_Step,0)</f>
        <v>0</v>
      </c>
      <c r="C142" s="9" t="str">
        <f ca="1">CUR_Main</f>
        <v>$</v>
      </c>
      <c r="D142" s="1" t="s">
        <v>0</v>
      </c>
      <c r="F142" s="2">
        <f>G37</f>
        <v>0</v>
      </c>
      <c r="G142" s="2">
        <f>G$121*$B142/PRJ_Step</f>
        <v>0</v>
      </c>
      <c r="H142" s="2">
        <f>H$121*$B142/PRJ_Step</f>
        <v>0</v>
      </c>
      <c r="I142" s="2">
        <f>I$121*$B142/PRJ_Step</f>
        <v>0</v>
      </c>
      <c r="J142" s="2">
        <f>J$121*$B142/PRJ_Step</f>
        <v>0</v>
      </c>
      <c r="K142" s="2">
        <f>K$121*$B142/PRJ_Step</f>
        <v>0</v>
      </c>
      <c r="L142" s="2"/>
      <c r="M142" s="2"/>
    </row>
    <row r="143" spans="1:13" outlineLevel="1" x14ac:dyDescent="0.2">
      <c r="F143" s="2"/>
      <c r="G143" s="2"/>
      <c r="H143" s="2"/>
      <c r="I143" s="2"/>
      <c r="J143" s="2"/>
      <c r="K143" s="2"/>
      <c r="L143" s="2"/>
      <c r="M143" s="2"/>
    </row>
    <row r="144" spans="1:13" outlineLevel="1" x14ac:dyDescent="0.2">
      <c r="A144" s="1" t="str">
        <f ca="1">OFFSET([1]Язык!$A793,0,LANGUAGE)</f>
        <v>= Оборотные активы</v>
      </c>
      <c r="C144" s="9" t="str">
        <f ca="1">CUR_Main</f>
        <v>$</v>
      </c>
      <c r="D144" s="1" t="s">
        <v>0</v>
      </c>
      <c r="F144" s="2">
        <f>SUM(F137:F142)</f>
        <v>0</v>
      </c>
      <c r="G144" s="2">
        <f>SUM(G137:G142)</f>
        <v>0</v>
      </c>
      <c r="H144" s="2">
        <f>SUM(H137:H142)</f>
        <v>0</v>
      </c>
      <c r="I144" s="2">
        <f>SUM(I137:I142)</f>
        <v>0</v>
      </c>
      <c r="J144" s="2">
        <f>SUM(J137:J142)</f>
        <v>0</v>
      </c>
      <c r="K144" s="2">
        <f>SUM(K137:K142)</f>
        <v>0</v>
      </c>
      <c r="L144" s="2"/>
      <c r="M144" s="2"/>
    </row>
    <row r="145" spans="1:13" outlineLevel="1" x14ac:dyDescent="0.2">
      <c r="F145" s="2"/>
      <c r="G145" s="2"/>
      <c r="H145" s="2"/>
      <c r="I145" s="2"/>
      <c r="J145" s="2"/>
      <c r="K145" s="2"/>
      <c r="L145" s="2"/>
      <c r="M145" s="2"/>
    </row>
    <row r="146" spans="1:13" outlineLevel="1" x14ac:dyDescent="0.2">
      <c r="A146" s="1" t="str">
        <f ca="1">OFFSET([1]Язык!$A794,0,LANGUAGE)</f>
        <v>Кредиторская задолженность</v>
      </c>
      <c r="B146" s="35">
        <f>IF(F121&gt;0,(G67-G70-G71-G72)/F121*PRJ_Step,0)</f>
        <v>0</v>
      </c>
      <c r="C146" s="9" t="str">
        <f ca="1">CUR_Main</f>
        <v>$</v>
      </c>
      <c r="D146" s="1" t="s">
        <v>0</v>
      </c>
      <c r="F146" s="2">
        <f>G67-G70-G71-G72</f>
        <v>0</v>
      </c>
      <c r="G146" s="2">
        <f>G$121*$B146/PRJ_Step</f>
        <v>0</v>
      </c>
      <c r="H146" s="2">
        <f>H$121*$B146/PRJ_Step</f>
        <v>0</v>
      </c>
      <c r="I146" s="2">
        <f>I$121*$B146/PRJ_Step</f>
        <v>0</v>
      </c>
      <c r="J146" s="2">
        <f>J$121*$B146/PRJ_Step</f>
        <v>0</v>
      </c>
      <c r="K146" s="2">
        <f>K$121*$B146/PRJ_Step</f>
        <v>0</v>
      </c>
      <c r="L146" s="2"/>
      <c r="M146" s="2"/>
    </row>
    <row r="147" spans="1:13" outlineLevel="1" x14ac:dyDescent="0.2">
      <c r="A147" s="1" t="str">
        <f ca="1">OFFSET([1]Язык!$A795,0,LANGUAGE)</f>
        <v>Авансы покупателей</v>
      </c>
      <c r="B147" s="35">
        <v>0</v>
      </c>
      <c r="C147" s="9" t="str">
        <f ca="1">CUR_Main</f>
        <v>$</v>
      </c>
      <c r="D147" s="1" t="s">
        <v>0</v>
      </c>
      <c r="F147" s="2">
        <v>0</v>
      </c>
      <c r="G147" s="2">
        <f>G$114*$B147/PRJ_Step</f>
        <v>0</v>
      </c>
      <c r="H147" s="2">
        <f>H$114*$B147/PRJ_Step</f>
        <v>0</v>
      </c>
      <c r="I147" s="2">
        <f>I$114*$B147/PRJ_Step</f>
        <v>0</v>
      </c>
      <c r="J147" s="2">
        <f>J$114*$B147/PRJ_Step</f>
        <v>0</v>
      </c>
      <c r="K147" s="2">
        <f>K$114*$B147/PRJ_Step</f>
        <v>0</v>
      </c>
      <c r="L147" s="2"/>
      <c r="M147" s="2"/>
    </row>
    <row r="148" spans="1:13" outlineLevel="1" x14ac:dyDescent="0.2">
      <c r="A148" s="1" t="str">
        <f ca="1">OFFSET([1]Язык!$A796,0,LANGUAGE)</f>
        <v>Расчеты с бюджетом и внебюджетными фондами</v>
      </c>
      <c r="B148" s="35">
        <f>IF(F121&gt;0,(G71+G72)/F121*PRJ_Step,0)</f>
        <v>0</v>
      </c>
      <c r="C148" s="9" t="str">
        <f ca="1">CUR_Main</f>
        <v>$</v>
      </c>
      <c r="D148" s="1" t="s">
        <v>0</v>
      </c>
      <c r="F148" s="2">
        <f>G71+G72</f>
        <v>0</v>
      </c>
      <c r="G148" s="2">
        <f>G$121*$B148/PRJ_Step</f>
        <v>0</v>
      </c>
      <c r="H148" s="2">
        <f>H$121*$B148/PRJ_Step</f>
        <v>0</v>
      </c>
      <c r="I148" s="2">
        <f>I$121*$B148/PRJ_Step</f>
        <v>0</v>
      </c>
      <c r="J148" s="2">
        <f>J$121*$B148/PRJ_Step</f>
        <v>0</v>
      </c>
      <c r="K148" s="2">
        <f>K$121*$B148/PRJ_Step</f>
        <v>0</v>
      </c>
      <c r="L148" s="2"/>
      <c r="M148" s="2"/>
    </row>
    <row r="149" spans="1:13" outlineLevel="1" x14ac:dyDescent="0.2">
      <c r="A149" s="1" t="str">
        <f ca="1">OFFSET([1]Язык!$A797,0,LANGUAGE)</f>
        <v>Расчеты с персоналом</v>
      </c>
      <c r="B149" s="35">
        <f>IF(F121&gt;0,G70/F121*PRJ_Step,0)</f>
        <v>0</v>
      </c>
      <c r="C149" s="9" t="str">
        <f ca="1">CUR_Main</f>
        <v>$</v>
      </c>
      <c r="D149" s="1" t="s">
        <v>0</v>
      </c>
      <c r="F149" s="2">
        <f>G70</f>
        <v>0</v>
      </c>
      <c r="G149" s="2">
        <f>G$121*$B149/PRJ_Step</f>
        <v>0</v>
      </c>
      <c r="H149" s="2">
        <f>H$121*$B149/PRJ_Step</f>
        <v>0</v>
      </c>
      <c r="I149" s="2">
        <f>I$121*$B149/PRJ_Step</f>
        <v>0</v>
      </c>
      <c r="J149" s="2">
        <f>J$121*$B149/PRJ_Step</f>
        <v>0</v>
      </c>
      <c r="K149" s="2">
        <f>K$121*$B149/PRJ_Step</f>
        <v>0</v>
      </c>
      <c r="L149" s="2"/>
      <c r="M149" s="2"/>
    </row>
    <row r="150" spans="1:13" outlineLevel="1" x14ac:dyDescent="0.2">
      <c r="F150" s="2"/>
      <c r="G150" s="2"/>
      <c r="H150" s="2"/>
      <c r="I150" s="2"/>
      <c r="J150" s="2"/>
      <c r="K150" s="2"/>
      <c r="L150" s="2"/>
      <c r="M150" s="2"/>
    </row>
    <row r="151" spans="1:13" outlineLevel="1" x14ac:dyDescent="0.2">
      <c r="A151" s="1" t="str">
        <f ca="1">OFFSET([1]Язык!$A798,0,LANGUAGE)</f>
        <v>= Краткосрочные обязательства</v>
      </c>
      <c r="C151" s="9" t="str">
        <f ca="1">CUR_Main</f>
        <v>$</v>
      </c>
      <c r="D151" s="1" t="s">
        <v>0</v>
      </c>
      <c r="F151" s="2">
        <f>SUM(F146:F149)</f>
        <v>0</v>
      </c>
      <c r="G151" s="2">
        <f>SUM(G146:G149)</f>
        <v>0</v>
      </c>
      <c r="H151" s="2">
        <f>SUM(H146:H149)</f>
        <v>0</v>
      </c>
      <c r="I151" s="2">
        <f>SUM(I146:I149)</f>
        <v>0</v>
      </c>
      <c r="J151" s="2">
        <f>SUM(J146:J149)</f>
        <v>0</v>
      </c>
      <c r="K151" s="2">
        <f>SUM(K146:K149)</f>
        <v>0</v>
      </c>
      <c r="L151" s="2"/>
      <c r="M151" s="2"/>
    </row>
    <row r="152" spans="1:13" outlineLevel="1" x14ac:dyDescent="0.2">
      <c r="F152" s="2"/>
      <c r="G152" s="2"/>
      <c r="H152" s="2"/>
      <c r="I152" s="2"/>
      <c r="J152" s="2"/>
      <c r="K152" s="2"/>
      <c r="L152" s="2"/>
      <c r="M152" s="2"/>
    </row>
    <row r="153" spans="1:13" outlineLevel="1" x14ac:dyDescent="0.2">
      <c r="A153" s="34" t="str">
        <f ca="1">OFFSET([1]Язык!$A799,0,LANGUAGE)</f>
        <v xml:space="preserve">= Чистый оборотный капитал </v>
      </c>
      <c r="B153" s="5"/>
      <c r="C153" s="6" t="str">
        <f ca="1">CUR_Main</f>
        <v>$</v>
      </c>
      <c r="D153" s="5" t="s">
        <v>0</v>
      </c>
      <c r="E153" s="5"/>
      <c r="F153" s="4">
        <f>F144-F151</f>
        <v>0</v>
      </c>
      <c r="G153" s="4">
        <f>G144-G151</f>
        <v>0</v>
      </c>
      <c r="H153" s="4">
        <f>H144-H151</f>
        <v>0</v>
      </c>
      <c r="I153" s="4">
        <f>I144-I151</f>
        <v>0</v>
      </c>
      <c r="J153" s="4">
        <f>J144-J151</f>
        <v>0</v>
      </c>
      <c r="K153" s="4">
        <f>K144-K151</f>
        <v>0</v>
      </c>
      <c r="L153" s="4"/>
      <c r="M153" s="4"/>
    </row>
    <row r="154" spans="1:13" outlineLevel="1" x14ac:dyDescent="0.2"/>
    <row r="155" spans="1:13" ht="12" outlineLevel="1" thickBot="1" x14ac:dyDescent="0.25"/>
    <row r="156" spans="1:13" s="3" customFormat="1" ht="15.95" customHeight="1" thickTop="1" thickBot="1" x14ac:dyDescent="0.25">
      <c r="A156" s="15" t="str">
        <f ca="1">OFFSET([1]Язык!$A800,0,LANGUAGE)</f>
        <v>ПОСТОЯННЫЕ АКТИВЫ</v>
      </c>
      <c r="B156" s="13"/>
      <c r="C156" s="13"/>
      <c r="D156" s="15"/>
      <c r="E156" s="15"/>
      <c r="F156" s="14">
        <f>[1]Проект!G29</f>
        <v>40179</v>
      </c>
      <c r="G156" s="13">
        <f>PeriodTitle</f>
        <v>2012</v>
      </c>
      <c r="H156" s="13">
        <f>PeriodTitle</f>
        <v>2013</v>
      </c>
      <c r="I156" s="13">
        <f>PeriodTitle</f>
        <v>2014</v>
      </c>
      <c r="J156" s="13">
        <f>PeriodTitle</f>
        <v>2015</v>
      </c>
      <c r="K156" s="13">
        <f>PeriodTitle</f>
        <v>2016</v>
      </c>
      <c r="L156" s="13"/>
      <c r="M156" s="18" t="str">
        <f ca="1">OFFSET([1]Язык!$A$77,0,LANGUAGE)</f>
        <v>ИТОГО</v>
      </c>
    </row>
    <row r="157" spans="1:13" ht="12" outlineLevel="1" thickTop="1" x14ac:dyDescent="0.2"/>
    <row r="158" spans="1:13" outlineLevel="1" x14ac:dyDescent="0.2">
      <c r="A158" s="1" t="str">
        <f ca="1">OFFSET([1]Язык!$A801,0,LANGUAGE)</f>
        <v>Незавершенные капитальные вложения</v>
      </c>
      <c r="D158" s="1" t="s">
        <v>0</v>
      </c>
      <c r="F158" s="2">
        <f>G21</f>
        <v>0</v>
      </c>
      <c r="G158" s="2">
        <f>IF(G12&gt;=$B159,0,F158+G165)</f>
        <v>0</v>
      </c>
      <c r="H158" s="2">
        <f>IF(H12&gt;=$B159,0,G158+H165)</f>
        <v>0</v>
      </c>
      <c r="I158" s="2">
        <f>IF(I12&gt;=$B159,0,H158+I165)</f>
        <v>0</v>
      </c>
      <c r="J158" s="2">
        <f>IF(J12&gt;=$B159,0,I158+J165)</f>
        <v>0</v>
      </c>
      <c r="K158" s="2">
        <f>IF(K12&gt;=$B159,0,J158+K165)</f>
        <v>0</v>
      </c>
    </row>
    <row r="159" spans="1:13" ht="22.5" outlineLevel="1" x14ac:dyDescent="0.2">
      <c r="A159" s="26" t="str">
        <f ca="1">OFFSET([1]Язык!$A802,0,LANGUAGE)</f>
        <v>Незавершенные капитальные вложения вводятся в эксплуатацию с интервала</v>
      </c>
      <c r="B159" s="33">
        <v>1</v>
      </c>
    </row>
    <row r="160" spans="1:13" outlineLevel="1" x14ac:dyDescent="0.2">
      <c r="A160" s="26"/>
    </row>
    <row r="161" spans="1:13" ht="22.5" outlineLevel="1" x14ac:dyDescent="0.2">
      <c r="A161" s="26" t="str">
        <f ca="1">OFFSET([1]Язык!$A803,0,LANGUAGE)</f>
        <v>Дополнительные вложения во внеоборотные активы (по действующему предприятию, в сегодняшних ценах)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</row>
    <row r="162" spans="1:13" outlineLevel="1" x14ac:dyDescent="0.2">
      <c r="A162" s="1" t="str">
        <f ca="1">OFFSET([1]Язык!$A804,0,LANGUAGE)</f>
        <v>Доля внеоборотных активов, приобретаемых на внутреннем рынке</v>
      </c>
      <c r="D162" s="1" t="s">
        <v>1</v>
      </c>
      <c r="F162" s="31">
        <v>1</v>
      </c>
      <c r="G162" s="31">
        <f>F162</f>
        <v>1</v>
      </c>
      <c r="H162" s="31">
        <f>G162</f>
        <v>1</v>
      </c>
      <c r="I162" s="31">
        <f>H162</f>
        <v>1</v>
      </c>
      <c r="J162" s="31">
        <f>I162</f>
        <v>1</v>
      </c>
      <c r="K162" s="31">
        <f>J162</f>
        <v>1</v>
      </c>
    </row>
    <row r="163" spans="1:13" outlineLevel="1" x14ac:dyDescent="0.2">
      <c r="A163" s="1" t="str">
        <f ca="1">OFFSET([1]Язык!$A805,0,LANGUAGE)</f>
        <v>Средневзвешенный темп изменения цен</v>
      </c>
      <c r="G163" s="29">
        <f>IF($F108=2,[1]Проект!G92*G162+[1]Проект!G102*(1-G162),0)</f>
        <v>0.10000000000000009</v>
      </c>
      <c r="H163" s="29">
        <f>IF($F108=2,[1]Проект!H92*H162+[1]Проект!H102*(1-H162),0)</f>
        <v>0.10000000000000009</v>
      </c>
      <c r="I163" s="29">
        <f>IF($F108=2,[1]Проект!I92*I162+[1]Проект!I102*(1-I162),0)</f>
        <v>0.10000000000000009</v>
      </c>
      <c r="J163" s="29">
        <f>IF($F108=2,[1]Проект!J92*J162+[1]Проект!J102*(1-J162),0)</f>
        <v>0.10000000000000009</v>
      </c>
      <c r="K163" s="29">
        <f>IF($F108=2,[1]Проект!K92*K162+[1]Проект!K102*(1-K162),0)</f>
        <v>0.10000000000000009</v>
      </c>
    </row>
    <row r="164" spans="1:13" outlineLevel="1" x14ac:dyDescent="0.2">
      <c r="A164" s="1" t="str">
        <f ca="1">OFFSET([1]Язык!$A806,0,LANGUAGE)</f>
        <v>Индекс роста цен</v>
      </c>
      <c r="D164" s="1" t="s">
        <v>0</v>
      </c>
      <c r="F164" s="30">
        <v>1</v>
      </c>
      <c r="G164" s="29">
        <f>F164*(1+G163)</f>
        <v>1.1000000000000001</v>
      </c>
      <c r="H164" s="29">
        <f>G164*(1+H163)</f>
        <v>1.2100000000000002</v>
      </c>
      <c r="I164" s="29">
        <f>H164*(1+I163)</f>
        <v>1.3310000000000004</v>
      </c>
      <c r="J164" s="29">
        <f>I164*(1+J163)</f>
        <v>1.4641000000000006</v>
      </c>
      <c r="K164" s="29">
        <f>J164*(1+K163)</f>
        <v>1.6105100000000008</v>
      </c>
    </row>
    <row r="165" spans="1:13" outlineLevel="1" x14ac:dyDescent="0.2">
      <c r="A165" s="1" t="str">
        <f ca="1">OFFSET([1]Язык!$A807,0,LANGUAGE)</f>
        <v>Вложения во внеоборотные активы с учетом инфляции</v>
      </c>
      <c r="F165" s="2">
        <f>F161*F164</f>
        <v>0</v>
      </c>
      <c r="G165" s="2">
        <f>G161*G164</f>
        <v>0</v>
      </c>
      <c r="H165" s="2">
        <f>H161*H164</f>
        <v>0</v>
      </c>
      <c r="I165" s="2">
        <f>I161*I164</f>
        <v>0</v>
      </c>
      <c r="J165" s="2">
        <f>J161*J164</f>
        <v>0</v>
      </c>
      <c r="K165" s="2">
        <f>K161*K164</f>
        <v>0</v>
      </c>
      <c r="L165" s="2"/>
      <c r="M165" s="17">
        <f>SUM(F165:K165)</f>
        <v>0</v>
      </c>
    </row>
    <row r="166" spans="1:13" outlineLevel="1" x14ac:dyDescent="0.2">
      <c r="A166" s="26"/>
      <c r="G166" s="29"/>
      <c r="H166" s="29"/>
      <c r="I166" s="29"/>
      <c r="J166" s="29"/>
      <c r="K166" s="29"/>
    </row>
    <row r="167" spans="1:13" outlineLevel="1" x14ac:dyDescent="0.2">
      <c r="A167" s="1" t="str">
        <f ca="1">OFFSET([1]Язык!$A808,0,LANGUAGE)</f>
        <v>Полная стоимость внеоборотных активов</v>
      </c>
      <c r="D167" s="1" t="s">
        <v>0</v>
      </c>
      <c r="F167" s="2">
        <f>G20+G19</f>
        <v>0</v>
      </c>
      <c r="G167" s="28">
        <f>IF(G12&gt;=$B159,F167+F158+G165,F167)</f>
        <v>0</v>
      </c>
      <c r="H167" s="28">
        <f>IF(H12&gt;=$B159,G167+G158+H165,G167)</f>
        <v>0</v>
      </c>
      <c r="I167" s="28">
        <f>IF(I12&gt;=$B159,H167+H158+I165,H167)</f>
        <v>0</v>
      </c>
      <c r="J167" s="28">
        <f>IF(J12&gt;=$B159,I167+I158+J165,I167)</f>
        <v>0</v>
      </c>
      <c r="K167" s="28">
        <f>IF(K12&gt;=$B159,J167+J158+K165,J167)</f>
        <v>0</v>
      </c>
    </row>
    <row r="168" spans="1:13" outlineLevel="1" x14ac:dyDescent="0.2">
      <c r="A168" s="1" t="str">
        <f ca="1">OFFSET([1]Язык!$A809,0,LANGUAGE)</f>
        <v>Остаточная стоимость внеоборотных активов</v>
      </c>
      <c r="D168" s="1" t="s">
        <v>0</v>
      </c>
      <c r="F168" s="2">
        <f>F167-SUM($F169:F169)-SUM($F172:F172)</f>
        <v>0</v>
      </c>
      <c r="G168" s="2">
        <f>G167-SUM($F169:G169)-SUM($F172:G172)</f>
        <v>0</v>
      </c>
      <c r="H168" s="2">
        <f>H167-SUM($F169:H169)-SUM($F172:H172)</f>
        <v>0</v>
      </c>
      <c r="I168" s="2">
        <f>I167-SUM($F169:I169)-SUM($F172:I172)</f>
        <v>0</v>
      </c>
      <c r="J168" s="2">
        <f>J167-SUM($F169:J169)-SUM($F172:J172)</f>
        <v>0</v>
      </c>
      <c r="K168" s="2">
        <f>K167-SUM($F169:K169)-SUM($F172:K172)</f>
        <v>0</v>
      </c>
    </row>
    <row r="169" spans="1:13" outlineLevel="1" x14ac:dyDescent="0.2">
      <c r="A169" s="1" t="str">
        <f ca="1">OFFSET([1]Язык!$A810,0,LANGUAGE)</f>
        <v xml:space="preserve">Амортизационные отчисления </v>
      </c>
      <c r="B169" s="21">
        <f>IF(AND(B128&gt;0,F167&gt;0),F128/F167,0.1)</f>
        <v>0.1</v>
      </c>
      <c r="F169" s="2"/>
      <c r="G169" s="2">
        <f>MIN(G167*$B169*PRJ_Step/360,F168)</f>
        <v>0</v>
      </c>
      <c r="H169" s="2">
        <f>MIN(H167*$B169*PRJ_Step/360,G168)</f>
        <v>0</v>
      </c>
      <c r="I169" s="2">
        <f>MIN(I167*$B169*PRJ_Step/360,H168)</f>
        <v>0</v>
      </c>
      <c r="J169" s="2">
        <f>MIN(J167*$B169*PRJ_Step/360,I168)</f>
        <v>0</v>
      </c>
      <c r="K169" s="2">
        <f>MIN(K167*$B169*PRJ_Step/360,J168)</f>
        <v>0</v>
      </c>
      <c r="M169" s="17">
        <f>SUM(G169:K169)</f>
        <v>0</v>
      </c>
    </row>
    <row r="170" spans="1:13" outlineLevel="1" x14ac:dyDescent="0.2">
      <c r="A170" s="26"/>
    </row>
    <row r="171" spans="1:13" outlineLevel="1" x14ac:dyDescent="0.2">
      <c r="A171" s="1" t="str">
        <f ca="1">OFFSET([1]Язык!$A811,0,LANGUAGE)</f>
        <v>Реализация основных средств (все строки без НДС):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</row>
    <row r="172" spans="1:13" outlineLevel="1" x14ac:dyDescent="0.2">
      <c r="A172" s="1" t="str">
        <f ca="1">OFFSET([1]Язык!$A812,0,LANGUAGE)</f>
        <v xml:space="preserve">    остаточная стоимость реализуемых активов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</row>
    <row r="173" spans="1:13" outlineLevel="1" x14ac:dyDescent="0.2">
      <c r="A173" s="1" t="str">
        <f ca="1">OFFSET([1]Язык!$A813,0,LANGUAGE)</f>
        <v xml:space="preserve">    затраты по реализации активов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</row>
    <row r="174" spans="1:13" outlineLevel="1" x14ac:dyDescent="0.2">
      <c r="A174" s="1" t="str">
        <f ca="1">OFFSET([1]Язык!$A814,0,LANGUAGE)</f>
        <v xml:space="preserve">    прибыль (+) / убыток (-) от реализации активов</v>
      </c>
      <c r="G174" s="1">
        <f>G171-G172-G173</f>
        <v>0</v>
      </c>
      <c r="H174" s="1">
        <f>H171-H172-H173</f>
        <v>0</v>
      </c>
      <c r="I174" s="1">
        <f>I171-I172-I173</f>
        <v>0</v>
      </c>
      <c r="J174" s="1">
        <f>J171-J172-J173</f>
        <v>0</v>
      </c>
      <c r="K174" s="1">
        <f>K171-K172-K173</f>
        <v>0</v>
      </c>
    </row>
    <row r="175" spans="1:13" outlineLevel="1" x14ac:dyDescent="0.2">
      <c r="A175" s="26"/>
    </row>
    <row r="176" spans="1:13" outlineLevel="1" x14ac:dyDescent="0.2">
      <c r="A176" s="5" t="str">
        <f ca="1">OFFSET([1]Язык!$A815,0,LANGUAGE)</f>
        <v>НДС уплаченный по постоянным активам</v>
      </c>
      <c r="B176" s="25">
        <f>VAT</f>
        <v>0.12</v>
      </c>
      <c r="C176" s="5"/>
      <c r="D176" s="5"/>
      <c r="E176" s="5"/>
      <c r="F176" s="5"/>
      <c r="G176" s="5">
        <f>G165*$B176</f>
        <v>0</v>
      </c>
      <c r="H176" s="5">
        <f>H165*$B176</f>
        <v>0</v>
      </c>
      <c r="I176" s="5">
        <f>I165*$B176</f>
        <v>0</v>
      </c>
      <c r="J176" s="5">
        <f>J165*$B176</f>
        <v>0</v>
      </c>
      <c r="K176" s="5">
        <f>K165*$B176</f>
        <v>0</v>
      </c>
      <c r="L176" s="5"/>
      <c r="M176" s="5"/>
    </row>
    <row r="177" spans="1:13" outlineLevel="1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 spans="1:13" ht="12" outlineLevel="1" thickBot="1" x14ac:dyDescent="0.25"/>
    <row r="179" spans="1:13" s="3" customFormat="1" ht="15.95" customHeight="1" thickTop="1" thickBot="1" x14ac:dyDescent="0.25">
      <c r="A179" s="15" t="str">
        <f ca="1">OFFSET([1]Язык!$A816,0,LANGUAGE)</f>
        <v>ФИНАНСИРОВАНИЕ ДЕЯТЕЛЬНОСТИ КОМПАНИИ</v>
      </c>
      <c r="B179" s="13"/>
      <c r="C179" s="13"/>
      <c r="D179" s="15"/>
      <c r="E179" s="15"/>
      <c r="F179" s="14">
        <f>[1]Проект!G29</f>
        <v>40179</v>
      </c>
      <c r="G179" s="13">
        <f>PeriodTitle</f>
        <v>2012</v>
      </c>
      <c r="H179" s="13">
        <f>PeriodTitle</f>
        <v>2013</v>
      </c>
      <c r="I179" s="13">
        <f>PeriodTitle</f>
        <v>2014</v>
      </c>
      <c r="J179" s="13">
        <f>PeriodTitle</f>
        <v>2015</v>
      </c>
      <c r="K179" s="13">
        <f>PeriodTitle</f>
        <v>2016</v>
      </c>
      <c r="L179" s="13"/>
      <c r="M179" s="18" t="str">
        <f ca="1">OFFSET([1]Язык!$A$77,0,LANGUAGE)</f>
        <v>ИТОГО</v>
      </c>
    </row>
    <row r="180" spans="1:13" ht="12" outlineLevel="1" thickTop="1" x14ac:dyDescent="0.2"/>
    <row r="181" spans="1:13" outlineLevel="1" x14ac:dyDescent="0.2">
      <c r="A181" s="1" t="str">
        <f ca="1">OFFSET([1]Язык!$A817,0,LANGUAGE)</f>
        <v>Потребность в финансировании ЧОК</v>
      </c>
      <c r="C181" s="9" t="str">
        <f ca="1">CUR_Main</f>
        <v>$</v>
      </c>
      <c r="G181" s="2">
        <f>G153-F153</f>
        <v>0</v>
      </c>
      <c r="H181" s="2">
        <f>H153-G153</f>
        <v>0</v>
      </c>
      <c r="I181" s="2">
        <f>I153-H153</f>
        <v>0</v>
      </c>
      <c r="J181" s="2">
        <f>J153-I153</f>
        <v>0</v>
      </c>
      <c r="K181" s="2">
        <f>K153-J153</f>
        <v>0</v>
      </c>
      <c r="L181" s="2"/>
      <c r="M181" s="17">
        <f>SUM(F181:K181)</f>
        <v>0</v>
      </c>
    </row>
    <row r="182" spans="1:13" outlineLevel="1" x14ac:dyDescent="0.2">
      <c r="A182" s="1" t="str">
        <f ca="1">OFFSET([1]Язык!$A818,0,LANGUAGE)</f>
        <v>Потребность в финансировании внеоборотных активов (с НДС)</v>
      </c>
      <c r="C182" s="9" t="str">
        <f ca="1">CUR_Main</f>
        <v>$</v>
      </c>
      <c r="G182" s="2">
        <f>G165+G176</f>
        <v>0</v>
      </c>
      <c r="H182" s="2">
        <f>H165+H176</f>
        <v>0</v>
      </c>
      <c r="I182" s="2">
        <f>I165+I176</f>
        <v>0</v>
      </c>
      <c r="J182" s="2">
        <f>J165+J176</f>
        <v>0</v>
      </c>
      <c r="K182" s="2">
        <f>K165+K176</f>
        <v>0</v>
      </c>
      <c r="L182" s="2"/>
      <c r="M182" s="17">
        <f>SUM(F182:K182)</f>
        <v>0</v>
      </c>
    </row>
    <row r="183" spans="1:13" outlineLevel="1" x14ac:dyDescent="0.2">
      <c r="A183" s="1" t="str">
        <f ca="1">OFFSET([1]Язык!$A819,0,LANGUAGE)</f>
        <v xml:space="preserve"> = Инвестиционные затраты</v>
      </c>
      <c r="C183" s="9" t="str">
        <f ca="1">CUR_Main</f>
        <v>$</v>
      </c>
      <c r="G183" s="2">
        <f>G181+G182</f>
        <v>0</v>
      </c>
      <c r="H183" s="2">
        <f>H181+H182</f>
        <v>0</v>
      </c>
      <c r="I183" s="2">
        <f>I181+I182</f>
        <v>0</v>
      </c>
      <c r="J183" s="2">
        <f>J181+J182</f>
        <v>0</v>
      </c>
      <c r="K183" s="2">
        <f>K181+K182</f>
        <v>0</v>
      </c>
      <c r="L183" s="2"/>
      <c r="M183" s="17">
        <f>SUM(F183:K183)</f>
        <v>0</v>
      </c>
    </row>
    <row r="184" spans="1:13" outlineLevel="1" x14ac:dyDescent="0.2">
      <c r="G184" s="2"/>
      <c r="H184" s="2"/>
      <c r="I184" s="2"/>
      <c r="J184" s="2"/>
      <c r="K184" s="2"/>
      <c r="L184" s="2"/>
      <c r="M184" s="2"/>
    </row>
    <row r="185" spans="1:13" outlineLevel="1" x14ac:dyDescent="0.2">
      <c r="A185" s="1" t="str">
        <f ca="1">OFFSET([1]Язык!$A820,0,LANGUAGE)</f>
        <v>Увеличение уставного капитала</v>
      </c>
      <c r="C185" s="9" t="str">
        <f ca="1">CUR_Main</f>
        <v>$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"/>
      <c r="M185" s="17">
        <f>SUM(F185:K185)</f>
        <v>0</v>
      </c>
    </row>
    <row r="186" spans="1:13" outlineLevel="1" x14ac:dyDescent="0.2">
      <c r="A186" s="1" t="str">
        <f ca="1">OFFSET([1]Язык!$A821,0,LANGUAGE)</f>
        <v>= Уставный капитал</v>
      </c>
      <c r="C186" s="9" t="str">
        <f ca="1">CUR_Main</f>
        <v>$</v>
      </c>
      <c r="D186" s="1" t="s">
        <v>0</v>
      </c>
      <c r="F186" s="2">
        <f>G51</f>
        <v>0</v>
      </c>
      <c r="G186" s="2">
        <f>F186+G185</f>
        <v>0</v>
      </c>
      <c r="H186" s="2">
        <f>G186+H185</f>
        <v>0</v>
      </c>
      <c r="I186" s="2">
        <f>H186+I185</f>
        <v>0</v>
      </c>
      <c r="J186" s="2">
        <f>I186+J185</f>
        <v>0</v>
      </c>
      <c r="K186" s="2">
        <f>J186+K185</f>
        <v>0</v>
      </c>
      <c r="L186" s="2"/>
      <c r="M186" s="2"/>
    </row>
    <row r="187" spans="1:13" outlineLevel="1" x14ac:dyDescent="0.2">
      <c r="G187" s="2"/>
      <c r="H187" s="2"/>
      <c r="I187" s="2"/>
      <c r="J187" s="2"/>
      <c r="K187" s="2"/>
      <c r="L187" s="2"/>
      <c r="M187" s="2"/>
    </row>
    <row r="188" spans="1:13" outlineLevel="1" x14ac:dyDescent="0.2">
      <c r="A188" s="23" t="str">
        <f ca="1">OFFSET([1]Язык!$A822,0,LANGUAGE)</f>
        <v xml:space="preserve">Краткосрочные кредиты </v>
      </c>
      <c r="G188" s="2"/>
      <c r="H188" s="2"/>
      <c r="I188" s="2"/>
      <c r="J188" s="2"/>
      <c r="K188" s="2"/>
      <c r="L188" s="2"/>
      <c r="M188" s="2"/>
    </row>
    <row r="189" spans="1:13" outlineLevel="1" x14ac:dyDescent="0.2">
      <c r="A189" s="1" t="str">
        <f ca="1">OFFSET([1]Язык!$A823,0,LANGUAGE)</f>
        <v>Увеличение задолженности</v>
      </c>
      <c r="C189" s="9" t="str">
        <f ca="1">CUR_Main</f>
        <v>$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"/>
      <c r="M189" s="17">
        <f>SUM(F189:K189)</f>
        <v>0</v>
      </c>
    </row>
    <row r="190" spans="1:13" outlineLevel="1" x14ac:dyDescent="0.2">
      <c r="A190" s="1" t="str">
        <f ca="1">OFFSET([1]Язык!$A824,0,LANGUAGE)</f>
        <v>Погашение задолженности</v>
      </c>
      <c r="C190" s="9" t="str">
        <f ca="1">CUR_Main</f>
        <v>$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"/>
      <c r="M190" s="17">
        <f>SUM(F190:K190)</f>
        <v>0</v>
      </c>
    </row>
    <row r="191" spans="1:13" outlineLevel="1" x14ac:dyDescent="0.2">
      <c r="A191" s="1" t="str">
        <f ca="1">OFFSET([1]Язык!$A825,0,LANGUAGE)</f>
        <v>Задолженность по кредитам</v>
      </c>
      <c r="C191" s="9" t="str">
        <f ca="1">CUR_Main</f>
        <v>$</v>
      </c>
      <c r="D191" s="1" t="s">
        <v>0</v>
      </c>
      <c r="F191" s="2">
        <f>G66</f>
        <v>0</v>
      </c>
      <c r="G191" s="2">
        <f>F191+G189-G190</f>
        <v>0</v>
      </c>
      <c r="H191" s="2">
        <f>G191+H189-H190</f>
        <v>0</v>
      </c>
      <c r="I191" s="2">
        <f>H191+I189-I190</f>
        <v>0</v>
      </c>
      <c r="J191" s="2">
        <f>I191+J189-J190</f>
        <v>0</v>
      </c>
      <c r="K191" s="2">
        <f>J191+K189-K190</f>
        <v>0</v>
      </c>
      <c r="L191" s="2"/>
      <c r="M191" s="2"/>
    </row>
    <row r="192" spans="1:13" outlineLevel="1" x14ac:dyDescent="0.2">
      <c r="A192" s="1" t="str">
        <f ca="1">OFFSET([1]Язык!$A826,0,LANGUAGE)</f>
        <v>Проценты по кредитам</v>
      </c>
      <c r="B192" s="21">
        <v>0.15</v>
      </c>
      <c r="C192" s="9" t="str">
        <f ca="1">CUR_Main</f>
        <v>$</v>
      </c>
      <c r="G192" s="2">
        <f>F191*$B192*PRJ_Step/360</f>
        <v>0</v>
      </c>
      <c r="H192" s="2">
        <f>G191*$B192*PRJ_Step/360</f>
        <v>0</v>
      </c>
      <c r="I192" s="2">
        <f>H191*$B192*PRJ_Step/360</f>
        <v>0</v>
      </c>
      <c r="J192" s="2">
        <f>I191*$B192*PRJ_Step/360</f>
        <v>0</v>
      </c>
      <c r="K192" s="2">
        <f>J191*$B192*PRJ_Step/360</f>
        <v>0</v>
      </c>
      <c r="L192" s="2"/>
      <c r="M192" s="17">
        <f>SUM(F192:K192)</f>
        <v>0</v>
      </c>
    </row>
    <row r="193" spans="1:13" outlineLevel="1" x14ac:dyDescent="0.2">
      <c r="G193" s="2"/>
      <c r="H193" s="2"/>
      <c r="I193" s="2"/>
      <c r="J193" s="2"/>
      <c r="K193" s="2"/>
      <c r="L193" s="2"/>
      <c r="M193" s="2"/>
    </row>
    <row r="194" spans="1:13" outlineLevel="1" x14ac:dyDescent="0.2">
      <c r="A194" s="23" t="str">
        <f ca="1">OFFSET([1]Язык!$A827,0,LANGUAGE)</f>
        <v xml:space="preserve">Долгосрочные кредиты </v>
      </c>
      <c r="G194" s="2"/>
      <c r="H194" s="2"/>
      <c r="I194" s="2"/>
      <c r="J194" s="2"/>
      <c r="K194" s="2"/>
      <c r="L194" s="2"/>
      <c r="M194" s="2"/>
    </row>
    <row r="195" spans="1:13" outlineLevel="1" x14ac:dyDescent="0.2">
      <c r="A195" s="1" t="str">
        <f ca="1">OFFSET([1]Язык!$A828,0,LANGUAGE)</f>
        <v>Увеличение задолженности</v>
      </c>
      <c r="C195" s="9" t="str">
        <f ca="1">CUR_Main</f>
        <v>$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"/>
      <c r="M195" s="17">
        <f>SUM(F195:K195)</f>
        <v>0</v>
      </c>
    </row>
    <row r="196" spans="1:13" outlineLevel="1" x14ac:dyDescent="0.2">
      <c r="A196" s="1" t="str">
        <f ca="1">OFFSET([1]Язык!$A829,0,LANGUAGE)</f>
        <v>Погашение задолженности</v>
      </c>
      <c r="C196" s="9" t="str">
        <f ca="1">CUR_Main</f>
        <v>$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"/>
      <c r="M196" s="17">
        <f>SUM(F196:K196)</f>
        <v>0</v>
      </c>
    </row>
    <row r="197" spans="1:13" outlineLevel="1" x14ac:dyDescent="0.2">
      <c r="A197" s="1" t="str">
        <f ca="1">OFFSET([1]Язык!$A830,0,LANGUAGE)</f>
        <v>Задолженность по кредитам</v>
      </c>
      <c r="C197" s="9" t="str">
        <f ca="1">CUR_Main</f>
        <v>$</v>
      </c>
      <c r="D197" s="1" t="s">
        <v>0</v>
      </c>
      <c r="F197" s="2">
        <f>G61</f>
        <v>0</v>
      </c>
      <c r="G197" s="2">
        <f>F197+G195-G196</f>
        <v>0</v>
      </c>
      <c r="H197" s="2">
        <f>G197+H195-H196</f>
        <v>0</v>
      </c>
      <c r="I197" s="2">
        <f>H197+I195-I196</f>
        <v>0</v>
      </c>
      <c r="J197" s="2">
        <f>I197+J195-J196</f>
        <v>0</v>
      </c>
      <c r="K197" s="2">
        <f>J197+K195-K196</f>
        <v>0</v>
      </c>
      <c r="L197" s="2"/>
      <c r="M197" s="2"/>
    </row>
    <row r="198" spans="1:13" outlineLevel="1" x14ac:dyDescent="0.2">
      <c r="A198" s="1" t="str">
        <f ca="1">OFFSET([1]Язык!$A831,0,LANGUAGE)</f>
        <v>Проценты по кредитам</v>
      </c>
      <c r="B198" s="21">
        <v>0.15</v>
      </c>
      <c r="C198" s="9" t="str">
        <f ca="1">CUR_Main</f>
        <v>$</v>
      </c>
      <c r="G198" s="2">
        <f>F197*$B198*PRJ_Step/360</f>
        <v>0</v>
      </c>
      <c r="H198" s="2">
        <f>G197*$B198*PRJ_Step/360</f>
        <v>0</v>
      </c>
      <c r="I198" s="2">
        <f>H197*$B198*PRJ_Step/360</f>
        <v>0</v>
      </c>
      <c r="J198" s="2">
        <f>I197*$B198*PRJ_Step/360</f>
        <v>0</v>
      </c>
      <c r="K198" s="2">
        <f>J197*$B198*PRJ_Step/360</f>
        <v>0</v>
      </c>
      <c r="L198" s="2"/>
      <c r="M198" s="17">
        <f>SUM(F198:K198)</f>
        <v>0</v>
      </c>
    </row>
    <row r="199" spans="1:13" outlineLevel="1" x14ac:dyDescent="0.2">
      <c r="G199" s="2"/>
      <c r="H199" s="2"/>
      <c r="I199" s="2"/>
      <c r="J199" s="2"/>
      <c r="K199" s="2"/>
      <c r="L199" s="2"/>
      <c r="M199" s="2"/>
    </row>
    <row r="200" spans="1:13" outlineLevel="1" x14ac:dyDescent="0.2">
      <c r="A200" s="1" t="str">
        <f ca="1">OFFSET([1]Язык!$A832,0,LANGUAGE)</f>
        <v xml:space="preserve"> = Источники финансирования</v>
      </c>
      <c r="C200" s="9" t="str">
        <f ca="1">CUR_Main</f>
        <v>$</v>
      </c>
      <c r="G200" s="2">
        <f>G185+G189+G195</f>
        <v>0</v>
      </c>
      <c r="H200" s="2">
        <f>H185+H189+H195</f>
        <v>0</v>
      </c>
      <c r="I200" s="2">
        <f>I185+I189+I195</f>
        <v>0</v>
      </c>
      <c r="J200" s="2">
        <f>J185+J189+J195</f>
        <v>0</v>
      </c>
      <c r="K200" s="2">
        <f>K185+K189+K195</f>
        <v>0</v>
      </c>
      <c r="L200" s="2"/>
      <c r="M200" s="17">
        <f>SUM(F200:K200)</f>
        <v>0</v>
      </c>
    </row>
    <row r="201" spans="1:13" outlineLevel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outlineLevel="1" x14ac:dyDescent="0.2"/>
    <row r="203" spans="1:13" ht="12" outlineLevel="1" thickBot="1" x14ac:dyDescent="0.25"/>
    <row r="204" spans="1:13" s="3" customFormat="1" ht="15.95" customHeight="1" thickTop="1" thickBot="1" x14ac:dyDescent="0.25">
      <c r="A204" s="15" t="str">
        <f ca="1">OFFSET([1]Язык!$A375,0,LANGUAGE)</f>
        <v>ОТЧЕТ О ПРИБЫЛЯХ И УБЫТКАХ</v>
      </c>
      <c r="B204" s="13"/>
      <c r="C204" s="13"/>
      <c r="D204" s="15"/>
      <c r="E204" s="15"/>
      <c r="F204" s="14">
        <f>[1]Проект!G29</f>
        <v>40179</v>
      </c>
      <c r="G204" s="13">
        <f>PeriodTitle</f>
        <v>2012</v>
      </c>
      <c r="H204" s="13">
        <f>PeriodTitle</f>
        <v>2013</v>
      </c>
      <c r="I204" s="13">
        <f>PeriodTitle</f>
        <v>2014</v>
      </c>
      <c r="J204" s="13">
        <f>PeriodTitle</f>
        <v>2015</v>
      </c>
      <c r="K204" s="13">
        <f>PeriodTitle</f>
        <v>2016</v>
      </c>
      <c r="L204" s="13"/>
      <c r="M204" s="18" t="str">
        <f ca="1">OFFSET([1]Язык!$A$77,0,LANGUAGE)</f>
        <v>ИТОГО</v>
      </c>
    </row>
    <row r="205" spans="1:13" ht="12" outlineLevel="1" thickTop="1" x14ac:dyDescent="0.2"/>
    <row r="206" spans="1:13" outlineLevel="1" x14ac:dyDescent="0.2">
      <c r="A206" s="10" t="str">
        <f ca="1">OFFSET([1]Язык!$A$376,0,LANGUAGE)</f>
        <v>Выручка (нетто)</v>
      </c>
      <c r="C206" s="9" t="str">
        <f ca="1">CUR_Main</f>
        <v>$</v>
      </c>
      <c r="F206" s="2">
        <f>F114</f>
        <v>0</v>
      </c>
      <c r="G206" s="2">
        <f>G114</f>
        <v>0</v>
      </c>
      <c r="H206" s="2">
        <f>H114</f>
        <v>0</v>
      </c>
      <c r="I206" s="2">
        <f>I114</f>
        <v>0</v>
      </c>
      <c r="J206" s="2">
        <f>J114</f>
        <v>0</v>
      </c>
      <c r="K206" s="2">
        <f>K114</f>
        <v>0</v>
      </c>
      <c r="L206" s="2"/>
      <c r="M206" s="17">
        <f>SUM(G206:K206)</f>
        <v>0</v>
      </c>
    </row>
    <row r="207" spans="1:13" outlineLevel="1" x14ac:dyDescent="0.2">
      <c r="A207" s="3" t="str">
        <f ca="1">OFFSET([1]Язык!$A$377,0,LANGUAGE)</f>
        <v xml:space="preserve"> -  Себестоимость проданных товаров</v>
      </c>
      <c r="C207" s="9" t="str">
        <f ca="1">CUR_Main</f>
        <v>$</v>
      </c>
      <c r="F207" s="2">
        <f>SUM(F208:F213)</f>
        <v>0</v>
      </c>
      <c r="G207" s="2">
        <f>SUM(G208:G213)</f>
        <v>0</v>
      </c>
      <c r="H207" s="2">
        <f>SUM(H208:H213)</f>
        <v>0</v>
      </c>
      <c r="I207" s="2">
        <f>SUM(I208:I213)</f>
        <v>0</v>
      </c>
      <c r="J207" s="2">
        <f>SUM(J208:J213)</f>
        <v>0</v>
      </c>
      <c r="K207" s="2">
        <f>SUM(K208:K213)</f>
        <v>0</v>
      </c>
      <c r="L207" s="2"/>
      <c r="M207" s="17">
        <f>SUM(G207:K207)</f>
        <v>0</v>
      </c>
    </row>
    <row r="208" spans="1:13" outlineLevel="1" x14ac:dyDescent="0.2">
      <c r="A208" s="3" t="str">
        <f ca="1">OFFSET([1]Язык!$A$378,0,LANGUAGE)</f>
        <v xml:space="preserve">    материалы и комплектующие</v>
      </c>
      <c r="C208" s="9" t="str">
        <f ca="1">CUR_Main</f>
        <v>$</v>
      </c>
      <c r="F208" s="2">
        <f>F123</f>
        <v>0</v>
      </c>
      <c r="G208" s="2">
        <f>G123</f>
        <v>0</v>
      </c>
      <c r="H208" s="2">
        <f>H123</f>
        <v>0</v>
      </c>
      <c r="I208" s="2">
        <f>I123</f>
        <v>0</v>
      </c>
      <c r="J208" s="2">
        <f>J123</f>
        <v>0</v>
      </c>
      <c r="K208" s="2">
        <f>K123</f>
        <v>0</v>
      </c>
      <c r="L208" s="2"/>
      <c r="M208" s="17">
        <f>SUM(G208:K208)</f>
        <v>0</v>
      </c>
    </row>
    <row r="209" spans="1:13" outlineLevel="1" x14ac:dyDescent="0.2">
      <c r="A209" s="3" t="str">
        <f ca="1">OFFSET([1]Язык!$A$379,0,LANGUAGE)</f>
        <v xml:space="preserve">    оплата труда</v>
      </c>
      <c r="C209" s="9" t="str">
        <f ca="1">CUR_Main</f>
        <v>$</v>
      </c>
      <c r="F209" s="2">
        <f>F124</f>
        <v>0</v>
      </c>
      <c r="G209" s="2">
        <f>G124</f>
        <v>0</v>
      </c>
      <c r="H209" s="2">
        <f>H124</f>
        <v>0</v>
      </c>
      <c r="I209" s="2">
        <f>I124</f>
        <v>0</v>
      </c>
      <c r="J209" s="2">
        <f>J124</f>
        <v>0</v>
      </c>
      <c r="K209" s="2">
        <f>K124</f>
        <v>0</v>
      </c>
      <c r="L209" s="2"/>
      <c r="M209" s="17">
        <f>SUM(G209:K209)</f>
        <v>0</v>
      </c>
    </row>
    <row r="210" spans="1:13" outlineLevel="1" x14ac:dyDescent="0.2">
      <c r="A210" s="3" t="str">
        <f ca="1">OFFSET([1]Язык!$A$380,0,LANGUAGE)</f>
        <v xml:space="preserve">    налоги, относимые на текущие затраты</v>
      </c>
      <c r="C210" s="9" t="str">
        <f ca="1">CUR_Main</f>
        <v>$</v>
      </c>
      <c r="F210" s="2">
        <f>F125</f>
        <v>0</v>
      </c>
      <c r="G210" s="2">
        <f>G125</f>
        <v>0</v>
      </c>
      <c r="H210" s="2">
        <f>H125</f>
        <v>0</v>
      </c>
      <c r="I210" s="2">
        <f>I125</f>
        <v>0</v>
      </c>
      <c r="J210" s="2">
        <f>J125</f>
        <v>0</v>
      </c>
      <c r="K210" s="2">
        <f>K125</f>
        <v>0</v>
      </c>
      <c r="L210" s="2"/>
      <c r="M210" s="17">
        <f>SUM(G210:K210)</f>
        <v>0</v>
      </c>
    </row>
    <row r="211" spans="1:13" outlineLevel="1" x14ac:dyDescent="0.2">
      <c r="A211" s="3" t="str">
        <f ca="1">OFFSET([1]Язык!$A$381,0,LANGUAGE)</f>
        <v xml:space="preserve">    производственные расходы</v>
      </c>
      <c r="C211" s="9" t="str">
        <f ca="1">CUR_Main</f>
        <v>$</v>
      </c>
      <c r="F211" s="2">
        <f>F126</f>
        <v>0</v>
      </c>
      <c r="G211" s="2">
        <f>G126</f>
        <v>0</v>
      </c>
      <c r="H211" s="2">
        <f>H126</f>
        <v>0</v>
      </c>
      <c r="I211" s="2">
        <f>I126</f>
        <v>0</v>
      </c>
      <c r="J211" s="2">
        <f>J126</f>
        <v>0</v>
      </c>
      <c r="K211" s="2">
        <f>K126</f>
        <v>0</v>
      </c>
      <c r="L211" s="2"/>
      <c r="M211" s="17">
        <f>SUM(G211:K211)</f>
        <v>0</v>
      </c>
    </row>
    <row r="212" spans="1:13" outlineLevel="1" x14ac:dyDescent="0.2">
      <c r="A212" s="3" t="str">
        <f ca="1">OFFSET([1]Язык!$A$382,0,LANGUAGE)</f>
        <v xml:space="preserve">    начисленные лизинговые платежи</v>
      </c>
      <c r="C212" s="9" t="str">
        <f ca="1">CUR_Main</f>
        <v>$</v>
      </c>
      <c r="F212" s="2">
        <f>F127</f>
        <v>0</v>
      </c>
      <c r="G212" s="2">
        <f>G127</f>
        <v>0</v>
      </c>
      <c r="H212" s="2">
        <f>H127</f>
        <v>0</v>
      </c>
      <c r="I212" s="2">
        <f>I127</f>
        <v>0</v>
      </c>
      <c r="J212" s="2">
        <f>J127</f>
        <v>0</v>
      </c>
      <c r="K212" s="2">
        <f>K127</f>
        <v>0</v>
      </c>
      <c r="L212" s="2"/>
      <c r="M212" s="17">
        <f>SUM(G212:K212)</f>
        <v>0</v>
      </c>
    </row>
    <row r="213" spans="1:13" outlineLevel="1" x14ac:dyDescent="0.2">
      <c r="A213" s="3" t="str">
        <f ca="1">OFFSET([1]Язык!$A$383,0,LANGUAGE)</f>
        <v xml:space="preserve">    амортизация</v>
      </c>
      <c r="C213" s="9" t="str">
        <f ca="1">CUR_Main</f>
        <v>$</v>
      </c>
      <c r="F213" s="2">
        <f>F128</f>
        <v>0</v>
      </c>
      <c r="G213" s="2">
        <f>G128</f>
        <v>0</v>
      </c>
      <c r="H213" s="2">
        <f>H128</f>
        <v>0</v>
      </c>
      <c r="I213" s="2">
        <f>I128</f>
        <v>0</v>
      </c>
      <c r="J213" s="2">
        <f>J128</f>
        <v>0</v>
      </c>
      <c r="K213" s="2">
        <f>K128</f>
        <v>0</v>
      </c>
      <c r="L213" s="2"/>
      <c r="M213" s="17">
        <f>SUM(G213:K213)</f>
        <v>0</v>
      </c>
    </row>
    <row r="214" spans="1:13" outlineLevel="1" x14ac:dyDescent="0.2">
      <c r="A214" s="10" t="str">
        <f ca="1">OFFSET([1]Язык!$A$384,0,LANGUAGE)</f>
        <v>Валовая прибыль</v>
      </c>
      <c r="C214" s="9" t="str">
        <f ca="1">CUR_Main</f>
        <v>$</v>
      </c>
      <c r="F214" s="2">
        <f>F206-F207</f>
        <v>0</v>
      </c>
      <c r="G214" s="2">
        <f>G206-G207</f>
        <v>0</v>
      </c>
      <c r="H214" s="2">
        <f>H206-H207</f>
        <v>0</v>
      </c>
      <c r="I214" s="2">
        <f>I206-I207</f>
        <v>0</v>
      </c>
      <c r="J214" s="2">
        <f>J206-J207</f>
        <v>0</v>
      </c>
      <c r="K214" s="2">
        <f>K206-K207</f>
        <v>0</v>
      </c>
      <c r="L214" s="2"/>
      <c r="M214" s="17">
        <f>SUM(G214:K214)</f>
        <v>0</v>
      </c>
    </row>
    <row r="215" spans="1:13" outlineLevel="1" x14ac:dyDescent="0.2">
      <c r="A215" s="3" t="str">
        <f ca="1">OFFSET([1]Язык!$A$385,0,LANGUAGE)</f>
        <v xml:space="preserve"> -  Коммерческие расходы</v>
      </c>
      <c r="C215" s="9" t="str">
        <f ca="1">CUR_Main</f>
        <v>$</v>
      </c>
      <c r="F215" s="2">
        <f>F129</f>
        <v>0</v>
      </c>
      <c r="G215" s="2">
        <f>G129</f>
        <v>0</v>
      </c>
      <c r="H215" s="2">
        <f>H129</f>
        <v>0</v>
      </c>
      <c r="I215" s="2">
        <f>I129</f>
        <v>0</v>
      </c>
      <c r="J215" s="2">
        <f>J129</f>
        <v>0</v>
      </c>
      <c r="K215" s="2">
        <f>K129</f>
        <v>0</v>
      </c>
      <c r="L215" s="2"/>
      <c r="M215" s="17">
        <f>SUM(G215:K215)</f>
        <v>0</v>
      </c>
    </row>
    <row r="216" spans="1:13" outlineLevel="1" x14ac:dyDescent="0.2">
      <c r="A216" s="3" t="str">
        <f ca="1">OFFSET([1]Язык!$A$386,0,LANGUAGE)</f>
        <v xml:space="preserve"> -  Административные расходы</v>
      </c>
      <c r="C216" s="9" t="str">
        <f ca="1">CUR_Main</f>
        <v>$</v>
      </c>
      <c r="F216" s="2">
        <f>F130</f>
        <v>0</v>
      </c>
      <c r="G216" s="2">
        <f>G130</f>
        <v>0</v>
      </c>
      <c r="H216" s="2">
        <f>H130</f>
        <v>0</v>
      </c>
      <c r="I216" s="2">
        <f>I130</f>
        <v>0</v>
      </c>
      <c r="J216" s="2">
        <f>J130</f>
        <v>0</v>
      </c>
      <c r="K216" s="2">
        <f>K130</f>
        <v>0</v>
      </c>
      <c r="L216" s="2"/>
      <c r="M216" s="17">
        <f>SUM(G216:K216)</f>
        <v>0</v>
      </c>
    </row>
    <row r="217" spans="1:13" outlineLevel="1" x14ac:dyDescent="0.2">
      <c r="A217" s="10" t="str">
        <f ca="1">OFFSET([1]Язык!$A$387,0,LANGUAGE)</f>
        <v>Прибыль (убыток) от продаж</v>
      </c>
      <c r="C217" s="9" t="str">
        <f ca="1">CUR_Main</f>
        <v>$</v>
      </c>
      <c r="F217" s="2">
        <f>F214-F215-F216</f>
        <v>0</v>
      </c>
      <c r="G217" s="2">
        <f>G214-G215-G216</f>
        <v>0</v>
      </c>
      <c r="H217" s="2">
        <f>H214-H215-H216</f>
        <v>0</v>
      </c>
      <c r="I217" s="2">
        <f>I214-I215-I216</f>
        <v>0</v>
      </c>
      <c r="J217" s="2">
        <f>J214-J215-J216</f>
        <v>0</v>
      </c>
      <c r="K217" s="2">
        <f>K214-K215-K216</f>
        <v>0</v>
      </c>
      <c r="L217" s="2"/>
      <c r="M217" s="17">
        <f>SUM(G217:K217)</f>
        <v>0</v>
      </c>
    </row>
    <row r="218" spans="1:13" outlineLevel="1" x14ac:dyDescent="0.2">
      <c r="A218" s="3" t="str">
        <f ca="1">OFFSET([1]Язык!$A$388,0,LANGUAGE)</f>
        <v xml:space="preserve"> -  Налоги, относимые на финансовые результаты</v>
      </c>
      <c r="C218" s="9" t="str">
        <f ca="1">CUR_Main</f>
        <v>$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/>
      <c r="M218" s="17">
        <f>SUM(G218:K218)</f>
        <v>0</v>
      </c>
    </row>
    <row r="219" spans="1:13" outlineLevel="1" x14ac:dyDescent="0.2">
      <c r="A219" s="3" t="str">
        <f ca="1">OFFSET([1]Язык!$A$389,0,LANGUAGE)</f>
        <v xml:space="preserve"> -  Проценты к уплате</v>
      </c>
      <c r="C219" s="9" t="str">
        <f ca="1">CUR_Main</f>
        <v>$</v>
      </c>
      <c r="F219" s="2">
        <f>$H93</f>
        <v>0</v>
      </c>
      <c r="G219" s="2">
        <f>G198+G192</f>
        <v>0</v>
      </c>
      <c r="H219" s="2">
        <f>H198+H192</f>
        <v>0</v>
      </c>
      <c r="I219" s="2">
        <f>I198+I192</f>
        <v>0</v>
      </c>
      <c r="J219" s="2">
        <f>J198+J192</f>
        <v>0</v>
      </c>
      <c r="K219" s="2">
        <f>K198+K192</f>
        <v>0</v>
      </c>
      <c r="L219" s="2"/>
      <c r="M219" s="17">
        <f>SUM(G219:K219)</f>
        <v>0</v>
      </c>
    </row>
    <row r="220" spans="1:13" outlineLevel="1" x14ac:dyDescent="0.2">
      <c r="A220" s="3" t="str">
        <f ca="1">OFFSET([1]Язык!$A$390,0,LANGUAGE)</f>
        <v xml:space="preserve"> + Прибыль (убыток) от прочей реализации</v>
      </c>
      <c r="C220" s="9" t="str">
        <f ca="1">CUR_Main</f>
        <v>$</v>
      </c>
      <c r="F220" s="2">
        <f>$H95-$H96</f>
        <v>0</v>
      </c>
      <c r="G220" s="2">
        <f>$H95-$H96+G174</f>
        <v>0</v>
      </c>
      <c r="H220" s="2">
        <f>$H95-$H96+H174</f>
        <v>0</v>
      </c>
      <c r="I220" s="2">
        <f>$H95-$H96+I174</f>
        <v>0</v>
      </c>
      <c r="J220" s="2">
        <f>$H95-$H96+J174</f>
        <v>0</v>
      </c>
      <c r="K220" s="2">
        <f>$H95-$H96+K174</f>
        <v>0</v>
      </c>
      <c r="L220" s="2"/>
      <c r="M220" s="17">
        <f>SUM(G220:K220)</f>
        <v>0</v>
      </c>
    </row>
    <row r="221" spans="1:13" outlineLevel="1" x14ac:dyDescent="0.2">
      <c r="A221" s="3" t="str">
        <f ca="1">OFFSET([1]Язык!$A$391,0,LANGUAGE)</f>
        <v xml:space="preserve"> + Курсовая разница и доходы от конвертации</v>
      </c>
      <c r="C221" s="9" t="str">
        <f ca="1">CUR_Main</f>
        <v>$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/>
      <c r="M221" s="17">
        <f>SUM(G221:K221)</f>
        <v>0</v>
      </c>
    </row>
    <row r="222" spans="1:13" outlineLevel="1" x14ac:dyDescent="0.2">
      <c r="A222" s="3" t="str">
        <f ca="1">OFFSET([1]Язык!$A$392,0,LANGUAGE)</f>
        <v xml:space="preserve"> + Прочие внереализационные доходы (расходы)</v>
      </c>
      <c r="C222" s="9" t="str">
        <f ca="1">CUR_Main</f>
        <v>$</v>
      </c>
      <c r="F222" s="2">
        <f>$H97-$H98</f>
        <v>0</v>
      </c>
      <c r="G222" s="2">
        <f>$H97-$H98</f>
        <v>0</v>
      </c>
      <c r="H222" s="2">
        <f>$H97-$H98</f>
        <v>0</v>
      </c>
      <c r="I222" s="2">
        <f>$H97-$H98</f>
        <v>0</v>
      </c>
      <c r="J222" s="2">
        <f>$H97-$H98</f>
        <v>0</v>
      </c>
      <c r="K222" s="2">
        <f>$H97-$H98</f>
        <v>0</v>
      </c>
      <c r="L222" s="2"/>
      <c r="M222" s="17">
        <f>SUM(G222:K222)</f>
        <v>0</v>
      </c>
    </row>
    <row r="223" spans="1:13" outlineLevel="1" x14ac:dyDescent="0.2">
      <c r="A223" s="10" t="str">
        <f ca="1">OFFSET([1]Язык!$A$393,0,LANGUAGE)</f>
        <v>Прибыль до налогообложения</v>
      </c>
      <c r="C223" s="9" t="str">
        <f ca="1">CUR_Main</f>
        <v>$</v>
      </c>
      <c r="F223" s="2">
        <f>F217-F218-F219+F220+F221+F222</f>
        <v>0</v>
      </c>
      <c r="G223" s="2">
        <f>G217-G218-G219+G220+G221+G222</f>
        <v>0</v>
      </c>
      <c r="H223" s="2">
        <f>H217-H218-H219+H220+H221+H222</f>
        <v>0</v>
      </c>
      <c r="I223" s="2">
        <f>I217-I218-I219+I220+I221+I222</f>
        <v>0</v>
      </c>
      <c r="J223" s="2">
        <f>J217-J218-J219+J220+J221+J222</f>
        <v>0</v>
      </c>
      <c r="K223" s="2">
        <f>K217-K218-K219+K220+K221+K222</f>
        <v>0</v>
      </c>
      <c r="L223" s="2"/>
      <c r="M223" s="17">
        <f>SUM(G223:K223)</f>
        <v>0</v>
      </c>
    </row>
    <row r="224" spans="1:13" outlineLevel="1" x14ac:dyDescent="0.2">
      <c r="A224" s="3" t="str">
        <f ca="1">OFFSET([1]Язык!$A$394,0,LANGUAGE)</f>
        <v xml:space="preserve"> -  Налог на прибыль</v>
      </c>
      <c r="B224" s="20">
        <f>ProfitTax</f>
        <v>0.2</v>
      </c>
      <c r="C224" s="9" t="str">
        <f ca="1">CUR_Main</f>
        <v>$</v>
      </c>
      <c r="F224" s="2">
        <f>$H102</f>
        <v>0</v>
      </c>
      <c r="G224" s="2">
        <f>MAX(G223*$B224,0)</f>
        <v>0</v>
      </c>
      <c r="H224" s="2">
        <f>MAX(H223*$B224,0)</f>
        <v>0</v>
      </c>
      <c r="I224" s="2">
        <f>MAX(I223*$B224,0)</f>
        <v>0</v>
      </c>
      <c r="J224" s="2">
        <f>MAX(J223*$B224,0)</f>
        <v>0</v>
      </c>
      <c r="K224" s="2">
        <f>MAX(K223*$B224,0)</f>
        <v>0</v>
      </c>
      <c r="L224" s="2"/>
      <c r="M224" s="17">
        <f>SUM(G224:K224)</f>
        <v>0</v>
      </c>
    </row>
    <row r="225" spans="1:13" outlineLevel="1" x14ac:dyDescent="0.2">
      <c r="A225" s="8" t="str">
        <f ca="1">OFFSET([1]Язык!$A$395,0,LANGUAGE)</f>
        <v>Чистая прибыль (убыток)</v>
      </c>
      <c r="B225" s="5"/>
      <c r="C225" s="6" t="str">
        <f ca="1">CUR_Main</f>
        <v>$</v>
      </c>
      <c r="D225" s="5"/>
      <c r="E225" s="5"/>
      <c r="F225" s="4">
        <f>F223-F224</f>
        <v>0</v>
      </c>
      <c r="G225" s="4">
        <f>G223-G224</f>
        <v>0</v>
      </c>
      <c r="H225" s="4">
        <f>H223-H224</f>
        <v>0</v>
      </c>
      <c r="I225" s="4">
        <f>I223-I224</f>
        <v>0</v>
      </c>
      <c r="J225" s="4">
        <f>J223-J224</f>
        <v>0</v>
      </c>
      <c r="K225" s="4">
        <f>K223-K224</f>
        <v>0</v>
      </c>
      <c r="L225" s="4"/>
      <c r="M225" s="19">
        <f>SUM(G225:K225)</f>
        <v>0</v>
      </c>
    </row>
    <row r="226" spans="1:13" outlineLevel="1" x14ac:dyDescent="0.2"/>
    <row r="227" spans="1:13" ht="12" outlineLevel="1" thickBot="1" x14ac:dyDescent="0.25"/>
    <row r="228" spans="1:13" s="3" customFormat="1" ht="15.95" customHeight="1" thickTop="1" thickBot="1" x14ac:dyDescent="0.25">
      <c r="A228" s="15" t="str">
        <f ca="1">OFFSET([1]Язык!$A422,0,LANGUAGE)</f>
        <v>ОТЧЕТ О ДВИЖЕНИИ ДЕНЕЖНЫХ СРЕДСТВ</v>
      </c>
      <c r="B228" s="13"/>
      <c r="C228" s="13"/>
      <c r="D228" s="15"/>
      <c r="E228" s="15"/>
      <c r="F228" s="14">
        <f>[1]Проект!G29</f>
        <v>40179</v>
      </c>
      <c r="G228" s="13">
        <f>PeriodTitle</f>
        <v>2012</v>
      </c>
      <c r="H228" s="13">
        <f>PeriodTitle</f>
        <v>2013</v>
      </c>
      <c r="I228" s="13">
        <f>PeriodTitle</f>
        <v>2014</v>
      </c>
      <c r="J228" s="13">
        <f>PeriodTitle</f>
        <v>2015</v>
      </c>
      <c r="K228" s="13">
        <f>PeriodTitle</f>
        <v>2016</v>
      </c>
      <c r="L228" s="13"/>
      <c r="M228" s="18" t="str">
        <f ca="1">OFFSET([1]Язык!$A$77,0,LANGUAGE)</f>
        <v>ИТОГО</v>
      </c>
    </row>
    <row r="229" spans="1:13" ht="12" outlineLevel="1" thickTop="1" x14ac:dyDescent="0.2"/>
    <row r="230" spans="1:13" outlineLevel="1" x14ac:dyDescent="0.2">
      <c r="A230" s="3" t="str">
        <f ca="1">OFFSET([1]Язык!$A$423,0,LANGUAGE)</f>
        <v>Поступления от продаж</v>
      </c>
      <c r="C230" s="9" t="str">
        <f ca="1">CUR_Main</f>
        <v>$</v>
      </c>
      <c r="F230" s="2">
        <f>F114+F115</f>
        <v>0</v>
      </c>
      <c r="G230" s="2">
        <f>G114+G115</f>
        <v>0</v>
      </c>
      <c r="H230" s="2">
        <f>H114+H115</f>
        <v>0</v>
      </c>
      <c r="I230" s="2">
        <f>I114+I115</f>
        <v>0</v>
      </c>
      <c r="J230" s="2">
        <f>J114+J115</f>
        <v>0</v>
      </c>
      <c r="K230" s="2">
        <f>K114+K115</f>
        <v>0</v>
      </c>
      <c r="L230" s="2"/>
      <c r="M230" s="17">
        <f>SUM(G230:K230)</f>
        <v>0</v>
      </c>
    </row>
    <row r="231" spans="1:13" outlineLevel="1" x14ac:dyDescent="0.2">
      <c r="A231" s="3" t="str">
        <f ca="1">OFFSET([1]Язык!$A$424,0,LANGUAGE)</f>
        <v>Затраты на материалы и комплектующие</v>
      </c>
      <c r="C231" s="9" t="str">
        <f ca="1">CUR_Main</f>
        <v>$</v>
      </c>
      <c r="F231" s="2">
        <f>-F123*(1+$B131)</f>
        <v>0</v>
      </c>
      <c r="G231" s="2">
        <f>-G123*(1+$B131)</f>
        <v>0</v>
      </c>
      <c r="H231" s="2">
        <f>-H123*(1+$B131)</f>
        <v>0</v>
      </c>
      <c r="I231" s="2">
        <f>-I123*(1+$B131)</f>
        <v>0</v>
      </c>
      <c r="J231" s="2">
        <f>-J123*(1+$B131)</f>
        <v>0</v>
      </c>
      <c r="K231" s="2">
        <f>-K123*(1+$B131)</f>
        <v>0</v>
      </c>
      <c r="L231" s="2"/>
      <c r="M231" s="17">
        <f>SUM(G231:K231)</f>
        <v>0</v>
      </c>
    </row>
    <row r="232" spans="1:13" outlineLevel="1" x14ac:dyDescent="0.2">
      <c r="A232" s="3" t="str">
        <f ca="1">OFFSET([1]Язык!$A$425,0,LANGUAGE)</f>
        <v>Зарплата</v>
      </c>
      <c r="C232" s="9" t="str">
        <f ca="1">CUR_Main</f>
        <v>$</v>
      </c>
      <c r="F232" s="2">
        <f>-F124</f>
        <v>0</v>
      </c>
      <c r="G232" s="2">
        <f>-G124</f>
        <v>0</v>
      </c>
      <c r="H232" s="2">
        <f>-H124</f>
        <v>0</v>
      </c>
      <c r="I232" s="2">
        <f>-I124</f>
        <v>0</v>
      </c>
      <c r="J232" s="2">
        <f>-J124</f>
        <v>0</v>
      </c>
      <c r="K232" s="2">
        <f>-K124</f>
        <v>0</v>
      </c>
      <c r="L232" s="2"/>
      <c r="M232" s="17">
        <f>SUM(G232:K232)</f>
        <v>0</v>
      </c>
    </row>
    <row r="233" spans="1:13" outlineLevel="1" x14ac:dyDescent="0.2">
      <c r="A233" s="3" t="str">
        <f ca="1">OFFSET([1]Язык!$A$426,0,LANGUAGE)</f>
        <v>Общие затраты</v>
      </c>
      <c r="C233" s="9" t="str">
        <f ca="1">CUR_Main</f>
        <v>$</v>
      </c>
      <c r="F233" s="2">
        <f>-(F126+F129+F130)*(1+$B131)</f>
        <v>0</v>
      </c>
      <c r="G233" s="2">
        <f>-(G126+G129+G130)*(1+$B131)</f>
        <v>0</v>
      </c>
      <c r="H233" s="2">
        <f>-(H126+H129+H130)*(1+$B131)</f>
        <v>0</v>
      </c>
      <c r="I233" s="2">
        <f>-(I126+I129+I130)*(1+$B131)</f>
        <v>0</v>
      </c>
      <c r="J233" s="2">
        <f>-(J126+J129+J130)*(1+$B131)</f>
        <v>0</v>
      </c>
      <c r="K233" s="2">
        <f>-(K126+K129+K130)*(1+$B131)</f>
        <v>0</v>
      </c>
      <c r="L233" s="2"/>
      <c r="M233" s="17">
        <f>SUM(G233:K233)</f>
        <v>0</v>
      </c>
    </row>
    <row r="234" spans="1:13" outlineLevel="1" x14ac:dyDescent="0.2">
      <c r="A234" s="3" t="str">
        <f ca="1">OFFSET([1]Язык!$A$427,0,LANGUAGE)</f>
        <v>Налоги</v>
      </c>
      <c r="C234" s="9" t="str">
        <f ca="1">CUR_Main</f>
        <v>$</v>
      </c>
      <c r="F234" s="2">
        <f>-(F224+F210+F218+(F115-F131-F176))</f>
        <v>0</v>
      </c>
      <c r="G234" s="2">
        <f>-(G224+G210+G218+(G115-G131-G176))</f>
        <v>0</v>
      </c>
      <c r="H234" s="2">
        <f>-(H224+H210+H218+(H115-H131-H176))</f>
        <v>0</v>
      </c>
      <c r="I234" s="2">
        <f>-(I224+I210+I218+(I115-I131-I176))</f>
        <v>0</v>
      </c>
      <c r="J234" s="2">
        <f>-(J224+J210+J218+(J115-J131-J176))</f>
        <v>0</v>
      </c>
      <c r="K234" s="2">
        <f>-(K224+K210+K218+(K115-K131-K176))</f>
        <v>0</v>
      </c>
      <c r="L234" s="2"/>
      <c r="M234" s="17">
        <f>SUM(G234:K234)</f>
        <v>0</v>
      </c>
    </row>
    <row r="235" spans="1:13" outlineLevel="1" x14ac:dyDescent="0.2">
      <c r="A235" s="3" t="str">
        <f ca="1">OFFSET([1]Язык!$A$428,0,LANGUAGE)</f>
        <v>Выплата процентов по кредитам</v>
      </c>
      <c r="C235" s="9" t="str">
        <f ca="1">CUR_Main</f>
        <v>$</v>
      </c>
      <c r="F235" s="2">
        <f>-F219</f>
        <v>0</v>
      </c>
      <c r="G235" s="2">
        <f>-G219</f>
        <v>0</v>
      </c>
      <c r="H235" s="2">
        <f>-H219</f>
        <v>0</v>
      </c>
      <c r="I235" s="2">
        <f>-I219</f>
        <v>0</v>
      </c>
      <c r="J235" s="2">
        <f>-J219</f>
        <v>0</v>
      </c>
      <c r="K235" s="2">
        <f>-K219</f>
        <v>0</v>
      </c>
      <c r="L235" s="2"/>
      <c r="M235" s="17">
        <f>SUM(G235:K235)</f>
        <v>0</v>
      </c>
    </row>
    <row r="236" spans="1:13" outlineLevel="1" x14ac:dyDescent="0.2">
      <c r="A236" s="3" t="str">
        <f ca="1">OFFSET([1]Язык!$A$429,0,LANGUAGE)</f>
        <v>Прочие поступления</v>
      </c>
      <c r="C236" s="9" t="str">
        <f ca="1">CUR_Main</f>
        <v>$</v>
      </c>
      <c r="F236" s="2">
        <f>$H95-$H96+$H97-$H98</f>
        <v>0</v>
      </c>
      <c r="G236" s="2">
        <f>$H95-$H96+$H97-$H98</f>
        <v>0</v>
      </c>
      <c r="H236" s="2">
        <f>$H95-$H96+$H97-$H98</f>
        <v>0</v>
      </c>
      <c r="I236" s="2">
        <f>$H95-$H96+$H97-$H98</f>
        <v>0</v>
      </c>
      <c r="J236" s="2">
        <f>$H95-$H96+$H97-$H98</f>
        <v>0</v>
      </c>
      <c r="K236" s="2">
        <f>$H95-$H96+$H97-$H98</f>
        <v>0</v>
      </c>
      <c r="L236" s="2"/>
      <c r="M236" s="17">
        <f>SUM(G236:K236)</f>
        <v>0</v>
      </c>
    </row>
    <row r="237" spans="1:13" outlineLevel="1" x14ac:dyDescent="0.2">
      <c r="A237" s="3" t="str">
        <f ca="1">OFFSET([1]Язык!$A$430,0,LANGUAGE)</f>
        <v>Прочие затраты</v>
      </c>
      <c r="C237" s="9" t="str">
        <f ca="1">CUR_Main</f>
        <v>$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/>
      <c r="M237" s="17">
        <f>SUM(G237:K237)</f>
        <v>0</v>
      </c>
    </row>
    <row r="238" spans="1:13" outlineLevel="1" x14ac:dyDescent="0.2">
      <c r="A238" s="3"/>
      <c r="F238" s="2"/>
      <c r="G238" s="2"/>
      <c r="H238" s="2"/>
      <c r="I238" s="2"/>
      <c r="J238" s="2"/>
      <c r="K238" s="2"/>
      <c r="L238" s="2"/>
      <c r="M238" s="2"/>
    </row>
    <row r="239" spans="1:13" outlineLevel="1" x14ac:dyDescent="0.2">
      <c r="A239" s="10" t="str">
        <f ca="1">OFFSET([1]Язык!$A$431,0,LANGUAGE)</f>
        <v>Денежные потоки от операционной деятельности</v>
      </c>
      <c r="C239" s="9" t="str">
        <f ca="1">CUR_Main</f>
        <v>$</v>
      </c>
      <c r="F239" s="2">
        <f>SUM(F230:F237)</f>
        <v>0</v>
      </c>
      <c r="G239" s="2">
        <f>SUM(G230:G237)</f>
        <v>0</v>
      </c>
      <c r="H239" s="2">
        <f>SUM(H230:H237)</f>
        <v>0</v>
      </c>
      <c r="I239" s="2">
        <f>SUM(I230:I237)</f>
        <v>0</v>
      </c>
      <c r="J239" s="2">
        <f>SUM(J230:J237)</f>
        <v>0</v>
      </c>
      <c r="K239" s="2">
        <f>SUM(K230:K237)</f>
        <v>0</v>
      </c>
      <c r="L239" s="2"/>
      <c r="M239" s="17">
        <f>SUM(G239:K239)</f>
        <v>0</v>
      </c>
    </row>
    <row r="240" spans="1:13" outlineLevel="1" x14ac:dyDescent="0.2">
      <c r="A240" s="3"/>
      <c r="F240" s="2"/>
      <c r="G240" s="2"/>
      <c r="H240" s="2"/>
      <c r="I240" s="2"/>
      <c r="J240" s="2"/>
      <c r="K240" s="2"/>
      <c r="L240" s="2"/>
      <c r="M240" s="2"/>
    </row>
    <row r="241" spans="1:13" outlineLevel="1" x14ac:dyDescent="0.2">
      <c r="A241" s="3" t="str">
        <f ca="1">OFFSET([1]Язык!$A$432,0,LANGUAGE)</f>
        <v>Инвестиции в здания и сооружения</v>
      </c>
      <c r="C241" s="9" t="str">
        <f ca="1">CUR_Main</f>
        <v>$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/>
      <c r="M241" s="17">
        <f>SUM(G241:K241)</f>
        <v>0</v>
      </c>
    </row>
    <row r="242" spans="1:13" outlineLevel="1" x14ac:dyDescent="0.2">
      <c r="A242" s="3" t="str">
        <f ca="1">OFFSET([1]Язык!$A$433,0,LANGUAGE)</f>
        <v>Инвестиции в оборудование и другие активы</v>
      </c>
      <c r="C242" s="9" t="str">
        <f ca="1">CUR_Main</f>
        <v>$</v>
      </c>
      <c r="F242" s="2">
        <f>-F182</f>
        <v>0</v>
      </c>
      <c r="G242" s="2">
        <f>-G182</f>
        <v>0</v>
      </c>
      <c r="H242" s="2">
        <f>-H182</f>
        <v>0</v>
      </c>
      <c r="I242" s="2">
        <f>-I182</f>
        <v>0</v>
      </c>
      <c r="J242" s="2">
        <f>-J182</f>
        <v>0</v>
      </c>
      <c r="K242" s="2">
        <f>-K182</f>
        <v>0</v>
      </c>
      <c r="L242" s="2"/>
      <c r="M242" s="17">
        <f>SUM(G242:K242)</f>
        <v>0</v>
      </c>
    </row>
    <row r="243" spans="1:13" outlineLevel="1" x14ac:dyDescent="0.2">
      <c r="A243" s="3" t="str">
        <f ca="1">OFFSET([1]Язык!$A$434,0,LANGUAGE)</f>
        <v>Оплата расходов будущих периодов</v>
      </c>
      <c r="C243" s="9" t="str">
        <f ca="1">CUR_Main</f>
        <v>$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/>
      <c r="M243" s="17">
        <f>SUM(G243:K243)</f>
        <v>0</v>
      </c>
    </row>
    <row r="244" spans="1:13" outlineLevel="1" x14ac:dyDescent="0.2">
      <c r="A244" s="3" t="str">
        <f ca="1">OFFSET([1]Язык!$A$435,0,LANGUAGE)</f>
        <v>Инвестиции в оборотный капитал</v>
      </c>
      <c r="C244" s="9" t="str">
        <f ca="1">CUR_Main</f>
        <v>$</v>
      </c>
      <c r="F244" s="2">
        <f>-F181</f>
        <v>0</v>
      </c>
      <c r="G244" s="2">
        <f>-G181</f>
        <v>0</v>
      </c>
      <c r="H244" s="2">
        <f>-H181</f>
        <v>0</v>
      </c>
      <c r="I244" s="2">
        <f>-I181</f>
        <v>0</v>
      </c>
      <c r="J244" s="2">
        <f>-J181</f>
        <v>0</v>
      </c>
      <c r="K244" s="2">
        <f>-K181</f>
        <v>0</v>
      </c>
      <c r="L244" s="2"/>
      <c r="M244" s="17">
        <f>SUM(G244:K244)</f>
        <v>0</v>
      </c>
    </row>
    <row r="245" spans="1:13" outlineLevel="1" x14ac:dyDescent="0.2">
      <c r="A245" s="3" t="str">
        <f ca="1">OFFSET([1]Язык!$A$436,0,LANGUAGE)</f>
        <v>Выручка от реализации активов</v>
      </c>
      <c r="C245" s="9" t="str">
        <f ca="1">CUR_Main</f>
        <v>$</v>
      </c>
      <c r="F245" s="2">
        <f>F171</f>
        <v>0</v>
      </c>
      <c r="G245" s="2">
        <f>G171</f>
        <v>0</v>
      </c>
      <c r="H245" s="2">
        <f>H171</f>
        <v>0</v>
      </c>
      <c r="I245" s="2">
        <f>I171</f>
        <v>0</v>
      </c>
      <c r="J245" s="2">
        <f>J171</f>
        <v>0</v>
      </c>
      <c r="K245" s="2">
        <f>K171</f>
        <v>0</v>
      </c>
      <c r="L245" s="2"/>
      <c r="M245" s="17">
        <f>SUM(G245:K245)</f>
        <v>0</v>
      </c>
    </row>
    <row r="246" spans="1:13" outlineLevel="1" x14ac:dyDescent="0.2">
      <c r="A246" s="3"/>
      <c r="F246" s="2"/>
      <c r="G246" s="2"/>
      <c r="H246" s="2"/>
      <c r="I246" s="2"/>
      <c r="J246" s="2"/>
      <c r="K246" s="2"/>
      <c r="L246" s="2"/>
      <c r="M246" s="2"/>
    </row>
    <row r="247" spans="1:13" outlineLevel="1" x14ac:dyDescent="0.2">
      <c r="A247" s="10" t="str">
        <f ca="1">OFFSET([1]Язык!$A$437,0,LANGUAGE)</f>
        <v>Денежные потоки от инвестиционной деятельности</v>
      </c>
      <c r="C247" s="9" t="str">
        <f ca="1">CUR_Main</f>
        <v>$</v>
      </c>
      <c r="F247" s="2">
        <f>SUM(F241:F245)</f>
        <v>0</v>
      </c>
      <c r="G247" s="2">
        <f>SUM(G241:G245)</f>
        <v>0</v>
      </c>
      <c r="H247" s="2">
        <f>SUM(H241:H245)</f>
        <v>0</v>
      </c>
      <c r="I247" s="2">
        <f>SUM(I241:I245)</f>
        <v>0</v>
      </c>
      <c r="J247" s="2">
        <f>SUM(J241:J245)</f>
        <v>0</v>
      </c>
      <c r="K247" s="2">
        <f>SUM(K241:K245)</f>
        <v>0</v>
      </c>
      <c r="L247" s="2"/>
      <c r="M247" s="17">
        <f>SUM(G247:K247)</f>
        <v>0</v>
      </c>
    </row>
    <row r="248" spans="1:13" outlineLevel="1" x14ac:dyDescent="0.2">
      <c r="A248" s="3"/>
      <c r="F248" s="2"/>
      <c r="G248" s="2"/>
      <c r="H248" s="2"/>
      <c r="I248" s="2"/>
      <c r="J248" s="2"/>
      <c r="K248" s="2"/>
      <c r="L248" s="2"/>
      <c r="M248" s="2"/>
    </row>
    <row r="249" spans="1:13" outlineLevel="1" x14ac:dyDescent="0.2">
      <c r="A249" s="3" t="str">
        <f ca="1">OFFSET([1]Язык!$A$438,0,LANGUAGE)</f>
        <v>Поступления акционерного капитала</v>
      </c>
      <c r="C249" s="9" t="str">
        <f ca="1">CUR_Main</f>
        <v>$</v>
      </c>
      <c r="F249" s="2">
        <f>F185</f>
        <v>0</v>
      </c>
      <c r="G249" s="2">
        <f>G185</f>
        <v>0</v>
      </c>
      <c r="H249" s="2">
        <f>H185</f>
        <v>0</v>
      </c>
      <c r="I249" s="2">
        <f>I185</f>
        <v>0</v>
      </c>
      <c r="J249" s="2">
        <f>J185</f>
        <v>0</v>
      </c>
      <c r="K249" s="2">
        <f>K185</f>
        <v>0</v>
      </c>
      <c r="L249" s="2"/>
      <c r="M249" s="17">
        <f>SUM(G249:K249)</f>
        <v>0</v>
      </c>
    </row>
    <row r="250" spans="1:13" outlineLevel="1" x14ac:dyDescent="0.2">
      <c r="A250" s="3" t="str">
        <f ca="1">OFFSET([1]Язык!$A$439,0,LANGUAGE)</f>
        <v>Целевое финансирование</v>
      </c>
      <c r="C250" s="9" t="str">
        <f ca="1">CUR_Main</f>
        <v>$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/>
      <c r="M250" s="17"/>
    </row>
    <row r="251" spans="1:13" outlineLevel="1" x14ac:dyDescent="0.2">
      <c r="A251" s="3" t="str">
        <f ca="1">OFFSET([1]Язык!$A$440,0,LANGUAGE)</f>
        <v>Поступления кредитов</v>
      </c>
      <c r="C251" s="9" t="str">
        <f ca="1">CUR_Main</f>
        <v>$</v>
      </c>
      <c r="F251" s="2">
        <f>F195+F189</f>
        <v>0</v>
      </c>
      <c r="G251" s="2">
        <f>G195+G189</f>
        <v>0</v>
      </c>
      <c r="H251" s="2">
        <f>H195+H189</f>
        <v>0</v>
      </c>
      <c r="I251" s="2">
        <f>I195+I189</f>
        <v>0</v>
      </c>
      <c r="J251" s="2">
        <f>J195+J189</f>
        <v>0</v>
      </c>
      <c r="K251" s="2">
        <f>K195+K189</f>
        <v>0</v>
      </c>
      <c r="L251" s="2"/>
      <c r="M251" s="17">
        <f>SUM(G251:K251)</f>
        <v>0</v>
      </c>
    </row>
    <row r="252" spans="1:13" outlineLevel="1" x14ac:dyDescent="0.2">
      <c r="A252" s="3" t="str">
        <f ca="1">OFFSET([1]Язык!$A$441,0,LANGUAGE)</f>
        <v>Возврат кредитов</v>
      </c>
      <c r="C252" s="9" t="str">
        <f ca="1">CUR_Main</f>
        <v>$</v>
      </c>
      <c r="F252" s="2">
        <f>-F196-F190</f>
        <v>0</v>
      </c>
      <c r="G252" s="2">
        <f>-G196-G190</f>
        <v>0</v>
      </c>
      <c r="H252" s="2">
        <f>-H196-H190</f>
        <v>0</v>
      </c>
      <c r="I252" s="2">
        <f>-I196-I190</f>
        <v>0</v>
      </c>
      <c r="J252" s="2">
        <f>-J196-J190</f>
        <v>0</v>
      </c>
      <c r="K252" s="2">
        <f>-K196-K190</f>
        <v>0</v>
      </c>
      <c r="L252" s="2"/>
      <c r="M252" s="17">
        <f>SUM(G252:K252)</f>
        <v>0</v>
      </c>
    </row>
    <row r="253" spans="1:13" outlineLevel="1" x14ac:dyDescent="0.2">
      <c r="A253" s="3" t="str">
        <f ca="1">OFFSET([1]Язык!$A$442,0,LANGUAGE)</f>
        <v>Лизинговые платежи</v>
      </c>
      <c r="C253" s="9" t="str">
        <f ca="1">CUR_Main</f>
        <v>$</v>
      </c>
      <c r="F253" s="2">
        <f>-F212</f>
        <v>0</v>
      </c>
      <c r="G253" s="2">
        <f>-G212</f>
        <v>0</v>
      </c>
      <c r="H253" s="2">
        <f>-H212</f>
        <v>0</v>
      </c>
      <c r="I253" s="2">
        <f>-I212</f>
        <v>0</v>
      </c>
      <c r="J253" s="2">
        <f>-J212</f>
        <v>0</v>
      </c>
      <c r="K253" s="2">
        <f>-K212</f>
        <v>0</v>
      </c>
      <c r="L253" s="2"/>
      <c r="M253" s="17">
        <f>SUM(G253:K253)</f>
        <v>0</v>
      </c>
    </row>
    <row r="254" spans="1:13" outlineLevel="1" x14ac:dyDescent="0.2">
      <c r="A254" s="3" t="str">
        <f ca="1">OFFSET([1]Язык!$A$443,0,LANGUAGE)</f>
        <v>Выплата дивидендов</v>
      </c>
      <c r="C254" s="9" t="str">
        <f ca="1">CUR_Main</f>
        <v>$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/>
      <c r="M254" s="17">
        <f>SUM(G254:K254)</f>
        <v>0</v>
      </c>
    </row>
    <row r="255" spans="1:13" outlineLevel="1" x14ac:dyDescent="0.2">
      <c r="A255" s="3"/>
      <c r="F255" s="2"/>
      <c r="G255" s="2"/>
      <c r="H255" s="2"/>
      <c r="I255" s="2"/>
      <c r="J255" s="2"/>
      <c r="K255" s="2"/>
      <c r="L255" s="2"/>
      <c r="M255" s="2"/>
    </row>
    <row r="256" spans="1:13" outlineLevel="1" x14ac:dyDescent="0.2">
      <c r="A256" s="10" t="str">
        <f ca="1">OFFSET([1]Язык!$A$444,0,LANGUAGE)</f>
        <v>Денежные потоки от финансовой деятельности</v>
      </c>
      <c r="C256" s="9" t="str">
        <f ca="1">CUR_Main</f>
        <v>$</v>
      </c>
      <c r="F256" s="2">
        <f>SUM(F249:F254)</f>
        <v>0</v>
      </c>
      <c r="G256" s="2">
        <f>SUM(G249:G254)</f>
        <v>0</v>
      </c>
      <c r="H256" s="2">
        <f>SUM(H249:H254)</f>
        <v>0</v>
      </c>
      <c r="I256" s="2">
        <f>SUM(I249:I254)</f>
        <v>0</v>
      </c>
      <c r="J256" s="2">
        <f>SUM(J249:J254)</f>
        <v>0</v>
      </c>
      <c r="K256" s="2">
        <f>SUM(K249:K254)</f>
        <v>0</v>
      </c>
      <c r="L256" s="2"/>
      <c r="M256" s="17">
        <f>SUM(G256:K256)</f>
        <v>0</v>
      </c>
    </row>
    <row r="257" spans="1:13" outlineLevel="1" x14ac:dyDescent="0.2">
      <c r="A257" s="3"/>
      <c r="F257" s="2"/>
      <c r="G257" s="2"/>
      <c r="H257" s="2"/>
      <c r="I257" s="2"/>
      <c r="J257" s="2"/>
      <c r="K257" s="2"/>
      <c r="L257" s="2"/>
      <c r="M257" s="2"/>
    </row>
    <row r="258" spans="1:13" outlineLevel="1" x14ac:dyDescent="0.2">
      <c r="A258" s="10" t="str">
        <f ca="1">OFFSET([1]Язык!$A$445,0,LANGUAGE)</f>
        <v>Суммарный денежный поток за период</v>
      </c>
      <c r="C258" s="9" t="str">
        <f ca="1">CUR_Main</f>
        <v>$</v>
      </c>
      <c r="F258" s="2">
        <f>F239+F247+F256</f>
        <v>0</v>
      </c>
      <c r="G258" s="2">
        <f>G239+G247+G256</f>
        <v>0</v>
      </c>
      <c r="H258" s="2">
        <f>H239+H247+H256</f>
        <v>0</v>
      </c>
      <c r="I258" s="2">
        <f>I239+I247+I256</f>
        <v>0</v>
      </c>
      <c r="J258" s="2">
        <f>J239+J247+J256</f>
        <v>0</v>
      </c>
      <c r="K258" s="2">
        <f>K239+K247+K256</f>
        <v>0</v>
      </c>
      <c r="L258" s="2"/>
      <c r="M258" s="17">
        <f>SUM(G258:K258)</f>
        <v>0</v>
      </c>
    </row>
    <row r="259" spans="1:13" outlineLevel="1" x14ac:dyDescent="0.2">
      <c r="A259" s="16" t="str">
        <f ca="1">OFFSET([1]Язык!$A$446,0,LANGUAGE)</f>
        <v>Денежные средства на конец периода</v>
      </c>
      <c r="B259" s="5"/>
      <c r="C259" s="6" t="str">
        <f ca="1">CUR_Main</f>
        <v>$</v>
      </c>
      <c r="D259" s="5" t="s">
        <v>0</v>
      </c>
      <c r="E259" s="5"/>
      <c r="F259" s="4">
        <f>G43</f>
        <v>0</v>
      </c>
      <c r="G259" s="4">
        <f>F259+G258</f>
        <v>0</v>
      </c>
      <c r="H259" s="4">
        <f>G259+H258</f>
        <v>0</v>
      </c>
      <c r="I259" s="4">
        <f>H259+I258</f>
        <v>0</v>
      </c>
      <c r="J259" s="4">
        <f>I259+J258</f>
        <v>0</v>
      </c>
      <c r="K259" s="4">
        <f>J259+K258</f>
        <v>0</v>
      </c>
      <c r="L259" s="4"/>
      <c r="M259" s="4"/>
    </row>
    <row r="260" spans="1:13" outlineLevel="1" x14ac:dyDescent="0.2"/>
    <row r="261" spans="1:13" ht="12" outlineLevel="1" thickBot="1" x14ac:dyDescent="0.25"/>
    <row r="262" spans="1:13" s="3" customFormat="1" ht="15.95" customHeight="1" thickTop="1" thickBot="1" x14ac:dyDescent="0.25">
      <c r="A262" s="15" t="str">
        <f ca="1">OFFSET([1]Язык!$A449,0,LANGUAGE)</f>
        <v>БАЛАНС</v>
      </c>
      <c r="B262" s="13"/>
      <c r="C262" s="13"/>
      <c r="D262" s="15"/>
      <c r="E262" s="15"/>
      <c r="F262" s="14">
        <f>[1]Проект!G29</f>
        <v>40179</v>
      </c>
      <c r="G262" s="13">
        <f>PeriodTitle</f>
        <v>2012</v>
      </c>
      <c r="H262" s="13">
        <f>PeriodTitle</f>
        <v>2013</v>
      </c>
      <c r="I262" s="13">
        <f>PeriodTitle</f>
        <v>2014</v>
      </c>
      <c r="J262" s="13">
        <f>PeriodTitle</f>
        <v>2015</v>
      </c>
      <c r="K262" s="13">
        <f>PeriodTitle</f>
        <v>2016</v>
      </c>
      <c r="L262" s="13"/>
      <c r="M262" s="12"/>
    </row>
    <row r="263" spans="1:13" ht="12" outlineLevel="1" thickTop="1" x14ac:dyDescent="0.2"/>
    <row r="264" spans="1:13" outlineLevel="1" x14ac:dyDescent="0.2">
      <c r="A264" s="3" t="str">
        <f ca="1">OFFSET([1]Язык!$A$450,0,LANGUAGE)</f>
        <v>Деньги</v>
      </c>
      <c r="C264" s="9" t="str">
        <f ca="1">CUR_Main</f>
        <v>$</v>
      </c>
      <c r="D264" s="1" t="s">
        <v>0</v>
      </c>
      <c r="F264" s="2">
        <f>F259</f>
        <v>0</v>
      </c>
      <c r="G264" s="2">
        <f>G259</f>
        <v>0</v>
      </c>
      <c r="H264" s="2">
        <f>H259</f>
        <v>0</v>
      </c>
      <c r="I264" s="2">
        <f>I259</f>
        <v>0</v>
      </c>
      <c r="J264" s="2">
        <f>J259</f>
        <v>0</v>
      </c>
      <c r="K264" s="2">
        <f>K259</f>
        <v>0</v>
      </c>
      <c r="L264" s="2"/>
      <c r="M264" s="2"/>
    </row>
    <row r="265" spans="1:13" outlineLevel="1" x14ac:dyDescent="0.2">
      <c r="A265" s="3" t="str">
        <f ca="1">OFFSET([1]Язык!$A$451,0,LANGUAGE)</f>
        <v>Дебиторская задолженность</v>
      </c>
      <c r="C265" s="9" t="str">
        <f ca="1">CUR_Main</f>
        <v>$</v>
      </c>
      <c r="D265" s="1" t="s">
        <v>0</v>
      </c>
      <c r="F265" s="2">
        <f>F140</f>
        <v>0</v>
      </c>
      <c r="G265" s="2">
        <f>G140</f>
        <v>0</v>
      </c>
      <c r="H265" s="2">
        <f>H140</f>
        <v>0</v>
      </c>
      <c r="I265" s="2">
        <f>I140</f>
        <v>0</v>
      </c>
      <c r="J265" s="2">
        <f>J140</f>
        <v>0</v>
      </c>
      <c r="K265" s="2">
        <f>K140</f>
        <v>0</v>
      </c>
      <c r="L265" s="2"/>
      <c r="M265" s="2"/>
    </row>
    <row r="266" spans="1:13" outlineLevel="1" x14ac:dyDescent="0.2">
      <c r="A266" s="3" t="str">
        <f ca="1">OFFSET([1]Язык!$A$452,0,LANGUAGE)</f>
        <v>Авансы уплаченные</v>
      </c>
      <c r="C266" s="9" t="str">
        <f ca="1">CUR_Main</f>
        <v>$</v>
      </c>
      <c r="D266" s="1" t="s">
        <v>0</v>
      </c>
      <c r="F266" s="2">
        <f>F141</f>
        <v>0</v>
      </c>
      <c r="G266" s="2">
        <f>G141</f>
        <v>0</v>
      </c>
      <c r="H266" s="2">
        <f>H141</f>
        <v>0</v>
      </c>
      <c r="I266" s="2">
        <f>I141</f>
        <v>0</v>
      </c>
      <c r="J266" s="2">
        <f>J141</f>
        <v>0</v>
      </c>
      <c r="K266" s="2">
        <f>K141</f>
        <v>0</v>
      </c>
      <c r="L266" s="2"/>
      <c r="M266" s="2"/>
    </row>
    <row r="267" spans="1:13" outlineLevel="1" x14ac:dyDescent="0.2">
      <c r="A267" s="3" t="str">
        <f ca="1">OFFSET([1]Язык!$A$453,0,LANGUAGE)</f>
        <v>Готовая продукция</v>
      </c>
      <c r="C267" s="9" t="str">
        <f ca="1">CUR_Main</f>
        <v>$</v>
      </c>
      <c r="D267" s="1" t="s">
        <v>0</v>
      </c>
      <c r="F267" s="2">
        <f>F139</f>
        <v>0</v>
      </c>
      <c r="G267" s="2">
        <f>G139</f>
        <v>0</v>
      </c>
      <c r="H267" s="2">
        <f>H139</f>
        <v>0</v>
      </c>
      <c r="I267" s="2">
        <f>I139</f>
        <v>0</v>
      </c>
      <c r="J267" s="2">
        <f>J139</f>
        <v>0</v>
      </c>
      <c r="K267" s="2">
        <f>K139</f>
        <v>0</v>
      </c>
      <c r="L267" s="2"/>
      <c r="M267" s="2"/>
    </row>
    <row r="268" spans="1:13" outlineLevel="1" x14ac:dyDescent="0.2">
      <c r="A268" s="3" t="str">
        <f ca="1">OFFSET([1]Язык!$A$454,0,LANGUAGE)</f>
        <v>Незавершенное производство</v>
      </c>
      <c r="C268" s="9" t="str">
        <f ca="1">CUR_Main</f>
        <v>$</v>
      </c>
      <c r="D268" s="1" t="s">
        <v>0</v>
      </c>
      <c r="F268" s="2">
        <f>F138</f>
        <v>0</v>
      </c>
      <c r="G268" s="2">
        <f>G138</f>
        <v>0</v>
      </c>
      <c r="H268" s="2">
        <f>H138</f>
        <v>0</v>
      </c>
      <c r="I268" s="2">
        <f>I138</f>
        <v>0</v>
      </c>
      <c r="J268" s="2">
        <f>J138</f>
        <v>0</v>
      </c>
      <c r="K268" s="2">
        <f>K138</f>
        <v>0</v>
      </c>
      <c r="L268" s="2"/>
      <c r="M268" s="2"/>
    </row>
    <row r="269" spans="1:13" outlineLevel="1" x14ac:dyDescent="0.2">
      <c r="A269" s="3" t="str">
        <f ca="1">OFFSET([1]Язык!$A$455,0,LANGUAGE)</f>
        <v>Материалы и комплектующие</v>
      </c>
      <c r="C269" s="9" t="str">
        <f ca="1">CUR_Main</f>
        <v>$</v>
      </c>
      <c r="D269" s="1" t="s">
        <v>0</v>
      </c>
      <c r="F269" s="2">
        <f>F137</f>
        <v>0</v>
      </c>
      <c r="G269" s="2">
        <f>G137</f>
        <v>0</v>
      </c>
      <c r="H269" s="2">
        <f>H137</f>
        <v>0</v>
      </c>
      <c r="I269" s="2">
        <f>I137</f>
        <v>0</v>
      </c>
      <c r="J269" s="2">
        <f>J137</f>
        <v>0</v>
      </c>
      <c r="K269" s="2">
        <f>K137</f>
        <v>0</v>
      </c>
      <c r="L269" s="2"/>
      <c r="M269" s="2"/>
    </row>
    <row r="270" spans="1:13" outlineLevel="1" x14ac:dyDescent="0.2">
      <c r="A270" s="3" t="str">
        <f ca="1">OFFSET([1]Язык!$A$456,0,LANGUAGE)</f>
        <v>НДС на приобретенные товары</v>
      </c>
      <c r="C270" s="9" t="str">
        <f ca="1">CUR_Main</f>
        <v>$</v>
      </c>
      <c r="D270" s="1" t="s">
        <v>0</v>
      </c>
      <c r="F270" s="2">
        <f>F142</f>
        <v>0</v>
      </c>
      <c r="G270" s="2">
        <f>G142</f>
        <v>0</v>
      </c>
      <c r="H270" s="2">
        <f>H142</f>
        <v>0</v>
      </c>
      <c r="I270" s="2">
        <f>I142</f>
        <v>0</v>
      </c>
      <c r="J270" s="2">
        <f>J142</f>
        <v>0</v>
      </c>
      <c r="K270" s="2">
        <f>K142</f>
        <v>0</v>
      </c>
      <c r="L270" s="2"/>
      <c r="M270" s="2"/>
    </row>
    <row r="271" spans="1:13" outlineLevel="1" x14ac:dyDescent="0.2">
      <c r="A271" s="3" t="str">
        <f ca="1">OFFSET([1]Язык!$A$457,0,LANGUAGE)</f>
        <v>Расходы будущих периодов</v>
      </c>
      <c r="C271" s="9" t="str">
        <f ca="1">CUR_Main</f>
        <v>$</v>
      </c>
      <c r="D271" s="1" t="s">
        <v>0</v>
      </c>
      <c r="F271" s="2">
        <f>G35</f>
        <v>0</v>
      </c>
      <c r="G271" s="2">
        <f>F271</f>
        <v>0</v>
      </c>
      <c r="H271" s="2">
        <f>G271</f>
        <v>0</v>
      </c>
      <c r="I271" s="2">
        <f>H271</f>
        <v>0</v>
      </c>
      <c r="J271" s="2">
        <f>I271</f>
        <v>0</v>
      </c>
      <c r="K271" s="2">
        <f>J271</f>
        <v>0</v>
      </c>
      <c r="L271" s="2"/>
      <c r="M271" s="2"/>
    </row>
    <row r="272" spans="1:13" outlineLevel="1" x14ac:dyDescent="0.2">
      <c r="A272" s="3" t="str">
        <f ca="1">OFFSET([1]Язык!$A$458,0,LANGUAGE)</f>
        <v>Прочие оборотные активы</v>
      </c>
      <c r="C272" s="9" t="str">
        <f ca="1">CUR_Main</f>
        <v>$</v>
      </c>
      <c r="D272" s="1" t="s">
        <v>0</v>
      </c>
      <c r="F272" s="2">
        <f>G36+G42+G44</f>
        <v>0</v>
      </c>
      <c r="G272" s="2">
        <f>F272</f>
        <v>0</v>
      </c>
      <c r="H272" s="2">
        <f>G272</f>
        <v>0</v>
      </c>
      <c r="I272" s="2">
        <f>H272</f>
        <v>0</v>
      </c>
      <c r="J272" s="2">
        <f>I272</f>
        <v>0</v>
      </c>
      <c r="K272" s="2">
        <f>J272</f>
        <v>0</v>
      </c>
      <c r="L272" s="2"/>
      <c r="M272" s="2"/>
    </row>
    <row r="273" spans="1:13" outlineLevel="1" x14ac:dyDescent="0.2">
      <c r="A273" s="10" t="str">
        <f ca="1">OFFSET([1]Язык!$A$459,0,LANGUAGE)</f>
        <v>Суммарные оборотные активы</v>
      </c>
      <c r="C273" s="9" t="str">
        <f ca="1">CUR_Main</f>
        <v>$</v>
      </c>
      <c r="D273" s="1" t="s">
        <v>0</v>
      </c>
      <c r="F273" s="2">
        <f>SUM(F264:F272)</f>
        <v>0</v>
      </c>
      <c r="G273" s="2">
        <f>SUM(G264:G272)</f>
        <v>0</v>
      </c>
      <c r="H273" s="2">
        <f>SUM(H264:H272)</f>
        <v>0</v>
      </c>
      <c r="I273" s="2">
        <f>SUM(I264:I272)</f>
        <v>0</v>
      </c>
      <c r="J273" s="2">
        <f>SUM(J264:J272)</f>
        <v>0</v>
      </c>
      <c r="K273" s="2">
        <f>SUM(K264:K272)</f>
        <v>0</v>
      </c>
      <c r="L273" s="2"/>
      <c r="M273" s="2"/>
    </row>
    <row r="274" spans="1:13" outlineLevel="1" x14ac:dyDescent="0.2">
      <c r="A274" s="3"/>
      <c r="F274" s="2"/>
      <c r="G274" s="2"/>
      <c r="H274" s="2"/>
      <c r="I274" s="2"/>
      <c r="J274" s="2"/>
      <c r="K274" s="2"/>
      <c r="L274" s="2"/>
      <c r="M274" s="2"/>
    </row>
    <row r="275" spans="1:13" outlineLevel="1" x14ac:dyDescent="0.2">
      <c r="A275" s="3" t="str">
        <f ca="1">OFFSET([1]Язык!$A$460,0,LANGUAGE)</f>
        <v>Постоянные активы</v>
      </c>
      <c r="C275" s="9" t="str">
        <f ca="1">CUR_Main</f>
        <v>$</v>
      </c>
      <c r="D275" s="1" t="s">
        <v>0</v>
      </c>
      <c r="F275" s="2">
        <f>SUM(F276:F277)</f>
        <v>0</v>
      </c>
      <c r="G275" s="2">
        <f>SUM(G276:G277)</f>
        <v>0</v>
      </c>
      <c r="H275" s="2">
        <f>SUM(H276:H277)</f>
        <v>0</v>
      </c>
      <c r="I275" s="2">
        <f>SUM(I276:I277)</f>
        <v>0</v>
      </c>
      <c r="J275" s="2">
        <f>SUM(J276:J277)</f>
        <v>0</v>
      </c>
      <c r="K275" s="2">
        <f>SUM(K276:K277)</f>
        <v>0</v>
      </c>
      <c r="L275" s="2"/>
      <c r="M275" s="2"/>
    </row>
    <row r="276" spans="1:13" outlineLevel="1" x14ac:dyDescent="0.2">
      <c r="A276" s="3" t="str">
        <f ca="1">OFFSET([1]Язык!$A$461,0,LANGUAGE)</f>
        <v xml:space="preserve">    здания и сооружения</v>
      </c>
      <c r="C276" s="9" t="str">
        <f ca="1">CUR_Main</f>
        <v>$</v>
      </c>
      <c r="D276" s="1" t="s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/>
      <c r="M276" s="2"/>
    </row>
    <row r="277" spans="1:13" outlineLevel="1" x14ac:dyDescent="0.2">
      <c r="A277" s="3" t="str">
        <f ca="1">OFFSET([1]Язык!$A$462,0,LANGUAGE)</f>
        <v xml:space="preserve">    оборудование и прочие активы</v>
      </c>
      <c r="C277" s="9" t="str">
        <f ca="1">CUR_Main</f>
        <v>$</v>
      </c>
      <c r="D277" s="1" t="s">
        <v>0</v>
      </c>
      <c r="F277" s="2">
        <f>$G22+$G23+$G24+$G25+F168</f>
        <v>0</v>
      </c>
      <c r="G277" s="2">
        <f>$G22+$G23+$G24+$G25+G168</f>
        <v>0</v>
      </c>
      <c r="H277" s="2">
        <f>$G22+$G23+$G24+$G25+H168</f>
        <v>0</v>
      </c>
      <c r="I277" s="2">
        <f>$G22+$G23+$G24+$G25+I168</f>
        <v>0</v>
      </c>
      <c r="J277" s="2">
        <f>$G22+$G23+$G24+$G25+J168</f>
        <v>0</v>
      </c>
      <c r="K277" s="2">
        <f>$G22+$G23+$G24+$G25+K168</f>
        <v>0</v>
      </c>
      <c r="L277" s="2"/>
      <c r="M277" s="2"/>
    </row>
    <row r="278" spans="1:13" outlineLevel="1" x14ac:dyDescent="0.2">
      <c r="A278" s="3" t="str">
        <f ca="1">OFFSET([1]Язык!$A$463,0,LANGUAGE)</f>
        <v>Незавершенные капиталовложения</v>
      </c>
      <c r="C278" s="9" t="str">
        <f ca="1">CUR_Main</f>
        <v>$</v>
      </c>
      <c r="D278" s="1" t="s">
        <v>0</v>
      </c>
      <c r="F278" s="2">
        <f>F158</f>
        <v>0</v>
      </c>
      <c r="G278" s="2">
        <f>G158</f>
        <v>0</v>
      </c>
      <c r="H278" s="2">
        <f>H158</f>
        <v>0</v>
      </c>
      <c r="I278" s="2">
        <f>I158</f>
        <v>0</v>
      </c>
      <c r="J278" s="2">
        <f>J158</f>
        <v>0</v>
      </c>
      <c r="K278" s="2">
        <f>K158</f>
        <v>0</v>
      </c>
      <c r="L278" s="2"/>
      <c r="M278" s="2"/>
    </row>
    <row r="279" spans="1:13" outlineLevel="1" x14ac:dyDescent="0.2">
      <c r="A279" s="10" t="str">
        <f ca="1">OFFSET([1]Язык!$A$464,0,LANGUAGE)</f>
        <v>Суммарные внеоборотные активы</v>
      </c>
      <c r="C279" s="9" t="str">
        <f ca="1">CUR_Main</f>
        <v>$</v>
      </c>
      <c r="D279" s="1" t="s">
        <v>0</v>
      </c>
      <c r="F279" s="2">
        <f>F275+F278</f>
        <v>0</v>
      </c>
      <c r="G279" s="2">
        <f>G275+G278</f>
        <v>0</v>
      </c>
      <c r="H279" s="2">
        <f>H275+H278</f>
        <v>0</v>
      </c>
      <c r="I279" s="2">
        <f>I275+I278</f>
        <v>0</v>
      </c>
      <c r="J279" s="2">
        <f>J275+J278</f>
        <v>0</v>
      </c>
      <c r="K279" s="2">
        <f>K275+K278</f>
        <v>0</v>
      </c>
      <c r="L279" s="2"/>
      <c r="M279" s="2"/>
    </row>
    <row r="280" spans="1:13" outlineLevel="1" x14ac:dyDescent="0.2">
      <c r="A280" s="3"/>
      <c r="F280" s="2"/>
      <c r="G280" s="2"/>
      <c r="H280" s="2"/>
      <c r="I280" s="2"/>
      <c r="J280" s="2"/>
      <c r="K280" s="2"/>
      <c r="L280" s="2"/>
      <c r="M280" s="2"/>
    </row>
    <row r="281" spans="1:13" outlineLevel="1" x14ac:dyDescent="0.2">
      <c r="A281" s="10" t="str">
        <f ca="1">OFFSET([1]Язык!$A$465,0,LANGUAGE)</f>
        <v xml:space="preserve"> = ИТОГО АКТИВОВ</v>
      </c>
      <c r="B281" s="11" t="str">
        <f>IF(COUNTIF(F301:K301,1)&gt;0,"Не сходится!","")</f>
        <v/>
      </c>
      <c r="C281" s="9" t="str">
        <f ca="1">CUR_Main</f>
        <v>$</v>
      </c>
      <c r="D281" s="1" t="s">
        <v>0</v>
      </c>
      <c r="F281" s="2">
        <f>F273+F279</f>
        <v>0</v>
      </c>
      <c r="G281" s="2">
        <f>G273+G279</f>
        <v>0</v>
      </c>
      <c r="H281" s="2">
        <f>H273+H279</f>
        <v>0</v>
      </c>
      <c r="I281" s="2">
        <f>I273+I279</f>
        <v>0</v>
      </c>
      <c r="J281" s="2">
        <f>J273+J279</f>
        <v>0</v>
      </c>
      <c r="K281" s="2">
        <f>K273+K279</f>
        <v>0</v>
      </c>
      <c r="L281" s="2"/>
      <c r="M281" s="2"/>
    </row>
    <row r="282" spans="1:13" outlineLevel="1" x14ac:dyDescent="0.2">
      <c r="A282" s="3"/>
      <c r="F282" s="2"/>
      <c r="G282" s="2"/>
      <c r="H282" s="2"/>
      <c r="I282" s="2"/>
      <c r="J282" s="2"/>
      <c r="K282" s="2"/>
      <c r="L282" s="2"/>
      <c r="M282" s="2"/>
    </row>
    <row r="283" spans="1:13" outlineLevel="1" x14ac:dyDescent="0.2">
      <c r="A283" s="3" t="str">
        <f ca="1">OFFSET([1]Язык!$A$466,0,LANGUAGE)</f>
        <v>Кредиторская задолженность</v>
      </c>
      <c r="C283" s="9" t="str">
        <f ca="1">CUR_Main</f>
        <v>$</v>
      </c>
      <c r="D283" s="1" t="s">
        <v>0</v>
      </c>
      <c r="F283" s="2">
        <f>SUM(F284:F285)</f>
        <v>0</v>
      </c>
      <c r="G283" s="2">
        <f>SUM(G284:G285)</f>
        <v>0</v>
      </c>
      <c r="H283" s="2">
        <f>SUM(H284:H285)</f>
        <v>0</v>
      </c>
      <c r="I283" s="2">
        <f>SUM(I284:I285)</f>
        <v>0</v>
      </c>
      <c r="J283" s="2">
        <f>SUM(J284:J285)</f>
        <v>0</v>
      </c>
      <c r="K283" s="2">
        <f>SUM(K284:K285)</f>
        <v>0</v>
      </c>
      <c r="L283" s="2"/>
      <c r="M283" s="2"/>
    </row>
    <row r="284" spans="1:13" outlineLevel="1" x14ac:dyDescent="0.2">
      <c r="A284" s="3" t="str">
        <f ca="1">OFFSET([1]Язык!$A$467,0,LANGUAGE)</f>
        <v xml:space="preserve">    за поставленные товары</v>
      </c>
      <c r="C284" s="9" t="str">
        <f ca="1">CUR_Main</f>
        <v>$</v>
      </c>
      <c r="D284" s="1" t="s">
        <v>0</v>
      </c>
      <c r="F284" s="2">
        <f>F146</f>
        <v>0</v>
      </c>
      <c r="G284" s="2">
        <f>G146</f>
        <v>0</v>
      </c>
      <c r="H284" s="2">
        <f>H146</f>
        <v>0</v>
      </c>
      <c r="I284" s="2">
        <f>I146</f>
        <v>0</v>
      </c>
      <c r="J284" s="2">
        <f>J146</f>
        <v>0</v>
      </c>
      <c r="K284" s="2">
        <f>K146</f>
        <v>0</v>
      </c>
      <c r="L284" s="2"/>
      <c r="M284" s="2"/>
    </row>
    <row r="285" spans="1:13" outlineLevel="1" x14ac:dyDescent="0.2">
      <c r="A285" s="3" t="str">
        <f ca="1">OFFSET([1]Язык!$A$468,0,LANGUAGE)</f>
        <v xml:space="preserve">    за постоянные активы</v>
      </c>
      <c r="C285" s="9" t="str">
        <f ca="1">CUR_Main</f>
        <v>$</v>
      </c>
      <c r="D285" s="1" t="s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/>
      <c r="M285" s="2"/>
    </row>
    <row r="286" spans="1:13" outlineLevel="1" x14ac:dyDescent="0.2">
      <c r="A286" s="3" t="str">
        <f ca="1">OFFSET([1]Язык!$A$469,0,LANGUAGE)</f>
        <v>Расчеты с бюджетом</v>
      </c>
      <c r="C286" s="9" t="str">
        <f ca="1">CUR_Main</f>
        <v>$</v>
      </c>
      <c r="D286" s="1" t="s">
        <v>0</v>
      </c>
      <c r="F286" s="2">
        <f>F148</f>
        <v>0</v>
      </c>
      <c r="G286" s="2">
        <f>G148</f>
        <v>0</v>
      </c>
      <c r="H286" s="2">
        <f>H148</f>
        <v>0</v>
      </c>
      <c r="I286" s="2">
        <f>I148</f>
        <v>0</v>
      </c>
      <c r="J286" s="2">
        <f>J148</f>
        <v>0</v>
      </c>
      <c r="K286" s="2">
        <f>K148</f>
        <v>0</v>
      </c>
      <c r="L286" s="2"/>
      <c r="M286" s="2"/>
    </row>
    <row r="287" spans="1:13" outlineLevel="1" x14ac:dyDescent="0.2">
      <c r="A287" s="3" t="str">
        <f ca="1">OFFSET([1]Язык!$A$470,0,LANGUAGE)</f>
        <v>Расчеты с персоналом</v>
      </c>
      <c r="C287" s="9" t="str">
        <f ca="1">CUR_Main</f>
        <v>$</v>
      </c>
      <c r="D287" s="1" t="s">
        <v>0</v>
      </c>
      <c r="F287" s="2">
        <f>F149</f>
        <v>0</v>
      </c>
      <c r="G287" s="2">
        <f>G149</f>
        <v>0</v>
      </c>
      <c r="H287" s="2">
        <f>H149</f>
        <v>0</v>
      </c>
      <c r="I287" s="2">
        <f>I149</f>
        <v>0</v>
      </c>
      <c r="J287" s="2">
        <f>J149</f>
        <v>0</v>
      </c>
      <c r="K287" s="2">
        <f>K149</f>
        <v>0</v>
      </c>
      <c r="L287" s="2"/>
      <c r="M287" s="2"/>
    </row>
    <row r="288" spans="1:13" outlineLevel="1" x14ac:dyDescent="0.2">
      <c r="A288" s="3" t="str">
        <f ca="1">OFFSET([1]Язык!$A$471,0,LANGUAGE)</f>
        <v>Авансы покупателей</v>
      </c>
      <c r="C288" s="9" t="str">
        <f ca="1">CUR_Main</f>
        <v>$</v>
      </c>
      <c r="D288" s="1" t="s">
        <v>0</v>
      </c>
      <c r="F288" s="2">
        <f>F147</f>
        <v>0</v>
      </c>
      <c r="G288" s="2">
        <f>G147</f>
        <v>0</v>
      </c>
      <c r="H288" s="2">
        <f>H147</f>
        <v>0</v>
      </c>
      <c r="I288" s="2">
        <f>I147</f>
        <v>0</v>
      </c>
      <c r="J288" s="2">
        <f>J147</f>
        <v>0</v>
      </c>
      <c r="K288" s="2">
        <f>K147</f>
        <v>0</v>
      </c>
      <c r="L288" s="2"/>
      <c r="M288" s="2"/>
    </row>
    <row r="289" spans="1:13" outlineLevel="1" x14ac:dyDescent="0.2">
      <c r="A289" s="3" t="str">
        <f ca="1">OFFSET([1]Язык!$A$472,0,LANGUAGE)</f>
        <v>Краткосрочные кредиты</v>
      </c>
      <c r="C289" s="9" t="str">
        <f ca="1">CUR_Main</f>
        <v>$</v>
      </c>
      <c r="D289" s="1" t="s">
        <v>0</v>
      </c>
      <c r="F289" s="2">
        <f>F191</f>
        <v>0</v>
      </c>
      <c r="G289" s="2">
        <f>G191</f>
        <v>0</v>
      </c>
      <c r="H289" s="2">
        <f>H191</f>
        <v>0</v>
      </c>
      <c r="I289" s="2">
        <f>I191</f>
        <v>0</v>
      </c>
      <c r="J289" s="2">
        <f>J191</f>
        <v>0</v>
      </c>
      <c r="K289" s="2">
        <f>K191</f>
        <v>0</v>
      </c>
      <c r="L289" s="2"/>
      <c r="M289" s="2"/>
    </row>
    <row r="290" spans="1:13" outlineLevel="1" x14ac:dyDescent="0.2">
      <c r="A290" s="3" t="str">
        <f ca="1">OFFSET([1]Язык!$A$473,0,LANGUAGE)</f>
        <v>Прочие краткосрочные обязательства</v>
      </c>
      <c r="C290" s="9" t="str">
        <f ca="1">CUR_Main</f>
        <v>$</v>
      </c>
      <c r="D290" s="1" t="s">
        <v>0</v>
      </c>
      <c r="F290" s="2">
        <f>$G74+$G75+$G76+$G77</f>
        <v>0</v>
      </c>
      <c r="G290" s="2">
        <f>$G74+$G75+$G76+$G77</f>
        <v>0</v>
      </c>
      <c r="H290" s="2">
        <f>$G74+$G75+$G76+$G77</f>
        <v>0</v>
      </c>
      <c r="I290" s="2">
        <f>$G74+$G75+$G76+$G77</f>
        <v>0</v>
      </c>
      <c r="J290" s="2">
        <f>$G74+$G75+$G76+$G77</f>
        <v>0</v>
      </c>
      <c r="K290" s="2">
        <f>$G74+$G75+$G76+$G77</f>
        <v>0</v>
      </c>
      <c r="L290" s="2"/>
      <c r="M290" s="2"/>
    </row>
    <row r="291" spans="1:13" outlineLevel="1" x14ac:dyDescent="0.2">
      <c r="A291" s="10" t="str">
        <f ca="1">OFFSET([1]Язык!$A$474,0,LANGUAGE)</f>
        <v>Суммарные краткосрочные обязательства</v>
      </c>
      <c r="C291" s="9" t="str">
        <f ca="1">CUR_Main</f>
        <v>$</v>
      </c>
      <c r="D291" s="1" t="s">
        <v>0</v>
      </c>
      <c r="F291" s="2">
        <f>F283+SUM(F286:F290)</f>
        <v>0</v>
      </c>
      <c r="G291" s="2">
        <f>G283+SUM(G286:G290)</f>
        <v>0</v>
      </c>
      <c r="H291" s="2">
        <f>H283+SUM(H286:H290)</f>
        <v>0</v>
      </c>
      <c r="I291" s="2">
        <f>I283+SUM(I286:I290)</f>
        <v>0</v>
      </c>
      <c r="J291" s="2">
        <f>J283+SUM(J286:J290)</f>
        <v>0</v>
      </c>
      <c r="K291" s="2">
        <f>K283+SUM(K286:K290)</f>
        <v>0</v>
      </c>
      <c r="L291" s="2"/>
      <c r="M291" s="2"/>
    </row>
    <row r="292" spans="1:13" outlineLevel="1" x14ac:dyDescent="0.2">
      <c r="A292" s="3"/>
      <c r="F292" s="2"/>
      <c r="G292" s="2"/>
      <c r="H292" s="2"/>
      <c r="I292" s="2"/>
      <c r="J292" s="2"/>
      <c r="K292" s="2"/>
      <c r="L292" s="2"/>
      <c r="M292" s="2"/>
    </row>
    <row r="293" spans="1:13" outlineLevel="1" x14ac:dyDescent="0.2">
      <c r="A293" s="10" t="str">
        <f ca="1">OFFSET([1]Язык!$A$475,0,LANGUAGE)</f>
        <v>Долгосрочные обязательства</v>
      </c>
      <c r="C293" s="9" t="str">
        <f ca="1">CUR_Main</f>
        <v>$</v>
      </c>
      <c r="D293" s="1" t="s">
        <v>0</v>
      </c>
      <c r="F293" s="2">
        <f>F197+$G62+$G63</f>
        <v>0</v>
      </c>
      <c r="G293" s="2">
        <f>G197+$G62+$G63</f>
        <v>0</v>
      </c>
      <c r="H293" s="2">
        <f>H197+$G62+$G63</f>
        <v>0</v>
      </c>
      <c r="I293" s="2">
        <f>I197+$G62+$G63</f>
        <v>0</v>
      </c>
      <c r="J293" s="2">
        <f>J197+$G62+$G63</f>
        <v>0</v>
      </c>
      <c r="K293" s="2">
        <f>K197+$G62+$G63</f>
        <v>0</v>
      </c>
      <c r="L293" s="2"/>
      <c r="M293" s="2"/>
    </row>
    <row r="294" spans="1:13" outlineLevel="1" x14ac:dyDescent="0.2">
      <c r="A294" s="3"/>
      <c r="F294" s="2"/>
      <c r="G294" s="2"/>
      <c r="H294" s="2"/>
      <c r="I294" s="2"/>
      <c r="J294" s="2"/>
      <c r="K294" s="2"/>
      <c r="L294" s="2"/>
      <c r="M294" s="2"/>
    </row>
    <row r="295" spans="1:13" outlineLevel="1" x14ac:dyDescent="0.2">
      <c r="A295" s="3" t="str">
        <f ca="1">OFFSET([1]Язык!$A$476,0,LANGUAGE)</f>
        <v>Акционерный капитал</v>
      </c>
      <c r="C295" s="9" t="str">
        <f ca="1">CUR_Main</f>
        <v>$</v>
      </c>
      <c r="D295" s="1" t="s">
        <v>0</v>
      </c>
      <c r="F295" s="2">
        <f>$G52+F186</f>
        <v>0</v>
      </c>
      <c r="G295" s="2">
        <f>$G52+G186</f>
        <v>0</v>
      </c>
      <c r="H295" s="2">
        <f>$G52+H186</f>
        <v>0</v>
      </c>
      <c r="I295" s="2">
        <f>$G52+I186</f>
        <v>0</v>
      </c>
      <c r="J295" s="2">
        <f>$G52+J186</f>
        <v>0</v>
      </c>
      <c r="K295" s="2">
        <f>$G52+K186</f>
        <v>0</v>
      </c>
      <c r="L295" s="2"/>
      <c r="M295" s="2"/>
    </row>
    <row r="296" spans="1:13" outlineLevel="1" x14ac:dyDescent="0.2">
      <c r="A296" s="3" t="str">
        <f ca="1">OFFSET([1]Язык!$A$477,0,LANGUAGE)</f>
        <v>Нераспределенная прибыль</v>
      </c>
      <c r="C296" s="9" t="str">
        <f ca="1">CUR_Main</f>
        <v>$</v>
      </c>
      <c r="D296" s="1" t="s">
        <v>0</v>
      </c>
      <c r="F296" s="2">
        <f>G58</f>
        <v>0</v>
      </c>
      <c r="G296" s="2">
        <f>F296+G225</f>
        <v>0</v>
      </c>
      <c r="H296" s="2">
        <f>G296+H225</f>
        <v>0</v>
      </c>
      <c r="I296" s="2">
        <f>H296+I225</f>
        <v>0</v>
      </c>
      <c r="J296" s="2">
        <f>I296+J225</f>
        <v>0</v>
      </c>
      <c r="K296" s="2">
        <f>J296+K225</f>
        <v>0</v>
      </c>
      <c r="L296" s="2"/>
      <c r="M296" s="2"/>
    </row>
    <row r="297" spans="1:13" outlineLevel="1" x14ac:dyDescent="0.2">
      <c r="A297" s="3" t="str">
        <f ca="1">OFFSET([1]Язык!$A$478,0,LANGUAGE)</f>
        <v>Прочие источники финансирования</v>
      </c>
      <c r="C297" s="9" t="str">
        <f ca="1">CUR_Main</f>
        <v>$</v>
      </c>
      <c r="D297" s="1" t="s">
        <v>0</v>
      </c>
      <c r="F297" s="2">
        <f>$G53+$G54</f>
        <v>0</v>
      </c>
      <c r="G297" s="2">
        <f>$G53+$G54</f>
        <v>0</v>
      </c>
      <c r="H297" s="2">
        <f>$G53+$G54</f>
        <v>0</v>
      </c>
      <c r="I297" s="2">
        <f>$G53+$G54</f>
        <v>0</v>
      </c>
      <c r="J297" s="2">
        <f>$G53+$G54</f>
        <v>0</v>
      </c>
      <c r="K297" s="2">
        <f>$G53+$G54</f>
        <v>0</v>
      </c>
      <c r="L297" s="2"/>
      <c r="M297" s="2"/>
    </row>
    <row r="298" spans="1:13" outlineLevel="1" x14ac:dyDescent="0.2">
      <c r="A298" s="10" t="str">
        <f ca="1">OFFSET([1]Язык!$A$479,0,LANGUAGE)</f>
        <v>Суммарный собственный капитал</v>
      </c>
      <c r="C298" s="9" t="str">
        <f ca="1">CUR_Main</f>
        <v>$</v>
      </c>
      <c r="D298" s="1" t="s">
        <v>0</v>
      </c>
      <c r="F298" s="2">
        <f>SUM(F295:F297)</f>
        <v>0</v>
      </c>
      <c r="G298" s="2">
        <f>SUM(G295:G297)</f>
        <v>0</v>
      </c>
      <c r="H298" s="2">
        <f>SUM(H295:H297)</f>
        <v>0</v>
      </c>
      <c r="I298" s="2">
        <f>SUM(I295:I297)</f>
        <v>0</v>
      </c>
      <c r="J298" s="2">
        <f>SUM(J295:J297)</f>
        <v>0</v>
      </c>
      <c r="K298" s="2">
        <f>SUM(K295:K297)</f>
        <v>0</v>
      </c>
      <c r="L298" s="2"/>
      <c r="M298" s="2"/>
    </row>
    <row r="299" spans="1:13" outlineLevel="1" x14ac:dyDescent="0.2">
      <c r="A299" s="3"/>
      <c r="F299" s="2"/>
      <c r="G299" s="2"/>
      <c r="H299" s="2"/>
      <c r="I299" s="2"/>
      <c r="J299" s="2"/>
      <c r="K299" s="2"/>
      <c r="L299" s="2"/>
      <c r="M299" s="2"/>
    </row>
    <row r="300" spans="1:13" outlineLevel="1" x14ac:dyDescent="0.2">
      <c r="A300" s="8" t="str">
        <f ca="1">OFFSET([1]Язык!$A$480,0,LANGUAGE)</f>
        <v xml:space="preserve"> = ИТОГО ПАССИВОВ</v>
      </c>
      <c r="B300" s="7" t="str">
        <f>IF(COUNTIF(F301:K301,1)&gt;0,"Не сходится!","")</f>
        <v/>
      </c>
      <c r="C300" s="6" t="str">
        <f ca="1">CUR_Main</f>
        <v>$</v>
      </c>
      <c r="D300" s="5" t="s">
        <v>0</v>
      </c>
      <c r="E300" s="5"/>
      <c r="F300" s="4">
        <f>F291+F293+F298</f>
        <v>0</v>
      </c>
      <c r="G300" s="4">
        <f>G291+G293+G298</f>
        <v>0</v>
      </c>
      <c r="H300" s="4">
        <f>H291+H293+H298</f>
        <v>0</v>
      </c>
      <c r="I300" s="4">
        <f>I291+I293+I298</f>
        <v>0</v>
      </c>
      <c r="J300" s="4">
        <f>J291+J293+J298</f>
        <v>0</v>
      </c>
      <c r="K300" s="4">
        <f>K291+K293+K298</f>
        <v>0</v>
      </c>
      <c r="L300" s="4"/>
      <c r="M300" s="2"/>
    </row>
    <row r="301" spans="1:13" outlineLevel="1" x14ac:dyDescent="0.2">
      <c r="A301" s="3" t="str">
        <f ca="1">OFFSET([1]Язык!$A$481,0,LANGUAGE)</f>
        <v>Контроль сходимости баланса</v>
      </c>
      <c r="D301" s="1" t="s">
        <v>0</v>
      </c>
      <c r="F301" s="2">
        <f>IF(ABS(F281-F300)&gt;1,1,0)</f>
        <v>0</v>
      </c>
      <c r="G301" s="2">
        <f>IF(ABS(G281-G300)&gt;1,1,0)</f>
        <v>0</v>
      </c>
      <c r="H301" s="2">
        <f>IF(ABS(H281-H300)&gt;1,1,0)</f>
        <v>0</v>
      </c>
      <c r="I301" s="2">
        <f>IF(ABS(I281-I300)&gt;1,1,0)</f>
        <v>0</v>
      </c>
      <c r="J301" s="2">
        <f>IF(ABS(J281-J300)&gt;1,1,0)</f>
        <v>0</v>
      </c>
      <c r="K301" s="2">
        <f>IF(ABS(K281-K300)&gt;1,1,0)</f>
        <v>0</v>
      </c>
      <c r="L301" s="2"/>
      <c r="M301" s="2"/>
    </row>
  </sheetData>
  <dataValidations count="1">
    <dataValidation type="whole" allowBlank="1" showInputMessage="1" showErrorMessage="1" errorTitle="Альт-Инвест" error="Допустимые значения в этой ячейке: 1 или 2" sqref="F108">
      <formula1>1</formula1>
      <formula2>2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Run_AddProject">
                <anchor moveWithCells="1">
                  <from>
                    <xdr:col>0</xdr:col>
                    <xdr:colOff>19050</xdr:colOff>
                    <xdr:row>5</xdr:row>
                    <xdr:rowOff>9525</xdr:rowOff>
                  </from>
                  <to>
                    <xdr:col>0</xdr:col>
                    <xdr:colOff>1276350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Run_DelProject">
                <anchor moveWithCells="1">
                  <from>
                    <xdr:col>0</xdr:col>
                    <xdr:colOff>1647825</xdr:colOff>
                    <xdr:row>5</xdr:row>
                    <xdr:rowOff>9525</xdr:rowOff>
                  </from>
                  <to>
                    <xdr:col>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11</vt:i4>
      </vt:variant>
    </vt:vector>
  </HeadingPairs>
  <TitlesOfParts>
    <vt:vector size="12" baseType="lpstr">
      <vt:lpstr>Компания</vt:lpstr>
      <vt:lpstr>COMP_LAST_COLUMN</vt:lpstr>
      <vt:lpstr>PRJ_COUNT</vt:lpstr>
      <vt:lpstr>Компания!Table_1</vt:lpstr>
      <vt:lpstr>Компания!Table_2</vt:lpstr>
      <vt:lpstr>Компания!Table_3</vt:lpstr>
      <vt:lpstr>Компания!Table_4</vt:lpstr>
      <vt:lpstr>Компания!Table_5</vt:lpstr>
      <vt:lpstr>Компания!Table_6</vt:lpstr>
      <vt:lpstr>Компания!Table_7</vt:lpstr>
      <vt:lpstr>Компания!Table_8</vt:lpstr>
      <vt:lpstr>Компания!Table_9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Nurlan Tussupbekov</dc:creator>
  <cp:lastModifiedBy>Nurlan Tussupbekov</cp:lastModifiedBy>
  <dcterms:created xsi:type="dcterms:W3CDTF">2018-03-20T05:05:54Z</dcterms:created>
  <dcterms:modified xsi:type="dcterms:W3CDTF">2018-03-20T05:07:29Z</dcterms:modified>
</cp:coreProperties>
</file>