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9029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b.tovalev\Desktop\Boris Tovalev\TUAPSE v.s. RIGA\"/>
    </mc:Choice>
  </mc:AlternateContent>
  <bookViews>
    <workbookView xWindow="0" yWindow="0" windowWidth="23040" windowHeight="8772"/>
  </bookViews>
  <sheets>
    <sheet name="Сравнение" sheetId="24" r:id="rId1"/>
    <sheet name="Рига" sheetId="23" r:id="rId2"/>
    <sheet name="Туапсе" sheetId="19" r:id="rId3"/>
    <sheet name="справочник" sheetId="5" state="hidden" r:id="rId4"/>
    <sheet name="Sheet1" sheetId="20" state="hidden" r:id="rId5"/>
    <sheet name="качество справочник" sheetId="21" state="hidden" r:id="rId6"/>
    <sheet name="справочник логистика" sheetId="22" r:id="rId7"/>
  </sheets>
  <externalReferences>
    <externalReference r:id="rId8"/>
  </externalReferences>
  <definedNames>
    <definedName name="cm" localSheetId="1">#REF!</definedName>
    <definedName name="cm">#REF!</definedName>
    <definedName name="Currency" localSheetId="1">#REF!</definedName>
    <definedName name="Currency">#REF!</definedName>
    <definedName name="Emp" localSheetId="1">#REF!</definedName>
    <definedName name="Emp">#REF!</definedName>
    <definedName name="gm" localSheetId="1">#REF!</definedName>
    <definedName name="gm">#REF!</definedName>
    <definedName name="Goods" localSheetId="1">#REF!</definedName>
    <definedName name="Goods">#REF!</definedName>
    <definedName name="ld" localSheetId="1">#REF!</definedName>
    <definedName name="ld">#REF!</definedName>
    <definedName name="pr" localSheetId="1">#REF!</definedName>
    <definedName name="pr">#REF!</definedName>
    <definedName name="Reg._Logistic" localSheetId="1">#REF!</definedName>
    <definedName name="Reg._Logistic">#REF!</definedName>
    <definedName name="Regional_manager" localSheetId="1">#REF!</definedName>
    <definedName name="Regional_manager">#REF!</definedName>
    <definedName name="rm" localSheetId="1">#REF!</definedName>
    <definedName name="rm">#REF!</definedName>
    <definedName name="Sale_Parity" localSheetId="1">#REF!</definedName>
    <definedName name="Sale_Parity">#REF!</definedName>
    <definedName name="tr" localSheetId="1">#REF!</definedName>
    <definedName name="tr">#REF!</definedName>
    <definedName name="VAT_rate" localSheetId="1">#REF!</definedName>
    <definedName name="VAT_rate">#REF!</definedName>
    <definedName name="Весовые_потери___хранение" localSheetId="1">#REF!</definedName>
    <definedName name="Весовые_потери___хранение">#REF!</definedName>
    <definedName name="Документы_с_учетом_НДС" localSheetId="3">#REF!</definedName>
    <definedName name="класс_товара" localSheetId="1">#REF!</definedName>
    <definedName name="класс_товара">#REF!</definedName>
    <definedName name="_xlnm.Print_Area" localSheetId="1">Рига!$B$1:$L$97</definedName>
    <definedName name="_xlnm.Print_Area" localSheetId="2">Туапсе!$B$1:$L$97</definedName>
  </definedNames>
  <calcPr calcId="162913"/>
  <fileRecoveryPr autoRecover="0"/>
</workbook>
</file>

<file path=xl/calcChain.xml><?xml version="1.0" encoding="utf-8"?>
<calcChain xmlns="http://schemas.openxmlformats.org/spreadsheetml/2006/main">
  <c r="B21" i="24" l="1"/>
  <c r="B22" i="24" s="1"/>
  <c r="K13" i="19" l="1"/>
  <c r="F65" i="19"/>
  <c r="G69" i="23"/>
  <c r="F69" i="23"/>
  <c r="G72" i="23"/>
  <c r="F72" i="23"/>
  <c r="G70" i="23"/>
  <c r="F70" i="23"/>
  <c r="G61" i="23"/>
  <c r="G71" i="23"/>
  <c r="F71" i="23"/>
  <c r="B23" i="24"/>
  <c r="F66" i="23" s="1"/>
  <c r="G68" i="23" l="1"/>
  <c r="G63" i="23"/>
  <c r="K13" i="23"/>
  <c r="G62" i="23"/>
  <c r="H62" i="23" l="1"/>
  <c r="H20" i="24" l="1"/>
  <c r="H10" i="24"/>
  <c r="F38" i="19" l="1"/>
  <c r="F38" i="23"/>
  <c r="D19" i="23"/>
  <c r="D20" i="23" l="1"/>
  <c r="F52" i="23"/>
  <c r="B6" i="24"/>
  <c r="D6" i="19" s="1"/>
  <c r="D19" i="19"/>
  <c r="D20" i="19" s="1"/>
  <c r="K12" i="23"/>
  <c r="K12" i="19"/>
  <c r="K10" i="19"/>
  <c r="K10" i="23"/>
  <c r="D17" i="23"/>
  <c r="D17" i="19"/>
  <c r="D14" i="19"/>
  <c r="D14" i="23"/>
  <c r="D35" i="19"/>
  <c r="F35" i="19"/>
  <c r="D35" i="23"/>
  <c r="D13" i="19"/>
  <c r="D13" i="23"/>
  <c r="D12" i="23"/>
  <c r="D12" i="19"/>
  <c r="D11" i="19"/>
  <c r="D11" i="23"/>
  <c r="D10" i="19"/>
  <c r="D10" i="23"/>
  <c r="K6" i="19"/>
  <c r="K5" i="19"/>
  <c r="K2" i="19"/>
  <c r="K6" i="23"/>
  <c r="K5" i="23"/>
  <c r="K2" i="23"/>
  <c r="E9" i="24"/>
  <c r="D7" i="19"/>
  <c r="D7" i="23"/>
  <c r="D5" i="23"/>
  <c r="F76" i="23" s="1"/>
  <c r="D5" i="19"/>
  <c r="D3" i="19"/>
  <c r="D3" i="23"/>
  <c r="F52" i="19" l="1"/>
  <c r="F44" i="23"/>
  <c r="F44" i="19"/>
  <c r="F76" i="19"/>
  <c r="D6" i="23"/>
  <c r="F65" i="23" s="1"/>
  <c r="E12" i="24"/>
  <c r="B20" i="24" s="1"/>
  <c r="D18" i="19" l="1"/>
  <c r="D18" i="23"/>
  <c r="D85" i="23"/>
  <c r="I85" i="23" s="1"/>
  <c r="G85" i="23" s="1"/>
  <c r="H85" i="23" s="1"/>
  <c r="K85" i="23" s="1"/>
  <c r="K83" i="23"/>
  <c r="J83" i="23" s="1"/>
  <c r="H83" i="23"/>
  <c r="G83" i="23" s="1"/>
  <c r="G80" i="23"/>
  <c r="I80" i="23" s="1"/>
  <c r="J80" i="23" s="1"/>
  <c r="K80" i="23" s="1"/>
  <c r="G79" i="23"/>
  <c r="I79" i="23" s="1"/>
  <c r="J79" i="23" s="1"/>
  <c r="K79" i="23" s="1"/>
  <c r="G78" i="23"/>
  <c r="I78" i="23" s="1"/>
  <c r="J78" i="23" s="1"/>
  <c r="K78" i="23" s="1"/>
  <c r="G77" i="23"/>
  <c r="G76" i="23"/>
  <c r="I76" i="23" s="1"/>
  <c r="J76" i="23" s="1"/>
  <c r="K76" i="23" s="1"/>
  <c r="G75" i="23"/>
  <c r="H75" i="23" s="1"/>
  <c r="I74" i="23"/>
  <c r="J74" i="23" s="1"/>
  <c r="G74" i="23"/>
  <c r="H74" i="23" s="1"/>
  <c r="I71" i="23"/>
  <c r="J71" i="23" s="1"/>
  <c r="K71" i="23" s="1"/>
  <c r="G67" i="23"/>
  <c r="I67" i="23" s="1"/>
  <c r="J67" i="23" s="1"/>
  <c r="K67" i="23" s="1"/>
  <c r="G66" i="23"/>
  <c r="I66" i="23" s="1"/>
  <c r="J66" i="23" s="1"/>
  <c r="K66" i="23" s="1"/>
  <c r="G65" i="23"/>
  <c r="G64" i="23"/>
  <c r="I64" i="23" s="1"/>
  <c r="J64" i="23" s="1"/>
  <c r="K64" i="23" s="1"/>
  <c r="H63" i="23"/>
  <c r="I61" i="23"/>
  <c r="J61" i="23" s="1"/>
  <c r="K61" i="23" s="1"/>
  <c r="G59" i="23"/>
  <c r="I59" i="23" s="1"/>
  <c r="J59" i="23" s="1"/>
  <c r="K59" i="23" s="1"/>
  <c r="G58" i="23"/>
  <c r="I58" i="23" s="1"/>
  <c r="J58" i="23" s="1"/>
  <c r="K58" i="23" s="1"/>
  <c r="G57" i="23"/>
  <c r="H57" i="23" s="1"/>
  <c r="G56" i="23"/>
  <c r="G55" i="23"/>
  <c r="I55" i="23" s="1"/>
  <c r="J55" i="23" s="1"/>
  <c r="K55" i="23" s="1"/>
  <c r="F54" i="23"/>
  <c r="G54" i="23" s="1"/>
  <c r="I54" i="23" s="1"/>
  <c r="J54" i="23" s="1"/>
  <c r="G52" i="23"/>
  <c r="G51" i="23"/>
  <c r="I51" i="23" s="1"/>
  <c r="J51" i="23" s="1"/>
  <c r="K51" i="23" s="1"/>
  <c r="G50" i="23"/>
  <c r="I50" i="23" s="1"/>
  <c r="J50" i="23" s="1"/>
  <c r="K50" i="23" s="1"/>
  <c r="G49" i="23"/>
  <c r="H49" i="23" s="1"/>
  <c r="G47" i="23"/>
  <c r="G46" i="23"/>
  <c r="I46" i="23" s="1"/>
  <c r="J46" i="23" s="1"/>
  <c r="K46" i="23" s="1"/>
  <c r="G45" i="23"/>
  <c r="I45" i="23" s="1"/>
  <c r="J45" i="23" s="1"/>
  <c r="K45" i="23" s="1"/>
  <c r="G44" i="23"/>
  <c r="H44" i="23" s="1"/>
  <c r="G43" i="23"/>
  <c r="G42" i="23"/>
  <c r="I42" i="23" s="1"/>
  <c r="J42" i="23" s="1"/>
  <c r="K42" i="23" s="1"/>
  <c r="G41" i="23"/>
  <c r="I41" i="23" s="1"/>
  <c r="J41" i="23" s="1"/>
  <c r="K41" i="23" s="1"/>
  <c r="G40" i="23"/>
  <c r="H40" i="23" s="1"/>
  <c r="G39" i="23"/>
  <c r="G38" i="23"/>
  <c r="H38" i="23" s="1"/>
  <c r="G37" i="23"/>
  <c r="H37" i="23" s="1"/>
  <c r="D28" i="23"/>
  <c r="C27" i="23"/>
  <c r="G24" i="23"/>
  <c r="K6" i="24" s="1"/>
  <c r="F24" i="23"/>
  <c r="J6" i="24" s="1"/>
  <c r="E24" i="23"/>
  <c r="I6" i="24" s="1"/>
  <c r="D24" i="23"/>
  <c r="H6" i="24" s="1"/>
  <c r="K11" i="23"/>
  <c r="K7" i="23"/>
  <c r="G4" i="23"/>
  <c r="G7" i="23" s="1"/>
  <c r="I69" i="23" l="1"/>
  <c r="J69" i="23" s="1"/>
  <c r="K69" i="23" s="1"/>
  <c r="G82" i="23"/>
  <c r="I75" i="23"/>
  <c r="J75" i="23" s="1"/>
  <c r="K75" i="23" s="1"/>
  <c r="H45" i="23"/>
  <c r="H59" i="23"/>
  <c r="H80" i="23"/>
  <c r="H76" i="23"/>
  <c r="I37" i="23"/>
  <c r="J37" i="23" s="1"/>
  <c r="K37" i="23" s="1"/>
  <c r="H50" i="23"/>
  <c r="H64" i="23"/>
  <c r="I38" i="23"/>
  <c r="J38" i="23" s="1"/>
  <c r="K38" i="23" s="1"/>
  <c r="H41" i="23"/>
  <c r="H78" i="23"/>
  <c r="H55" i="23"/>
  <c r="I57" i="23"/>
  <c r="J57" i="23" s="1"/>
  <c r="K57" i="23" s="1"/>
  <c r="I63" i="23"/>
  <c r="J63" i="23" s="1"/>
  <c r="K63" i="23" s="1"/>
  <c r="H67" i="23"/>
  <c r="I40" i="23"/>
  <c r="J40" i="23" s="1"/>
  <c r="K40" i="23" s="1"/>
  <c r="I44" i="23"/>
  <c r="J44" i="23" s="1"/>
  <c r="K44" i="23" s="1"/>
  <c r="I49" i="23"/>
  <c r="J49" i="23" s="1"/>
  <c r="K49" i="23" s="1"/>
  <c r="H58" i="23"/>
  <c r="H69" i="23"/>
  <c r="G14" i="23"/>
  <c r="G6" i="23"/>
  <c r="G8" i="23"/>
  <c r="I39" i="23"/>
  <c r="J39" i="23" s="1"/>
  <c r="K39" i="23" s="1"/>
  <c r="H39" i="23"/>
  <c r="I65" i="23"/>
  <c r="J65" i="23" s="1"/>
  <c r="K65" i="23" s="1"/>
  <c r="H65" i="23"/>
  <c r="I70" i="23"/>
  <c r="J70" i="23" s="1"/>
  <c r="K70" i="23" s="1"/>
  <c r="H70" i="23"/>
  <c r="G84" i="23"/>
  <c r="G60" i="23"/>
  <c r="G73" i="23" s="1"/>
  <c r="K74" i="23"/>
  <c r="H42" i="23"/>
  <c r="H46" i="23"/>
  <c r="I52" i="23"/>
  <c r="J52" i="23" s="1"/>
  <c r="H52" i="23"/>
  <c r="H61" i="23"/>
  <c r="H66" i="23"/>
  <c r="H71" i="23"/>
  <c r="I56" i="23"/>
  <c r="J56" i="23" s="1"/>
  <c r="K56" i="23" s="1"/>
  <c r="H56" i="23"/>
  <c r="G13" i="23"/>
  <c r="G10" i="23"/>
  <c r="G15" i="23"/>
  <c r="G12" i="23"/>
  <c r="G9" i="23"/>
  <c r="G5" i="23"/>
  <c r="G16" i="23"/>
  <c r="I68" i="23"/>
  <c r="J68" i="23" s="1"/>
  <c r="K68" i="23" s="1"/>
  <c r="H68" i="23"/>
  <c r="I77" i="23"/>
  <c r="J77" i="23" s="1"/>
  <c r="K77" i="23" s="1"/>
  <c r="H77" i="23"/>
  <c r="K54" i="23"/>
  <c r="G11" i="23"/>
  <c r="D82" i="23"/>
  <c r="G17" i="23"/>
  <c r="I43" i="23"/>
  <c r="J43" i="23" s="1"/>
  <c r="K43" i="23" s="1"/>
  <c r="H43" i="23"/>
  <c r="I47" i="23"/>
  <c r="J47" i="23" s="1"/>
  <c r="K47" i="23" s="1"/>
  <c r="H47" i="23"/>
  <c r="H51" i="23"/>
  <c r="H54" i="23"/>
  <c r="I62" i="23"/>
  <c r="J62" i="23" s="1"/>
  <c r="K62" i="23" s="1"/>
  <c r="I72" i="23"/>
  <c r="J72" i="23" s="1"/>
  <c r="K72" i="23" s="1"/>
  <c r="H72" i="23"/>
  <c r="J85" i="23"/>
  <c r="G81" i="23"/>
  <c r="G48" i="23"/>
  <c r="G53" i="23"/>
  <c r="H79" i="23"/>
  <c r="F66" i="19"/>
  <c r="F70" i="19"/>
  <c r="F69" i="19"/>
  <c r="H53" i="23" l="1"/>
  <c r="H48" i="23"/>
  <c r="H81" i="23"/>
  <c r="J48" i="23"/>
  <c r="K48" i="23"/>
  <c r="K52" i="23"/>
  <c r="K53" i="23" s="1"/>
  <c r="J53" i="23"/>
  <c r="K81" i="23"/>
  <c r="J81" i="23"/>
  <c r="I84" i="23"/>
  <c r="J84" i="23" s="1"/>
  <c r="K84" i="23" s="1"/>
  <c r="H84" i="23"/>
  <c r="H60" i="23"/>
  <c r="H73" i="23" s="1"/>
  <c r="I60" i="23"/>
  <c r="J60" i="23" s="1"/>
  <c r="F54" i="19"/>
  <c r="K60" i="23" l="1"/>
  <c r="K73" i="23" s="1"/>
  <c r="J73" i="23"/>
  <c r="H83" i="19"/>
  <c r="K7" i="19"/>
  <c r="Q79" i="23" l="1"/>
  <c r="Q80" i="23"/>
  <c r="K19" i="23"/>
  <c r="H11" i="24" s="1"/>
  <c r="C27" i="19"/>
  <c r="K83" i="19"/>
  <c r="J83" i="19" s="1"/>
  <c r="G83" i="19"/>
  <c r="G51" i="19" l="1"/>
  <c r="H51" i="19" s="1"/>
  <c r="G52" i="19"/>
  <c r="I51" i="19" l="1"/>
  <c r="J51" i="19" s="1"/>
  <c r="K51" i="19" s="1"/>
  <c r="G55" i="19"/>
  <c r="G56" i="19"/>
  <c r="H52" i="19" l="1"/>
  <c r="I52" i="19"/>
  <c r="J52" i="19" s="1"/>
  <c r="K52" i="19" s="1"/>
  <c r="G35" i="19" l="1"/>
  <c r="G87" i="19" s="1"/>
  <c r="I88" i="19" l="1"/>
  <c r="J35" i="19"/>
  <c r="I89" i="19" s="1"/>
  <c r="F20" i="5"/>
  <c r="K15" i="19" l="1"/>
  <c r="G27" i="19" s="1"/>
  <c r="K19" i="24" s="1"/>
  <c r="Q78" i="19"/>
  <c r="G36" i="19"/>
  <c r="G50" i="19"/>
  <c r="I50" i="19" s="1"/>
  <c r="J50" i="19" s="1"/>
  <c r="K50" i="19" s="1"/>
  <c r="G49" i="19"/>
  <c r="K35" i="19"/>
  <c r="K36" i="19" s="1"/>
  <c r="H35" i="19"/>
  <c r="H36" i="19" s="1"/>
  <c r="G47" i="19"/>
  <c r="I47" i="19" s="1"/>
  <c r="J47" i="19" s="1"/>
  <c r="K47" i="19" s="1"/>
  <c r="G46" i="19"/>
  <c r="H46" i="19" s="1"/>
  <c r="G45" i="19"/>
  <c r="I45" i="19" s="1"/>
  <c r="J45" i="19" s="1"/>
  <c r="K45" i="19" s="1"/>
  <c r="G44" i="19"/>
  <c r="G43" i="19"/>
  <c r="I43" i="19" s="1"/>
  <c r="J43" i="19" s="1"/>
  <c r="G42" i="19"/>
  <c r="I42" i="19" s="1"/>
  <c r="J42" i="19" s="1"/>
  <c r="K42" i="19" s="1"/>
  <c r="G41" i="19"/>
  <c r="I41" i="19" s="1"/>
  <c r="J41" i="19" s="1"/>
  <c r="K41" i="19" s="1"/>
  <c r="G40" i="19"/>
  <c r="H40" i="19" s="1"/>
  <c r="G39" i="19"/>
  <c r="H39" i="19" s="1"/>
  <c r="G38" i="19"/>
  <c r="I38" i="19" s="1"/>
  <c r="J38" i="19" s="1"/>
  <c r="K38" i="19" s="1"/>
  <c r="G37" i="19"/>
  <c r="I44" i="19" l="1"/>
  <c r="J44" i="19" s="1"/>
  <c r="K44" i="19" s="1"/>
  <c r="G48" i="19"/>
  <c r="G53" i="19"/>
  <c r="K43" i="19"/>
  <c r="I37" i="19"/>
  <c r="J37" i="19" s="1"/>
  <c r="K37" i="19" s="1"/>
  <c r="I40" i="19"/>
  <c r="J40" i="19" s="1"/>
  <c r="K40" i="19" s="1"/>
  <c r="I46" i="19"/>
  <c r="J46" i="19" s="1"/>
  <c r="K46" i="19" s="1"/>
  <c r="I39" i="19"/>
  <c r="J39" i="19" s="1"/>
  <c r="K39" i="19" s="1"/>
  <c r="H49" i="19"/>
  <c r="I49" i="19"/>
  <c r="J49" i="19" s="1"/>
  <c r="H37" i="19"/>
  <c r="H41" i="19"/>
  <c r="J36" i="19"/>
  <c r="H43" i="19"/>
  <c r="H45" i="19"/>
  <c r="H50" i="19"/>
  <c r="H47" i="19"/>
  <c r="H38" i="19"/>
  <c r="H42" i="19"/>
  <c r="H44" i="19"/>
  <c r="K48" i="19" l="1"/>
  <c r="K49" i="19"/>
  <c r="K53" i="19" s="1"/>
  <c r="J53" i="19"/>
  <c r="J48" i="19"/>
  <c r="H48" i="19"/>
  <c r="H53" i="19"/>
  <c r="F77" i="19"/>
  <c r="F71" i="19" l="1"/>
  <c r="F60" i="19" l="1"/>
  <c r="F84" i="19" s="1"/>
  <c r="G84" i="19" s="1"/>
  <c r="G54" i="19"/>
  <c r="H84" i="19" l="1"/>
  <c r="I84" i="19"/>
  <c r="J84" i="19" s="1"/>
  <c r="K84" i="19" s="1"/>
  <c r="F61" i="19"/>
  <c r="G60" i="19" l="1"/>
  <c r="D24" i="19"/>
  <c r="H16" i="24" s="1"/>
  <c r="G4" i="19"/>
  <c r="G16" i="19" s="1"/>
  <c r="G2" i="5" l="1"/>
  <c r="B8" i="24" s="1"/>
  <c r="F17" i="5"/>
  <c r="F16" i="5"/>
  <c r="F15" i="5"/>
  <c r="D15" i="23" s="1"/>
  <c r="K11" i="19"/>
  <c r="H55" i="19"/>
  <c r="I56" i="19"/>
  <c r="J56" i="19" s="1"/>
  <c r="K56" i="19" s="1"/>
  <c r="G57" i="19"/>
  <c r="G58" i="19"/>
  <c r="I58" i="19" s="1"/>
  <c r="J58" i="19" s="1"/>
  <c r="K58" i="19" s="1"/>
  <c r="G59" i="19"/>
  <c r="H59" i="19" s="1"/>
  <c r="I60" i="19"/>
  <c r="J60" i="19" s="1"/>
  <c r="K60" i="19" s="1"/>
  <c r="G61" i="19"/>
  <c r="I61" i="19" s="1"/>
  <c r="J61" i="19" s="1"/>
  <c r="K61" i="19" s="1"/>
  <c r="G62" i="19"/>
  <c r="I62" i="19" s="1"/>
  <c r="J62" i="19" s="1"/>
  <c r="K62" i="19" s="1"/>
  <c r="G63" i="19"/>
  <c r="I63" i="19" s="1"/>
  <c r="J63" i="19" s="1"/>
  <c r="K63" i="19" s="1"/>
  <c r="G64" i="19"/>
  <c r="I64" i="19" s="1"/>
  <c r="J64" i="19" s="1"/>
  <c r="K64" i="19" s="1"/>
  <c r="G65" i="19"/>
  <c r="G66" i="19"/>
  <c r="I66" i="19" s="1"/>
  <c r="J66" i="19" s="1"/>
  <c r="K66" i="19" s="1"/>
  <c r="G67" i="19"/>
  <c r="H67" i="19" s="1"/>
  <c r="G68" i="19"/>
  <c r="I68" i="19" s="1"/>
  <c r="J68" i="19" s="1"/>
  <c r="K68" i="19" s="1"/>
  <c r="G69" i="19"/>
  <c r="H69" i="19" s="1"/>
  <c r="G70" i="19"/>
  <c r="I70" i="19" s="1"/>
  <c r="J70" i="19" s="1"/>
  <c r="K70" i="19" s="1"/>
  <c r="G71" i="19"/>
  <c r="H71" i="19" s="1"/>
  <c r="G72" i="19"/>
  <c r="I72" i="19" s="1"/>
  <c r="J72" i="19" s="1"/>
  <c r="K72" i="19" s="1"/>
  <c r="G74" i="19"/>
  <c r="I74" i="19"/>
  <c r="J74" i="19" s="1"/>
  <c r="G75" i="19"/>
  <c r="G76" i="19"/>
  <c r="G77" i="19"/>
  <c r="I77" i="19" s="1"/>
  <c r="J77" i="19" s="1"/>
  <c r="K77" i="19" s="1"/>
  <c r="G78" i="19"/>
  <c r="I78" i="19" s="1"/>
  <c r="G79" i="19"/>
  <c r="I79" i="19" s="1"/>
  <c r="J79" i="19" s="1"/>
  <c r="K79" i="19" s="1"/>
  <c r="G80" i="19"/>
  <c r="H80" i="19" s="1"/>
  <c r="D85" i="19"/>
  <c r="I85" i="19" s="1"/>
  <c r="H87" i="19"/>
  <c r="E24" i="19"/>
  <c r="I16" i="24" s="1"/>
  <c r="F24" i="19"/>
  <c r="J16" i="24" s="1"/>
  <c r="G24" i="19"/>
  <c r="K16" i="24" s="1"/>
  <c r="D28" i="19"/>
  <c r="D8" i="19" l="1"/>
  <c r="H3" i="5" s="1"/>
  <c r="G3" i="5" s="1"/>
  <c r="B9" i="24" s="1"/>
  <c r="D8" i="23"/>
  <c r="H76" i="19"/>
  <c r="G82" i="19"/>
  <c r="H82" i="19" s="1"/>
  <c r="G88" i="19"/>
  <c r="H88" i="19" s="1"/>
  <c r="H90" i="19" s="1"/>
  <c r="H65" i="19"/>
  <c r="H57" i="19"/>
  <c r="H2" i="5"/>
  <c r="G4" i="5"/>
  <c r="H4" i="5" s="1"/>
  <c r="I75" i="19"/>
  <c r="J75" i="19" s="1"/>
  <c r="K75" i="19" s="1"/>
  <c r="K74" i="19"/>
  <c r="H54" i="19"/>
  <c r="G73" i="19"/>
  <c r="D82" i="19"/>
  <c r="H78" i="19"/>
  <c r="J78" i="19"/>
  <c r="K78" i="19" s="1"/>
  <c r="D15" i="19"/>
  <c r="I59" i="19"/>
  <c r="J59" i="19" s="1"/>
  <c r="K59" i="19" s="1"/>
  <c r="I57" i="19"/>
  <c r="J57" i="19" s="1"/>
  <c r="K57" i="19" s="1"/>
  <c r="I71" i="19"/>
  <c r="J71" i="19" s="1"/>
  <c r="K71" i="19" s="1"/>
  <c r="I69" i="19"/>
  <c r="J69" i="19" s="1"/>
  <c r="K69" i="19" s="1"/>
  <c r="I65" i="19"/>
  <c r="J65" i="19" s="1"/>
  <c r="K65" i="19" s="1"/>
  <c r="I67" i="19"/>
  <c r="J67" i="19" s="1"/>
  <c r="K67" i="19" s="1"/>
  <c r="H63" i="19"/>
  <c r="H61" i="19"/>
  <c r="Q77" i="19"/>
  <c r="I55" i="19"/>
  <c r="J55" i="19" s="1"/>
  <c r="K55" i="19" s="1"/>
  <c r="H79" i="19"/>
  <c r="H77" i="19"/>
  <c r="H75" i="19"/>
  <c r="G81" i="19"/>
  <c r="C19" i="5"/>
  <c r="K18" i="19"/>
  <c r="I80" i="19"/>
  <c r="J80" i="19" s="1"/>
  <c r="K80" i="19" s="1"/>
  <c r="I76" i="19"/>
  <c r="J76" i="19" s="1"/>
  <c r="K76" i="19" s="1"/>
  <c r="H74" i="19"/>
  <c r="H72" i="19"/>
  <c r="H70" i="19"/>
  <c r="H68" i="19"/>
  <c r="H66" i="19"/>
  <c r="H64" i="19"/>
  <c r="H62" i="19"/>
  <c r="H60" i="19"/>
  <c r="H58" i="19"/>
  <c r="H56" i="19"/>
  <c r="G85" i="19"/>
  <c r="I54" i="19"/>
  <c r="J54" i="19" s="1"/>
  <c r="K54" i="19" s="1"/>
  <c r="J88" i="19"/>
  <c r="K88" i="19" s="1"/>
  <c r="J87" i="19"/>
  <c r="E5" i="24" l="1"/>
  <c r="C17" i="24" s="1"/>
  <c r="D9" i="23"/>
  <c r="D9" i="19"/>
  <c r="G90" i="19"/>
  <c r="H73" i="19"/>
  <c r="K73" i="19"/>
  <c r="J82" i="19"/>
  <c r="K82" i="19"/>
  <c r="G86" i="19"/>
  <c r="H81" i="19"/>
  <c r="J73" i="19"/>
  <c r="K81" i="19"/>
  <c r="J85" i="19"/>
  <c r="H85" i="19"/>
  <c r="K85" i="19" s="1"/>
  <c r="J81" i="19"/>
  <c r="K87" i="19"/>
  <c r="K90" i="19" s="1"/>
  <c r="J90" i="19"/>
  <c r="K3" i="23" l="1"/>
  <c r="K3" i="19"/>
  <c r="D25" i="19"/>
  <c r="H17" i="24" s="1"/>
  <c r="K19" i="19"/>
  <c r="J86" i="19"/>
  <c r="F25" i="19" s="1"/>
  <c r="J17" i="24" s="1"/>
  <c r="K86" i="19"/>
  <c r="N81" i="19"/>
  <c r="H86" i="19"/>
  <c r="Q79" i="19"/>
  <c r="Q80" i="19"/>
  <c r="K20" i="19" l="1"/>
  <c r="H22" i="24" s="1"/>
  <c r="H21" i="24"/>
  <c r="E25" i="19"/>
  <c r="D29" i="19"/>
  <c r="D30" i="19" s="1"/>
  <c r="D31" i="19" s="1"/>
  <c r="D26" i="19"/>
  <c r="H18" i="24" s="1"/>
  <c r="N82" i="19"/>
  <c r="M81" i="19"/>
  <c r="M82" i="19" s="1"/>
  <c r="E26" i="19" l="1"/>
  <c r="I18" i="24" s="1"/>
  <c r="I17" i="24"/>
  <c r="G25" i="19"/>
  <c r="K17" i="24" s="1"/>
  <c r="F26" i="19"/>
  <c r="J18" i="24" s="1"/>
  <c r="G7" i="19"/>
  <c r="G26" i="19" l="1"/>
  <c r="G11" i="19"/>
  <c r="G6" i="19"/>
  <c r="G10" i="19"/>
  <c r="G9" i="19"/>
  <c r="G8" i="19"/>
  <c r="G15" i="19"/>
  <c r="G17" i="19"/>
  <c r="G12" i="19"/>
  <c r="G14" i="19"/>
  <c r="G13" i="19"/>
  <c r="G5" i="19"/>
  <c r="F35" i="23"/>
  <c r="G35" i="23" s="1"/>
  <c r="H26" i="19" l="1"/>
  <c r="K18" i="24"/>
  <c r="I88" i="23"/>
  <c r="G88" i="23" s="1"/>
  <c r="H88" i="23" s="1"/>
  <c r="G36" i="23"/>
  <c r="G87" i="23"/>
  <c r="H35" i="23"/>
  <c r="H36" i="23" s="1"/>
  <c r="J35" i="23"/>
  <c r="K18" i="23" s="1"/>
  <c r="K20" i="23" s="1"/>
  <c r="H12" i="24" s="1"/>
  <c r="J36" i="23" l="1"/>
  <c r="J87" i="23"/>
  <c r="Q78" i="23"/>
  <c r="K15" i="23"/>
  <c r="G27" i="23" s="1"/>
  <c r="K9" i="24" s="1"/>
  <c r="I89" i="23"/>
  <c r="J88" i="23" s="1"/>
  <c r="K88" i="23" s="1"/>
  <c r="Q77" i="23"/>
  <c r="N81" i="23"/>
  <c r="N82" i="23" s="1"/>
  <c r="K35" i="23"/>
  <c r="K36" i="23" s="1"/>
  <c r="G90" i="23"/>
  <c r="H87" i="23"/>
  <c r="H90" i="23" s="1"/>
  <c r="G86" i="23"/>
  <c r="J82" i="23"/>
  <c r="H82" i="23"/>
  <c r="D25" i="23" l="1"/>
  <c r="H86" i="23"/>
  <c r="K82" i="23"/>
  <c r="K86" i="23" s="1"/>
  <c r="M81" i="23"/>
  <c r="M82" i="23" s="1"/>
  <c r="J86" i="23"/>
  <c r="J90" i="23"/>
  <c r="K87" i="23"/>
  <c r="K90" i="23" s="1"/>
  <c r="D26" i="23" l="1"/>
  <c r="H8" i="24" s="1"/>
  <c r="H7" i="24"/>
  <c r="D29" i="23"/>
  <c r="D30" i="23" s="1"/>
  <c r="D31" i="23" s="1"/>
  <c r="F25" i="23"/>
  <c r="E25" i="23"/>
  <c r="E26" i="23" l="1"/>
  <c r="I8" i="24" s="1"/>
  <c r="I7" i="24"/>
  <c r="G25" i="23"/>
  <c r="J7" i="24"/>
  <c r="F26" i="23"/>
  <c r="J8" i="24" s="1"/>
  <c r="G26" i="23" l="1"/>
  <c r="K7" i="24"/>
  <c r="H26" i="23" l="1"/>
  <c r="K8" i="24"/>
</calcChain>
</file>

<file path=xl/sharedStrings.xml><?xml version="1.0" encoding="utf-8"?>
<sst xmlns="http://schemas.openxmlformats.org/spreadsheetml/2006/main" count="702" uniqueCount="239">
  <si>
    <t>№</t>
  </si>
  <si>
    <t>RUR</t>
  </si>
  <si>
    <t>USD</t>
  </si>
  <si>
    <t>Goods</t>
  </si>
  <si>
    <t>MW3</t>
  </si>
  <si>
    <t>MW4</t>
  </si>
  <si>
    <t>FW</t>
  </si>
  <si>
    <t>FB</t>
  </si>
  <si>
    <t>SFS</t>
  </si>
  <si>
    <t>FC</t>
  </si>
  <si>
    <t>MR</t>
  </si>
  <si>
    <t>FR</t>
  </si>
  <si>
    <t>SB</t>
  </si>
  <si>
    <t>FO</t>
  </si>
  <si>
    <t>SFS meal</t>
  </si>
  <si>
    <t>Export deal profitability calculation</t>
  </si>
  <si>
    <t>Profit</t>
  </si>
  <si>
    <t>Profit without VAT</t>
  </si>
  <si>
    <t>Profitability</t>
  </si>
  <si>
    <t>Item</t>
  </si>
  <si>
    <t>Prospective sale price</t>
  </si>
  <si>
    <t>Logistic Director</t>
  </si>
  <si>
    <t>Commercial Director</t>
  </si>
  <si>
    <t>Director of Procurement and Sales</t>
  </si>
  <si>
    <t>Trading Department</t>
  </si>
  <si>
    <t>General Manager</t>
  </si>
  <si>
    <t>FOB Rostov</t>
  </si>
  <si>
    <t>Сертификат происхождения</t>
  </si>
  <si>
    <t>Фумигация</t>
  </si>
  <si>
    <t>Таможенный брокер</t>
  </si>
  <si>
    <t>Паспорт сделки</t>
  </si>
  <si>
    <t>Финансирование</t>
  </si>
  <si>
    <t>Другие затраты</t>
  </si>
  <si>
    <t>Общие затраты</t>
  </si>
  <si>
    <t>Прибыль</t>
  </si>
  <si>
    <t>MT</t>
  </si>
  <si>
    <t>Итого по группе</t>
  </si>
  <si>
    <t>FOB Novo</t>
  </si>
  <si>
    <t>FAS Tuapse</t>
  </si>
  <si>
    <t>Credit rate mnth</t>
  </si>
  <si>
    <t>RUR w/o VAT</t>
  </si>
  <si>
    <t>RUR w VAT</t>
  </si>
  <si>
    <t>Коро</t>
  </si>
  <si>
    <t>Серова Елена</t>
  </si>
  <si>
    <t>credit rate P/year</t>
  </si>
  <si>
    <t>credit rate per MNTH</t>
  </si>
  <si>
    <t>VAT rate</t>
  </si>
  <si>
    <t>USD rate</t>
  </si>
  <si>
    <t>EUR rate</t>
  </si>
  <si>
    <t>НДС товар</t>
  </si>
  <si>
    <t>НДС услуги</t>
  </si>
  <si>
    <t>days</t>
  </si>
  <si>
    <t>MV USD</t>
  </si>
  <si>
    <t>НДС итого</t>
  </si>
  <si>
    <t>Market Value</t>
  </si>
  <si>
    <t>insurance rate MNTH</t>
  </si>
  <si>
    <t>Весовые потери / хранение</t>
  </si>
  <si>
    <t>Весовые потери / перевозка</t>
  </si>
  <si>
    <t>Currency</t>
  </si>
  <si>
    <t>Rates</t>
  </si>
  <si>
    <t>Calculation</t>
  </si>
  <si>
    <t>БЕЗ НДС</t>
  </si>
  <si>
    <t>С НДС</t>
  </si>
  <si>
    <t>YES</t>
  </si>
  <si>
    <t>NO</t>
  </si>
  <si>
    <t>Фитосанитарный сертификат</t>
  </si>
  <si>
    <t xml:space="preserve">USD </t>
  </si>
  <si>
    <t>SAPvsExcl</t>
  </si>
  <si>
    <t>Δ</t>
  </si>
  <si>
    <t>Натура</t>
  </si>
  <si>
    <t>Клейковина</t>
  </si>
  <si>
    <t>Протеин</t>
  </si>
  <si>
    <t>Спецификация</t>
  </si>
  <si>
    <t>Влажность</t>
  </si>
  <si>
    <t>Сорная примесь</t>
  </si>
  <si>
    <t>Зерновая примесь</t>
  </si>
  <si>
    <t>ИДК</t>
  </si>
  <si>
    <t>Условия оплаты</t>
  </si>
  <si>
    <t>Число падения</t>
  </si>
  <si>
    <t>Стекловидность</t>
  </si>
  <si>
    <t>Амброзия</t>
  </si>
  <si>
    <t>Зараженность</t>
  </si>
  <si>
    <t>Проросшие зерна</t>
  </si>
  <si>
    <t>Поврежд. клопом черепашкой</t>
  </si>
  <si>
    <t xml:space="preserve">Класс </t>
  </si>
  <si>
    <t>Пшеница 5-го класса</t>
  </si>
  <si>
    <t>пш 3 класс, кл 23-24</t>
  </si>
  <si>
    <t>пш 3 класс, кл 25</t>
  </si>
  <si>
    <t>пш 3 класс, кл 26-28</t>
  </si>
  <si>
    <t>пш 3 класс, кл 29-30</t>
  </si>
  <si>
    <t>пш 4 класс кл. 18-19 (11.5)</t>
  </si>
  <si>
    <t>пш 4 класс кл. 18-19 (11.5) К1</t>
  </si>
  <si>
    <t>пш 4 класс кл. 20-22 (12.5)</t>
  </si>
  <si>
    <t>пш 5-го класса на подмес</t>
  </si>
  <si>
    <t>пш 4 класс кл. 20-22 (12.5) К1</t>
  </si>
  <si>
    <t>пш 4 класс кл. 19-22 (12.0) К1</t>
  </si>
  <si>
    <t>18-19</t>
  </si>
  <si>
    <t>&gt;=280</t>
  </si>
  <si>
    <t>&lt;=2</t>
  </si>
  <si>
    <t>&lt;=1</t>
  </si>
  <si>
    <t>&gt;=230</t>
  </si>
  <si>
    <t>&lt;=85</t>
  </si>
  <si>
    <t>20-22</t>
  </si>
  <si>
    <t>19-22</t>
  </si>
  <si>
    <t>23-24</t>
  </si>
  <si>
    <t>26-28</t>
  </si>
  <si>
    <t>29-30</t>
  </si>
  <si>
    <t>Класс</t>
  </si>
  <si>
    <t>Номер</t>
  </si>
  <si>
    <t>-</t>
  </si>
  <si>
    <t>Товар</t>
  </si>
  <si>
    <t>100% предоплата</t>
  </si>
  <si>
    <t>через 3 дня после предоставления документов</t>
  </si>
  <si>
    <t>50% предоплата</t>
  </si>
  <si>
    <t>20% предоплата</t>
  </si>
  <si>
    <t>в день предоставления документов</t>
  </si>
  <si>
    <t>Количество</t>
  </si>
  <si>
    <t>Сумма</t>
  </si>
  <si>
    <t>Покупка Инкотермс</t>
  </si>
  <si>
    <t>Порт и базис продажи</t>
  </si>
  <si>
    <t>Место поставки</t>
  </si>
  <si>
    <t>Норма погрузки RWC/Д</t>
  </si>
  <si>
    <t xml:space="preserve">Выходные </t>
  </si>
  <si>
    <t>станция/элеватор</t>
  </si>
  <si>
    <t>норма погрузки вагонов в день</t>
  </si>
  <si>
    <t>Оборачиваемость товара</t>
  </si>
  <si>
    <t>Дней хранения</t>
  </si>
  <si>
    <t>Отгрузка дней всего</t>
  </si>
  <si>
    <t>&gt;=760 г/л</t>
  </si>
  <si>
    <t>760-770 г/л</t>
  </si>
  <si>
    <t xml:space="preserve">пш 4 класс кл. 19-22 (12.0) </t>
  </si>
  <si>
    <t>770-780 г/л</t>
  </si>
  <si>
    <t>пш 3 класс, кл 23-24 K1</t>
  </si>
  <si>
    <t>&gt;= 780 г/л</t>
  </si>
  <si>
    <t>Пшеница 5-го класса (10,5)</t>
  </si>
  <si>
    <t>Пшеница 5-го класса (10,5) К1</t>
  </si>
  <si>
    <t>&lt;=100</t>
  </si>
  <si>
    <t>CPT</t>
  </si>
  <si>
    <t>FCA</t>
  </si>
  <si>
    <t>EXW</t>
  </si>
  <si>
    <t>DAT</t>
  </si>
  <si>
    <t>DDP</t>
  </si>
  <si>
    <t>DAP Beyuk-Kijasik</t>
  </si>
  <si>
    <t>Выходные ВКЛ</t>
  </si>
  <si>
    <t>Расчет. дата окончания погрузки</t>
  </si>
  <si>
    <t>Фактические кол-во дней отгрузки</t>
  </si>
  <si>
    <t>FOB KSK</t>
  </si>
  <si>
    <t>Сертификат качества ГХИ + ГМО</t>
  </si>
  <si>
    <t>Сертификат безопасности /радиационный + декларация соответствия</t>
  </si>
  <si>
    <t>Досмотр трюмов РСХН + сертификат чистоты трюмов</t>
  </si>
  <si>
    <t>Сертификат о транспортных х-ках груза</t>
  </si>
  <si>
    <t>Услуги мониторинга+информирования вкл в ставку перевалки</t>
  </si>
  <si>
    <t>Таможенные сборы ВТД+ПВД</t>
  </si>
  <si>
    <t>Таможенная пошлина</t>
  </si>
  <si>
    <t xml:space="preserve">Перевалка  </t>
  </si>
  <si>
    <t>SGS пломбировка трюмов</t>
  </si>
  <si>
    <t>Автотариф</t>
  </si>
  <si>
    <t>SGS анализ по европейским требованиям</t>
  </si>
  <si>
    <t>SGS Услуги сюрвейера + основные анализы</t>
  </si>
  <si>
    <t>Страхование судовой партии</t>
  </si>
  <si>
    <t>Фрахт судна</t>
  </si>
  <si>
    <t>Ж.д. Тариф</t>
  </si>
  <si>
    <t xml:space="preserve">Комиcсия экспедитора </t>
  </si>
  <si>
    <t>Оформление порожних вагонов вкл. ЗПУ</t>
  </si>
  <si>
    <t>Доп расход</t>
  </si>
  <si>
    <t>FOB Tuapse</t>
  </si>
  <si>
    <t>Агентское вознаграждение по покупке товара</t>
  </si>
  <si>
    <t>Сюрвеер (сертификат качества)</t>
  </si>
  <si>
    <t>Сюрвеер анализ композитного образца</t>
  </si>
  <si>
    <t>Декларация соответствия +протокол испытаний (на всю партию с 1 станции)</t>
  </si>
  <si>
    <t>Сертификат происхождения  (на контрактную партию)</t>
  </si>
  <si>
    <t>Доставка с элеватора на ст. погрузки</t>
  </si>
  <si>
    <t>Услуги Экспедитора</t>
  </si>
  <si>
    <t>ГХИ (доп присутсствие в качестве сюрвеера)/сертификат качества</t>
  </si>
  <si>
    <t>Перевыставляемые расходы экспедитора</t>
  </si>
  <si>
    <t>Ставка за погрузку  вагонов</t>
  </si>
  <si>
    <t>Пользование п/п элеватора</t>
  </si>
  <si>
    <t xml:space="preserve">Закупочная цена </t>
  </si>
  <si>
    <t>Итого по группе Расходы хранения</t>
  </si>
  <si>
    <t>Покупка товара</t>
  </si>
  <si>
    <t>Фоббинг</t>
  </si>
  <si>
    <t>Хранение</t>
  </si>
  <si>
    <t>Карантинное удостоверение на вагон</t>
  </si>
  <si>
    <t>Переоформление товара</t>
  </si>
  <si>
    <t>10% предоплата</t>
  </si>
  <si>
    <t>кол-во дней погрузки</t>
  </si>
  <si>
    <t>дата</t>
  </si>
  <si>
    <t>Выходные ИСКЛ</t>
  </si>
  <si>
    <t>Только ВЫХ</t>
  </si>
  <si>
    <t>Комиссия брокера</t>
  </si>
  <si>
    <t>Alpine comission</t>
  </si>
  <si>
    <t>Hedge</t>
  </si>
  <si>
    <t>Hedge gain per year</t>
  </si>
  <si>
    <t>Hedge gain per deal</t>
  </si>
  <si>
    <t>Дата оплаты</t>
  </si>
  <si>
    <t>Дней финансирвоания</t>
  </si>
  <si>
    <t>Дата начала погрузки</t>
  </si>
  <si>
    <t>Длительность операции</t>
  </si>
  <si>
    <t>Дата релизации товара</t>
  </si>
  <si>
    <t>Ставка хранения РУБ/МТ с НДС</t>
  </si>
  <si>
    <t>Hedge rate per deal</t>
  </si>
  <si>
    <t>Month</t>
  </si>
  <si>
    <t>Vssl lot</t>
  </si>
  <si>
    <t>Фактический тоннаж</t>
  </si>
  <si>
    <t xml:space="preserve">Номер Договора </t>
  </si>
  <si>
    <t>Контрагент</t>
  </si>
  <si>
    <t>Дата Хежджирвоания</t>
  </si>
  <si>
    <t>Курс хеджа</t>
  </si>
  <si>
    <t>Серова Е.А. / Ткаченко Н</t>
  </si>
  <si>
    <t>Филатов М.Ю.</t>
  </si>
  <si>
    <t>Чемеричко А. / Товалев Б.</t>
  </si>
  <si>
    <t>РИГА</t>
  </si>
  <si>
    <t>ТУАПСЕ</t>
  </si>
  <si>
    <t>Экспедитор Туапсе с НДС</t>
  </si>
  <si>
    <t>Экспедитор Рига с НДС</t>
  </si>
  <si>
    <t>Погрузка ж.д.</t>
  </si>
  <si>
    <t>Хранение  руб/сут</t>
  </si>
  <si>
    <t xml:space="preserve">Цена </t>
  </si>
  <si>
    <t>НДС</t>
  </si>
  <si>
    <t>Сумма предоплаты</t>
  </si>
  <si>
    <t>Факт кол-во дней отгрузки</t>
  </si>
  <si>
    <t>Сюрвеер потоннажная ставка</t>
  </si>
  <si>
    <t>Сюрвеер композитный образец</t>
  </si>
  <si>
    <t>Потоннажная ставка с НДС</t>
  </si>
  <si>
    <t>Потоннажная ставка C.сюрвеера с НДС</t>
  </si>
  <si>
    <t>Ставка хран в день РУБ/МТ с НДС</t>
  </si>
  <si>
    <t>Ставка хран в месяц РУБ/МТ с НДС</t>
  </si>
  <si>
    <t>Дней финансирования</t>
  </si>
  <si>
    <t>EUR</t>
  </si>
  <si>
    <t>ТАМОЖНЯ</t>
  </si>
  <si>
    <t>Количество ГТД</t>
  </si>
  <si>
    <t>SGS Радиология</t>
  </si>
  <si>
    <t>SGS хранение образцов</t>
  </si>
  <si>
    <t>Суджа</t>
  </si>
  <si>
    <t>Горшечное</t>
  </si>
  <si>
    <t>Солнцево</t>
  </si>
  <si>
    <t>Бабарыкино</t>
  </si>
  <si>
    <t>Тариф Туапсе, НДС 18%</t>
  </si>
  <si>
    <t>Тариф Рига, НДС 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</si>
</sst>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4" formatCode="_-* #,##0.00\ &quot;₽&quot;_-;\-* #,##0.00\ &quot;₽&quot;_-;_-* &quot;-&quot;??\ &quot;₽&quot;_-;_-@_-"/>
    <numFmt numFmtId="43" formatCode="_-* #,##0.00\ _₽_-;\-* #,##0.00\ _₽_-;_-* &quot;-&quot;??\ _₽_-;_-@_-"/>
    <numFmt numFmtId="164" formatCode="#,##0.0"/>
    <numFmt numFmtId="165" formatCode="0.0"/>
    <numFmt numFmtId="166" formatCode="#,##0.00000"/>
    <numFmt numFmtId="167" formatCode="0.0%"/>
    <numFmt numFmtId="168" formatCode="#,##0.00&quot;р.&quot;"/>
    <numFmt numFmtId="169" formatCode="[$$-1004]#,##0.00;\-[$$-1004]#,##0.00"/>
    <numFmt numFmtId="170" formatCode="_-* #,##0\ _₽_-;\-* #,##0\ _₽_-;_-* &quot;-&quot;??\ _₽_-;_-@_-"/>
    <numFmt numFmtId="171" formatCode="0.000"/>
  </numFmts>
  <fonts count="49" x14ac:knownFonts="1">
    <font>
      <sz val="10"/>
      <name val="Arial"/>
    </font>
    <font>
      <sz val="10"/>
      <name val="Arial"/>
      <family val="2"/>
      <charset val="204"/>
    </font>
    <font>
      <sz val="10"/>
      <name val="Arial Narrow"/>
      <family val="2"/>
    </font>
    <font>
      <b/>
      <sz val="10"/>
      <name val="Arial Narrow"/>
      <family val="2"/>
    </font>
    <font>
      <sz val="10"/>
      <color indexed="9"/>
      <name val="Arial Narrow"/>
      <family val="2"/>
    </font>
    <font>
      <b/>
      <sz val="14"/>
      <name val="Arial Narrow"/>
      <family val="2"/>
    </font>
    <font>
      <sz val="10"/>
      <color indexed="9"/>
      <name val="Arial"/>
      <family val="2"/>
    </font>
    <font>
      <sz val="8"/>
      <color indexed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 Narrow"/>
      <family val="2"/>
      <charset val="204"/>
    </font>
    <font>
      <b/>
      <sz val="10"/>
      <name val="Arial"/>
      <family val="2"/>
      <charset val="204"/>
    </font>
    <font>
      <b/>
      <i/>
      <sz val="10"/>
      <color indexed="12"/>
      <name val="Arial Narrow"/>
      <family val="2"/>
      <charset val="204"/>
    </font>
    <font>
      <sz val="10"/>
      <name val="Arial Narrow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sz val="8"/>
      <name val="Arial Narrow"/>
      <family val="2"/>
    </font>
    <font>
      <i/>
      <sz val="10"/>
      <name val="Arial Narrow"/>
      <family val="2"/>
      <charset val="204"/>
    </font>
    <font>
      <b/>
      <sz val="12"/>
      <name val="Arial Narrow"/>
      <family val="2"/>
      <charset val="204"/>
    </font>
    <font>
      <i/>
      <sz val="9"/>
      <name val="Arial Narrow"/>
      <family val="2"/>
      <charset val="204"/>
    </font>
    <font>
      <i/>
      <sz val="9"/>
      <color indexed="10"/>
      <name val="Arial Narrow"/>
      <family val="2"/>
      <charset val="204"/>
    </font>
    <font>
      <b/>
      <i/>
      <u/>
      <sz val="9"/>
      <name val="Arial Narrow"/>
      <family val="2"/>
      <charset val="204"/>
    </font>
    <font>
      <b/>
      <sz val="12"/>
      <name val="Calibri"/>
      <family val="2"/>
      <charset val="204"/>
    </font>
    <font>
      <b/>
      <sz val="9"/>
      <name val="Arial Narrow"/>
      <family val="2"/>
      <charset val="204"/>
    </font>
    <font>
      <sz val="8"/>
      <name val="Arial"/>
      <family val="2"/>
      <charset val="204"/>
    </font>
    <font>
      <b/>
      <sz val="8"/>
      <name val="Arial Narrow"/>
      <family val="2"/>
      <charset val="204"/>
    </font>
    <font>
      <b/>
      <sz val="20"/>
      <color rgb="FFFF0000"/>
      <name val="Arial Narrow"/>
      <family val="2"/>
      <charset val="204"/>
    </font>
    <font>
      <b/>
      <sz val="12"/>
      <color rgb="FFFF0000"/>
      <name val="Arial Narrow"/>
      <family val="2"/>
      <charset val="204"/>
    </font>
    <font>
      <sz val="10"/>
      <name val="Arial"/>
      <family val="2"/>
      <charset val="204"/>
    </font>
    <font>
      <b/>
      <sz val="10"/>
      <color rgb="FFFF0000"/>
      <name val="Arial Narrow"/>
      <family val="2"/>
      <charset val="204"/>
    </font>
    <font>
      <b/>
      <sz val="9"/>
      <name val="Arial"/>
      <family val="2"/>
      <charset val="204"/>
    </font>
    <font>
      <b/>
      <sz val="11"/>
      <name val="Arial Narrow"/>
      <family val="2"/>
      <charset val="204"/>
    </font>
    <font>
      <sz val="9"/>
      <name val="Arial"/>
      <family val="2"/>
      <charset val="204"/>
    </font>
    <font>
      <b/>
      <sz val="10"/>
      <color rgb="FF000099"/>
      <name val="Arial Narrow"/>
      <family val="2"/>
      <charset val="204"/>
    </font>
    <font>
      <b/>
      <u/>
      <sz val="10"/>
      <color rgb="FF000099"/>
      <name val="Arial Narrow"/>
      <family val="2"/>
      <charset val="204"/>
    </font>
    <font>
      <b/>
      <sz val="11"/>
      <color rgb="FF000099"/>
      <name val="Arial Narrow"/>
      <family val="2"/>
      <charset val="204"/>
    </font>
    <font>
      <b/>
      <u/>
      <sz val="11"/>
      <color rgb="FFFF0000"/>
      <name val="Arial Narrow"/>
      <family val="2"/>
      <charset val="204"/>
    </font>
    <font>
      <b/>
      <sz val="9"/>
      <name val="Arial Narrow"/>
      <family val="2"/>
    </font>
    <font>
      <sz val="9"/>
      <name val="Arial Narrow"/>
      <family val="2"/>
    </font>
    <font>
      <b/>
      <i/>
      <sz val="9"/>
      <name val="Arial Narrow"/>
      <family val="2"/>
      <charset val="204"/>
    </font>
    <font>
      <b/>
      <sz val="12"/>
      <color theme="1"/>
      <name val="Arial Narrow"/>
      <family val="2"/>
      <charset val="204"/>
    </font>
    <font>
      <b/>
      <sz val="12"/>
      <name val="Arial Narrow"/>
      <family val="2"/>
    </font>
    <font>
      <sz val="12"/>
      <name val="Arial Narrow"/>
      <family val="2"/>
    </font>
    <font>
      <sz val="12"/>
      <name val="Arial Narrow"/>
      <family val="2"/>
      <charset val="204"/>
    </font>
    <font>
      <b/>
      <u/>
      <sz val="12"/>
      <color rgb="FFFF0000"/>
      <name val="Arial Narrow"/>
      <family val="2"/>
      <charset val="204"/>
    </font>
    <font>
      <b/>
      <i/>
      <u/>
      <sz val="12"/>
      <color rgb="FFFF0000"/>
      <name val="Arial Narrow"/>
      <family val="2"/>
      <charset val="204"/>
    </font>
    <font>
      <b/>
      <i/>
      <u/>
      <sz val="10"/>
      <name val="Arial"/>
      <family val="2"/>
      <charset val="204"/>
    </font>
    <font>
      <b/>
      <sz val="18"/>
      <name val="Arial Narrow"/>
      <family val="2"/>
      <charset val="204"/>
    </font>
    <font>
      <b/>
      <sz val="11"/>
      <color rgb="FFFF0000"/>
      <name val="Arial Narrow"/>
      <family val="2"/>
      <charset val="204"/>
    </font>
  </fonts>
  <fills count="22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9DE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7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rgb="FFD7CEA5"/>
      </left>
      <right style="medium">
        <color rgb="FFD7CEA5"/>
      </right>
      <top style="medium">
        <color rgb="FFD7CEA5"/>
      </top>
      <bottom style="medium">
        <color rgb="FFD7CEA5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0" fontId="14" fillId="0" borderId="0"/>
    <xf numFmtId="9" fontId="1" fillId="0" borderId="0" applyFont="0" applyFill="0" applyBorder="0" applyAlignment="0" applyProtection="0"/>
  </cellStyleXfs>
  <cellXfs count="628">
    <xf numFmtId="0" fontId="0" fillId="0" borderId="0" xfId="0"/>
    <xf numFmtId="0" fontId="2" fillId="0" borderId="0" xfId="0" applyFont="1" applyFill="1" applyBorder="1" applyProtection="1">
      <protection hidden="1"/>
    </xf>
    <xf numFmtId="0" fontId="2" fillId="0" borderId="0" xfId="0" applyFont="1" applyBorder="1" applyProtection="1">
      <protection hidden="1"/>
    </xf>
    <xf numFmtId="4" fontId="2" fillId="0" borderId="0" xfId="0" applyNumberFormat="1" applyFont="1" applyFill="1" applyBorder="1" applyProtection="1">
      <protection hidden="1"/>
    </xf>
    <xf numFmtId="166" fontId="3" fillId="0" borderId="0" xfId="0" applyNumberFormat="1" applyFont="1" applyFill="1" applyBorder="1" applyProtection="1">
      <protection hidden="1"/>
    </xf>
    <xf numFmtId="0" fontId="2" fillId="0" borderId="0" xfId="0" applyFont="1" applyFill="1" applyProtection="1">
      <protection hidden="1"/>
    </xf>
    <xf numFmtId="0" fontId="3" fillId="0" borderId="0" xfId="0" applyFont="1" applyFill="1" applyProtection="1">
      <protection hidden="1"/>
    </xf>
    <xf numFmtId="2" fontId="2" fillId="0" borderId="0" xfId="0" applyNumberFormat="1" applyFont="1" applyFill="1" applyBorder="1" applyProtection="1">
      <protection hidden="1"/>
    </xf>
    <xf numFmtId="10" fontId="3" fillId="0" borderId="0" xfId="0" applyNumberFormat="1" applyFont="1" applyFill="1" applyBorder="1" applyProtection="1">
      <protection hidden="1"/>
    </xf>
    <xf numFmtId="2" fontId="3" fillId="0" borderId="0" xfId="0" applyNumberFormat="1" applyFont="1" applyFill="1" applyBorder="1" applyProtection="1">
      <protection hidden="1"/>
    </xf>
    <xf numFmtId="0" fontId="6" fillId="0" borderId="0" xfId="0" applyFont="1" applyProtection="1"/>
    <xf numFmtId="0" fontId="7" fillId="0" borderId="0" xfId="0" applyFont="1" applyFill="1" applyProtection="1"/>
    <xf numFmtId="0" fontId="6" fillId="0" borderId="0" xfId="0" applyFont="1"/>
    <xf numFmtId="0" fontId="0" fillId="3" borderId="0" xfId="0" applyFill="1" applyProtection="1">
      <protection locked="0"/>
    </xf>
    <xf numFmtId="0" fontId="5" fillId="0" borderId="5" xfId="0" applyFont="1" applyBorder="1" applyAlignment="1" applyProtection="1">
      <alignment horizontal="center"/>
    </xf>
    <xf numFmtId="0" fontId="2" fillId="0" borderId="0" xfId="0" applyFont="1" applyProtection="1"/>
    <xf numFmtId="0" fontId="2" fillId="0" borderId="0" xfId="0" applyFont="1" applyFill="1" applyBorder="1" applyProtection="1"/>
    <xf numFmtId="0" fontId="2" fillId="0" borderId="1" xfId="0" applyFont="1" applyBorder="1" applyProtection="1"/>
    <xf numFmtId="0" fontId="3" fillId="0" borderId="0" xfId="0" applyFont="1" applyProtection="1"/>
    <xf numFmtId="0" fontId="2" fillId="0" borderId="0" xfId="0" applyFont="1" applyBorder="1" applyProtection="1"/>
    <xf numFmtId="0" fontId="8" fillId="0" borderId="0" xfId="0" applyFont="1"/>
    <xf numFmtId="0" fontId="9" fillId="0" borderId="0" xfId="0" applyFont="1"/>
    <xf numFmtId="166" fontId="3" fillId="0" borderId="0" xfId="0" applyNumberFormat="1" applyFont="1" applyFill="1" applyBorder="1" applyAlignment="1" applyProtection="1">
      <alignment vertical="center"/>
      <protection hidden="1"/>
    </xf>
    <xf numFmtId="0" fontId="2" fillId="0" borderId="0" xfId="0" applyFont="1" applyFill="1" applyAlignment="1" applyProtection="1">
      <alignment vertical="center"/>
      <protection hidden="1"/>
    </xf>
    <xf numFmtId="0" fontId="2" fillId="0" borderId="0" xfId="0" applyFont="1" applyAlignment="1" applyProtection="1">
      <alignment vertical="center"/>
    </xf>
    <xf numFmtId="0" fontId="0" fillId="0" borderId="0" xfId="0" applyFill="1"/>
    <xf numFmtId="0" fontId="2" fillId="0" borderId="0" xfId="0" applyFont="1" applyFill="1" applyProtection="1"/>
    <xf numFmtId="0" fontId="15" fillId="0" borderId="0" xfId="0" applyFont="1"/>
    <xf numFmtId="0" fontId="2" fillId="0" borderId="0" xfId="0" applyFont="1" applyFill="1" applyBorder="1" applyAlignment="1" applyProtection="1">
      <alignment horizontal="center"/>
    </xf>
    <xf numFmtId="0" fontId="2" fillId="0" borderId="0" xfId="0" applyFont="1" applyAlignment="1" applyProtection="1">
      <alignment horizontal="center"/>
    </xf>
    <xf numFmtId="4" fontId="19" fillId="0" borderId="0" xfId="0" applyNumberFormat="1" applyFont="1" applyFill="1" applyBorder="1" applyAlignment="1" applyProtection="1">
      <alignment horizontal="center"/>
      <protection hidden="1"/>
    </xf>
    <xf numFmtId="4" fontId="20" fillId="0" borderId="0" xfId="0" applyNumberFormat="1" applyFont="1" applyFill="1" applyBorder="1" applyAlignment="1" applyProtection="1">
      <alignment horizontal="center"/>
      <protection hidden="1"/>
    </xf>
    <xf numFmtId="0" fontId="2" fillId="0" borderId="0" xfId="0" applyFont="1" applyFill="1" applyAlignment="1" applyProtection="1">
      <alignment horizontal="center"/>
    </xf>
    <xf numFmtId="4" fontId="12" fillId="4" borderId="18" xfId="0" applyNumberFormat="1" applyFont="1" applyFill="1" applyBorder="1" applyAlignment="1" applyProtection="1">
      <alignment horizontal="center"/>
      <protection hidden="1"/>
    </xf>
    <xf numFmtId="4" fontId="12" fillId="4" borderId="19" xfId="0" applyNumberFormat="1" applyFont="1" applyFill="1" applyBorder="1" applyAlignment="1" applyProtection="1">
      <alignment horizontal="center"/>
      <protection hidden="1"/>
    </xf>
    <xf numFmtId="4" fontId="12" fillId="4" borderId="20" xfId="0" applyNumberFormat="1" applyFont="1" applyFill="1" applyBorder="1" applyAlignment="1" applyProtection="1">
      <alignment horizontal="center"/>
      <protection hidden="1"/>
    </xf>
    <xf numFmtId="4" fontId="12" fillId="4" borderId="21" xfId="0" applyNumberFormat="1" applyFont="1" applyFill="1" applyBorder="1" applyAlignment="1" applyProtection="1">
      <alignment horizontal="center"/>
      <protection hidden="1"/>
    </xf>
    <xf numFmtId="4" fontId="12" fillId="4" borderId="22" xfId="0" applyNumberFormat="1" applyFont="1" applyFill="1" applyBorder="1" applyAlignment="1" applyProtection="1">
      <alignment horizontal="center"/>
      <protection hidden="1"/>
    </xf>
    <xf numFmtId="4" fontId="13" fillId="5" borderId="23" xfId="0" applyNumberFormat="1" applyFont="1" applyFill="1" applyBorder="1" applyAlignment="1" applyProtection="1">
      <alignment horizontal="center" vertical="center"/>
      <protection hidden="1"/>
    </xf>
    <xf numFmtId="4" fontId="13" fillId="5" borderId="24" xfId="0" applyNumberFormat="1" applyFont="1" applyFill="1" applyBorder="1" applyAlignment="1" applyProtection="1">
      <alignment horizontal="center" vertical="center"/>
      <protection hidden="1"/>
    </xf>
    <xf numFmtId="4" fontId="2" fillId="5" borderId="26" xfId="0" applyNumberFormat="1" applyFont="1" applyFill="1" applyBorder="1" applyAlignment="1" applyProtection="1">
      <alignment horizontal="center"/>
      <protection hidden="1"/>
    </xf>
    <xf numFmtId="4" fontId="13" fillId="5" borderId="29" xfId="0" applyNumberFormat="1" applyFont="1" applyFill="1" applyBorder="1" applyAlignment="1" applyProtection="1">
      <alignment horizontal="center"/>
      <protection hidden="1"/>
    </xf>
    <xf numFmtId="4" fontId="13" fillId="5" borderId="24" xfId="0" applyNumberFormat="1" applyFont="1" applyFill="1" applyBorder="1" applyAlignment="1" applyProtection="1">
      <alignment horizontal="center"/>
      <protection hidden="1"/>
    </xf>
    <xf numFmtId="4" fontId="13" fillId="5" borderId="30" xfId="0" applyNumberFormat="1" applyFont="1" applyFill="1" applyBorder="1" applyAlignment="1" applyProtection="1">
      <alignment horizontal="center"/>
      <protection hidden="1"/>
    </xf>
    <xf numFmtId="4" fontId="13" fillId="5" borderId="25" xfId="0" applyNumberFormat="1" applyFont="1" applyFill="1" applyBorder="1" applyAlignment="1" applyProtection="1">
      <alignment horizontal="center"/>
      <protection hidden="1"/>
    </xf>
    <xf numFmtId="4" fontId="13" fillId="5" borderId="26" xfId="0" applyNumberFormat="1" applyFont="1" applyFill="1" applyBorder="1" applyAlignment="1" applyProtection="1">
      <alignment horizontal="center"/>
      <protection hidden="1"/>
    </xf>
    <xf numFmtId="4" fontId="13" fillId="5" borderId="27" xfId="0" applyNumberFormat="1" applyFont="1" applyFill="1" applyBorder="1" applyAlignment="1" applyProtection="1">
      <alignment horizontal="center"/>
      <protection hidden="1"/>
    </xf>
    <xf numFmtId="0" fontId="2" fillId="0" borderId="0" xfId="0" applyFont="1" applyFill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4" fontId="13" fillId="5" borderId="28" xfId="0" applyNumberFormat="1" applyFont="1" applyFill="1" applyBorder="1" applyAlignment="1" applyProtection="1">
      <alignment horizontal="center" vertical="center"/>
      <protection hidden="1"/>
    </xf>
    <xf numFmtId="4" fontId="13" fillId="5" borderId="26" xfId="0" applyNumberFormat="1" applyFont="1" applyFill="1" applyBorder="1" applyAlignment="1" applyProtection="1">
      <alignment horizontal="center" vertical="center"/>
      <protection hidden="1"/>
    </xf>
    <xf numFmtId="4" fontId="13" fillId="5" borderId="1" xfId="0" applyNumberFormat="1" applyFont="1" applyFill="1" applyBorder="1" applyAlignment="1" applyProtection="1">
      <alignment horizontal="center" vertical="center"/>
      <protection hidden="1"/>
    </xf>
    <xf numFmtId="4" fontId="13" fillId="5" borderId="31" xfId="0" applyNumberFormat="1" applyFont="1" applyFill="1" applyBorder="1" applyAlignment="1" applyProtection="1">
      <alignment horizontal="center" vertical="center"/>
      <protection hidden="1"/>
    </xf>
    <xf numFmtId="4" fontId="13" fillId="5" borderId="27" xfId="0" applyNumberFormat="1" applyFont="1" applyFill="1" applyBorder="1" applyAlignment="1" applyProtection="1">
      <alignment horizontal="center" vertical="center"/>
      <protection hidden="1"/>
    </xf>
    <xf numFmtId="4" fontId="13" fillId="5" borderId="32" xfId="0" applyNumberFormat="1" applyFont="1" applyFill="1" applyBorder="1" applyAlignment="1" applyProtection="1">
      <alignment horizontal="center" vertical="center"/>
      <protection hidden="1"/>
    </xf>
    <xf numFmtId="4" fontId="12" fillId="4" borderId="33" xfId="0" applyNumberFormat="1" applyFont="1" applyFill="1" applyBorder="1" applyAlignment="1" applyProtection="1">
      <alignment horizontal="center"/>
      <protection hidden="1"/>
    </xf>
    <xf numFmtId="4" fontId="12" fillId="4" borderId="34" xfId="0" applyNumberFormat="1" applyFont="1" applyFill="1" applyBorder="1" applyAlignment="1" applyProtection="1">
      <alignment horizontal="center"/>
      <protection hidden="1"/>
    </xf>
    <xf numFmtId="4" fontId="12" fillId="4" borderId="12" xfId="0" applyNumberFormat="1" applyFont="1" applyFill="1" applyBorder="1" applyAlignment="1" applyProtection="1">
      <alignment horizontal="center"/>
      <protection hidden="1"/>
    </xf>
    <xf numFmtId="4" fontId="2" fillId="5" borderId="28" xfId="0" applyNumberFormat="1" applyFont="1" applyFill="1" applyBorder="1" applyAlignment="1" applyProtection="1">
      <alignment horizontal="center"/>
      <protection hidden="1"/>
    </xf>
    <xf numFmtId="4" fontId="13" fillId="5" borderId="28" xfId="0" applyNumberFormat="1" applyFont="1" applyFill="1" applyBorder="1" applyAlignment="1" applyProtection="1">
      <alignment horizontal="center"/>
      <protection hidden="1"/>
    </xf>
    <xf numFmtId="4" fontId="13" fillId="5" borderId="31" xfId="0" applyNumberFormat="1" applyFont="1" applyFill="1" applyBorder="1" applyAlignment="1" applyProtection="1">
      <alignment horizontal="center"/>
      <protection hidden="1"/>
    </xf>
    <xf numFmtId="0" fontId="2" fillId="0" borderId="38" xfId="0" applyFont="1" applyFill="1" applyBorder="1" applyAlignment="1" applyProtection="1">
      <alignment horizontal="center"/>
      <protection locked="0"/>
    </xf>
    <xf numFmtId="0" fontId="12" fillId="4" borderId="43" xfId="0" applyFont="1" applyFill="1" applyBorder="1" applyAlignment="1" applyProtection="1">
      <alignment horizontal="left"/>
      <protection locked="0"/>
    </xf>
    <xf numFmtId="0" fontId="12" fillId="4" borderId="40" xfId="0" applyFont="1" applyFill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12" fillId="4" borderId="21" xfId="0" applyFont="1" applyFill="1" applyBorder="1" applyAlignment="1" applyProtection="1">
      <protection locked="0"/>
    </xf>
    <xf numFmtId="0" fontId="12" fillId="4" borderId="41" xfId="0" applyFont="1" applyFill="1" applyBorder="1" applyAlignment="1" applyProtection="1"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0" fontId="12" fillId="4" borderId="43" xfId="0" applyFont="1" applyFill="1" applyBorder="1" applyAlignment="1" applyProtection="1">
      <alignment horizontal="center" vertical="center"/>
      <protection locked="0"/>
    </xf>
    <xf numFmtId="0" fontId="19" fillId="0" borderId="0" xfId="0" applyFont="1" applyFill="1" applyBorder="1" applyAlignment="1" applyProtection="1">
      <alignment horizontal="center"/>
      <protection locked="0"/>
    </xf>
    <xf numFmtId="0" fontId="19" fillId="0" borderId="0" xfId="0" applyFont="1" applyFill="1" applyBorder="1" applyAlignment="1" applyProtection="1">
      <alignment horizontal="center" vertical="center"/>
      <protection locked="0"/>
    </xf>
    <xf numFmtId="0" fontId="20" fillId="0" borderId="0" xfId="0" applyFont="1" applyFill="1" applyBorder="1" applyAlignment="1" applyProtection="1">
      <alignment horizontal="center" vertical="center"/>
      <protection locked="0"/>
    </xf>
    <xf numFmtId="0" fontId="21" fillId="0" borderId="0" xfId="0" applyFont="1" applyFill="1" applyBorder="1" applyProtection="1">
      <protection locked="0"/>
    </xf>
    <xf numFmtId="0" fontId="21" fillId="0" borderId="0" xfId="0" applyFont="1" applyFill="1" applyBorder="1" applyAlignment="1" applyProtection="1">
      <alignment horizontal="center" vertical="center"/>
      <protection locked="0"/>
    </xf>
    <xf numFmtId="0" fontId="12" fillId="0" borderId="0" xfId="0" applyFont="1" applyFill="1" applyBorder="1" applyAlignment="1" applyProtection="1">
      <alignment horizontal="left"/>
      <protection locked="0"/>
    </xf>
    <xf numFmtId="4" fontId="10" fillId="5" borderId="22" xfId="0" applyNumberFormat="1" applyFont="1" applyFill="1" applyBorder="1" applyAlignment="1" applyProtection="1">
      <alignment horizontal="center"/>
      <protection hidden="1"/>
    </xf>
    <xf numFmtId="4" fontId="10" fillId="5" borderId="41" xfId="0" applyNumberFormat="1" applyFont="1" applyFill="1" applyBorder="1" applyAlignment="1" applyProtection="1">
      <alignment horizontal="center"/>
      <protection hidden="1"/>
    </xf>
    <xf numFmtId="4" fontId="13" fillId="5" borderId="29" xfId="0" applyNumberFormat="1" applyFont="1" applyFill="1" applyBorder="1" applyAlignment="1" applyProtection="1">
      <alignment horizontal="center" vertical="center"/>
      <protection hidden="1"/>
    </xf>
    <xf numFmtId="4" fontId="13" fillId="5" borderId="45" xfId="0" applyNumberFormat="1" applyFont="1" applyFill="1" applyBorder="1" applyAlignment="1" applyProtection="1">
      <alignment horizontal="center" vertical="center"/>
      <protection hidden="1"/>
    </xf>
    <xf numFmtId="4" fontId="13" fillId="5" borderId="50" xfId="0" applyNumberFormat="1" applyFont="1" applyFill="1" applyBorder="1" applyAlignment="1" applyProtection="1">
      <alignment horizontal="center"/>
      <protection hidden="1"/>
    </xf>
    <xf numFmtId="4" fontId="13" fillId="5" borderId="33" xfId="0" applyNumberFormat="1" applyFont="1" applyFill="1" applyBorder="1" applyAlignment="1" applyProtection="1">
      <alignment horizontal="center"/>
      <protection hidden="1"/>
    </xf>
    <xf numFmtId="4" fontId="13" fillId="5" borderId="13" xfId="0" applyNumberFormat="1" applyFont="1" applyFill="1" applyBorder="1" applyAlignment="1" applyProtection="1">
      <alignment horizontal="center"/>
      <protection hidden="1"/>
    </xf>
    <xf numFmtId="0" fontId="10" fillId="7" borderId="12" xfId="0" applyFont="1" applyFill="1" applyBorder="1" applyAlignment="1" applyProtection="1">
      <alignment horizontal="center"/>
      <protection hidden="1"/>
    </xf>
    <xf numFmtId="4" fontId="13" fillId="0" borderId="0" xfId="0" applyNumberFormat="1" applyFont="1" applyFill="1" applyBorder="1" applyAlignment="1" applyProtection="1">
      <alignment horizontal="center"/>
      <protection hidden="1"/>
    </xf>
    <xf numFmtId="0" fontId="2" fillId="0" borderId="3" xfId="0" applyFont="1" applyFill="1" applyBorder="1" applyAlignment="1" applyProtection="1">
      <alignment horizontal="center" vertical="center"/>
      <protection locked="0"/>
    </xf>
    <xf numFmtId="166" fontId="3" fillId="9" borderId="0" xfId="0" applyNumberFormat="1" applyFont="1" applyFill="1" applyBorder="1" applyProtection="1">
      <protection hidden="1"/>
    </xf>
    <xf numFmtId="4" fontId="10" fillId="10" borderId="1" xfId="0" applyNumberFormat="1" applyFont="1" applyFill="1" applyBorder="1" applyAlignment="1" applyProtection="1">
      <alignment horizontal="center"/>
      <protection hidden="1"/>
    </xf>
    <xf numFmtId="2" fontId="10" fillId="10" borderId="1" xfId="0" applyNumberFormat="1" applyFont="1" applyFill="1" applyBorder="1" applyAlignment="1" applyProtection="1">
      <alignment horizontal="left"/>
    </xf>
    <xf numFmtId="0" fontId="22" fillId="9" borderId="0" xfId="0" applyFont="1" applyFill="1" applyAlignment="1" applyProtection="1">
      <alignment horizontal="center"/>
    </xf>
    <xf numFmtId="0" fontId="10" fillId="0" borderId="0" xfId="0" applyFont="1" applyProtection="1"/>
    <xf numFmtId="4" fontId="10" fillId="0" borderId="0" xfId="0" applyNumberFormat="1" applyFont="1" applyFill="1" applyBorder="1" applyProtection="1">
      <protection hidden="1"/>
    </xf>
    <xf numFmtId="2" fontId="10" fillId="9" borderId="0" xfId="0" applyNumberFormat="1" applyFont="1" applyFill="1" applyBorder="1" applyProtection="1">
      <protection hidden="1"/>
    </xf>
    <xf numFmtId="4" fontId="13" fillId="5" borderId="55" xfId="0" applyNumberFormat="1" applyFont="1" applyFill="1" applyBorder="1" applyAlignment="1" applyProtection="1">
      <alignment horizontal="center" vertical="center"/>
      <protection hidden="1"/>
    </xf>
    <xf numFmtId="2" fontId="2" fillId="0" borderId="0" xfId="0" applyNumberFormat="1" applyFont="1" applyProtection="1"/>
    <xf numFmtId="165" fontId="2" fillId="0" borderId="0" xfId="0" applyNumberFormat="1" applyFont="1" applyProtection="1"/>
    <xf numFmtId="0" fontId="2" fillId="11" borderId="0" xfId="0" applyFont="1" applyFill="1" applyBorder="1" applyAlignment="1" applyProtection="1">
      <alignment horizontal="center"/>
    </xf>
    <xf numFmtId="0" fontId="0" fillId="12" borderId="0" xfId="0" applyFill="1"/>
    <xf numFmtId="0" fontId="15" fillId="12" borderId="0" xfId="0" applyFont="1" applyFill="1"/>
    <xf numFmtId="0" fontId="24" fillId="0" borderId="0" xfId="0" applyFont="1"/>
    <xf numFmtId="0" fontId="0" fillId="0" borderId="0" xfId="0" applyFill="1" applyBorder="1"/>
    <xf numFmtId="0" fontId="23" fillId="0" borderId="1" xfId="0" applyNumberFormat="1" applyFont="1" applyBorder="1" applyAlignment="1" applyProtection="1">
      <alignment horizontal="left" vertical="center"/>
    </xf>
    <xf numFmtId="0" fontId="10" fillId="12" borderId="1" xfId="0" applyNumberFormat="1" applyFont="1" applyFill="1" applyBorder="1" applyAlignment="1" applyProtection="1">
      <alignment horizontal="center" wrapText="1"/>
    </xf>
    <xf numFmtId="0" fontId="2" fillId="12" borderId="1" xfId="0" applyNumberFormat="1" applyFont="1" applyFill="1" applyBorder="1" applyProtection="1">
      <protection locked="0"/>
    </xf>
    <xf numFmtId="0" fontId="23" fillId="0" borderId="1" xfId="0" applyNumberFormat="1" applyFont="1" applyBorder="1" applyAlignment="1" applyProtection="1">
      <alignment horizontal="left" wrapText="1"/>
    </xf>
    <xf numFmtId="0" fontId="25" fillId="13" borderId="1" xfId="0" applyNumberFormat="1" applyFont="1" applyFill="1" applyBorder="1" applyAlignment="1" applyProtection="1">
      <alignment horizontal="center" vertical="center" wrapText="1"/>
    </xf>
    <xf numFmtId="0" fontId="25" fillId="13" borderId="1" xfId="0" applyNumberFormat="1" applyFont="1" applyFill="1" applyBorder="1" applyAlignment="1" applyProtection="1">
      <alignment horizontal="center" vertical="center" wrapText="1"/>
      <protection locked="0"/>
    </xf>
    <xf numFmtId="0" fontId="25" fillId="14" borderId="1" xfId="0" applyNumberFormat="1" applyFont="1" applyFill="1" applyBorder="1" applyAlignment="1" applyProtection="1">
      <alignment horizontal="center" vertical="center" wrapText="1"/>
    </xf>
    <xf numFmtId="0" fontId="25" fillId="14" borderId="1" xfId="0" applyNumberFormat="1" applyFont="1" applyFill="1" applyBorder="1" applyAlignment="1" applyProtection="1">
      <alignment horizontal="left" vertical="center" wrapText="1"/>
    </xf>
    <xf numFmtId="0" fontId="2" fillId="14" borderId="1" xfId="0" applyNumberFormat="1" applyFont="1" applyFill="1" applyBorder="1" applyAlignment="1" applyProtection="1">
      <alignment horizontal="center" vertical="center"/>
      <protection locked="0"/>
    </xf>
    <xf numFmtId="0" fontId="25" fillId="12" borderId="1" xfId="0" applyNumberFormat="1" applyFont="1" applyFill="1" applyBorder="1" applyAlignment="1" applyProtection="1">
      <alignment horizontal="center" vertical="center" wrapText="1"/>
    </xf>
    <xf numFmtId="0" fontId="25" fillId="12" borderId="1" xfId="0" applyNumberFormat="1" applyFont="1" applyFill="1" applyBorder="1" applyAlignment="1" applyProtection="1">
      <alignment horizontal="left" vertical="center" wrapText="1"/>
    </xf>
    <xf numFmtId="0" fontId="2" fillId="12" borderId="1" xfId="0" applyNumberFormat="1" applyFont="1" applyFill="1" applyBorder="1" applyAlignment="1" applyProtection="1">
      <alignment horizontal="center" vertical="center"/>
      <protection locked="0"/>
    </xf>
    <xf numFmtId="0" fontId="0" fillId="14" borderId="1" xfId="0" applyNumberFormat="1" applyFill="1" applyBorder="1"/>
    <xf numFmtId="0" fontId="0" fillId="12" borderId="1" xfId="0" applyNumberFormat="1" applyFill="1" applyBorder="1"/>
    <xf numFmtId="0" fontId="24" fillId="14" borderId="1" xfId="0" applyNumberFormat="1" applyFont="1" applyFill="1" applyBorder="1"/>
    <xf numFmtId="0" fontId="24" fillId="12" borderId="1" xfId="0" applyNumberFormat="1" applyFont="1" applyFill="1" applyBorder="1"/>
    <xf numFmtId="0" fontId="0" fillId="0" borderId="0" xfId="0" applyNumberFormat="1"/>
    <xf numFmtId="0" fontId="24" fillId="0" borderId="0" xfId="0" applyNumberFormat="1" applyFont="1"/>
    <xf numFmtId="167" fontId="2" fillId="14" borderId="1" xfId="2" applyNumberFormat="1" applyFont="1" applyFill="1" applyBorder="1" applyAlignment="1" applyProtection="1">
      <alignment horizontal="center" vertical="center"/>
    </xf>
    <xf numFmtId="167" fontId="2" fillId="12" borderId="1" xfId="2" applyNumberFormat="1" applyFont="1" applyFill="1" applyBorder="1" applyAlignment="1" applyProtection="1">
      <alignment horizontal="center"/>
    </xf>
    <xf numFmtId="167" fontId="2" fillId="14" borderId="1" xfId="2" applyNumberFormat="1" applyFont="1" applyFill="1" applyBorder="1" applyAlignment="1" applyProtection="1">
      <alignment horizontal="center"/>
    </xf>
    <xf numFmtId="167" fontId="28" fillId="14" borderId="1" xfId="2" applyNumberFormat="1" applyFont="1" applyFill="1" applyBorder="1"/>
    <xf numFmtId="167" fontId="28" fillId="12" borderId="1" xfId="2" applyNumberFormat="1" applyFont="1" applyFill="1" applyBorder="1"/>
    <xf numFmtId="0" fontId="2" fillId="11" borderId="0" xfId="0" applyFont="1" applyFill="1" applyAlignment="1" applyProtection="1">
      <alignment horizontal="center"/>
    </xf>
    <xf numFmtId="0" fontId="2" fillId="11" borderId="0" xfId="0" applyNumberFormat="1" applyFont="1" applyFill="1" applyAlignment="1" applyProtection="1">
      <alignment horizontal="center"/>
    </xf>
    <xf numFmtId="0" fontId="2" fillId="11" borderId="0" xfId="0" applyNumberFormat="1" applyFont="1" applyFill="1" applyBorder="1" applyAlignment="1" applyProtection="1">
      <alignment horizontal="center"/>
    </xf>
    <xf numFmtId="4" fontId="10" fillId="11" borderId="43" xfId="0" applyNumberFormat="1" applyFont="1" applyFill="1" applyBorder="1" applyAlignment="1" applyProtection="1">
      <alignment horizontal="center"/>
      <protection hidden="1"/>
    </xf>
    <xf numFmtId="4" fontId="13" fillId="11" borderId="58" xfId="0" applyNumberFormat="1" applyFont="1" applyFill="1" applyBorder="1" applyAlignment="1" applyProtection="1">
      <alignment horizontal="center" vertical="center"/>
      <protection hidden="1"/>
    </xf>
    <xf numFmtId="4" fontId="13" fillId="11" borderId="59" xfId="0" applyNumberFormat="1" applyFont="1" applyFill="1" applyBorder="1" applyAlignment="1" applyProtection="1">
      <alignment horizontal="center" vertical="center"/>
      <protection hidden="1"/>
    </xf>
    <xf numFmtId="4" fontId="13" fillId="11" borderId="33" xfId="0" applyNumberFormat="1" applyFont="1" applyFill="1" applyBorder="1" applyAlignment="1" applyProtection="1">
      <alignment horizontal="center" vertical="center"/>
      <protection hidden="1"/>
    </xf>
    <xf numFmtId="4" fontId="12" fillId="11" borderId="30" xfId="0" applyNumberFormat="1" applyFont="1" applyFill="1" applyBorder="1" applyAlignment="1" applyProtection="1">
      <alignment horizontal="center"/>
      <protection hidden="1"/>
    </xf>
    <xf numFmtId="4" fontId="12" fillId="11" borderId="21" xfId="0" applyNumberFormat="1" applyFont="1" applyFill="1" applyBorder="1" applyAlignment="1" applyProtection="1">
      <alignment horizontal="center"/>
      <protection hidden="1"/>
    </xf>
    <xf numFmtId="4" fontId="2" fillId="11" borderId="48" xfId="0" applyNumberFormat="1" applyFont="1" applyFill="1" applyBorder="1" applyAlignment="1" applyProtection="1">
      <alignment horizontal="center"/>
      <protection hidden="1"/>
    </xf>
    <xf numFmtId="4" fontId="13" fillId="11" borderId="46" xfId="0" applyNumberFormat="1" applyFont="1" applyFill="1" applyBorder="1" applyAlignment="1" applyProtection="1">
      <alignment horizontal="center"/>
      <protection hidden="1"/>
    </xf>
    <xf numFmtId="4" fontId="10" fillId="11" borderId="48" xfId="0" applyNumberFormat="1" applyFont="1" applyFill="1" applyBorder="1" applyAlignment="1" applyProtection="1">
      <alignment horizontal="center"/>
      <protection hidden="1"/>
    </xf>
    <xf numFmtId="4" fontId="13" fillId="11" borderId="30" xfId="0" applyNumberFormat="1" applyFont="1" applyFill="1" applyBorder="1" applyAlignment="1" applyProtection="1">
      <alignment horizontal="center"/>
      <protection hidden="1"/>
    </xf>
    <xf numFmtId="4" fontId="12" fillId="11" borderId="43" xfId="0" applyNumberFormat="1" applyFont="1" applyFill="1" applyBorder="1" applyAlignment="1" applyProtection="1">
      <alignment horizontal="center"/>
      <protection hidden="1"/>
    </xf>
    <xf numFmtId="4" fontId="13" fillId="11" borderId="28" xfId="0" applyNumberFormat="1" applyFont="1" applyFill="1" applyBorder="1" applyAlignment="1" applyProtection="1">
      <alignment horizontal="center"/>
      <protection hidden="1"/>
    </xf>
    <xf numFmtId="4" fontId="19" fillId="11" borderId="0" xfId="0" applyNumberFormat="1" applyFont="1" applyFill="1" applyBorder="1" applyAlignment="1" applyProtection="1">
      <alignment horizontal="center"/>
      <protection hidden="1"/>
    </xf>
    <xf numFmtId="4" fontId="20" fillId="11" borderId="0" xfId="0" applyNumberFormat="1" applyFont="1" applyFill="1" applyBorder="1" applyAlignment="1" applyProtection="1">
      <alignment horizontal="center"/>
      <protection hidden="1"/>
    </xf>
    <xf numFmtId="0" fontId="14" fillId="0" borderId="0" xfId="0" applyFont="1"/>
    <xf numFmtId="0" fontId="11" fillId="5" borderId="1" xfId="0" applyFont="1" applyFill="1" applyBorder="1"/>
    <xf numFmtId="0" fontId="14" fillId="5" borderId="1" xfId="0" applyFont="1" applyFill="1" applyBorder="1" applyAlignment="1">
      <alignment horizontal="right"/>
    </xf>
    <xf numFmtId="0" fontId="14" fillId="5" borderId="1" xfId="0" applyFont="1" applyFill="1" applyBorder="1"/>
    <xf numFmtId="2" fontId="14" fillId="5" borderId="1" xfId="0" applyNumberFormat="1" applyFont="1" applyFill="1" applyBorder="1"/>
    <xf numFmtId="10" fontId="14" fillId="5" borderId="1" xfId="0" applyNumberFormat="1" applyFont="1" applyFill="1" applyBorder="1"/>
    <xf numFmtId="0" fontId="15" fillId="5" borderId="1" xfId="0" applyFont="1" applyFill="1" applyBorder="1"/>
    <xf numFmtId="0" fontId="0" fillId="5" borderId="1" xfId="0" applyFill="1" applyBorder="1"/>
    <xf numFmtId="167" fontId="2" fillId="14" borderId="1" xfId="0" applyNumberFormat="1" applyFont="1" applyFill="1" applyBorder="1" applyAlignment="1" applyProtection="1">
      <alignment horizontal="center" vertical="center"/>
      <protection locked="0"/>
    </xf>
    <xf numFmtId="167" fontId="2" fillId="12" borderId="1" xfId="0" applyNumberFormat="1" applyFont="1" applyFill="1" applyBorder="1" applyAlignment="1" applyProtection="1">
      <alignment horizontal="center"/>
      <protection locked="0"/>
    </xf>
    <xf numFmtId="167" fontId="2" fillId="12" borderId="1" xfId="0" applyNumberFormat="1" applyFont="1" applyFill="1" applyBorder="1" applyAlignment="1" applyProtection="1">
      <alignment horizontal="center" vertical="center"/>
      <protection locked="0"/>
    </xf>
    <xf numFmtId="167" fontId="2" fillId="14" borderId="1" xfId="0" applyNumberFormat="1" applyFont="1" applyFill="1" applyBorder="1" applyAlignment="1" applyProtection="1">
      <alignment horizontal="center"/>
      <protection locked="0"/>
    </xf>
    <xf numFmtId="167" fontId="0" fillId="14" borderId="1" xfId="0" applyNumberFormat="1" applyFill="1" applyBorder="1"/>
    <xf numFmtId="167" fontId="0" fillId="12" borderId="1" xfId="0" applyNumberFormat="1" applyFill="1" applyBorder="1"/>
    <xf numFmtId="0" fontId="0" fillId="14" borderId="0" xfId="0" applyNumberFormat="1" applyFill="1"/>
    <xf numFmtId="0" fontId="24" fillId="14" borderId="0" xfId="0" applyNumberFormat="1" applyFont="1" applyFill="1"/>
    <xf numFmtId="0" fontId="3" fillId="0" borderId="0" xfId="0" applyFont="1" applyFill="1" applyBorder="1" applyProtection="1"/>
    <xf numFmtId="0" fontId="3" fillId="0" borderId="0" xfId="0" applyFont="1" applyFill="1" applyBorder="1" applyAlignment="1" applyProtection="1">
      <alignment horizontal="center"/>
    </xf>
    <xf numFmtId="0" fontId="16" fillId="0" borderId="0" xfId="0" applyFont="1" applyFill="1" applyBorder="1" applyProtection="1"/>
    <xf numFmtId="0" fontId="2" fillId="0" borderId="0" xfId="0" applyFont="1" applyFill="1" applyBorder="1" applyAlignment="1" applyProtection="1">
      <alignment horizontal="center" vertical="center"/>
    </xf>
    <xf numFmtId="14" fontId="2" fillId="0" borderId="0" xfId="0" applyNumberFormat="1" applyFont="1" applyFill="1" applyBorder="1" applyAlignment="1" applyProtection="1">
      <alignment horizontal="center"/>
    </xf>
    <xf numFmtId="0" fontId="16" fillId="0" borderId="0" xfId="0" applyFont="1" applyFill="1" applyBorder="1"/>
    <xf numFmtId="0" fontId="14" fillId="12" borderId="0" xfId="0" applyFont="1" applyFill="1"/>
    <xf numFmtId="0" fontId="23" fillId="0" borderId="1" xfId="0" applyNumberFormat="1" applyFont="1" applyBorder="1" applyAlignment="1" applyProtection="1">
      <alignment vertical="center"/>
    </xf>
    <xf numFmtId="0" fontId="23" fillId="0" borderId="1" xfId="0" applyNumberFormat="1" applyFont="1" applyBorder="1" applyProtection="1"/>
    <xf numFmtId="167" fontId="2" fillId="12" borderId="1" xfId="2" applyNumberFormat="1" applyFont="1" applyFill="1" applyBorder="1" applyAlignment="1" applyProtection="1">
      <alignment horizontal="center" vertical="center"/>
    </xf>
    <xf numFmtId="0" fontId="30" fillId="15" borderId="62" xfId="0" applyFont="1" applyFill="1" applyBorder="1" applyAlignment="1">
      <alignment horizontal="center" vertical="top" wrapText="1"/>
    </xf>
    <xf numFmtId="0" fontId="1" fillId="0" borderId="0" xfId="0" applyFont="1"/>
    <xf numFmtId="0" fontId="2" fillId="0" borderId="0" xfId="0" applyFont="1" applyFill="1" applyBorder="1" applyAlignment="1" applyProtection="1">
      <alignment horizontal="center"/>
      <protection hidden="1"/>
    </xf>
    <xf numFmtId="0" fontId="1" fillId="0" borderId="0" xfId="0" applyFont="1" applyFill="1" applyBorder="1"/>
    <xf numFmtId="0" fontId="0" fillId="0" borderId="0" xfId="0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0" xfId="0" applyFont="1" applyFill="1" applyBorder="1" applyAlignment="1" applyProtection="1">
      <alignment vertical="center"/>
      <protection hidden="1"/>
    </xf>
    <xf numFmtId="14" fontId="31" fillId="2" borderId="1" xfId="0" applyNumberFormat="1" applyFont="1" applyFill="1" applyBorder="1" applyProtection="1">
      <protection locked="0"/>
    </xf>
    <xf numFmtId="4" fontId="13" fillId="5" borderId="14" xfId="0" applyNumberFormat="1" applyFont="1" applyFill="1" applyBorder="1" applyAlignment="1" applyProtection="1">
      <alignment horizontal="center"/>
      <protection hidden="1"/>
    </xf>
    <xf numFmtId="4" fontId="13" fillId="5" borderId="16" xfId="0" applyNumberFormat="1" applyFont="1" applyFill="1" applyBorder="1" applyAlignment="1" applyProtection="1">
      <alignment horizontal="center"/>
      <protection hidden="1"/>
    </xf>
    <xf numFmtId="4" fontId="13" fillId="5" borderId="52" xfId="0" applyNumberFormat="1" applyFont="1" applyFill="1" applyBorder="1" applyAlignment="1" applyProtection="1">
      <alignment horizontal="center"/>
      <protection hidden="1"/>
    </xf>
    <xf numFmtId="168" fontId="2" fillId="0" borderId="0" xfId="2" applyNumberFormat="1" applyFont="1" applyFill="1" applyBorder="1" applyAlignment="1" applyProtection="1">
      <alignment horizontal="right"/>
      <protection locked="0"/>
    </xf>
    <xf numFmtId="0" fontId="10" fillId="11" borderId="41" xfId="0" applyFont="1" applyFill="1" applyBorder="1" applyAlignment="1" applyProtection="1">
      <alignment horizontal="center"/>
      <protection hidden="1"/>
    </xf>
    <xf numFmtId="0" fontId="10" fillId="7" borderId="41" xfId="0" applyFont="1" applyFill="1" applyBorder="1" applyAlignment="1" applyProtection="1">
      <alignment horizontal="center"/>
      <protection hidden="1"/>
    </xf>
    <xf numFmtId="2" fontId="0" fillId="0" borderId="0" xfId="0" applyNumberFormat="1"/>
    <xf numFmtId="0" fontId="32" fillId="0" borderId="0" xfId="0" applyFont="1" applyFill="1" applyBorder="1" applyAlignment="1">
      <alignment horizontal="left" vertical="top" wrapText="1"/>
    </xf>
    <xf numFmtId="4" fontId="13" fillId="5" borderId="7" xfId="0" applyNumberFormat="1" applyFont="1" applyFill="1" applyBorder="1" applyAlignment="1" applyProtection="1">
      <alignment horizontal="center" vertical="center"/>
      <protection hidden="1"/>
    </xf>
    <xf numFmtId="4" fontId="2" fillId="5" borderId="36" xfId="0" applyNumberFormat="1" applyFont="1" applyFill="1" applyBorder="1" applyAlignment="1" applyProtection="1">
      <alignment horizontal="center" vertical="center"/>
      <protection hidden="1"/>
    </xf>
    <xf numFmtId="4" fontId="2" fillId="5" borderId="26" xfId="0" applyNumberFormat="1" applyFont="1" applyFill="1" applyBorder="1" applyAlignment="1" applyProtection="1">
      <alignment horizontal="center" vertical="center"/>
      <protection hidden="1"/>
    </xf>
    <xf numFmtId="4" fontId="2" fillId="11" borderId="48" xfId="0" applyNumberFormat="1" applyFont="1" applyFill="1" applyBorder="1" applyAlignment="1" applyProtection="1">
      <alignment horizontal="center" vertical="center"/>
      <protection hidden="1"/>
    </xf>
    <xf numFmtId="4" fontId="2" fillId="5" borderId="28" xfId="0" applyNumberFormat="1" applyFont="1" applyFill="1" applyBorder="1" applyAlignment="1" applyProtection="1">
      <alignment horizontal="center" vertical="center"/>
      <protection hidden="1"/>
    </xf>
    <xf numFmtId="4" fontId="2" fillId="0" borderId="0" xfId="0" applyNumberFormat="1" applyFont="1" applyFill="1" applyBorder="1" applyAlignment="1" applyProtection="1">
      <alignment vertical="center"/>
      <protection hidden="1"/>
    </xf>
    <xf numFmtId="0" fontId="3" fillId="0" borderId="0" xfId="0" applyFont="1" applyFill="1" applyAlignment="1" applyProtection="1">
      <alignment vertical="center"/>
      <protection hidden="1"/>
    </xf>
    <xf numFmtId="2" fontId="2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3" fillId="0" borderId="10" xfId="0" applyFont="1" applyBorder="1" applyProtection="1"/>
    <xf numFmtId="0" fontId="3" fillId="0" borderId="10" xfId="0" applyFont="1" applyBorder="1" applyAlignment="1" applyProtection="1">
      <alignment vertical="center"/>
    </xf>
    <xf numFmtId="0" fontId="12" fillId="4" borderId="20" xfId="0" applyFont="1" applyFill="1" applyBorder="1" applyAlignment="1" applyProtection="1">
      <alignment horizontal="left"/>
      <protection locked="0"/>
    </xf>
    <xf numFmtId="0" fontId="12" fillId="4" borderId="42" xfId="0" applyFont="1" applyFill="1" applyBorder="1" applyAlignment="1" applyProtection="1">
      <alignment horizontal="left"/>
      <protection locked="0"/>
    </xf>
    <xf numFmtId="0" fontId="13" fillId="0" borderId="11" xfId="0" applyFont="1" applyBorder="1" applyAlignment="1" applyProtection="1">
      <alignment horizontal="center" vertical="center"/>
    </xf>
    <xf numFmtId="0" fontId="29" fillId="0" borderId="11" xfId="0" applyFont="1" applyBorder="1" applyAlignment="1" applyProtection="1">
      <alignment horizontal="left" vertical="center" wrapText="1"/>
    </xf>
    <xf numFmtId="0" fontId="13" fillId="0" borderId="11" xfId="0" applyFont="1" applyBorder="1" applyAlignment="1" applyProtection="1">
      <alignment horizontal="center"/>
    </xf>
    <xf numFmtId="0" fontId="13" fillId="0" borderId="6" xfId="0" applyFont="1" applyBorder="1" applyAlignment="1" applyProtection="1">
      <alignment horizontal="center"/>
    </xf>
    <xf numFmtId="0" fontId="12" fillId="4" borderId="21" xfId="0" applyFont="1" applyFill="1" applyBorder="1" applyAlignment="1" applyProtection="1"/>
    <xf numFmtId="0" fontId="12" fillId="4" borderId="41" xfId="0" applyFont="1" applyFill="1" applyBorder="1" applyAlignment="1" applyProtection="1"/>
    <xf numFmtId="0" fontId="12" fillId="4" borderId="40" xfId="0" applyFont="1" applyFill="1" applyBorder="1" applyAlignment="1" applyProtection="1">
      <alignment horizontal="center" vertical="center"/>
    </xf>
    <xf numFmtId="0" fontId="12" fillId="4" borderId="20" xfId="0" applyFont="1" applyFill="1" applyBorder="1" applyAlignment="1" applyProtection="1"/>
    <xf numFmtId="0" fontId="2" fillId="0" borderId="11" xfId="0" applyFont="1" applyBorder="1" applyAlignment="1" applyProtection="1">
      <alignment horizontal="center"/>
    </xf>
    <xf numFmtId="0" fontId="2" fillId="0" borderId="9" xfId="0" applyFont="1" applyBorder="1" applyAlignment="1" applyProtection="1">
      <alignment horizontal="center"/>
    </xf>
    <xf numFmtId="0" fontId="2" fillId="0" borderId="11" xfId="0" applyFont="1" applyBorder="1" applyAlignment="1" applyProtection="1">
      <alignment horizontal="center"/>
      <protection locked="0"/>
    </xf>
    <xf numFmtId="0" fontId="2" fillId="0" borderId="9" xfId="0" applyFont="1" applyBorder="1" applyAlignment="1" applyProtection="1">
      <alignment horizontal="center"/>
      <protection locked="0"/>
    </xf>
    <xf numFmtId="0" fontId="12" fillId="4" borderId="57" xfId="0" applyFont="1" applyFill="1" applyBorder="1" applyAlignment="1" applyProtection="1"/>
    <xf numFmtId="0" fontId="12" fillId="4" borderId="65" xfId="0" applyFont="1" applyFill="1" applyBorder="1" applyAlignment="1" applyProtection="1">
      <alignment horizontal="center"/>
    </xf>
    <xf numFmtId="0" fontId="12" fillId="4" borderId="63" xfId="0" applyFont="1" applyFill="1" applyBorder="1" applyAlignment="1" applyProtection="1">
      <alignment horizontal="center" vertical="center"/>
    </xf>
    <xf numFmtId="0" fontId="12" fillId="4" borderId="33" xfId="0" applyFont="1" applyFill="1" applyBorder="1" applyAlignment="1" applyProtection="1">
      <alignment horizontal="center"/>
    </xf>
    <xf numFmtId="4" fontId="2" fillId="5" borderId="36" xfId="0" applyNumberFormat="1" applyFont="1" applyFill="1" applyBorder="1" applyAlignment="1" applyProtection="1">
      <alignment horizontal="center"/>
      <protection hidden="1"/>
    </xf>
    <xf numFmtId="4" fontId="2" fillId="5" borderId="66" xfId="0" applyNumberFormat="1" applyFont="1" applyFill="1" applyBorder="1" applyAlignment="1" applyProtection="1">
      <alignment horizontal="center"/>
      <protection hidden="1"/>
    </xf>
    <xf numFmtId="4" fontId="2" fillId="11" borderId="4" xfId="0" applyNumberFormat="1" applyFont="1" applyFill="1" applyBorder="1" applyAlignment="1" applyProtection="1">
      <alignment horizontal="center"/>
      <protection hidden="1"/>
    </xf>
    <xf numFmtId="0" fontId="2" fillId="0" borderId="11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/>
      <protection locked="0"/>
    </xf>
    <xf numFmtId="0" fontId="2" fillId="0" borderId="14" xfId="0" applyFont="1" applyFill="1" applyBorder="1" applyProtection="1"/>
    <xf numFmtId="0" fontId="2" fillId="0" borderId="14" xfId="0" applyFont="1" applyFill="1" applyBorder="1" applyProtection="1">
      <protection locked="0"/>
    </xf>
    <xf numFmtId="0" fontId="2" fillId="0" borderId="16" xfId="0" applyFont="1" applyFill="1" applyBorder="1" applyProtection="1">
      <protection locked="0"/>
    </xf>
    <xf numFmtId="0" fontId="13" fillId="0" borderId="44" xfId="0" applyFont="1" applyBorder="1" applyAlignment="1" applyProtection="1">
      <alignment horizontal="left" wrapText="1"/>
    </xf>
    <xf numFmtId="0" fontId="13" fillId="0" borderId="68" xfId="0" applyFont="1" applyFill="1" applyBorder="1" applyAlignment="1" applyProtection="1">
      <alignment horizontal="left"/>
    </xf>
    <xf numFmtId="0" fontId="13" fillId="0" borderId="47" xfId="0" applyFont="1" applyFill="1" applyBorder="1" applyAlignment="1" applyProtection="1">
      <alignment horizontal="left" vertical="center"/>
    </xf>
    <xf numFmtId="0" fontId="13" fillId="0" borderId="47" xfId="0" applyFont="1" applyFill="1" applyBorder="1" applyAlignment="1" applyProtection="1">
      <alignment horizontal="left" wrapText="1"/>
    </xf>
    <xf numFmtId="0" fontId="13" fillId="0" borderId="49" xfId="0" applyFont="1" applyFill="1" applyBorder="1" applyAlignment="1" applyProtection="1">
      <alignment horizontal="left"/>
    </xf>
    <xf numFmtId="0" fontId="13" fillId="0" borderId="47" xfId="0" applyFont="1" applyFill="1" applyBorder="1" applyAlignment="1" applyProtection="1">
      <alignment horizontal="left"/>
    </xf>
    <xf numFmtId="0" fontId="2" fillId="0" borderId="47" xfId="0" applyFont="1" applyFill="1" applyBorder="1" applyProtection="1"/>
    <xf numFmtId="0" fontId="13" fillId="0" borderId="51" xfId="0" applyFont="1" applyBorder="1" applyAlignment="1" applyProtection="1">
      <alignment horizontal="left"/>
    </xf>
    <xf numFmtId="0" fontId="2" fillId="8" borderId="14" xfId="0" applyFont="1" applyFill="1" applyBorder="1" applyAlignment="1" applyProtection="1">
      <alignment horizontal="center" vertical="center"/>
      <protection locked="0"/>
    </xf>
    <xf numFmtId="0" fontId="13" fillId="0" borderId="47" xfId="0" applyFont="1" applyFill="1" applyBorder="1" applyAlignment="1" applyProtection="1">
      <alignment horizontal="left" vertical="top" wrapText="1"/>
    </xf>
    <xf numFmtId="4" fontId="13" fillId="5" borderId="64" xfId="0" applyNumberFormat="1" applyFont="1" applyFill="1" applyBorder="1" applyAlignment="1" applyProtection="1">
      <alignment horizontal="center"/>
      <protection hidden="1"/>
    </xf>
    <xf numFmtId="4" fontId="13" fillId="11" borderId="60" xfId="0" applyNumberFormat="1" applyFont="1" applyFill="1" applyBorder="1" applyAlignment="1" applyProtection="1">
      <alignment horizontal="center"/>
      <protection hidden="1"/>
    </xf>
    <xf numFmtId="4" fontId="13" fillId="5" borderId="35" xfId="0" applyNumberFormat="1" applyFont="1" applyFill="1" applyBorder="1" applyAlignment="1" applyProtection="1">
      <alignment horizontal="center"/>
      <protection hidden="1"/>
    </xf>
    <xf numFmtId="2" fontId="10" fillId="10" borderId="0" xfId="0" applyNumberFormat="1" applyFont="1" applyFill="1" applyBorder="1" applyAlignment="1" applyProtection="1">
      <alignment horizontal="center"/>
    </xf>
    <xf numFmtId="2" fontId="10" fillId="10" borderId="0" xfId="0" applyNumberFormat="1" applyFont="1" applyFill="1" applyBorder="1" applyAlignment="1" applyProtection="1">
      <alignment horizontal="left"/>
    </xf>
    <xf numFmtId="44" fontId="0" fillId="5" borderId="1" xfId="0" applyNumberFormat="1" applyFill="1" applyBorder="1"/>
    <xf numFmtId="0" fontId="12" fillId="4" borderId="69" xfId="0" applyFont="1" applyFill="1" applyBorder="1" applyAlignment="1" applyProtection="1">
      <protection locked="0"/>
    </xf>
    <xf numFmtId="0" fontId="12" fillId="4" borderId="63" xfId="0" applyFont="1" applyFill="1" applyBorder="1" applyAlignment="1" applyProtection="1">
      <alignment horizontal="center" vertical="center"/>
      <protection locked="0"/>
    </xf>
    <xf numFmtId="0" fontId="12" fillId="4" borderId="33" xfId="0" applyFont="1" applyFill="1" applyBorder="1" applyAlignment="1" applyProtection="1">
      <protection locked="0"/>
    </xf>
    <xf numFmtId="4" fontId="13" fillId="5" borderId="58" xfId="0" applyNumberFormat="1" applyFont="1" applyFill="1" applyBorder="1" applyAlignment="1" applyProtection="1">
      <alignment horizontal="center" vertical="center"/>
      <protection hidden="1"/>
    </xf>
    <xf numFmtId="4" fontId="13" fillId="5" borderId="67" xfId="0" applyNumberFormat="1" applyFont="1" applyFill="1" applyBorder="1" applyAlignment="1" applyProtection="1">
      <alignment horizontal="center" vertical="center"/>
      <protection hidden="1"/>
    </xf>
    <xf numFmtId="0" fontId="0" fillId="7" borderId="1" xfId="0" applyFill="1" applyBorder="1"/>
    <xf numFmtId="14" fontId="0" fillId="7" borderId="1" xfId="0" quotePrefix="1" applyNumberFormat="1" applyFill="1" applyBorder="1"/>
    <xf numFmtId="14" fontId="0" fillId="7" borderId="1" xfId="0" applyNumberFormat="1" applyFill="1" applyBorder="1"/>
    <xf numFmtId="165" fontId="29" fillId="12" borderId="14" xfId="0" applyNumberFormat="1" applyFont="1" applyFill="1" applyBorder="1" applyAlignment="1" applyProtection="1">
      <alignment horizontal="right" vertical="center"/>
    </xf>
    <xf numFmtId="0" fontId="2" fillId="8" borderId="10" xfId="0" applyFont="1" applyFill="1" applyBorder="1" applyAlignment="1" applyProtection="1">
      <alignment horizontal="center"/>
      <protection locked="0"/>
    </xf>
    <xf numFmtId="165" fontId="2" fillId="8" borderId="10" xfId="0" applyNumberFormat="1" applyFont="1" applyFill="1" applyBorder="1" applyAlignment="1" applyProtection="1">
      <alignment horizontal="center"/>
    </xf>
    <xf numFmtId="2" fontId="2" fillId="8" borderId="70" xfId="0" applyNumberFormat="1" applyFont="1" applyFill="1" applyBorder="1" applyAlignment="1" applyProtection="1">
      <alignment horizontal="center"/>
      <protection locked="0"/>
    </xf>
    <xf numFmtId="4" fontId="2" fillId="5" borderId="14" xfId="0" applyNumberFormat="1" applyFont="1" applyFill="1" applyBorder="1" applyAlignment="1" applyProtection="1">
      <alignment horizontal="center"/>
      <protection hidden="1"/>
    </xf>
    <xf numFmtId="4" fontId="2" fillId="5" borderId="16" xfId="0" applyNumberFormat="1" applyFont="1" applyFill="1" applyBorder="1" applyAlignment="1" applyProtection="1">
      <alignment horizontal="center"/>
      <protection hidden="1"/>
    </xf>
    <xf numFmtId="4" fontId="2" fillId="5" borderId="52" xfId="0" applyNumberFormat="1" applyFont="1" applyFill="1" applyBorder="1" applyAlignment="1" applyProtection="1">
      <alignment horizontal="center"/>
      <protection hidden="1"/>
    </xf>
    <xf numFmtId="4" fontId="2" fillId="5" borderId="71" xfId="0" applyNumberFormat="1" applyFont="1" applyFill="1" applyBorder="1" applyAlignment="1" applyProtection="1">
      <alignment horizontal="center"/>
      <protection hidden="1"/>
    </xf>
    <xf numFmtId="0" fontId="2" fillId="8" borderId="7" xfId="0" applyFont="1" applyFill="1" applyBorder="1" applyAlignment="1" applyProtection="1">
      <alignment horizontal="center" vertical="center"/>
      <protection locked="0"/>
    </xf>
    <xf numFmtId="0" fontId="2" fillId="8" borderId="67" xfId="0" applyFont="1" applyFill="1" applyBorder="1" applyAlignment="1" applyProtection="1">
      <alignment horizontal="center" vertical="center"/>
      <protection locked="0"/>
    </xf>
    <xf numFmtId="0" fontId="2" fillId="8" borderId="14" xfId="0" applyFont="1" applyFill="1" applyBorder="1" applyAlignment="1" applyProtection="1">
      <alignment horizontal="center"/>
      <protection locked="0"/>
    </xf>
    <xf numFmtId="0" fontId="2" fillId="8" borderId="16" xfId="0" applyFont="1" applyFill="1" applyBorder="1" applyAlignment="1" applyProtection="1">
      <alignment horizontal="center"/>
      <protection locked="0"/>
    </xf>
    <xf numFmtId="2" fontId="10" fillId="10" borderId="7" xfId="0" applyNumberFormat="1" applyFont="1" applyFill="1" applyBorder="1" applyAlignment="1" applyProtection="1">
      <alignment horizontal="center"/>
    </xf>
    <xf numFmtId="4" fontId="13" fillId="5" borderId="23" xfId="0" applyNumberFormat="1" applyFont="1" applyFill="1" applyBorder="1" applyAlignment="1" applyProtection="1">
      <alignment horizontal="center"/>
      <protection hidden="1"/>
    </xf>
    <xf numFmtId="0" fontId="10" fillId="0" borderId="0" xfId="0" applyFont="1" applyFill="1" applyBorder="1" applyProtection="1"/>
    <xf numFmtId="0" fontId="10" fillId="0" borderId="0" xfId="0" applyFont="1" applyAlignment="1" applyProtection="1">
      <alignment horizontal="left"/>
    </xf>
    <xf numFmtId="14" fontId="31" fillId="2" borderId="1" xfId="0" applyNumberFormat="1" applyFont="1" applyFill="1" applyBorder="1" applyAlignment="1" applyProtection="1">
      <alignment horizontal="right"/>
      <protection locked="0"/>
    </xf>
    <xf numFmtId="0" fontId="35" fillId="12" borderId="1" xfId="0" applyFont="1" applyFill="1" applyBorder="1" applyProtection="1"/>
    <xf numFmtId="0" fontId="34" fillId="0" borderId="0" xfId="0" applyFont="1" applyAlignment="1" applyProtection="1">
      <alignment horizontal="left"/>
    </xf>
    <xf numFmtId="4" fontId="2" fillId="0" borderId="0" xfId="0" applyNumberFormat="1" applyFont="1" applyFill="1" applyBorder="1" applyAlignment="1" applyProtection="1">
      <alignment horizontal="center"/>
      <protection hidden="1"/>
    </xf>
    <xf numFmtId="0" fontId="31" fillId="0" borderId="0" xfId="0" applyFont="1" applyFill="1" applyBorder="1" applyAlignment="1" applyProtection="1">
      <alignment horizontal="left"/>
    </xf>
    <xf numFmtId="0" fontId="3" fillId="0" borderId="0" xfId="0" applyFont="1" applyFill="1" applyBorder="1" applyAlignment="1" applyProtection="1">
      <alignment horizontal="center"/>
    </xf>
    <xf numFmtId="4" fontId="2" fillId="0" borderId="0" xfId="0" applyNumberFormat="1" applyFont="1" applyFill="1" applyBorder="1" applyAlignment="1" applyProtection="1">
      <protection hidden="1"/>
    </xf>
    <xf numFmtId="0" fontId="10" fillId="0" borderId="0" xfId="0" applyFont="1" applyFill="1" applyBorder="1" applyAlignment="1" applyProtection="1">
      <alignment horizontal="center"/>
      <protection hidden="1"/>
    </xf>
    <xf numFmtId="4" fontId="12" fillId="0" borderId="0" xfId="0" applyNumberFormat="1" applyFont="1" applyFill="1" applyBorder="1" applyAlignment="1" applyProtection="1">
      <alignment horizontal="center"/>
      <protection hidden="1"/>
    </xf>
    <xf numFmtId="4" fontId="13" fillId="0" borderId="0" xfId="0" applyNumberFormat="1" applyFont="1" applyFill="1" applyBorder="1" applyAlignment="1" applyProtection="1">
      <alignment horizontal="center" vertical="center"/>
      <protection hidden="1"/>
    </xf>
    <xf numFmtId="4" fontId="2" fillId="0" borderId="0" xfId="0" applyNumberFormat="1" applyFont="1" applyFill="1" applyBorder="1" applyAlignment="1" applyProtection="1">
      <alignment horizontal="center" vertical="center"/>
      <protection hidden="1"/>
    </xf>
    <xf numFmtId="4" fontId="13" fillId="0" borderId="60" xfId="0" applyNumberFormat="1" applyFont="1" applyFill="1" applyBorder="1" applyAlignment="1" applyProtection="1">
      <alignment horizontal="center"/>
      <protection hidden="1"/>
    </xf>
    <xf numFmtId="0" fontId="3" fillId="0" borderId="0" xfId="0" applyFont="1" applyFill="1" applyProtection="1"/>
    <xf numFmtId="0" fontId="2" fillId="17" borderId="0" xfId="0" applyFont="1" applyFill="1" applyProtection="1"/>
    <xf numFmtId="0" fontId="16" fillId="17" borderId="0" xfId="0" applyFont="1" applyFill="1" applyBorder="1" applyAlignment="1" applyProtection="1">
      <alignment vertical="center" wrapText="1"/>
      <protection locked="0"/>
    </xf>
    <xf numFmtId="0" fontId="2" fillId="17" borderId="0" xfId="0" applyFont="1" applyFill="1" applyProtection="1">
      <protection locked="0"/>
    </xf>
    <xf numFmtId="0" fontId="2" fillId="17" borderId="0" xfId="0" applyFont="1" applyFill="1" applyAlignment="1" applyProtection="1">
      <alignment horizontal="center"/>
    </xf>
    <xf numFmtId="0" fontId="21" fillId="17" borderId="0" xfId="0" applyFont="1" applyFill="1" applyBorder="1" applyProtection="1">
      <protection locked="0"/>
    </xf>
    <xf numFmtId="4" fontId="21" fillId="17" borderId="0" xfId="0" applyNumberFormat="1" applyFont="1" applyFill="1" applyBorder="1" applyAlignment="1" applyProtection="1">
      <alignment horizontal="center"/>
      <protection hidden="1"/>
    </xf>
    <xf numFmtId="2" fontId="36" fillId="0" borderId="0" xfId="0" applyNumberFormat="1" applyFont="1" applyFill="1" applyBorder="1" applyAlignment="1" applyProtection="1">
      <alignment vertical="center"/>
      <protection locked="0"/>
    </xf>
    <xf numFmtId="0" fontId="10" fillId="7" borderId="37" xfId="0" applyFont="1" applyFill="1" applyBorder="1" applyAlignment="1" applyProtection="1">
      <alignment horizontal="center"/>
      <protection hidden="1"/>
    </xf>
    <xf numFmtId="0" fontId="10" fillId="5" borderId="44" xfId="0" applyFont="1" applyFill="1" applyBorder="1" applyProtection="1">
      <protection locked="0"/>
    </xf>
    <xf numFmtId="0" fontId="10" fillId="5" borderId="47" xfId="0" applyFont="1" applyFill="1" applyBorder="1" applyProtection="1">
      <protection locked="0"/>
    </xf>
    <xf numFmtId="0" fontId="18" fillId="5" borderId="47" xfId="0" applyFont="1" applyFill="1" applyBorder="1" applyAlignment="1" applyProtection="1">
      <alignment horizontal="left"/>
      <protection locked="0"/>
    </xf>
    <xf numFmtId="0" fontId="10" fillId="5" borderId="51" xfId="0" applyFont="1" applyFill="1" applyBorder="1" applyProtection="1">
      <protection locked="0"/>
    </xf>
    <xf numFmtId="4" fontId="17" fillId="5" borderId="13" xfId="0" applyNumberFormat="1" applyFont="1" applyFill="1" applyBorder="1" applyAlignment="1" applyProtection="1">
      <alignment horizontal="center"/>
      <protection hidden="1"/>
    </xf>
    <xf numFmtId="4" fontId="17" fillId="5" borderId="14" xfId="0" applyNumberFormat="1" applyFont="1" applyFill="1" applyBorder="1" applyAlignment="1" applyProtection="1">
      <alignment horizontal="center"/>
      <protection hidden="1"/>
    </xf>
    <xf numFmtId="2" fontId="18" fillId="5" borderId="15" xfId="0" applyNumberFormat="1" applyFont="1" applyFill="1" applyBorder="1" applyAlignment="1" applyProtection="1">
      <alignment horizontal="center"/>
      <protection hidden="1"/>
    </xf>
    <xf numFmtId="164" fontId="4" fillId="5" borderId="16" xfId="0" applyNumberFormat="1" applyFont="1" applyFill="1" applyBorder="1" applyAlignment="1" applyProtection="1">
      <alignment horizontal="center"/>
      <protection hidden="1"/>
    </xf>
    <xf numFmtId="4" fontId="17" fillId="5" borderId="16" xfId="0" applyNumberFormat="1" applyFont="1" applyFill="1" applyBorder="1" applyAlignment="1" applyProtection="1">
      <alignment horizontal="center"/>
      <protection hidden="1"/>
    </xf>
    <xf numFmtId="0" fontId="10" fillId="8" borderId="13" xfId="0" applyFont="1" applyFill="1" applyBorder="1" applyProtection="1">
      <protection locked="0"/>
    </xf>
    <xf numFmtId="4" fontId="2" fillId="8" borderId="13" xfId="0" applyNumberFormat="1" applyFont="1" applyFill="1" applyBorder="1" applyAlignment="1" applyProtection="1">
      <alignment horizontal="center"/>
      <protection hidden="1"/>
    </xf>
    <xf numFmtId="0" fontId="10" fillId="8" borderId="14" xfId="0" applyFont="1" applyFill="1" applyBorder="1" applyProtection="1">
      <protection locked="0"/>
    </xf>
    <xf numFmtId="4" fontId="2" fillId="8" borderId="14" xfId="0" applyNumberFormat="1" applyFont="1" applyFill="1" applyBorder="1" applyAlignment="1" applyProtection="1">
      <alignment horizontal="center"/>
      <protection hidden="1"/>
    </xf>
    <xf numFmtId="0" fontId="10" fillId="8" borderId="16" xfId="0" applyFont="1" applyFill="1" applyBorder="1" applyProtection="1">
      <protection locked="0"/>
    </xf>
    <xf numFmtId="10" fontId="3" fillId="8" borderId="16" xfId="0" applyNumberFormat="1" applyFont="1" applyFill="1" applyBorder="1" applyAlignment="1" applyProtection="1">
      <alignment horizontal="center"/>
      <protection hidden="1"/>
    </xf>
    <xf numFmtId="0" fontId="10" fillId="0" borderId="0" xfId="0" applyFont="1" applyAlignment="1" applyProtection="1">
      <alignment horizontal="left" vertical="center"/>
    </xf>
    <xf numFmtId="0" fontId="5" fillId="0" borderId="0" xfId="0" applyFont="1" applyAlignment="1" applyProtection="1"/>
    <xf numFmtId="0" fontId="13" fillId="0" borderId="64" xfId="0" applyFont="1" applyFill="1" applyBorder="1" applyAlignment="1" applyProtection="1">
      <alignment horizontal="left"/>
    </xf>
    <xf numFmtId="0" fontId="2" fillId="8" borderId="64" xfId="0" applyFont="1" applyFill="1" applyBorder="1" applyAlignment="1" applyProtection="1">
      <alignment horizontal="center" vertical="center"/>
      <protection locked="0"/>
    </xf>
    <xf numFmtId="0" fontId="2" fillId="8" borderId="59" xfId="0" applyFont="1" applyFill="1" applyBorder="1" applyAlignment="1" applyProtection="1">
      <alignment horizontal="center" vertical="center"/>
      <protection locked="0"/>
    </xf>
    <xf numFmtId="165" fontId="2" fillId="8" borderId="11" xfId="0" applyNumberFormat="1" applyFont="1" applyFill="1" applyBorder="1" applyAlignment="1" applyProtection="1">
      <alignment horizontal="center"/>
      <protection locked="0"/>
    </xf>
    <xf numFmtId="4" fontId="2" fillId="5" borderId="64" xfId="0" applyNumberFormat="1" applyFont="1" applyFill="1" applyBorder="1" applyAlignment="1" applyProtection="1">
      <alignment horizontal="center"/>
      <protection hidden="1"/>
    </xf>
    <xf numFmtId="4" fontId="2" fillId="5" borderId="73" xfId="0" applyNumberFormat="1" applyFont="1" applyFill="1" applyBorder="1" applyAlignment="1" applyProtection="1">
      <alignment horizontal="center"/>
      <protection hidden="1"/>
    </xf>
    <xf numFmtId="0" fontId="12" fillId="4" borderId="12" xfId="0" applyFont="1" applyFill="1" applyBorder="1" applyAlignment="1" applyProtection="1"/>
    <xf numFmtId="0" fontId="12" fillId="4" borderId="43" xfId="0" applyFont="1" applyFill="1" applyBorder="1" applyAlignment="1" applyProtection="1"/>
    <xf numFmtId="0" fontId="2" fillId="17" borderId="0" xfId="0" applyFont="1" applyFill="1" applyAlignment="1" applyProtection="1">
      <alignment horizontal="center" vertical="center"/>
    </xf>
    <xf numFmtId="4" fontId="2" fillId="17" borderId="0" xfId="0" applyNumberFormat="1" applyFont="1" applyFill="1" applyBorder="1" applyAlignment="1" applyProtection="1">
      <alignment horizontal="center"/>
      <protection hidden="1"/>
    </xf>
    <xf numFmtId="10" fontId="3" fillId="17" borderId="0" xfId="0" applyNumberFormat="1" applyFont="1" applyFill="1" applyBorder="1" applyAlignment="1" applyProtection="1">
      <alignment horizontal="center"/>
      <protection hidden="1"/>
    </xf>
    <xf numFmtId="0" fontId="2" fillId="17" borderId="0" xfId="0" applyFont="1" applyFill="1" applyAlignment="1" applyProtection="1">
      <alignment horizontal="center" vertical="center"/>
      <protection locked="0"/>
    </xf>
    <xf numFmtId="0" fontId="5" fillId="17" borderId="0" xfId="0" applyFont="1" applyFill="1" applyAlignment="1" applyProtection="1"/>
    <xf numFmtId="0" fontId="3" fillId="17" borderId="0" xfId="0" applyFont="1" applyFill="1" applyBorder="1" applyProtection="1">
      <protection locked="0"/>
    </xf>
    <xf numFmtId="4" fontId="12" fillId="4" borderId="74" xfId="0" applyNumberFormat="1" applyFont="1" applyFill="1" applyBorder="1" applyAlignment="1" applyProtection="1">
      <alignment horizontal="center"/>
      <protection hidden="1"/>
    </xf>
    <xf numFmtId="4" fontId="12" fillId="4" borderId="37" xfId="0" applyNumberFormat="1" applyFont="1" applyFill="1" applyBorder="1" applyAlignment="1" applyProtection="1">
      <alignment horizontal="center"/>
      <protection hidden="1"/>
    </xf>
    <xf numFmtId="4" fontId="2" fillId="11" borderId="60" xfId="0" applyNumberFormat="1" applyFont="1" applyFill="1" applyBorder="1" applyAlignment="1" applyProtection="1">
      <alignment horizontal="center"/>
      <protection hidden="1"/>
    </xf>
    <xf numFmtId="4" fontId="2" fillId="11" borderId="75" xfId="0" applyNumberFormat="1" applyFont="1" applyFill="1" applyBorder="1" applyAlignment="1" applyProtection="1">
      <alignment horizontal="center"/>
      <protection hidden="1"/>
    </xf>
    <xf numFmtId="4" fontId="2" fillId="5" borderId="29" xfId="0" applyNumberFormat="1" applyFont="1" applyFill="1" applyBorder="1" applyAlignment="1" applyProtection="1">
      <alignment horizontal="center"/>
      <protection hidden="1"/>
    </xf>
    <xf numFmtId="4" fontId="2" fillId="5" borderId="24" xfId="0" applyNumberFormat="1" applyFont="1" applyFill="1" applyBorder="1" applyAlignment="1" applyProtection="1">
      <alignment horizontal="center"/>
      <protection hidden="1"/>
    </xf>
    <xf numFmtId="4" fontId="2" fillId="5" borderId="31" xfId="0" applyNumberFormat="1" applyFont="1" applyFill="1" applyBorder="1" applyAlignment="1" applyProtection="1">
      <alignment horizontal="center"/>
      <protection hidden="1"/>
    </xf>
    <xf numFmtId="4" fontId="2" fillId="5" borderId="27" xfId="0" applyNumberFormat="1" applyFont="1" applyFill="1" applyBorder="1" applyAlignment="1" applyProtection="1">
      <alignment horizontal="center"/>
      <protection hidden="1"/>
    </xf>
    <xf numFmtId="0" fontId="10" fillId="18" borderId="1" xfId="0" applyFont="1" applyFill="1" applyBorder="1" applyAlignment="1" applyProtection="1">
      <alignment vertical="center"/>
    </xf>
    <xf numFmtId="10" fontId="10" fillId="18" borderId="1" xfId="0" applyNumberFormat="1" applyFont="1" applyFill="1" applyBorder="1" applyAlignment="1" applyProtection="1">
      <alignment vertical="center"/>
      <protection locked="0"/>
    </xf>
    <xf numFmtId="0" fontId="10" fillId="18" borderId="1" xfId="0" applyFont="1" applyFill="1" applyBorder="1" applyProtection="1"/>
    <xf numFmtId="10" fontId="10" fillId="18" borderId="1" xfId="0" applyNumberFormat="1" applyFont="1" applyFill="1" applyBorder="1" applyProtection="1"/>
    <xf numFmtId="169" fontId="10" fillId="18" borderId="1" xfId="0" applyNumberFormat="1" applyFont="1" applyFill="1" applyBorder="1" applyAlignment="1" applyProtection="1">
      <alignment vertical="center"/>
    </xf>
    <xf numFmtId="4" fontId="19" fillId="18" borderId="1" xfId="0" applyNumberFormat="1" applyFont="1" applyFill="1" applyBorder="1" applyAlignment="1" applyProtection="1">
      <alignment horizontal="center"/>
      <protection hidden="1"/>
    </xf>
    <xf numFmtId="4" fontId="21" fillId="18" borderId="1" xfId="0" applyNumberFormat="1" applyFont="1" applyFill="1" applyBorder="1" applyAlignment="1" applyProtection="1">
      <alignment horizontal="center"/>
      <protection hidden="1"/>
    </xf>
    <xf numFmtId="0" fontId="21" fillId="14" borderId="1" xfId="0" applyFont="1" applyFill="1" applyBorder="1" applyProtection="1">
      <protection locked="0"/>
    </xf>
    <xf numFmtId="4" fontId="21" fillId="14" borderId="1" xfId="0" applyNumberFormat="1" applyFont="1" applyFill="1" applyBorder="1" applyAlignment="1" applyProtection="1">
      <alignment horizontal="center"/>
      <protection hidden="1"/>
    </xf>
    <xf numFmtId="0" fontId="21" fillId="14" borderId="1" xfId="0" applyFont="1" applyFill="1" applyBorder="1" applyAlignment="1" applyProtection="1">
      <alignment horizontal="center"/>
      <protection locked="0"/>
    </xf>
    <xf numFmtId="0" fontId="41" fillId="0" borderId="0" xfId="0" applyFont="1" applyProtection="1"/>
    <xf numFmtId="0" fontId="2" fillId="0" borderId="60" xfId="0" applyFont="1" applyBorder="1" applyProtection="1"/>
    <xf numFmtId="0" fontId="42" fillId="0" borderId="0" xfId="0" applyFont="1" applyProtection="1"/>
    <xf numFmtId="0" fontId="2" fillId="0" borderId="60" xfId="0" applyFont="1" applyFill="1" applyBorder="1" applyProtection="1"/>
    <xf numFmtId="0" fontId="3" fillId="0" borderId="60" xfId="0" applyFont="1" applyBorder="1" applyProtection="1"/>
    <xf numFmtId="0" fontId="3" fillId="0" borderId="0" xfId="0" applyFont="1" applyFill="1" applyBorder="1" applyAlignment="1" applyProtection="1">
      <alignment horizontal="center"/>
    </xf>
    <xf numFmtId="0" fontId="33" fillId="0" borderId="13" xfId="0" applyFont="1" applyBorder="1" applyAlignment="1" applyProtection="1">
      <alignment horizontal="left"/>
      <protection hidden="1"/>
    </xf>
    <xf numFmtId="0" fontId="2" fillId="8" borderId="44" xfId="0" applyFont="1" applyFill="1" applyBorder="1" applyAlignment="1" applyProtection="1">
      <alignment horizontal="center" vertical="center"/>
      <protection hidden="1"/>
    </xf>
    <xf numFmtId="0" fontId="2" fillId="8" borderId="45" xfId="0" applyFont="1" applyFill="1" applyBorder="1" applyAlignment="1" applyProtection="1">
      <alignment horizontal="center" vertical="center"/>
      <protection hidden="1"/>
    </xf>
    <xf numFmtId="2" fontId="33" fillId="8" borderId="17" xfId="0" applyNumberFormat="1" applyFont="1" applyFill="1" applyBorder="1" applyAlignment="1" applyProtection="1">
      <alignment horizontal="center" vertical="center"/>
      <protection hidden="1"/>
    </xf>
    <xf numFmtId="0" fontId="33" fillId="0" borderId="14" xfId="0" applyFont="1" applyFill="1" applyBorder="1" applyAlignment="1" applyProtection="1">
      <alignment horizontal="left"/>
      <protection hidden="1"/>
    </xf>
    <xf numFmtId="0" fontId="2" fillId="8" borderId="47" xfId="0" applyFont="1" applyFill="1" applyBorder="1" applyAlignment="1" applyProtection="1">
      <alignment horizontal="center" vertical="center"/>
      <protection hidden="1"/>
    </xf>
    <xf numFmtId="0" fontId="2" fillId="8" borderId="1" xfId="0" applyFont="1" applyFill="1" applyBorder="1" applyAlignment="1" applyProtection="1">
      <alignment horizontal="center" vertical="center"/>
      <protection hidden="1"/>
    </xf>
    <xf numFmtId="2" fontId="13" fillId="8" borderId="26" xfId="0" applyNumberFormat="1" applyFont="1" applyFill="1" applyBorder="1" applyAlignment="1" applyProtection="1">
      <alignment horizontal="center" vertical="center"/>
      <protection hidden="1"/>
    </xf>
    <xf numFmtId="0" fontId="33" fillId="0" borderId="14" xfId="0" applyFont="1" applyBorder="1" applyAlignment="1" applyProtection="1">
      <alignment horizontal="left"/>
      <protection hidden="1"/>
    </xf>
    <xf numFmtId="2" fontId="13" fillId="8" borderId="52" xfId="0" applyNumberFormat="1" applyFont="1" applyFill="1" applyBorder="1" applyAlignment="1" applyProtection="1">
      <alignment horizontal="center" vertical="center"/>
      <protection hidden="1"/>
    </xf>
    <xf numFmtId="0" fontId="33" fillId="0" borderId="14" xfId="0" applyFont="1" applyBorder="1" applyAlignment="1" applyProtection="1">
      <alignment horizontal="left" vertical="center" wrapText="1"/>
      <protection hidden="1"/>
    </xf>
    <xf numFmtId="0" fontId="2" fillId="8" borderId="47" xfId="0" applyFont="1" applyFill="1" applyBorder="1" applyAlignment="1" applyProtection="1">
      <alignment horizontal="center" vertical="center" wrapText="1"/>
      <protection hidden="1"/>
    </xf>
    <xf numFmtId="0" fontId="2" fillId="8" borderId="1" xfId="0" applyFont="1" applyFill="1" applyBorder="1" applyAlignment="1" applyProtection="1">
      <alignment horizontal="center" vertical="center" wrapText="1"/>
      <protection hidden="1"/>
    </xf>
    <xf numFmtId="2" fontId="13" fillId="8" borderId="53" xfId="0" applyNumberFormat="1" applyFont="1" applyFill="1" applyBorder="1" applyAlignment="1" applyProtection="1">
      <alignment horizontal="center" vertical="center" wrapText="1"/>
      <protection hidden="1"/>
    </xf>
    <xf numFmtId="2" fontId="13" fillId="8" borderId="53" xfId="0" applyNumberFormat="1" applyFont="1" applyFill="1" applyBorder="1" applyAlignment="1" applyProtection="1">
      <alignment horizontal="center" vertical="center"/>
      <protection hidden="1"/>
    </xf>
    <xf numFmtId="0" fontId="33" fillId="0" borderId="14" xfId="0" applyFont="1" applyBorder="1" applyAlignment="1" applyProtection="1">
      <alignment horizontal="left" wrapText="1"/>
      <protection hidden="1"/>
    </xf>
    <xf numFmtId="2" fontId="33" fillId="8" borderId="53" xfId="0" applyNumberFormat="1" applyFont="1" applyFill="1" applyBorder="1" applyAlignment="1" applyProtection="1">
      <alignment horizontal="center" vertical="center"/>
      <protection hidden="1"/>
    </xf>
    <xf numFmtId="2" fontId="2" fillId="8" borderId="53" xfId="0" applyNumberFormat="1" applyFont="1" applyFill="1" applyBorder="1" applyAlignment="1" applyProtection="1">
      <alignment horizontal="center" vertical="center"/>
      <protection hidden="1"/>
    </xf>
    <xf numFmtId="2" fontId="33" fillId="8" borderId="53" xfId="0" applyNumberFormat="1" applyFont="1" applyFill="1" applyBorder="1" applyAlignment="1" applyProtection="1">
      <alignment horizontal="center" vertical="center" wrapText="1"/>
      <protection hidden="1"/>
    </xf>
    <xf numFmtId="0" fontId="2" fillId="8" borderId="49" xfId="0" applyFont="1" applyFill="1" applyBorder="1" applyAlignment="1" applyProtection="1">
      <alignment horizontal="center" vertical="center"/>
      <protection hidden="1"/>
    </xf>
    <xf numFmtId="0" fontId="2" fillId="8" borderId="2" xfId="0" applyFont="1" applyFill="1" applyBorder="1" applyAlignment="1" applyProtection="1">
      <alignment horizontal="center" vertical="center"/>
      <protection hidden="1"/>
    </xf>
    <xf numFmtId="2" fontId="33" fillId="8" borderId="26" xfId="0" applyNumberFormat="1" applyFont="1" applyFill="1" applyBorder="1" applyAlignment="1" applyProtection="1">
      <alignment horizontal="center" vertical="center"/>
      <protection hidden="1"/>
    </xf>
    <xf numFmtId="0" fontId="2" fillId="0" borderId="16" xfId="0" applyFont="1" applyBorder="1" applyAlignment="1" applyProtection="1">
      <alignment horizontal="left"/>
      <protection hidden="1"/>
    </xf>
    <xf numFmtId="0" fontId="2" fillId="8" borderId="51" xfId="0" applyFont="1" applyFill="1" applyBorder="1" applyAlignment="1" applyProtection="1">
      <alignment horizontal="center" vertical="center"/>
      <protection hidden="1"/>
    </xf>
    <xf numFmtId="0" fontId="2" fillId="8" borderId="32" xfId="0" applyFont="1" applyFill="1" applyBorder="1" applyAlignment="1" applyProtection="1">
      <alignment horizontal="center" vertical="center"/>
      <protection hidden="1"/>
    </xf>
    <xf numFmtId="0" fontId="30" fillId="19" borderId="62" xfId="0" applyFont="1" applyFill="1" applyBorder="1" applyAlignment="1">
      <alignment horizontal="center" vertical="top" wrapText="1"/>
    </xf>
    <xf numFmtId="0" fontId="0" fillId="19" borderId="0" xfId="0" applyFill="1"/>
    <xf numFmtId="2" fontId="0" fillId="19" borderId="0" xfId="0" applyNumberFormat="1" applyFill="1"/>
    <xf numFmtId="0" fontId="30" fillId="12" borderId="62" xfId="0" applyFont="1" applyFill="1" applyBorder="1" applyAlignment="1">
      <alignment horizontal="center" vertical="top" wrapText="1"/>
    </xf>
    <xf numFmtId="0" fontId="1" fillId="12" borderId="0" xfId="0" applyFont="1" applyFill="1"/>
    <xf numFmtId="0" fontId="2" fillId="0" borderId="0" xfId="0" applyFont="1" applyFill="1" applyBorder="1" applyAlignment="1" applyProtection="1">
      <alignment horizontal="left"/>
      <protection locked="0"/>
    </xf>
    <xf numFmtId="0" fontId="2" fillId="0" borderId="0" xfId="0" applyFont="1" applyFill="1" applyBorder="1" applyProtection="1">
      <protection locked="0"/>
    </xf>
    <xf numFmtId="0" fontId="2" fillId="0" borderId="0" xfId="0" applyFont="1" applyFill="1" applyBorder="1" applyAlignment="1" applyProtection="1">
      <alignment horizontal="right"/>
      <protection locked="0"/>
    </xf>
    <xf numFmtId="0" fontId="10" fillId="0" borderId="0" xfId="0" applyFont="1" applyFill="1" applyBorder="1" applyProtection="1">
      <protection locked="0"/>
    </xf>
    <xf numFmtId="0" fontId="16" fillId="0" borderId="0" xfId="0" applyFont="1" applyFill="1" applyBorder="1" applyAlignment="1" applyProtection="1">
      <alignment vertical="center" wrapText="1"/>
      <protection locked="0"/>
    </xf>
    <xf numFmtId="0" fontId="23" fillId="0" borderId="0" xfId="0" applyNumberFormat="1" applyFont="1" applyFill="1" applyBorder="1" applyAlignment="1" applyProtection="1">
      <alignment horizontal="left" vertical="center"/>
    </xf>
    <xf numFmtId="0" fontId="10" fillId="0" borderId="0" xfId="0" applyNumberFormat="1" applyFont="1" applyFill="1" applyBorder="1" applyAlignment="1" applyProtection="1">
      <alignment horizontal="center" wrapText="1"/>
    </xf>
    <xf numFmtId="167" fontId="2" fillId="0" borderId="0" xfId="2" applyNumberFormat="1" applyFont="1" applyFill="1" applyBorder="1" applyAlignment="1" applyProtection="1">
      <alignment horizontal="center"/>
    </xf>
    <xf numFmtId="0" fontId="23" fillId="0" borderId="0" xfId="0" applyNumberFormat="1" applyFont="1" applyFill="1" applyBorder="1" applyAlignment="1" applyProtection="1">
      <alignment vertical="center"/>
    </xf>
    <xf numFmtId="0" fontId="23" fillId="0" borderId="0" xfId="0" applyNumberFormat="1" applyFont="1" applyFill="1" applyBorder="1" applyAlignment="1" applyProtection="1">
      <alignment horizontal="left" wrapText="1"/>
    </xf>
    <xf numFmtId="167" fontId="2" fillId="0" borderId="0" xfId="2" applyNumberFormat="1" applyFont="1" applyFill="1" applyBorder="1" applyAlignment="1" applyProtection="1">
      <alignment horizontal="center" vertical="center"/>
    </xf>
    <xf numFmtId="0" fontId="23" fillId="0" borderId="0" xfId="0" applyNumberFormat="1" applyFont="1" applyFill="1" applyBorder="1" applyProtection="1"/>
    <xf numFmtId="0" fontId="45" fillId="17" borderId="0" xfId="0" applyFont="1" applyFill="1" applyBorder="1" applyAlignment="1" applyProtection="1">
      <alignment horizontal="left"/>
      <protection locked="0"/>
    </xf>
    <xf numFmtId="10" fontId="18" fillId="6" borderId="14" xfId="0" applyNumberFormat="1" applyFont="1" applyFill="1" applyBorder="1" applyAlignment="1" applyProtection="1">
      <alignment horizontal="right" vertical="center"/>
      <protection locked="0"/>
    </xf>
    <xf numFmtId="0" fontId="27" fillId="20" borderId="13" xfId="0" applyFont="1" applyFill="1" applyBorder="1" applyAlignment="1" applyProtection="1">
      <alignment horizontal="right"/>
      <protection locked="0"/>
    </xf>
    <xf numFmtId="0" fontId="18" fillId="20" borderId="14" xfId="0" applyFont="1" applyFill="1" applyBorder="1" applyAlignment="1" applyProtection="1">
      <alignment horizontal="right" vertical="center"/>
      <protection locked="0"/>
    </xf>
    <xf numFmtId="2" fontId="18" fillId="20" borderId="14" xfId="0" applyNumberFormat="1" applyFont="1" applyFill="1" applyBorder="1" applyAlignment="1" applyProtection="1">
      <alignment horizontal="right" vertical="center"/>
      <protection locked="0"/>
    </xf>
    <xf numFmtId="0" fontId="31" fillId="20" borderId="14" xfId="0" applyFont="1" applyFill="1" applyBorder="1" applyAlignment="1" applyProtection="1">
      <alignment horizontal="right" vertical="center"/>
      <protection locked="0"/>
    </xf>
    <xf numFmtId="43" fontId="27" fillId="20" borderId="14" xfId="0" applyNumberFormat="1" applyFont="1" applyFill="1" applyBorder="1" applyAlignment="1" applyProtection="1">
      <alignment horizontal="right" vertical="center"/>
      <protection locked="0"/>
    </xf>
    <xf numFmtId="0" fontId="18" fillId="20" borderId="14" xfId="0" applyFont="1" applyFill="1" applyBorder="1" applyAlignment="1" applyProtection="1">
      <alignment horizontal="right"/>
      <protection locked="0"/>
    </xf>
    <xf numFmtId="0" fontId="18" fillId="0" borderId="0" xfId="0" applyFont="1" applyFill="1" applyBorder="1" applyProtection="1">
      <protection locked="0"/>
    </xf>
    <xf numFmtId="0" fontId="43" fillId="0" borderId="0" xfId="0" applyFont="1" applyFill="1" applyBorder="1" applyProtection="1">
      <protection locked="0"/>
    </xf>
    <xf numFmtId="170" fontId="40" fillId="20" borderId="14" xfId="0" applyNumberFormat="1" applyFont="1" applyFill="1" applyBorder="1" applyAlignment="1" applyProtection="1">
      <alignment horizontal="right" vertical="center"/>
      <protection locked="0"/>
    </xf>
    <xf numFmtId="0" fontId="10" fillId="0" borderId="0" xfId="0" applyFont="1" applyFill="1" applyBorder="1" applyAlignment="1" applyProtection="1">
      <alignment vertical="center" wrapText="1"/>
      <protection locked="0"/>
    </xf>
    <xf numFmtId="0" fontId="10" fillId="0" borderId="0" xfId="0" applyFont="1" applyFill="1" applyBorder="1" applyAlignment="1" applyProtection="1">
      <alignment vertical="center"/>
      <protection locked="0"/>
    </xf>
    <xf numFmtId="0" fontId="10" fillId="6" borderId="56" xfId="0" applyFont="1" applyFill="1" applyBorder="1" applyProtection="1">
      <protection locked="0"/>
    </xf>
    <xf numFmtId="4" fontId="21" fillId="0" borderId="0" xfId="0" applyNumberFormat="1" applyFont="1" applyFill="1" applyBorder="1" applyAlignment="1" applyProtection="1">
      <alignment horizontal="center"/>
      <protection hidden="1"/>
    </xf>
    <xf numFmtId="2" fontId="10" fillId="0" borderId="0" xfId="0" applyNumberFormat="1" applyFont="1" applyFill="1" applyBorder="1" applyProtection="1">
      <protection hidden="1"/>
    </xf>
    <xf numFmtId="0" fontId="21" fillId="0" borderId="0" xfId="0" applyFont="1" applyFill="1" applyBorder="1" applyAlignment="1" applyProtection="1">
      <alignment horizontal="center"/>
      <protection locked="0"/>
    </xf>
    <xf numFmtId="10" fontId="3" fillId="0" borderId="0" xfId="0" applyNumberFormat="1" applyFont="1" applyFill="1" applyBorder="1" applyAlignment="1" applyProtection="1">
      <alignment horizontal="center"/>
      <protection hidden="1"/>
    </xf>
    <xf numFmtId="0" fontId="10" fillId="0" borderId="68" xfId="0" applyFont="1" applyFill="1" applyBorder="1" applyAlignment="1" applyProtection="1">
      <alignment horizontal="left"/>
    </xf>
    <xf numFmtId="0" fontId="30" fillId="15" borderId="6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0" xfId="0" applyFont="1" applyFill="1" applyAlignment="1" applyProtection="1"/>
    <xf numFmtId="0" fontId="43" fillId="0" borderId="0" xfId="0" applyFont="1" applyFill="1" applyBorder="1" applyAlignment="1" applyProtection="1">
      <alignment horizontal="left"/>
      <protection locked="0"/>
    </xf>
    <xf numFmtId="0" fontId="43" fillId="0" borderId="0" xfId="0" applyFont="1" applyFill="1" applyProtection="1">
      <protection locked="0"/>
    </xf>
    <xf numFmtId="0" fontId="43" fillId="0" borderId="0" xfId="0" applyFont="1" applyFill="1" applyAlignment="1" applyProtection="1">
      <alignment vertical="center"/>
      <protection locked="0"/>
    </xf>
    <xf numFmtId="10" fontId="10" fillId="0" borderId="0" xfId="0" applyNumberFormat="1" applyFont="1" applyFill="1" applyBorder="1" applyProtection="1"/>
    <xf numFmtId="0" fontId="10" fillId="0" borderId="0" xfId="0" applyFont="1" applyFill="1" applyBorder="1" applyAlignment="1" applyProtection="1">
      <alignment vertical="center"/>
    </xf>
    <xf numFmtId="169" fontId="10" fillId="0" borderId="0" xfId="0" applyNumberFormat="1" applyFont="1" applyFill="1" applyBorder="1" applyAlignment="1" applyProtection="1">
      <alignment vertical="center"/>
    </xf>
    <xf numFmtId="4" fontId="19" fillId="18" borderId="24" xfId="0" applyNumberFormat="1" applyFont="1" applyFill="1" applyBorder="1" applyAlignment="1" applyProtection="1">
      <alignment horizontal="center"/>
      <protection hidden="1"/>
    </xf>
    <xf numFmtId="4" fontId="19" fillId="18" borderId="26" xfId="0" applyNumberFormat="1" applyFont="1" applyFill="1" applyBorder="1" applyAlignment="1" applyProtection="1">
      <alignment horizontal="center"/>
      <protection hidden="1"/>
    </xf>
    <xf numFmtId="4" fontId="21" fillId="18" borderId="27" xfId="0" applyNumberFormat="1" applyFont="1" applyFill="1" applyBorder="1" applyAlignment="1" applyProtection="1">
      <alignment horizontal="center"/>
      <protection hidden="1"/>
    </xf>
    <xf numFmtId="0" fontId="29" fillId="8" borderId="1" xfId="0" applyFont="1" applyFill="1" applyBorder="1" applyAlignment="1" applyProtection="1">
      <alignment horizontal="center" vertical="center"/>
      <protection hidden="1"/>
    </xf>
    <xf numFmtId="2" fontId="29" fillId="8" borderId="53" xfId="0" applyNumberFormat="1" applyFont="1" applyFill="1" applyBorder="1" applyAlignment="1" applyProtection="1">
      <alignment horizontal="center" vertical="center"/>
      <protection hidden="1"/>
    </xf>
    <xf numFmtId="4" fontId="13" fillId="0" borderId="7" xfId="0" applyNumberFormat="1" applyFont="1" applyFill="1" applyBorder="1" applyAlignment="1" applyProtection="1">
      <alignment horizontal="center" vertical="center"/>
      <protection hidden="1"/>
    </xf>
    <xf numFmtId="43" fontId="0" fillId="0" borderId="0" xfId="0" applyNumberFormat="1" applyFill="1"/>
    <xf numFmtId="0" fontId="2" fillId="21" borderId="47" xfId="0" applyFont="1" applyFill="1" applyBorder="1" applyAlignment="1" applyProtection="1">
      <alignment horizontal="center" vertical="center"/>
      <protection hidden="1"/>
    </xf>
    <xf numFmtId="0" fontId="2" fillId="21" borderId="1" xfId="0" applyFont="1" applyFill="1" applyBorder="1" applyAlignment="1" applyProtection="1">
      <alignment horizontal="center" vertical="center"/>
      <protection hidden="1"/>
    </xf>
    <xf numFmtId="2" fontId="33" fillId="21" borderId="53" xfId="0" applyNumberFormat="1" applyFont="1" applyFill="1" applyBorder="1" applyAlignment="1" applyProtection="1">
      <alignment horizontal="center" vertical="center"/>
      <protection hidden="1"/>
    </xf>
    <xf numFmtId="0" fontId="33" fillId="0" borderId="14" xfId="0" applyFont="1" applyBorder="1" applyAlignment="1" applyProtection="1">
      <alignment horizontal="left" vertical="center"/>
      <protection hidden="1"/>
    </xf>
    <xf numFmtId="171" fontId="29" fillId="8" borderId="26" xfId="0" applyNumberFormat="1" applyFont="1" applyFill="1" applyBorder="1" applyAlignment="1" applyProtection="1">
      <alignment horizontal="center" vertical="center"/>
      <protection hidden="1"/>
    </xf>
    <xf numFmtId="2" fontId="29" fillId="8" borderId="53" xfId="0" applyNumberFormat="1" applyFont="1" applyFill="1" applyBorder="1" applyAlignment="1" applyProtection="1">
      <alignment horizontal="center" vertical="center" wrapText="1"/>
      <protection hidden="1"/>
    </xf>
    <xf numFmtId="0" fontId="10" fillId="18" borderId="2" xfId="0" applyFont="1" applyFill="1" applyBorder="1" applyAlignment="1" applyProtection="1">
      <alignment vertical="center"/>
    </xf>
    <xf numFmtId="10" fontId="10" fillId="18" borderId="2" xfId="0" applyNumberFormat="1" applyFont="1" applyFill="1" applyBorder="1" applyAlignment="1" applyProtection="1">
      <alignment vertical="center"/>
      <protection locked="0"/>
    </xf>
    <xf numFmtId="0" fontId="10" fillId="0" borderId="29" xfId="0" applyFont="1" applyBorder="1" applyProtection="1"/>
    <xf numFmtId="0" fontId="10" fillId="0" borderId="31" xfId="0" applyFont="1" applyBorder="1" applyProtection="1"/>
    <xf numFmtId="2" fontId="29" fillId="21" borderId="53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0" xfId="0" applyFont="1" applyFill="1" applyProtection="1">
      <protection locked="0"/>
    </xf>
    <xf numFmtId="0" fontId="2" fillId="17" borderId="0" xfId="0" applyFont="1" applyFill="1" applyBorder="1" applyAlignment="1" applyProtection="1">
      <alignment horizontal="right"/>
    </xf>
    <xf numFmtId="0" fontId="2" fillId="17" borderId="0" xfId="0" applyFont="1" applyFill="1" applyBorder="1" applyAlignment="1" applyProtection="1">
      <alignment horizontal="left"/>
    </xf>
    <xf numFmtId="14" fontId="31" fillId="2" borderId="1" xfId="0" applyNumberFormat="1" applyFont="1" applyFill="1" applyBorder="1" applyProtection="1"/>
    <xf numFmtId="0" fontId="5" fillId="0" borderId="44" xfId="0" applyFont="1" applyFill="1" applyBorder="1" applyProtection="1"/>
    <xf numFmtId="0" fontId="26" fillId="12" borderId="37" xfId="0" applyFont="1" applyFill="1" applyBorder="1" applyAlignment="1" applyProtection="1">
      <alignment horizontal="right"/>
    </xf>
    <xf numFmtId="0" fontId="38" fillId="0" borderId="47" xfId="0" applyFont="1" applyFill="1" applyBorder="1" applyAlignment="1" applyProtection="1">
      <alignment vertical="center" wrapText="1"/>
    </xf>
    <xf numFmtId="0" fontId="18" fillId="12" borderId="14" xfId="0" applyFont="1" applyFill="1" applyBorder="1" applyAlignment="1" applyProtection="1">
      <alignment horizontal="right" vertical="center"/>
    </xf>
    <xf numFmtId="0" fontId="10" fillId="12" borderId="14" xfId="0" applyFont="1" applyFill="1" applyBorder="1" applyAlignment="1" applyProtection="1">
      <alignment horizontal="right" vertical="center"/>
    </xf>
    <xf numFmtId="0" fontId="2" fillId="17" borderId="0" xfId="0" applyFont="1" applyFill="1" applyBorder="1" applyProtection="1"/>
    <xf numFmtId="14" fontId="31" fillId="2" borderId="1" xfId="0" applyNumberFormat="1" applyFont="1" applyFill="1" applyBorder="1" applyAlignment="1" applyProtection="1">
      <alignment horizontal="right"/>
    </xf>
    <xf numFmtId="0" fontId="38" fillId="0" borderId="47" xfId="0" applyFont="1" applyFill="1" applyBorder="1" applyAlignment="1" applyProtection="1">
      <alignment vertical="center"/>
    </xf>
    <xf numFmtId="0" fontId="2" fillId="12" borderId="14" xfId="0" applyFont="1" applyFill="1" applyBorder="1" applyAlignment="1" applyProtection="1">
      <alignment horizontal="right"/>
    </xf>
    <xf numFmtId="10" fontId="10" fillId="18" borderId="1" xfId="0" applyNumberFormat="1" applyFont="1" applyFill="1" applyBorder="1" applyAlignment="1" applyProtection="1">
      <alignment vertical="center"/>
    </xf>
    <xf numFmtId="0" fontId="37" fillId="0" borderId="47" xfId="0" applyFont="1" applyFill="1" applyBorder="1" applyAlignment="1" applyProtection="1">
      <alignment vertical="center" wrapText="1"/>
    </xf>
    <xf numFmtId="43" fontId="27" fillId="12" borderId="14" xfId="0" applyNumberFormat="1" applyFont="1" applyFill="1" applyBorder="1" applyAlignment="1" applyProtection="1">
      <alignment horizontal="right" vertical="center"/>
    </xf>
    <xf numFmtId="0" fontId="2" fillId="17" borderId="0" xfId="0" applyFont="1" applyFill="1" applyAlignment="1" applyProtection="1">
      <alignment vertical="center"/>
    </xf>
    <xf numFmtId="0" fontId="10" fillId="16" borderId="1" xfId="0" applyFont="1" applyFill="1" applyBorder="1" applyProtection="1"/>
    <xf numFmtId="0" fontId="38" fillId="0" borderId="56" xfId="0" applyFont="1" applyFill="1" applyBorder="1" applyAlignment="1" applyProtection="1">
      <alignment vertical="center"/>
    </xf>
    <xf numFmtId="0" fontId="10" fillId="12" borderId="15" xfId="0" applyFont="1" applyFill="1" applyBorder="1" applyAlignment="1" applyProtection="1">
      <alignment horizontal="right"/>
    </xf>
    <xf numFmtId="0" fontId="38" fillId="0" borderId="49" xfId="0" applyFont="1" applyFill="1" applyBorder="1" applyAlignment="1" applyProtection="1">
      <alignment vertical="center"/>
    </xf>
    <xf numFmtId="168" fontId="10" fillId="12" borderId="14" xfId="2" applyNumberFormat="1" applyFont="1" applyFill="1" applyBorder="1" applyAlignment="1" applyProtection="1">
      <alignment horizontal="right"/>
    </xf>
    <xf numFmtId="170" fontId="40" fillId="12" borderId="64" xfId="0" applyNumberFormat="1" applyFont="1" applyFill="1" applyBorder="1" applyAlignment="1" applyProtection="1">
      <alignment vertical="center"/>
    </xf>
    <xf numFmtId="0" fontId="10" fillId="17" borderId="0" xfId="0" applyFont="1" applyFill="1" applyBorder="1" applyProtection="1"/>
    <xf numFmtId="170" fontId="40" fillId="12" borderId="14" xfId="0" applyNumberFormat="1" applyFont="1" applyFill="1" applyBorder="1" applyAlignment="1" applyProtection="1">
      <alignment vertical="center"/>
    </xf>
    <xf numFmtId="0" fontId="10" fillId="11" borderId="0" xfId="0" applyNumberFormat="1" applyFont="1" applyFill="1" applyBorder="1" applyAlignment="1" applyProtection="1">
      <alignment horizontal="center"/>
    </xf>
    <xf numFmtId="0" fontId="16" fillId="6" borderId="68" xfId="0" applyFont="1" applyFill="1" applyBorder="1" applyProtection="1"/>
    <xf numFmtId="10" fontId="10" fillId="6" borderId="14" xfId="0" applyNumberFormat="1" applyFont="1" applyFill="1" applyBorder="1" applyAlignment="1" applyProtection="1">
      <alignment vertical="center"/>
    </xf>
    <xf numFmtId="0" fontId="39" fillId="18" borderId="1" xfId="0" applyFont="1" applyFill="1" applyBorder="1" applyProtection="1"/>
    <xf numFmtId="4" fontId="19" fillId="18" borderId="1" xfId="0" applyNumberFormat="1" applyFont="1" applyFill="1" applyBorder="1" applyAlignment="1" applyProtection="1">
      <alignment horizontal="center"/>
    </xf>
    <xf numFmtId="0" fontId="16" fillId="12" borderId="47" xfId="0" applyFont="1" applyFill="1" applyBorder="1" applyAlignment="1" applyProtection="1">
      <alignment vertical="center" wrapText="1"/>
    </xf>
    <xf numFmtId="2" fontId="36" fillId="12" borderId="14" xfId="0" applyNumberFormat="1" applyFont="1" applyFill="1" applyBorder="1" applyAlignment="1" applyProtection="1">
      <alignment vertical="center"/>
    </xf>
    <xf numFmtId="0" fontId="16" fillId="12" borderId="51" xfId="0" applyFont="1" applyFill="1" applyBorder="1" applyAlignment="1" applyProtection="1">
      <alignment vertical="center" wrapText="1"/>
    </xf>
    <xf numFmtId="2" fontId="36" fillId="12" borderId="16" xfId="0" applyNumberFormat="1" applyFont="1" applyFill="1" applyBorder="1" applyAlignment="1" applyProtection="1">
      <alignment vertical="center"/>
    </xf>
    <xf numFmtId="0" fontId="21" fillId="18" borderId="1" xfId="0" applyFont="1" applyFill="1" applyBorder="1" applyProtection="1"/>
    <xf numFmtId="4" fontId="21" fillId="18" borderId="1" xfId="0" applyNumberFormat="1" applyFont="1" applyFill="1" applyBorder="1" applyAlignment="1" applyProtection="1">
      <alignment horizontal="center"/>
    </xf>
    <xf numFmtId="0" fontId="16" fillId="17" borderId="0" xfId="0" applyFont="1" applyFill="1" applyBorder="1" applyAlignment="1" applyProtection="1">
      <alignment vertical="center" wrapText="1"/>
    </xf>
    <xf numFmtId="2" fontId="36" fillId="0" borderId="0" xfId="0" applyNumberFormat="1" applyFont="1" applyFill="1" applyBorder="1" applyAlignment="1" applyProtection="1">
      <alignment vertical="center"/>
    </xf>
    <xf numFmtId="0" fontId="21" fillId="17" borderId="0" xfId="0" applyFont="1" applyFill="1" applyBorder="1" applyProtection="1"/>
    <xf numFmtId="4" fontId="21" fillId="17" borderId="0" xfId="0" applyNumberFormat="1" applyFont="1" applyFill="1" applyBorder="1" applyAlignment="1" applyProtection="1">
      <alignment horizontal="center"/>
    </xf>
    <xf numFmtId="0" fontId="2" fillId="0" borderId="39" xfId="0" applyFont="1" applyFill="1" applyBorder="1" applyProtection="1"/>
    <xf numFmtId="0" fontId="2" fillId="8" borderId="21" xfId="0" applyFont="1" applyFill="1" applyBorder="1" applyAlignment="1" applyProtection="1">
      <alignment horizontal="center"/>
    </xf>
    <xf numFmtId="0" fontId="2" fillId="8" borderId="40" xfId="0" applyFont="1" applyFill="1" applyBorder="1" applyAlignment="1" applyProtection="1">
      <alignment horizontal="center" vertical="center"/>
    </xf>
    <xf numFmtId="2" fontId="13" fillId="8" borderId="26" xfId="0" applyNumberFormat="1" applyFont="1" applyFill="1" applyBorder="1" applyAlignment="1" applyProtection="1">
      <alignment horizontal="center" vertical="center"/>
    </xf>
    <xf numFmtId="4" fontId="10" fillId="5" borderId="22" xfId="0" applyNumberFormat="1" applyFont="1" applyFill="1" applyBorder="1" applyAlignment="1" applyProtection="1">
      <alignment horizontal="center"/>
    </xf>
    <xf numFmtId="0" fontId="2" fillId="8" borderId="13" xfId="0" applyFont="1" applyFill="1" applyBorder="1" applyAlignment="1" applyProtection="1">
      <alignment horizontal="center" vertical="center"/>
    </xf>
    <xf numFmtId="0" fontId="2" fillId="8" borderId="1" xfId="0" applyFont="1" applyFill="1" applyBorder="1" applyAlignment="1" applyProtection="1">
      <alignment horizontal="center" vertical="center"/>
    </xf>
    <xf numFmtId="2" fontId="13" fillId="8" borderId="53" xfId="0" applyNumberFormat="1" applyFont="1" applyFill="1" applyBorder="1" applyAlignment="1" applyProtection="1">
      <alignment horizontal="center" vertical="center"/>
    </xf>
    <xf numFmtId="0" fontId="2" fillId="20" borderId="14" xfId="0" applyFont="1" applyFill="1" applyBorder="1" applyAlignment="1" applyProtection="1">
      <alignment horizontal="center" vertical="center"/>
    </xf>
    <xf numFmtId="2" fontId="13" fillId="20" borderId="53" xfId="0" applyNumberFormat="1" applyFont="1" applyFill="1" applyBorder="1" applyAlignment="1" applyProtection="1">
      <alignment horizontal="center" vertical="center"/>
    </xf>
    <xf numFmtId="0" fontId="2" fillId="8" borderId="14" xfId="0" applyFont="1" applyFill="1" applyBorder="1" applyAlignment="1" applyProtection="1">
      <alignment horizontal="center" vertical="center"/>
    </xf>
    <xf numFmtId="0" fontId="10" fillId="20" borderId="14" xfId="0" applyFont="1" applyFill="1" applyBorder="1" applyAlignment="1" applyProtection="1">
      <alignment horizontal="center" vertical="center"/>
    </xf>
    <xf numFmtId="0" fontId="33" fillId="20" borderId="52" xfId="0" applyFont="1" applyFill="1" applyBorder="1" applyAlignment="1" applyProtection="1">
      <alignment horizontal="center"/>
    </xf>
    <xf numFmtId="0" fontId="2" fillId="8" borderId="16" xfId="0" applyFont="1" applyFill="1" applyBorder="1" applyAlignment="1" applyProtection="1">
      <alignment horizontal="center" vertical="center"/>
    </xf>
    <xf numFmtId="2" fontId="33" fillId="8" borderId="72" xfId="0" applyNumberFormat="1" applyFont="1" applyFill="1" applyBorder="1" applyAlignment="1" applyProtection="1">
      <alignment horizontal="center" vertical="center"/>
    </xf>
    <xf numFmtId="0" fontId="2" fillId="0" borderId="9" xfId="0" applyFont="1" applyBorder="1" applyProtection="1">
      <protection hidden="1"/>
    </xf>
    <xf numFmtId="0" fontId="2" fillId="8" borderId="47" xfId="0" applyFont="1" applyFill="1" applyBorder="1" applyAlignment="1" applyProtection="1">
      <alignment horizontal="center"/>
      <protection hidden="1"/>
    </xf>
    <xf numFmtId="0" fontId="2" fillId="8" borderId="52" xfId="0" applyFont="1" applyFill="1" applyBorder="1" applyAlignment="1" applyProtection="1">
      <alignment horizontal="center"/>
      <protection hidden="1"/>
    </xf>
    <xf numFmtId="0" fontId="2" fillId="0" borderId="10" xfId="0" applyFont="1" applyBorder="1" applyProtection="1">
      <protection hidden="1"/>
    </xf>
    <xf numFmtId="0" fontId="10" fillId="20" borderId="47" xfId="0" applyFont="1" applyFill="1" applyBorder="1" applyAlignment="1" applyProtection="1">
      <alignment horizontal="center"/>
      <protection hidden="1"/>
    </xf>
    <xf numFmtId="0" fontId="33" fillId="20" borderId="52" xfId="0" applyFont="1" applyFill="1" applyBorder="1" applyAlignment="1" applyProtection="1">
      <alignment horizontal="center"/>
      <protection hidden="1"/>
    </xf>
    <xf numFmtId="165" fontId="33" fillId="8" borderId="52" xfId="0" applyNumberFormat="1" applyFont="1" applyFill="1" applyBorder="1" applyAlignment="1" applyProtection="1">
      <alignment horizontal="center"/>
      <protection hidden="1"/>
    </xf>
    <xf numFmtId="0" fontId="3" fillId="0" borderId="10" xfId="0" applyFont="1" applyBorder="1" applyProtection="1">
      <protection hidden="1"/>
    </xf>
    <xf numFmtId="0" fontId="3" fillId="0" borderId="10" xfId="0" applyFont="1" applyBorder="1" applyAlignment="1" applyProtection="1">
      <alignment vertical="center"/>
      <protection hidden="1"/>
    </xf>
    <xf numFmtId="0" fontId="2" fillId="8" borderId="53" xfId="0" applyFont="1" applyFill="1" applyBorder="1" applyAlignment="1" applyProtection="1">
      <alignment horizontal="center" vertical="center"/>
      <protection hidden="1"/>
    </xf>
    <xf numFmtId="0" fontId="13" fillId="0" borderId="9" xfId="0" applyFont="1" applyFill="1" applyBorder="1" applyProtection="1">
      <protection hidden="1"/>
    </xf>
    <xf numFmtId="0" fontId="2" fillId="8" borderId="49" xfId="0" applyFont="1" applyFill="1" applyBorder="1" applyAlignment="1" applyProtection="1">
      <alignment horizontal="center"/>
      <protection hidden="1"/>
    </xf>
    <xf numFmtId="0" fontId="2" fillId="8" borderId="53" xfId="0" applyFont="1" applyFill="1" applyBorder="1" applyAlignment="1" applyProtection="1">
      <alignment horizontal="center"/>
      <protection hidden="1"/>
    </xf>
    <xf numFmtId="0" fontId="2" fillId="0" borderId="35" xfId="0" applyFont="1" applyFill="1" applyBorder="1" applyAlignment="1" applyProtection="1">
      <alignment horizontal="center"/>
      <protection hidden="1"/>
    </xf>
    <xf numFmtId="0" fontId="2" fillId="0" borderId="11" xfId="0" applyFont="1" applyFill="1" applyBorder="1" applyProtection="1">
      <protection hidden="1"/>
    </xf>
    <xf numFmtId="10" fontId="13" fillId="8" borderId="44" xfId="0" applyNumberFormat="1" applyFont="1" applyFill="1" applyBorder="1" applyProtection="1">
      <protection hidden="1"/>
    </xf>
    <xf numFmtId="10" fontId="10" fillId="8" borderId="45" xfId="0" applyNumberFormat="1" applyFont="1" applyFill="1" applyBorder="1" applyAlignment="1" applyProtection="1">
      <alignment horizontal="center" vertical="center"/>
      <protection hidden="1"/>
    </xf>
    <xf numFmtId="0" fontId="2" fillId="0" borderId="60" xfId="0" applyFont="1" applyFill="1" applyBorder="1" applyProtection="1">
      <protection hidden="1"/>
    </xf>
    <xf numFmtId="10" fontId="13" fillId="8" borderId="68" xfId="0" applyNumberFormat="1" applyFont="1" applyFill="1" applyBorder="1" applyProtection="1">
      <protection hidden="1"/>
    </xf>
    <xf numFmtId="10" fontId="10" fillId="8" borderId="3" xfId="0" applyNumberFormat="1" applyFont="1" applyFill="1" applyBorder="1" applyAlignment="1" applyProtection="1">
      <alignment horizontal="center" vertical="center"/>
      <protection hidden="1"/>
    </xf>
    <xf numFmtId="0" fontId="2" fillId="0" borderId="28" xfId="0" applyFont="1" applyFill="1" applyBorder="1" applyAlignment="1" applyProtection="1">
      <alignment horizontal="center"/>
      <protection hidden="1"/>
    </xf>
    <xf numFmtId="0" fontId="33" fillId="16" borderId="14" xfId="0" applyFont="1" applyFill="1" applyBorder="1" applyAlignment="1" applyProtection="1">
      <alignment horizontal="left" wrapText="1"/>
      <protection hidden="1"/>
    </xf>
    <xf numFmtId="2" fontId="33" fillId="16" borderId="53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36" xfId="0" applyFont="1" applyFill="1" applyBorder="1" applyAlignment="1" applyProtection="1">
      <alignment horizontal="center"/>
      <protection hidden="1"/>
    </xf>
    <xf numFmtId="10" fontId="13" fillId="8" borderId="51" xfId="0" applyNumberFormat="1" applyFont="1" applyFill="1" applyBorder="1" applyProtection="1">
      <protection hidden="1"/>
    </xf>
    <xf numFmtId="10" fontId="10" fillId="8" borderId="32" xfId="0" applyNumberFormat="1" applyFont="1" applyFill="1" applyBorder="1" applyAlignment="1" applyProtection="1">
      <alignment horizontal="center" vertical="center"/>
      <protection hidden="1"/>
    </xf>
    <xf numFmtId="0" fontId="12" fillId="4" borderId="43" xfId="0" applyFont="1" applyFill="1" applyBorder="1" applyAlignment="1" applyProtection="1">
      <alignment horizontal="left"/>
      <protection hidden="1"/>
    </xf>
    <xf numFmtId="0" fontId="12" fillId="4" borderId="40" xfId="0" applyFont="1" applyFill="1" applyBorder="1" applyAlignment="1" applyProtection="1">
      <alignment horizontal="center" vertical="center"/>
      <protection hidden="1"/>
    </xf>
    <xf numFmtId="0" fontId="12" fillId="4" borderId="20" xfId="0" applyFont="1" applyFill="1" applyBorder="1" applyAlignment="1" applyProtection="1">
      <alignment horizontal="left"/>
      <protection hidden="1"/>
    </xf>
    <xf numFmtId="0" fontId="2" fillId="0" borderId="10" xfId="0" applyFont="1" applyFill="1" applyBorder="1" applyProtection="1">
      <protection hidden="1"/>
    </xf>
    <xf numFmtId="10" fontId="13" fillId="8" borderId="47" xfId="0" applyNumberFormat="1" applyFont="1" applyFill="1" applyBorder="1" applyProtection="1">
      <protection hidden="1"/>
    </xf>
    <xf numFmtId="10" fontId="10" fillId="8" borderId="1" xfId="0" applyNumberFormat="1" applyFont="1" applyFill="1" applyBorder="1" applyAlignment="1" applyProtection="1">
      <alignment horizontal="center" vertical="center"/>
      <protection hidden="1"/>
    </xf>
    <xf numFmtId="0" fontId="2" fillId="0" borderId="9" xfId="0" applyFont="1" applyFill="1" applyBorder="1" applyProtection="1">
      <protection hidden="1"/>
    </xf>
    <xf numFmtId="0" fontId="2" fillId="8" borderId="30" xfId="0" applyFont="1" applyFill="1" applyBorder="1" applyProtection="1">
      <protection hidden="1"/>
    </xf>
    <xf numFmtId="0" fontId="10" fillId="8" borderId="32" xfId="0" applyFont="1" applyFill="1" applyBorder="1" applyAlignment="1" applyProtection="1">
      <alignment horizontal="center" vertical="center"/>
      <protection hidden="1"/>
    </xf>
    <xf numFmtId="0" fontId="2" fillId="0" borderId="38" xfId="0" applyFont="1" applyFill="1" applyBorder="1" applyAlignment="1" applyProtection="1">
      <alignment horizontal="center"/>
    </xf>
    <xf numFmtId="0" fontId="2" fillId="8" borderId="64" xfId="0" applyFont="1" applyFill="1" applyBorder="1" applyAlignment="1" applyProtection="1">
      <alignment horizontal="center" vertical="center"/>
    </xf>
    <xf numFmtId="0" fontId="2" fillId="8" borderId="59" xfId="0" applyFont="1" applyFill="1" applyBorder="1" applyAlignment="1" applyProtection="1">
      <alignment horizontal="center" vertical="center"/>
    </xf>
    <xf numFmtId="165" fontId="2" fillId="8" borderId="11" xfId="0" applyNumberFormat="1" applyFont="1" applyFill="1" applyBorder="1" applyAlignment="1" applyProtection="1">
      <alignment horizontal="center"/>
    </xf>
    <xf numFmtId="0" fontId="2" fillId="8" borderId="7" xfId="0" applyFont="1" applyFill="1" applyBorder="1" applyAlignment="1" applyProtection="1">
      <alignment horizontal="center" vertical="center"/>
    </xf>
    <xf numFmtId="0" fontId="2" fillId="8" borderId="14" xfId="0" applyFont="1" applyFill="1" applyBorder="1" applyAlignment="1" applyProtection="1">
      <alignment horizontal="center"/>
    </xf>
    <xf numFmtId="0" fontId="2" fillId="8" borderId="10" xfId="0" applyFont="1" applyFill="1" applyBorder="1" applyAlignment="1" applyProtection="1">
      <alignment horizontal="center"/>
    </xf>
    <xf numFmtId="0" fontId="2" fillId="0" borderId="16" xfId="0" applyFont="1" applyFill="1" applyBorder="1" applyProtection="1"/>
    <xf numFmtId="0" fontId="2" fillId="8" borderId="16" xfId="0" applyFont="1" applyFill="1" applyBorder="1" applyAlignment="1" applyProtection="1">
      <alignment horizontal="center"/>
    </xf>
    <xf numFmtId="0" fontId="2" fillId="8" borderId="67" xfId="0" applyFont="1" applyFill="1" applyBorder="1" applyAlignment="1" applyProtection="1">
      <alignment horizontal="center" vertical="center"/>
    </xf>
    <xf numFmtId="2" fontId="2" fillId="8" borderId="70" xfId="0" applyNumberFormat="1" applyFont="1" applyFill="1" applyBorder="1" applyAlignment="1" applyProtection="1">
      <alignment horizont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/>
    </xf>
    <xf numFmtId="0" fontId="12" fillId="4" borderId="69" xfId="0" applyFont="1" applyFill="1" applyBorder="1" applyAlignment="1" applyProtection="1"/>
    <xf numFmtId="0" fontId="12" fillId="4" borderId="33" xfId="0" applyFont="1" applyFill="1" applyBorder="1" applyAlignment="1" applyProtection="1"/>
    <xf numFmtId="0" fontId="2" fillId="0" borderId="3" xfId="0" applyFont="1" applyFill="1" applyBorder="1" applyAlignment="1" applyProtection="1">
      <alignment horizontal="center" vertical="center"/>
    </xf>
    <xf numFmtId="0" fontId="2" fillId="0" borderId="9" xfId="0" applyFont="1" applyBorder="1" applyProtection="1"/>
    <xf numFmtId="0" fontId="2" fillId="8" borderId="47" xfId="0" applyFont="1" applyFill="1" applyBorder="1" applyAlignment="1" applyProtection="1">
      <alignment horizontal="center"/>
    </xf>
    <xf numFmtId="0" fontId="2" fillId="8" borderId="52" xfId="0" applyFont="1" applyFill="1" applyBorder="1" applyAlignment="1" applyProtection="1">
      <alignment horizontal="center"/>
    </xf>
    <xf numFmtId="0" fontId="2" fillId="0" borderId="3" xfId="0" applyFont="1" applyBorder="1" applyAlignment="1" applyProtection="1">
      <alignment horizontal="center" vertical="center"/>
    </xf>
    <xf numFmtId="0" fontId="2" fillId="0" borderId="10" xfId="0" applyFont="1" applyBorder="1" applyProtection="1"/>
    <xf numFmtId="0" fontId="10" fillId="20" borderId="47" xfId="0" applyFont="1" applyFill="1" applyBorder="1" applyAlignment="1" applyProtection="1">
      <alignment horizontal="center"/>
    </xf>
    <xf numFmtId="165" fontId="33" fillId="8" borderId="52" xfId="0" applyNumberFormat="1" applyFont="1" applyFill="1" applyBorder="1" applyAlignment="1" applyProtection="1">
      <alignment horizontal="center"/>
    </xf>
    <xf numFmtId="0" fontId="2" fillId="8" borderId="47" xfId="0" applyFont="1" applyFill="1" applyBorder="1" applyAlignment="1" applyProtection="1">
      <alignment horizontal="center" vertical="center"/>
    </xf>
    <xf numFmtId="0" fontId="2" fillId="8" borderId="53" xfId="0" applyFont="1" applyFill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horizontal="center" vertical="center"/>
    </xf>
    <xf numFmtId="0" fontId="13" fillId="0" borderId="9" xfId="0" applyFont="1" applyFill="1" applyBorder="1" applyProtection="1"/>
    <xf numFmtId="0" fontId="2" fillId="8" borderId="49" xfId="0" applyFont="1" applyFill="1" applyBorder="1" applyAlignment="1" applyProtection="1">
      <alignment horizontal="center"/>
    </xf>
    <xf numFmtId="0" fontId="2" fillId="8" borderId="2" xfId="0" applyFont="1" applyFill="1" applyBorder="1" applyAlignment="1" applyProtection="1">
      <alignment horizontal="center" vertical="center"/>
    </xf>
    <xf numFmtId="0" fontId="2" fillId="8" borderId="53" xfId="0" applyFont="1" applyFill="1" applyBorder="1" applyAlignment="1" applyProtection="1">
      <alignment horizontal="center"/>
    </xf>
    <xf numFmtId="0" fontId="12" fillId="4" borderId="42" xfId="0" applyFont="1" applyFill="1" applyBorder="1" applyAlignment="1" applyProtection="1">
      <alignment horizontal="left"/>
    </xf>
    <xf numFmtId="0" fontId="12" fillId="4" borderId="20" xfId="0" applyFont="1" applyFill="1" applyBorder="1" applyAlignment="1" applyProtection="1">
      <alignment horizontal="left"/>
    </xf>
    <xf numFmtId="0" fontId="2" fillId="0" borderId="35" xfId="0" applyFont="1" applyFill="1" applyBorder="1" applyAlignment="1" applyProtection="1">
      <alignment horizontal="center"/>
    </xf>
    <xf numFmtId="0" fontId="2" fillId="0" borderId="11" xfId="0" applyFont="1" applyFill="1" applyBorder="1" applyProtection="1"/>
    <xf numFmtId="10" fontId="13" fillId="8" borderId="44" xfId="0" applyNumberFormat="1" applyFont="1" applyFill="1" applyBorder="1" applyProtection="1"/>
    <xf numFmtId="10" fontId="10" fillId="8" borderId="45" xfId="0" applyNumberFormat="1" applyFont="1" applyFill="1" applyBorder="1" applyAlignment="1" applyProtection="1">
      <alignment horizontal="center" vertical="center"/>
    </xf>
    <xf numFmtId="10" fontId="13" fillId="8" borderId="68" xfId="0" applyNumberFormat="1" applyFont="1" applyFill="1" applyBorder="1" applyProtection="1"/>
    <xf numFmtId="10" fontId="10" fillId="8" borderId="3" xfId="0" applyNumberFormat="1" applyFont="1" applyFill="1" applyBorder="1" applyAlignment="1" applyProtection="1">
      <alignment horizontal="center" vertical="center"/>
    </xf>
    <xf numFmtId="0" fontId="2" fillId="0" borderId="28" xfId="0" applyFont="1" applyFill="1" applyBorder="1" applyAlignment="1" applyProtection="1">
      <alignment horizontal="center"/>
    </xf>
    <xf numFmtId="0" fontId="33" fillId="16" borderId="14" xfId="0" applyFont="1" applyFill="1" applyBorder="1" applyAlignment="1" applyProtection="1">
      <alignment horizontal="left" wrapText="1"/>
    </xf>
    <xf numFmtId="0" fontId="2" fillId="8" borderId="47" xfId="0" applyFont="1" applyFill="1" applyBorder="1" applyAlignment="1" applyProtection="1">
      <alignment horizontal="right"/>
    </xf>
    <xf numFmtId="2" fontId="33" fillId="16" borderId="53" xfId="0" applyNumberFormat="1" applyFont="1" applyFill="1" applyBorder="1" applyAlignment="1" applyProtection="1">
      <alignment horizontal="center" vertical="center" wrapText="1"/>
    </xf>
    <xf numFmtId="0" fontId="2" fillId="0" borderId="36" xfId="0" applyFont="1" applyFill="1" applyBorder="1" applyAlignment="1" applyProtection="1">
      <alignment horizontal="center"/>
    </xf>
    <xf numFmtId="10" fontId="13" fillId="8" borderId="51" xfId="0" applyNumberFormat="1" applyFont="1" applyFill="1" applyBorder="1" applyProtection="1"/>
    <xf numFmtId="10" fontId="10" fillId="8" borderId="32" xfId="0" applyNumberFormat="1" applyFont="1" applyFill="1" applyBorder="1" applyAlignment="1" applyProtection="1">
      <alignment horizontal="center" vertical="center"/>
    </xf>
    <xf numFmtId="0" fontId="12" fillId="4" borderId="43" xfId="0" applyFont="1" applyFill="1" applyBorder="1" applyAlignment="1" applyProtection="1">
      <alignment horizontal="left"/>
    </xf>
    <xf numFmtId="0" fontId="2" fillId="0" borderId="10" xfId="0" applyFont="1" applyFill="1" applyBorder="1" applyProtection="1"/>
    <xf numFmtId="10" fontId="13" fillId="8" borderId="47" xfId="0" applyNumberFormat="1" applyFont="1" applyFill="1" applyBorder="1" applyProtection="1"/>
    <xf numFmtId="10" fontId="10" fillId="8" borderId="1" xfId="0" applyNumberFormat="1" applyFont="1" applyFill="1" applyBorder="1" applyAlignment="1" applyProtection="1">
      <alignment horizontal="center" vertical="center"/>
    </xf>
    <xf numFmtId="0" fontId="2" fillId="0" borderId="9" xfId="0" applyFont="1" applyFill="1" applyBorder="1" applyProtection="1"/>
    <xf numFmtId="0" fontId="2" fillId="8" borderId="30" xfId="0" applyFont="1" applyFill="1" applyBorder="1" applyProtection="1"/>
    <xf numFmtId="0" fontId="10" fillId="8" borderId="32" xfId="0" applyFont="1" applyFill="1" applyBorder="1" applyAlignment="1" applyProtection="1">
      <alignment horizontal="center" vertical="center"/>
    </xf>
    <xf numFmtId="0" fontId="0" fillId="0" borderId="0" xfId="0" applyProtection="1"/>
    <xf numFmtId="0" fontId="16" fillId="0" borderId="0" xfId="0" applyFont="1" applyFill="1" applyBorder="1" applyAlignment="1" applyProtection="1">
      <alignment vertical="center" wrapText="1"/>
    </xf>
    <xf numFmtId="0" fontId="10" fillId="5" borderId="44" xfId="0" applyFont="1" applyFill="1" applyBorder="1" applyProtection="1"/>
    <xf numFmtId="0" fontId="10" fillId="5" borderId="47" xfId="0" applyFont="1" applyFill="1" applyBorder="1" applyProtection="1"/>
    <xf numFmtId="0" fontId="18" fillId="5" borderId="47" xfId="0" applyFont="1" applyFill="1" applyBorder="1" applyAlignment="1" applyProtection="1">
      <alignment horizontal="left"/>
    </xf>
    <xf numFmtId="0" fontId="10" fillId="5" borderId="51" xfId="0" applyFont="1" applyFill="1" applyBorder="1" applyProtection="1"/>
    <xf numFmtId="0" fontId="39" fillId="18" borderId="29" xfId="0" applyFont="1" applyFill="1" applyBorder="1" applyProtection="1"/>
    <xf numFmtId="0" fontId="39" fillId="18" borderId="28" xfId="0" applyFont="1" applyFill="1" applyBorder="1" applyProtection="1"/>
    <xf numFmtId="0" fontId="21" fillId="18" borderId="31" xfId="0" applyFont="1" applyFill="1" applyBorder="1" applyProtection="1"/>
    <xf numFmtId="0" fontId="0" fillId="0" borderId="0" xfId="0" applyFill="1" applyProtection="1"/>
    <xf numFmtId="0" fontId="11" fillId="19" borderId="0" xfId="0" applyFont="1" applyFill="1" applyAlignment="1">
      <alignment horizontal="center"/>
    </xf>
    <xf numFmtId="2" fontId="11" fillId="19" borderId="0" xfId="0" applyNumberFormat="1" applyFont="1" applyFill="1" applyAlignment="1">
      <alignment horizontal="center"/>
    </xf>
    <xf numFmtId="0" fontId="11" fillId="12" borderId="0" xfId="0" applyFont="1" applyFill="1"/>
    <xf numFmtId="165" fontId="11" fillId="19" borderId="0" xfId="0" applyNumberFormat="1" applyFont="1" applyFill="1" applyBorder="1"/>
    <xf numFmtId="165" fontId="11" fillId="19" borderId="0" xfId="0" applyNumberFormat="1" applyFont="1" applyFill="1"/>
    <xf numFmtId="171" fontId="11" fillId="12" borderId="0" xfId="0" applyNumberFormat="1" applyFont="1" applyFill="1"/>
    <xf numFmtId="0" fontId="18" fillId="0" borderId="14" xfId="0" applyFont="1" applyFill="1" applyBorder="1" applyAlignment="1" applyProtection="1">
      <alignment horizontal="right" vertical="center"/>
      <protection locked="0"/>
    </xf>
    <xf numFmtId="1" fontId="27" fillId="0" borderId="14" xfId="0" applyNumberFormat="1" applyFont="1" applyFill="1" applyBorder="1" applyAlignment="1" applyProtection="1">
      <alignment horizontal="right" vertical="center"/>
    </xf>
    <xf numFmtId="170" fontId="40" fillId="0" borderId="14" xfId="0" applyNumberFormat="1" applyFont="1" applyFill="1" applyBorder="1" applyAlignment="1" applyProtection="1">
      <alignment horizontal="right" vertical="center"/>
      <protection locked="0"/>
    </xf>
    <xf numFmtId="170" fontId="18" fillId="0" borderId="14" xfId="0" applyNumberFormat="1" applyFont="1" applyFill="1" applyBorder="1" applyAlignment="1" applyProtection="1">
      <alignment horizontal="right" vertical="center"/>
      <protection locked="0"/>
    </xf>
    <xf numFmtId="0" fontId="48" fillId="0" borderId="14" xfId="0" applyFont="1" applyFill="1" applyBorder="1" applyAlignment="1" applyProtection="1">
      <alignment horizontal="right"/>
    </xf>
    <xf numFmtId="2" fontId="44" fillId="0" borderId="16" xfId="0" applyNumberFormat="1" applyFont="1" applyFill="1" applyBorder="1" applyAlignment="1" applyProtection="1">
      <alignment horizontal="right" vertical="center"/>
      <protection locked="0"/>
    </xf>
    <xf numFmtId="1" fontId="44" fillId="0" borderId="16" xfId="0" applyNumberFormat="1" applyFont="1" applyFill="1" applyBorder="1" applyAlignment="1" applyProtection="1">
      <alignment horizontal="right" vertical="center"/>
      <protection locked="0"/>
    </xf>
    <xf numFmtId="0" fontId="10" fillId="0" borderId="47" xfId="0" applyFont="1" applyFill="1" applyBorder="1" applyAlignment="1" applyProtection="1">
      <alignment horizontal="left" vertical="center"/>
    </xf>
    <xf numFmtId="0" fontId="18" fillId="20" borderId="24" xfId="0" applyFont="1" applyFill="1" applyBorder="1" applyProtection="1">
      <protection locked="0"/>
    </xf>
    <xf numFmtId="0" fontId="18" fillId="20" borderId="27" xfId="0" applyFont="1" applyFill="1" applyBorder="1" applyProtection="1">
      <protection locked="0"/>
    </xf>
    <xf numFmtId="0" fontId="46" fillId="0" borderId="21" xfId="0" applyFont="1" applyBorder="1" applyAlignment="1" applyProtection="1">
      <alignment horizontal="center"/>
    </xf>
    <xf numFmtId="0" fontId="46" fillId="0" borderId="43" xfId="0" applyFont="1" applyBorder="1" applyAlignment="1" applyProtection="1">
      <alignment horizontal="center"/>
    </xf>
    <xf numFmtId="0" fontId="46" fillId="0" borderId="41" xfId="0" applyFont="1" applyBorder="1" applyAlignment="1" applyProtection="1">
      <alignment horizontal="center"/>
    </xf>
    <xf numFmtId="0" fontId="46" fillId="0" borderId="30" xfId="0" applyFont="1" applyBorder="1" applyAlignment="1" applyProtection="1">
      <alignment horizontal="center"/>
    </xf>
    <xf numFmtId="0" fontId="47" fillId="17" borderId="37" xfId="0" applyFont="1" applyFill="1" applyBorder="1" applyAlignment="1" applyProtection="1">
      <alignment horizontal="center" vertical="center" textRotation="180" wrapText="1"/>
    </xf>
    <xf numFmtId="0" fontId="47" fillId="17" borderId="77" xfId="0" applyFont="1" applyFill="1" applyBorder="1" applyAlignment="1" applyProtection="1">
      <alignment horizontal="center" vertical="center" textRotation="180" wrapText="1"/>
    </xf>
    <xf numFmtId="0" fontId="47" fillId="17" borderId="34" xfId="0" applyFont="1" applyFill="1" applyBorder="1" applyAlignment="1" applyProtection="1">
      <alignment horizontal="center" vertical="center" textRotation="180" wrapText="1"/>
    </xf>
    <xf numFmtId="0" fontId="18" fillId="0" borderId="0" xfId="0" applyFont="1" applyFill="1" applyBorder="1" applyAlignment="1" applyProtection="1">
      <alignment horizontal="center" vertical="center"/>
      <protection hidden="1"/>
    </xf>
    <xf numFmtId="4" fontId="21" fillId="9" borderId="21" xfId="0" applyNumberFormat="1" applyFont="1" applyFill="1" applyBorder="1" applyAlignment="1" applyProtection="1">
      <alignment horizontal="center"/>
      <protection hidden="1"/>
    </xf>
    <xf numFmtId="4" fontId="21" fillId="9" borderId="41" xfId="0" applyNumberFormat="1" applyFont="1" applyFill="1" applyBorder="1" applyAlignment="1" applyProtection="1">
      <alignment horizontal="center"/>
      <protection hidden="1"/>
    </xf>
    <xf numFmtId="4" fontId="21" fillId="9" borderId="30" xfId="0" applyNumberFormat="1" applyFont="1" applyFill="1" applyBorder="1" applyAlignment="1" applyProtection="1">
      <alignment horizontal="center"/>
      <protection hidden="1"/>
    </xf>
    <xf numFmtId="4" fontId="21" fillId="9" borderId="76" xfId="0" applyNumberFormat="1" applyFont="1" applyFill="1" applyBorder="1" applyAlignment="1" applyProtection="1">
      <alignment horizontal="center"/>
      <protection hidden="1"/>
    </xf>
    <xf numFmtId="0" fontId="5" fillId="0" borderId="0" xfId="0" applyFont="1" applyAlignment="1" applyProtection="1">
      <alignment horizontal="center"/>
    </xf>
    <xf numFmtId="0" fontId="18" fillId="0" borderId="9" xfId="0" applyFont="1" applyFill="1" applyBorder="1" applyAlignment="1" applyProtection="1">
      <alignment horizontal="center" vertical="center"/>
      <protection hidden="1"/>
    </xf>
    <xf numFmtId="0" fontId="18" fillId="0" borderId="61" xfId="0" applyFont="1" applyFill="1" applyBorder="1" applyAlignment="1" applyProtection="1">
      <alignment horizontal="center" vertical="center"/>
      <protection hidden="1"/>
    </xf>
    <xf numFmtId="0" fontId="10" fillId="7" borderId="54" xfId="0" applyFont="1" applyFill="1" applyBorder="1" applyAlignment="1" applyProtection="1">
      <alignment horizontal="center" vertical="center"/>
      <protection locked="0"/>
    </xf>
    <xf numFmtId="0" fontId="10" fillId="7" borderId="30" xfId="0" applyFont="1" applyFill="1" applyBorder="1" applyAlignment="1" applyProtection="1">
      <alignment horizontal="center" vertical="center"/>
      <protection locked="0"/>
    </xf>
    <xf numFmtId="0" fontId="10" fillId="7" borderId="37" xfId="0" applyFont="1" applyFill="1" applyBorder="1" applyAlignment="1" applyProtection="1">
      <alignment horizontal="center" vertical="center" wrapText="1"/>
      <protection locked="0"/>
    </xf>
    <xf numFmtId="0" fontId="10" fillId="7" borderId="30" xfId="0" applyFont="1" applyFill="1" applyBorder="1" applyAlignment="1" applyProtection="1">
      <alignment horizontal="center" vertical="center" wrapText="1"/>
      <protection locked="0"/>
    </xf>
    <xf numFmtId="0" fontId="10" fillId="7" borderId="34" xfId="0" applyFont="1" applyFill="1" applyBorder="1" applyAlignment="1" applyProtection="1">
      <alignment horizontal="center" vertical="center" wrapText="1"/>
      <protection locked="0"/>
    </xf>
    <xf numFmtId="0" fontId="10" fillId="7" borderId="54" xfId="0" applyFont="1" applyFill="1" applyBorder="1" applyAlignment="1" applyProtection="1">
      <alignment horizontal="center"/>
      <protection hidden="1"/>
    </xf>
    <xf numFmtId="0" fontId="10" fillId="7" borderId="57" xfId="0" applyFont="1" applyFill="1" applyBorder="1" applyAlignment="1" applyProtection="1">
      <alignment horizontal="center"/>
      <protection hidden="1"/>
    </xf>
    <xf numFmtId="0" fontId="10" fillId="7" borderId="17" xfId="0" applyFont="1" applyFill="1" applyBorder="1" applyAlignment="1" applyProtection="1">
      <alignment horizontal="center"/>
      <protection hidden="1"/>
    </xf>
    <xf numFmtId="0" fontId="12" fillId="4" borderId="22" xfId="0" applyFont="1" applyFill="1" applyBorder="1" applyAlignment="1" applyProtection="1">
      <alignment horizontal="left"/>
    </xf>
    <xf numFmtId="0" fontId="12" fillId="4" borderId="63" xfId="0" applyFont="1" applyFill="1" applyBorder="1" applyAlignment="1" applyProtection="1">
      <alignment horizontal="left"/>
    </xf>
    <xf numFmtId="0" fontId="12" fillId="4" borderId="40" xfId="0" applyFont="1" applyFill="1" applyBorder="1" applyAlignment="1" applyProtection="1">
      <alignment horizontal="left"/>
    </xf>
    <xf numFmtId="0" fontId="12" fillId="4" borderId="21" xfId="0" applyFont="1" applyFill="1" applyBorder="1" applyAlignment="1" applyProtection="1">
      <alignment horizontal="left"/>
    </xf>
    <xf numFmtId="0" fontId="12" fillId="4" borderId="20" xfId="0" applyFont="1" applyFill="1" applyBorder="1" applyAlignment="1" applyProtection="1">
      <alignment horizontal="left"/>
    </xf>
    <xf numFmtId="0" fontId="12" fillId="4" borderId="21" xfId="0" applyFont="1" applyFill="1" applyBorder="1" applyAlignment="1" applyProtection="1">
      <alignment horizontal="left"/>
      <protection locked="0"/>
    </xf>
    <xf numFmtId="0" fontId="12" fillId="4" borderId="20" xfId="0" applyFont="1" applyFill="1" applyBorder="1" applyAlignment="1" applyProtection="1">
      <alignment horizontal="left"/>
      <protection locked="0"/>
    </xf>
    <xf numFmtId="0" fontId="3" fillId="0" borderId="0" xfId="0" applyFont="1" applyFill="1" applyBorder="1" applyAlignment="1" applyProtection="1">
      <alignment horizontal="center"/>
    </xf>
    <xf numFmtId="0" fontId="18" fillId="0" borderId="9" xfId="0" applyFont="1" applyFill="1" applyBorder="1" applyAlignment="1" applyProtection="1">
      <alignment horizontal="center" vertical="center"/>
    </xf>
    <xf numFmtId="0" fontId="18" fillId="0" borderId="61" xfId="0" applyFont="1" applyFill="1" applyBorder="1" applyAlignment="1" applyProtection="1">
      <alignment horizontal="center" vertical="center"/>
    </xf>
    <xf numFmtId="0" fontId="12" fillId="4" borderId="21" xfId="0" applyFont="1" applyFill="1" applyBorder="1" applyAlignment="1" applyProtection="1">
      <alignment horizontal="left"/>
      <protection hidden="1"/>
    </xf>
    <xf numFmtId="0" fontId="12" fillId="4" borderId="20" xfId="0" applyFont="1" applyFill="1" applyBorder="1" applyAlignment="1" applyProtection="1">
      <alignment horizontal="left"/>
      <protection hidden="1"/>
    </xf>
    <xf numFmtId="0" fontId="12" fillId="4" borderId="22" xfId="0" applyFont="1" applyFill="1" applyBorder="1" applyAlignment="1" applyProtection="1">
      <alignment horizontal="left"/>
      <protection locked="0"/>
    </xf>
    <xf numFmtId="0" fontId="12" fillId="4" borderId="40" xfId="0" applyFont="1" applyFill="1" applyBorder="1" applyAlignment="1" applyProtection="1">
      <alignment horizontal="left"/>
      <protection locked="0"/>
    </xf>
  </cellXfs>
  <cellStyles count="3">
    <cellStyle name="Normal 2" xfId="1"/>
    <cellStyle name="Обычный" xfId="0" builtinId="0"/>
    <cellStyle name="Процентный" xfId="2" builtinId="5"/>
  </cellStyles>
  <dxfs count="32">
    <dxf>
      <font>
        <b/>
        <i val="0"/>
      </font>
    </dxf>
    <dxf>
      <font>
        <b/>
        <i val="0"/>
        <color rgb="FF000099"/>
      </font>
    </dxf>
    <dxf>
      <font>
        <b/>
        <i val="0"/>
      </font>
    </dxf>
    <dxf>
      <font>
        <b/>
        <i val="0"/>
        <color rgb="FF000099"/>
      </font>
    </dxf>
    <dxf>
      <font>
        <b/>
        <i val="0"/>
      </font>
    </dxf>
    <dxf>
      <font>
        <b/>
        <i val="0"/>
        <color rgb="FF000099"/>
      </font>
    </dxf>
    <dxf>
      <font>
        <b/>
        <i val="0"/>
      </font>
    </dxf>
    <dxf>
      <font>
        <b/>
        <i val="0"/>
        <color rgb="FF000099"/>
      </font>
    </dxf>
    <dxf>
      <font>
        <b/>
        <i val="0"/>
      </font>
    </dxf>
    <dxf>
      <font>
        <b/>
        <i val="0"/>
        <color rgb="FF000099"/>
      </font>
    </dxf>
    <dxf>
      <font>
        <b/>
        <i val="0"/>
      </font>
    </dxf>
    <dxf>
      <font>
        <b/>
        <i val="0"/>
        <color rgb="FF000099"/>
      </font>
    </dxf>
    <dxf>
      <font>
        <b/>
        <i val="0"/>
      </font>
    </dxf>
    <dxf>
      <font>
        <b/>
        <i val="0"/>
        <color rgb="FF000099"/>
      </font>
    </dxf>
    <dxf>
      <font>
        <b/>
        <i val="0"/>
      </font>
    </dxf>
    <dxf>
      <font>
        <b/>
        <i val="0"/>
        <color rgb="FF000099"/>
      </font>
      <fill>
        <patternFill>
          <bgColor theme="0"/>
        </patternFill>
      </fill>
    </dxf>
    <dxf>
      <font>
        <b/>
        <i val="0"/>
      </font>
    </dxf>
    <dxf>
      <font>
        <b/>
        <i val="0"/>
        <color rgb="FF000099"/>
      </font>
    </dxf>
    <dxf>
      <font>
        <b/>
        <i val="0"/>
      </font>
    </dxf>
    <dxf>
      <font>
        <b/>
        <i val="0"/>
        <color rgb="FF000099"/>
      </font>
    </dxf>
    <dxf>
      <font>
        <b/>
        <i val="0"/>
      </font>
    </dxf>
    <dxf>
      <font>
        <b/>
        <i val="0"/>
        <color rgb="FF000099"/>
      </font>
    </dxf>
    <dxf>
      <font>
        <b/>
        <i val="0"/>
      </font>
    </dxf>
    <dxf>
      <font>
        <b/>
        <i val="0"/>
        <color rgb="FF000099"/>
      </font>
    </dxf>
    <dxf>
      <font>
        <b/>
        <i val="0"/>
      </font>
    </dxf>
    <dxf>
      <font>
        <b/>
        <i val="0"/>
        <color rgb="FF000099"/>
      </font>
    </dxf>
    <dxf>
      <font>
        <b/>
        <i val="0"/>
      </font>
    </dxf>
    <dxf>
      <font>
        <b/>
        <i val="0"/>
        <color rgb="FF000099"/>
      </font>
    </dxf>
    <dxf>
      <font>
        <b/>
        <i val="0"/>
      </font>
    </dxf>
    <dxf>
      <font>
        <b/>
        <i val="0"/>
        <color rgb="FF000099"/>
      </font>
    </dxf>
    <dxf>
      <font>
        <b/>
        <i val="0"/>
      </font>
    </dxf>
    <dxf>
      <font>
        <b/>
        <i val="0"/>
        <color rgb="FF000099"/>
      </font>
      <fill>
        <patternFill>
          <bgColor theme="0"/>
        </patternFill>
      </fill>
    </dxf>
  </dxfs>
  <tableStyles count="0" defaultTableStyle="TableStyleMedium2" defaultPivotStyle="PivotStyleLight16"/>
  <colors>
    <mruColors>
      <color rgb="FFFFFF99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&#1056;&#1072;&#1089;&#1095;&#1077;&#1090;&#1099;%20&#1089;&#1076;&#1077;&#1083;&#1086;&#1082;\DAP%20&#1043;&#1072;&#1088;&#1076;&#1072;&#1073;&#1072;&#1085;&#1080;%20&#1043;&#1088;&#1091;&#1079;&#1080;&#1103;\P&#1072;&#1089;&#1095;&#1077;&#1090;%20DAP%20&#1043;&#1072;&#1088;&#1076;&#1072;&#1073;&#1072;&#1085;&#1080;%20&#1043;&#1088;&#1072;&#1095;&#1077;&#1074;&#1089;&#1082;&#1080;&#1081;%20&#1101;&#1083;-&#1088;%2029%2011%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Грузим с Экспедитрором"/>
      <sheetName val="Грузим сами"/>
      <sheetName val="Обратный счет"/>
      <sheetName val="справочник"/>
      <sheetName val="Sheet1"/>
      <sheetName val="качество справочник"/>
      <sheetName val="справочник вагоны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36"/>
  <sheetViews>
    <sheetView tabSelected="1" zoomScale="80" zoomScaleNormal="80" workbookViewId="0">
      <selection activeCell="K6" sqref="K6"/>
    </sheetView>
  </sheetViews>
  <sheetFormatPr defaultRowHeight="13.2" x14ac:dyDescent="0.25"/>
  <cols>
    <col min="1" max="1" width="28.6640625" customWidth="1"/>
    <col min="2" max="2" width="24.5546875" customWidth="1"/>
    <col min="4" max="4" width="29.6640625" bestFit="1" customWidth="1"/>
    <col min="5" max="5" width="15" customWidth="1"/>
    <col min="6" max="6" width="8" customWidth="1"/>
    <col min="7" max="7" width="22" customWidth="1"/>
    <col min="8" max="8" width="12.21875" customWidth="1"/>
    <col min="9" max="9" width="11.6640625" customWidth="1"/>
    <col min="10" max="10" width="11.21875" customWidth="1"/>
    <col min="11" max="11" width="11" customWidth="1"/>
  </cols>
  <sheetData>
    <row r="2" spans="1:20" ht="18.600000000000001" thickBot="1" x14ac:dyDescent="0.4">
      <c r="A2" s="398"/>
      <c r="B2" s="398"/>
      <c r="C2" s="398"/>
      <c r="D2" s="398"/>
      <c r="E2" s="296"/>
      <c r="F2" s="296"/>
      <c r="G2" s="296"/>
      <c r="H2" s="296"/>
      <c r="I2" s="565"/>
      <c r="J2" s="296"/>
      <c r="K2" s="296"/>
      <c r="L2" s="296"/>
      <c r="M2" s="296"/>
      <c r="N2" s="296"/>
      <c r="O2" s="296"/>
    </row>
    <row r="3" spans="1:20" ht="14.4" thickBot="1" x14ac:dyDescent="0.35">
      <c r="A3" s="367"/>
      <c r="B3" s="365"/>
      <c r="C3" s="47"/>
      <c r="D3" s="26"/>
      <c r="G3" s="565"/>
      <c r="H3" s="591" t="s">
        <v>211</v>
      </c>
      <c r="I3" s="592"/>
      <c r="J3" s="592"/>
      <c r="K3" s="593"/>
      <c r="L3" s="595" t="s">
        <v>211</v>
      </c>
      <c r="M3" s="272"/>
      <c r="N3" s="275"/>
      <c r="O3" s="275"/>
    </row>
    <row r="4" spans="1:20" ht="20.399999999999999" customHeight="1" thickBot="1" x14ac:dyDescent="0.35">
      <c r="A4" s="368" t="s">
        <v>52</v>
      </c>
      <c r="B4" s="379">
        <v>205</v>
      </c>
      <c r="C4" s="399"/>
      <c r="D4" s="263" t="s">
        <v>196</v>
      </c>
      <c r="E4" s="173">
        <v>43179</v>
      </c>
      <c r="G4" s="566"/>
      <c r="H4" s="599" t="s">
        <v>62</v>
      </c>
      <c r="I4" s="600"/>
      <c r="J4" s="599" t="s">
        <v>61</v>
      </c>
      <c r="K4" s="600"/>
      <c r="L4" s="596"/>
      <c r="M4" s="598"/>
      <c r="N4" s="598"/>
      <c r="O4" s="28"/>
      <c r="P4" s="99"/>
      <c r="Q4" s="99"/>
      <c r="R4" s="99"/>
      <c r="S4" s="99"/>
      <c r="T4" s="99"/>
    </row>
    <row r="5" spans="1:20" ht="16.2" thickBot="1" x14ac:dyDescent="0.35">
      <c r="A5" s="388" t="s">
        <v>120</v>
      </c>
      <c r="B5" s="380" t="s">
        <v>236</v>
      </c>
      <c r="C5" s="400"/>
      <c r="D5" s="263" t="s">
        <v>144</v>
      </c>
      <c r="E5" s="173">
        <f>E4+B9</f>
        <v>43186</v>
      </c>
      <c r="G5" s="566"/>
      <c r="H5" s="279" t="s">
        <v>41</v>
      </c>
      <c r="I5" s="279" t="s">
        <v>2</v>
      </c>
      <c r="J5" s="279" t="s">
        <v>40</v>
      </c>
      <c r="K5" s="279" t="s">
        <v>2</v>
      </c>
      <c r="L5" s="596"/>
      <c r="M5" s="370"/>
      <c r="N5" s="371"/>
      <c r="O5" s="28"/>
      <c r="P5" s="99"/>
      <c r="Q5" s="598"/>
      <c r="R5" s="598"/>
      <c r="S5" s="99"/>
      <c r="T5" s="99"/>
    </row>
    <row r="6" spans="1:20" ht="28.8" customHeight="1" x14ac:dyDescent="0.3">
      <c r="A6" s="389" t="s">
        <v>121</v>
      </c>
      <c r="B6" s="581">
        <f>IF(ISNA(VLOOKUP(B5,'справочник логистика'!A1:H20,2,0))," ",VLOOKUP(B5,'справочник логистика'!A1:H20,2,0))</f>
        <v>10</v>
      </c>
      <c r="C6" s="386"/>
      <c r="D6" s="261" t="s">
        <v>197</v>
      </c>
      <c r="E6" s="16"/>
      <c r="G6" s="567" t="s">
        <v>54</v>
      </c>
      <c r="H6" s="284">
        <f>Рига!D24</f>
        <v>11541.5</v>
      </c>
      <c r="I6" s="284">
        <f>Рига!E24</f>
        <v>205</v>
      </c>
      <c r="J6" s="284">
        <f>Рига!F24</f>
        <v>11541.5</v>
      </c>
      <c r="K6" s="284">
        <f>Рига!G24</f>
        <v>205</v>
      </c>
      <c r="L6" s="596"/>
      <c r="M6" s="370"/>
      <c r="N6" s="372"/>
      <c r="O6" s="28"/>
      <c r="P6" s="99"/>
      <c r="Q6" s="370"/>
      <c r="R6" s="371"/>
      <c r="S6" s="99"/>
      <c r="T6" s="99"/>
    </row>
    <row r="7" spans="1:20" ht="15.6" x14ac:dyDescent="0.3">
      <c r="A7" s="389" t="s">
        <v>122</v>
      </c>
      <c r="B7" s="384" t="s">
        <v>187</v>
      </c>
      <c r="C7" s="386"/>
      <c r="D7" s="257" t="s">
        <v>194</v>
      </c>
      <c r="E7" s="259">
        <v>43145</v>
      </c>
      <c r="G7" s="568" t="s">
        <v>33</v>
      </c>
      <c r="H7" s="285">
        <f>Рига!D25</f>
        <v>11306.556979597421</v>
      </c>
      <c r="I7" s="285">
        <f>Рига!E25</f>
        <v>200.82694457544264</v>
      </c>
      <c r="J7" s="285">
        <f>Рига!F25</f>
        <v>10533.028968177137</v>
      </c>
      <c r="K7" s="285">
        <f>Рига!G25</f>
        <v>187.08754828023336</v>
      </c>
      <c r="L7" s="596"/>
      <c r="M7" s="370"/>
      <c r="N7" s="372"/>
      <c r="O7" s="28"/>
      <c r="P7" s="99"/>
      <c r="Q7" s="370"/>
      <c r="R7" s="372"/>
      <c r="S7" s="99"/>
      <c r="T7" s="99"/>
    </row>
    <row r="8" spans="1:20" ht="15.6" x14ac:dyDescent="0.3">
      <c r="A8" s="389" t="s">
        <v>127</v>
      </c>
      <c r="B8" s="582">
        <f>справочник!G2</f>
        <v>5</v>
      </c>
      <c r="C8" s="386"/>
      <c r="D8" s="295" t="s">
        <v>198</v>
      </c>
      <c r="E8" s="259">
        <v>43200</v>
      </c>
      <c r="G8" s="569" t="s">
        <v>34</v>
      </c>
      <c r="H8" s="286">
        <f>Рига!D26</f>
        <v>234.94302040257935</v>
      </c>
      <c r="I8" s="286">
        <f>Рига!E26</f>
        <v>4.1730554245573614</v>
      </c>
      <c r="J8" s="286">
        <f>Рига!F26</f>
        <v>1008.4710318228626</v>
      </c>
      <c r="K8" s="286">
        <f>Рига!G26</f>
        <v>17.912451719766636</v>
      </c>
      <c r="L8" s="596"/>
      <c r="M8" s="373"/>
      <c r="N8" s="372"/>
      <c r="O8" s="28"/>
      <c r="P8" s="99"/>
      <c r="Q8" s="370"/>
      <c r="R8" s="372"/>
      <c r="S8" s="99"/>
      <c r="T8" s="99"/>
    </row>
    <row r="9" spans="1:20" ht="16.2" thickBot="1" x14ac:dyDescent="0.35">
      <c r="A9" s="389" t="s">
        <v>220</v>
      </c>
      <c r="B9" s="582">
        <f>IF(ISNA(VLOOKUP(B7,справочник!F2:H8,2,0))," ",VLOOKUP(B7,справочник!F2:H8,2,0))</f>
        <v>7</v>
      </c>
      <c r="C9" s="386"/>
      <c r="D9" s="258" t="s">
        <v>227</v>
      </c>
      <c r="E9" s="260">
        <f>E8-E7</f>
        <v>55</v>
      </c>
      <c r="G9" s="570" t="s">
        <v>193</v>
      </c>
      <c r="H9" s="287"/>
      <c r="I9" s="287"/>
      <c r="J9" s="287"/>
      <c r="K9" s="288">
        <f>Рига!G27</f>
        <v>0.68128178301175213</v>
      </c>
      <c r="L9" s="597"/>
      <c r="M9" s="373"/>
      <c r="N9" s="372"/>
      <c r="O9" s="28"/>
      <c r="P9" s="99"/>
      <c r="Q9" s="373"/>
      <c r="R9" s="372"/>
      <c r="S9" s="99"/>
      <c r="T9" s="99"/>
    </row>
    <row r="10" spans="1:20" ht="15.6" x14ac:dyDescent="0.3">
      <c r="A10" s="389" t="s">
        <v>118</v>
      </c>
      <c r="B10" s="380" t="s">
        <v>139</v>
      </c>
      <c r="C10" s="386"/>
      <c r="D10" s="29"/>
      <c r="E10" s="32"/>
      <c r="G10" s="571" t="s">
        <v>49</v>
      </c>
      <c r="H10" s="405">
        <f>Рига!K18</f>
        <v>636.36363636363694</v>
      </c>
      <c r="I10" s="262"/>
      <c r="J10" s="262"/>
      <c r="K10" s="262"/>
      <c r="L10" s="366"/>
      <c r="M10" s="373"/>
      <c r="N10" s="372"/>
      <c r="O10" s="28"/>
      <c r="P10" s="99"/>
      <c r="Q10" s="373"/>
      <c r="R10" s="372"/>
      <c r="S10" s="99"/>
      <c r="T10" s="99"/>
    </row>
    <row r="11" spans="1:20" ht="15.6" x14ac:dyDescent="0.3">
      <c r="A11" s="389" t="s">
        <v>217</v>
      </c>
      <c r="B11" s="381">
        <v>7000</v>
      </c>
      <c r="C11" s="386"/>
      <c r="D11" s="319" t="s">
        <v>44</v>
      </c>
      <c r="E11" s="320">
        <v>0.13</v>
      </c>
      <c r="G11" s="572" t="s">
        <v>50</v>
      </c>
      <c r="H11" s="406">
        <f>Рига!K19</f>
        <v>135.25528414755763</v>
      </c>
      <c r="I11" s="262"/>
      <c r="J11" s="262"/>
      <c r="K11" s="262"/>
      <c r="L11" s="366"/>
      <c r="M11" s="373"/>
      <c r="N11" s="372"/>
      <c r="O11" s="28"/>
      <c r="P11" s="99"/>
      <c r="Q11" s="373"/>
      <c r="R11" s="372"/>
      <c r="S11" s="99"/>
      <c r="T11" s="99"/>
    </row>
    <row r="12" spans="1:20" ht="16.2" thickBot="1" x14ac:dyDescent="0.35">
      <c r="A12" s="389" t="s">
        <v>218</v>
      </c>
      <c r="B12" s="382">
        <v>1.1000000000000001</v>
      </c>
      <c r="C12" s="386"/>
      <c r="D12" s="418" t="s">
        <v>45</v>
      </c>
      <c r="E12" s="419">
        <f>E11/12</f>
        <v>1.0833333333333334E-2</v>
      </c>
      <c r="G12" s="573" t="s">
        <v>53</v>
      </c>
      <c r="H12" s="407">
        <f>Рига!K20</f>
        <v>771.61892051119457</v>
      </c>
      <c r="I12" s="262"/>
      <c r="J12" s="262"/>
      <c r="K12" s="262"/>
      <c r="L12" s="366"/>
      <c r="M12" s="373"/>
      <c r="N12" s="372"/>
      <c r="O12" s="28"/>
      <c r="P12" s="99"/>
      <c r="Q12" s="373"/>
      <c r="R12" s="372"/>
      <c r="S12" s="99"/>
      <c r="T12" s="99"/>
    </row>
    <row r="13" spans="1:20" ht="16.2" thickBot="1" x14ac:dyDescent="0.35">
      <c r="A13" s="388" t="s">
        <v>116</v>
      </c>
      <c r="B13" s="383">
        <v>3000</v>
      </c>
      <c r="C13" s="386"/>
      <c r="D13" s="420" t="s">
        <v>47</v>
      </c>
      <c r="E13" s="589">
        <v>56.3</v>
      </c>
      <c r="G13" s="574"/>
      <c r="H13" s="594" t="s">
        <v>212</v>
      </c>
      <c r="I13" s="592"/>
      <c r="J13" s="592"/>
      <c r="K13" s="593"/>
      <c r="L13" s="595" t="s">
        <v>212</v>
      </c>
      <c r="M13" s="373"/>
      <c r="N13" s="372"/>
      <c r="O13" s="28"/>
      <c r="P13" s="99"/>
      <c r="Q13" s="373"/>
      <c r="R13" s="372"/>
      <c r="S13" s="99"/>
      <c r="T13" s="99"/>
    </row>
    <row r="14" spans="1:20" ht="16.2" customHeight="1" thickBot="1" x14ac:dyDescent="0.35">
      <c r="A14" s="388" t="s">
        <v>202</v>
      </c>
      <c r="B14" s="383">
        <v>25000</v>
      </c>
      <c r="C14" s="401"/>
      <c r="D14" s="421" t="s">
        <v>48</v>
      </c>
      <c r="E14" s="590">
        <v>70.17</v>
      </c>
      <c r="G14" s="566"/>
      <c r="H14" s="601" t="s">
        <v>62</v>
      </c>
      <c r="I14" s="602"/>
      <c r="J14" s="601" t="s">
        <v>61</v>
      </c>
      <c r="K14" s="602"/>
      <c r="L14" s="596"/>
      <c r="M14" s="374"/>
      <c r="N14" s="375"/>
      <c r="O14" s="28"/>
      <c r="P14" s="99"/>
      <c r="Q14" s="373"/>
      <c r="R14" s="372"/>
      <c r="S14" s="99"/>
      <c r="T14" s="99"/>
    </row>
    <row r="15" spans="1:20" ht="20.399999999999999" customHeight="1" thickBot="1" x14ac:dyDescent="0.35">
      <c r="A15" s="389" t="s">
        <v>110</v>
      </c>
      <c r="B15" s="384" t="s">
        <v>92</v>
      </c>
      <c r="C15" s="401"/>
      <c r="D15" s="257"/>
      <c r="E15" s="402"/>
      <c r="G15" s="566"/>
      <c r="H15" s="279" t="s">
        <v>41</v>
      </c>
      <c r="I15" s="279" t="s">
        <v>2</v>
      </c>
      <c r="J15" s="279" t="s">
        <v>40</v>
      </c>
      <c r="K15" s="279" t="s">
        <v>2</v>
      </c>
      <c r="L15" s="596"/>
      <c r="M15" s="373"/>
      <c r="N15" s="372"/>
      <c r="O15" s="28"/>
      <c r="P15" s="99"/>
      <c r="Q15" s="374"/>
      <c r="R15" s="375"/>
      <c r="S15" s="99"/>
      <c r="T15" s="99"/>
    </row>
    <row r="16" spans="1:20" ht="15.6" x14ac:dyDescent="0.3">
      <c r="A16" s="389" t="s">
        <v>77</v>
      </c>
      <c r="B16" s="384" t="s">
        <v>111</v>
      </c>
      <c r="C16" s="386"/>
      <c r="D16" s="403"/>
      <c r="E16" s="404"/>
      <c r="G16" s="567" t="s">
        <v>54</v>
      </c>
      <c r="H16" s="284">
        <f>Туапсе!D24</f>
        <v>11541.5</v>
      </c>
      <c r="I16" s="284">
        <f>Туапсе!E24</f>
        <v>205</v>
      </c>
      <c r="J16" s="284">
        <f>Туапсе!F24</f>
        <v>11541.5</v>
      </c>
      <c r="K16" s="284">
        <f>Туапсе!G24</f>
        <v>205</v>
      </c>
      <c r="L16" s="596"/>
      <c r="M16" s="373"/>
      <c r="N16" s="372"/>
      <c r="O16" s="28"/>
      <c r="P16" s="99"/>
      <c r="Q16" s="373"/>
      <c r="R16" s="372"/>
      <c r="S16" s="99"/>
      <c r="T16" s="99"/>
    </row>
    <row r="17" spans="1:20" ht="15.6" x14ac:dyDescent="0.3">
      <c r="A17" s="389" t="s">
        <v>126</v>
      </c>
      <c r="B17" s="583">
        <v>45</v>
      </c>
      <c r="C17" s="377">
        <f>E5-E7</f>
        <v>41</v>
      </c>
      <c r="D17" s="16"/>
      <c r="E17" s="368"/>
      <c r="G17" s="568" t="s">
        <v>33</v>
      </c>
      <c r="H17" s="285">
        <f>Туапсе!D25</f>
        <v>11761.146511288563</v>
      </c>
      <c r="I17" s="285">
        <f>Туапсе!E25</f>
        <v>208.90135899269208</v>
      </c>
      <c r="J17" s="285">
        <f>Туапсе!F25</f>
        <v>10636.786484552787</v>
      </c>
      <c r="K17" s="285">
        <f>Туапсе!G25</f>
        <v>188.93048818033373</v>
      </c>
      <c r="L17" s="596"/>
      <c r="M17" s="376"/>
      <c r="N17" s="372"/>
      <c r="O17" s="28"/>
      <c r="P17" s="99"/>
      <c r="Q17" s="373"/>
      <c r="R17" s="372"/>
      <c r="S17" s="99"/>
      <c r="T17" s="99"/>
    </row>
    <row r="18" spans="1:20" ht="15.6" x14ac:dyDescent="0.3">
      <c r="A18" s="395" t="s">
        <v>221</v>
      </c>
      <c r="B18" s="387" t="s">
        <v>63</v>
      </c>
      <c r="C18" s="385"/>
      <c r="D18" s="25"/>
      <c r="E18" s="25"/>
      <c r="F18" s="25"/>
      <c r="G18" s="569" t="s">
        <v>34</v>
      </c>
      <c r="H18" s="286">
        <f>Туапсе!D26</f>
        <v>-219.64651128856349</v>
      </c>
      <c r="I18" s="286">
        <f>Туапсе!E26</f>
        <v>-3.9013589926920815</v>
      </c>
      <c r="J18" s="286">
        <f>Туапсе!F26</f>
        <v>904.71351544721256</v>
      </c>
      <c r="K18" s="286">
        <f>Туапсе!G26</f>
        <v>16.069511819666275</v>
      </c>
      <c r="L18" s="596"/>
      <c r="M18" s="376"/>
      <c r="N18" s="372"/>
      <c r="O18" s="28"/>
      <c r="P18" s="99"/>
      <c r="Q18" s="376"/>
      <c r="R18" s="372"/>
      <c r="S18" s="99"/>
      <c r="T18" s="99"/>
    </row>
    <row r="19" spans="1:20" ht="16.2" thickBot="1" x14ac:dyDescent="0.35">
      <c r="A19" s="588" t="s">
        <v>222</v>
      </c>
      <c r="B19" s="584"/>
      <c r="C19" s="385"/>
      <c r="D19" s="25"/>
      <c r="E19" s="25"/>
      <c r="F19" s="25"/>
      <c r="G19" s="570" t="s">
        <v>193</v>
      </c>
      <c r="H19" s="287"/>
      <c r="I19" s="287"/>
      <c r="J19" s="287"/>
      <c r="K19" s="288">
        <f>Туапсе!G27</f>
        <v>0.68128178301175213</v>
      </c>
      <c r="L19" s="597"/>
      <c r="M19" s="376"/>
      <c r="N19" s="372"/>
      <c r="O19" s="28"/>
      <c r="P19" s="99"/>
      <c r="Q19" s="376"/>
      <c r="R19" s="372"/>
      <c r="S19" s="99"/>
      <c r="T19" s="99"/>
    </row>
    <row r="20" spans="1:20" ht="15.6" x14ac:dyDescent="0.3">
      <c r="A20" s="390" t="s">
        <v>39</v>
      </c>
      <c r="B20" s="378">
        <f>E12</f>
        <v>1.0833333333333334E-2</v>
      </c>
      <c r="C20" s="385"/>
      <c r="D20" s="25"/>
      <c r="E20" s="32"/>
      <c r="F20" s="32"/>
      <c r="G20" s="571" t="s">
        <v>49</v>
      </c>
      <c r="H20" s="405">
        <f>Туапсе!K18</f>
        <v>636.36363636363694</v>
      </c>
      <c r="I20" s="262"/>
      <c r="J20" s="262"/>
      <c r="K20" s="262"/>
      <c r="L20" s="368"/>
      <c r="M20" s="376"/>
      <c r="N20" s="372"/>
      <c r="O20" s="28"/>
      <c r="P20" s="99"/>
      <c r="Q20" s="376"/>
      <c r="R20" s="372"/>
      <c r="S20" s="99"/>
      <c r="T20" s="99"/>
    </row>
    <row r="21" spans="1:20" ht="15.6" x14ac:dyDescent="0.3">
      <c r="A21" s="388" t="s">
        <v>225</v>
      </c>
      <c r="B21" s="585">
        <f>IF(ISNA(VLOOKUP(B5,'справочник логистика'!A1:I8,8,0))," ",VLOOKUP(B5,'справочник логистика'!A1:I8,8,0))</f>
        <v>4.45</v>
      </c>
      <c r="C21" s="385"/>
      <c r="D21" s="26"/>
      <c r="E21" s="26"/>
      <c r="F21" s="32"/>
      <c r="G21" s="572" t="s">
        <v>50</v>
      </c>
      <c r="H21" s="406">
        <f>Туапсе!K19</f>
        <v>486.08729946305084</v>
      </c>
      <c r="I21" s="262"/>
      <c r="J21" s="262"/>
      <c r="K21" s="262"/>
      <c r="L21" s="368"/>
      <c r="M21" s="368"/>
      <c r="N21" s="28"/>
      <c r="O21" s="28"/>
      <c r="P21" s="99"/>
      <c r="Q21" s="376"/>
      <c r="R21" s="372"/>
      <c r="S21" s="99"/>
      <c r="T21" s="99"/>
    </row>
    <row r="22" spans="1:20" ht="20.399999999999999" customHeight="1" thickBot="1" x14ac:dyDescent="0.35">
      <c r="A22" s="388" t="s">
        <v>226</v>
      </c>
      <c r="B22" s="586">
        <f>B21*31</f>
        <v>137.95000000000002</v>
      </c>
      <c r="C22" s="25"/>
      <c r="D22" s="25"/>
      <c r="E22" s="25"/>
      <c r="F22" s="32"/>
      <c r="G22" s="573" t="s">
        <v>53</v>
      </c>
      <c r="H22" s="407">
        <f>Туапсе!K20</f>
        <v>1122.4509358266878</v>
      </c>
      <c r="I22" s="262"/>
      <c r="J22" s="262"/>
      <c r="K22" s="262"/>
      <c r="L22" s="368"/>
      <c r="M22" s="368"/>
      <c r="N22" s="28"/>
      <c r="O22" s="28"/>
      <c r="P22" s="99"/>
      <c r="Q22" s="99"/>
      <c r="R22" s="99"/>
      <c r="S22" s="99"/>
      <c r="T22" s="99"/>
    </row>
    <row r="23" spans="1:20" ht="16.2" thickBot="1" x14ac:dyDescent="0.35">
      <c r="A23" s="388" t="s">
        <v>230</v>
      </c>
      <c r="B23" s="587">
        <f>(B13/68)/10</f>
        <v>4.4117647058823533</v>
      </c>
      <c r="C23" s="25"/>
      <c r="D23" s="411"/>
      <c r="E23" s="25"/>
      <c r="F23" s="28"/>
      <c r="G23" s="368"/>
      <c r="H23" s="394"/>
      <c r="I23" s="394"/>
      <c r="J23" s="394"/>
      <c r="K23" s="394"/>
      <c r="L23" s="368"/>
      <c r="M23" s="423"/>
      <c r="N23" s="32"/>
      <c r="O23" s="32"/>
      <c r="P23" s="25"/>
    </row>
    <row r="24" spans="1:20" ht="13.8" x14ac:dyDescent="0.3">
      <c r="A24" s="369"/>
      <c r="B24" s="278"/>
      <c r="C24" s="368"/>
      <c r="F24" s="28"/>
      <c r="G24" s="72"/>
      <c r="H24" s="391"/>
      <c r="I24" s="99"/>
      <c r="J24" s="369"/>
      <c r="K24" s="278"/>
      <c r="L24" s="368"/>
      <c r="M24" s="423"/>
      <c r="N24" s="32"/>
      <c r="O24" s="32"/>
      <c r="P24" s="25"/>
    </row>
    <row r="25" spans="1:20" ht="13.8" x14ac:dyDescent="0.3">
      <c r="C25" s="25"/>
      <c r="F25" s="16"/>
      <c r="G25" s="72"/>
      <c r="H25" s="391"/>
      <c r="I25" s="99"/>
      <c r="M25" s="25"/>
      <c r="N25" s="25"/>
      <c r="O25" s="26"/>
      <c r="P25" s="25"/>
    </row>
    <row r="26" spans="1:20" ht="13.8" x14ac:dyDescent="0.3">
      <c r="C26" s="25"/>
      <c r="F26" s="16"/>
      <c r="G26" s="72"/>
      <c r="H26" s="391"/>
      <c r="M26" s="25"/>
      <c r="N26" s="25"/>
      <c r="O26" s="26"/>
      <c r="P26" s="25"/>
    </row>
    <row r="27" spans="1:20" ht="13.8" x14ac:dyDescent="0.3">
      <c r="C27" s="25"/>
      <c r="F27" s="16"/>
      <c r="G27" s="72"/>
      <c r="H27" s="391"/>
      <c r="M27" s="25"/>
      <c r="N27" s="25"/>
      <c r="O27" s="26"/>
      <c r="P27" s="25"/>
    </row>
    <row r="28" spans="1:20" ht="13.8" x14ac:dyDescent="0.3">
      <c r="F28" s="16"/>
      <c r="G28" s="72"/>
      <c r="H28" s="393"/>
      <c r="M28" s="25"/>
      <c r="N28" s="25"/>
      <c r="O28" s="26"/>
      <c r="P28" s="25"/>
    </row>
    <row r="29" spans="1:20" ht="13.8" x14ac:dyDescent="0.3">
      <c r="F29" s="392"/>
      <c r="G29" s="72"/>
      <c r="H29" s="391"/>
      <c r="M29" s="25"/>
      <c r="N29" s="25"/>
      <c r="O29" s="392"/>
      <c r="P29" s="25"/>
    </row>
    <row r="30" spans="1:20" ht="13.8" x14ac:dyDescent="0.3">
      <c r="F30" s="16"/>
      <c r="G30" s="72"/>
      <c r="H30" s="391"/>
      <c r="M30" s="25"/>
      <c r="N30" s="25"/>
      <c r="O30" s="26"/>
      <c r="P30" s="25"/>
    </row>
    <row r="31" spans="1:20" ht="13.8" x14ac:dyDescent="0.3">
      <c r="F31" s="16"/>
      <c r="G31" s="16"/>
      <c r="H31" s="16"/>
      <c r="M31" s="25"/>
      <c r="N31" s="25"/>
      <c r="O31" s="26"/>
      <c r="P31" s="25"/>
    </row>
    <row r="32" spans="1:20" ht="13.8" x14ac:dyDescent="0.3">
      <c r="F32" s="16"/>
      <c r="G32" s="16"/>
      <c r="H32" s="16"/>
      <c r="M32" s="25"/>
      <c r="N32" s="25"/>
      <c r="O32" s="26"/>
      <c r="P32" s="25"/>
    </row>
    <row r="33" spans="6:16" ht="13.8" x14ac:dyDescent="0.3">
      <c r="F33" s="16"/>
      <c r="G33" s="16"/>
      <c r="H33" s="16"/>
      <c r="M33" s="25"/>
      <c r="N33" s="25"/>
      <c r="O33" s="26"/>
      <c r="P33" s="25"/>
    </row>
    <row r="34" spans="6:16" ht="13.8" x14ac:dyDescent="0.3">
      <c r="F34" s="16"/>
      <c r="G34" s="72"/>
      <c r="H34" s="391"/>
      <c r="M34" s="25"/>
      <c r="N34" s="25"/>
      <c r="O34" s="26"/>
      <c r="P34" s="25"/>
    </row>
    <row r="35" spans="6:16" x14ac:dyDescent="0.25">
      <c r="M35" s="25"/>
      <c r="N35" s="25"/>
      <c r="O35" s="25"/>
      <c r="P35" s="25"/>
    </row>
    <row r="36" spans="6:16" x14ac:dyDescent="0.25">
      <c r="M36" s="25"/>
      <c r="N36" s="25"/>
      <c r="O36" s="25"/>
      <c r="P36" s="25"/>
    </row>
  </sheetData>
  <sheetProtection algorithmName="SHA-512" hashValue="eZAIi0nywNqAeTEfFCw/g6QOhZl2dY3Pq6MUDqP/7kz2drRpTSDHN6pUK1la6bGzYlNy6DRrbzisNLCBhK36xQ==" saltValue="MUVgvyzDifszGXY3azr/8A==" spinCount="100000" sheet="1" objects="1" scenarios="1"/>
  <mergeCells count="10">
    <mergeCell ref="H3:K3"/>
    <mergeCell ref="H13:K13"/>
    <mergeCell ref="L3:L9"/>
    <mergeCell ref="L13:L19"/>
    <mergeCell ref="Q5:R5"/>
    <mergeCell ref="H4:I4"/>
    <mergeCell ref="J4:K4"/>
    <mergeCell ref="M4:N4"/>
    <mergeCell ref="H14:I14"/>
    <mergeCell ref="J14:K14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>
          <x14:formula1>
            <xm:f>справочник!$E$15:$E$19</xm:f>
          </x14:formula1>
          <xm:sqref>B16</xm:sqref>
        </x14:dataValidation>
        <x14:dataValidation type="list" allowBlank="1" showInputMessage="1" showErrorMessage="1">
          <x14:formula1>
            <xm:f>'качество справочник'!$B$2:$B$27</xm:f>
          </x14:formula1>
          <xm:sqref>B15</xm:sqref>
        </x14:dataValidation>
        <x14:dataValidation type="list" allowBlank="1" showInputMessage="1" showErrorMessage="1">
          <x14:formula1>
            <xm:f>справочник!$E$1:$E$9</xm:f>
          </x14:formula1>
          <xm:sqref>B10</xm:sqref>
        </x14:dataValidation>
        <x14:dataValidation type="list" allowBlank="1" showInputMessage="1" showErrorMessage="1">
          <x14:formula1>
            <xm:f>справочник!$F$2:$F$4</xm:f>
          </x14:formula1>
          <xm:sqref>B7</xm:sqref>
        </x14:dataValidation>
        <x14:dataValidation type="list" allowBlank="1" showInputMessage="1" showErrorMessage="1">
          <x14:formula1>
            <xm:f>'справочник логистика'!$A$2:$A$20</xm:f>
          </x14:formula1>
          <xm:sqref>B5</xm:sqref>
        </x14:dataValidation>
        <x14:dataValidation type="list" allowBlank="1" showInputMessage="1" showErrorMessage="1">
          <x14:formula1>
            <xm:f>справочник!$C$16:$C$18</xm:f>
          </x14:formula1>
          <xm:sqref>B12</xm:sqref>
        </x14:dataValidation>
        <x14:dataValidation type="list" allowBlank="1" showInputMessage="1" showErrorMessage="1">
          <x14:formula1>
            <xm:f>справочник!$C$28:$C$29</xm:f>
          </x14:formula1>
          <xm:sqref>B18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115"/>
  <sheetViews>
    <sheetView topLeftCell="A37" zoomScale="70" zoomScaleNormal="70" workbookViewId="0">
      <selection activeCell="T87" sqref="T87"/>
    </sheetView>
  </sheetViews>
  <sheetFormatPr defaultColWidth="9.109375" defaultRowHeight="13.8" outlineLevelRow="1" outlineLevelCol="1" x14ac:dyDescent="0.3"/>
  <cols>
    <col min="1" max="1" width="2.6640625" style="15" customWidth="1"/>
    <col min="2" max="2" width="1.88671875" style="15" customWidth="1"/>
    <col min="3" max="3" width="28.33203125" style="15" customWidth="1"/>
    <col min="4" max="4" width="21.6640625" style="15" customWidth="1"/>
    <col min="5" max="5" width="10.44140625" style="48" customWidth="1"/>
    <col min="6" max="6" width="11.44140625" style="15" customWidth="1"/>
    <col min="7" max="7" width="14" style="29" customWidth="1"/>
    <col min="8" max="8" width="12.33203125" style="29" customWidth="1"/>
    <col min="9" max="9" width="21.33203125" style="123" hidden="1" customWidth="1" outlineLevel="1"/>
    <col min="10" max="10" width="20.33203125" style="29" customWidth="1" collapsed="1"/>
    <col min="11" max="11" width="13" style="29" customWidth="1"/>
    <col min="12" max="12" width="2.6640625" style="32" customWidth="1"/>
    <col min="13" max="13" width="13.5546875" style="15" customWidth="1"/>
    <col min="14" max="14" width="16.6640625" style="15" customWidth="1"/>
    <col min="15" max="15" width="10" style="15" customWidth="1"/>
    <col min="16" max="16" width="11.33203125" style="15" hidden="1" customWidth="1"/>
    <col min="17" max="17" width="13.5546875" style="15" hidden="1" customWidth="1"/>
    <col min="18" max="18" width="0" style="15" hidden="1" customWidth="1"/>
    <col min="19" max="16384" width="9.109375" style="15"/>
  </cols>
  <sheetData>
    <row r="1" spans="2:16" ht="18" x14ac:dyDescent="0.35">
      <c r="B1" s="309"/>
      <c r="C1" s="603" t="s">
        <v>15</v>
      </c>
      <c r="D1" s="603"/>
      <c r="E1" s="603"/>
      <c r="F1" s="603"/>
      <c r="G1" s="603"/>
      <c r="H1" s="603"/>
      <c r="I1" s="603"/>
      <c r="J1" s="603"/>
      <c r="K1" s="603"/>
      <c r="L1" s="296"/>
      <c r="M1" s="296"/>
      <c r="N1" s="296"/>
      <c r="O1" s="296"/>
      <c r="P1" s="14"/>
    </row>
    <row r="2" spans="2:16" ht="15" thickBot="1" x14ac:dyDescent="0.35">
      <c r="B2" s="310"/>
      <c r="C2" s="424"/>
      <c r="D2" s="425"/>
      <c r="E2" s="305"/>
      <c r="F2" s="272"/>
      <c r="G2" s="275"/>
      <c r="H2" s="275"/>
      <c r="J2" s="263" t="s">
        <v>196</v>
      </c>
      <c r="K2" s="426">
        <f>Сравнение!E4</f>
        <v>43179</v>
      </c>
      <c r="M2" s="263"/>
      <c r="O2" s="265"/>
      <c r="P2" s="19"/>
    </row>
    <row r="3" spans="2:16" ht="25.2" x14ac:dyDescent="0.45">
      <c r="B3" s="272"/>
      <c r="C3" s="427" t="s">
        <v>52</v>
      </c>
      <c r="D3" s="428">
        <f>Сравнение!B4</f>
        <v>205</v>
      </c>
      <c r="E3" s="425"/>
      <c r="F3" s="604" t="s">
        <v>72</v>
      </c>
      <c r="G3" s="605"/>
      <c r="H3" s="275"/>
      <c r="I3" s="124"/>
      <c r="J3" s="263" t="s">
        <v>144</v>
      </c>
      <c r="K3" s="426">
        <f>Сравнение!E5</f>
        <v>43186</v>
      </c>
      <c r="M3" s="263"/>
      <c r="O3" s="168"/>
      <c r="P3" s="19"/>
    </row>
    <row r="4" spans="2:16" ht="27.6" x14ac:dyDescent="0.3">
      <c r="B4" s="272"/>
      <c r="C4" s="429" t="s">
        <v>119</v>
      </c>
      <c r="D4" s="430" t="s">
        <v>37</v>
      </c>
      <c r="E4" s="272"/>
      <c r="F4" s="100" t="s">
        <v>84</v>
      </c>
      <c r="G4" s="101" t="str">
        <f>D13</f>
        <v>пш 4 класс кл. 20-22 (12.5)</v>
      </c>
      <c r="H4" s="275"/>
      <c r="I4" s="124"/>
      <c r="J4" s="261" t="s">
        <v>197</v>
      </c>
      <c r="K4" s="16"/>
      <c r="M4" s="172"/>
    </row>
    <row r="5" spans="2:16" ht="13.95" customHeight="1" x14ac:dyDescent="0.3">
      <c r="B5" s="272"/>
      <c r="C5" s="429" t="s">
        <v>120</v>
      </c>
      <c r="D5" s="431" t="str">
        <f>Сравнение!B5</f>
        <v>Бабарыкино</v>
      </c>
      <c r="E5" s="432"/>
      <c r="F5" s="100" t="s">
        <v>71</v>
      </c>
      <c r="G5" s="119">
        <f>IF(ISNA(VLOOKUP($G$4,'качество справочник'!$B$2:$O$27,2,0))," ",VLOOKUP($G$4,'качество справочник'!$B$2:$O$27,2,0))</f>
        <v>0.125</v>
      </c>
      <c r="H5" s="275"/>
      <c r="I5" s="124"/>
      <c r="J5" s="257" t="s">
        <v>194</v>
      </c>
      <c r="K5" s="433">
        <f>Сравнение!E7</f>
        <v>43145</v>
      </c>
      <c r="M5" s="1"/>
    </row>
    <row r="6" spans="2:16" ht="24" customHeight="1" x14ac:dyDescent="0.3">
      <c r="B6" s="272"/>
      <c r="C6" s="434" t="s">
        <v>121</v>
      </c>
      <c r="D6" s="435">
        <f>Сравнение!B6</f>
        <v>10</v>
      </c>
      <c r="E6" s="432"/>
      <c r="F6" s="100" t="s">
        <v>70</v>
      </c>
      <c r="G6" s="119" t="str">
        <f>IF(ISNA(VLOOKUP($G$4,'качество справочник'!$B$2:$O$27,3,0))," ",VLOOKUP($G$4,'качество справочник'!$B$2:$O$27,3,0))</f>
        <v>20-22</v>
      </c>
      <c r="H6" s="275"/>
      <c r="I6" s="124"/>
      <c r="J6" s="295" t="s">
        <v>198</v>
      </c>
      <c r="K6" s="433">
        <f>Сравнение!E8</f>
        <v>43200</v>
      </c>
      <c r="M6" s="2"/>
      <c r="O6" s="19"/>
    </row>
    <row r="7" spans="2:16" ht="14.4" x14ac:dyDescent="0.3">
      <c r="B7" s="272"/>
      <c r="C7" s="434" t="s">
        <v>122</v>
      </c>
      <c r="D7" s="435" t="str">
        <f>Сравнение!B7</f>
        <v>Выходные ИСКЛ</v>
      </c>
      <c r="E7" s="432"/>
      <c r="F7" s="163" t="s">
        <v>69</v>
      </c>
      <c r="G7" s="119" t="str">
        <f>IF(ISNA(VLOOKUP($G$4,'качество справочник'!$B$2:$O$27,4,0))," ",VLOOKUP($G$4,'качество справочник'!$B$2:$O$27,4,0))</f>
        <v>770-780 г/л</v>
      </c>
      <c r="H7" s="275"/>
      <c r="I7" s="124"/>
      <c r="J7" s="258" t="s">
        <v>195</v>
      </c>
      <c r="K7" s="260">
        <f>K6-K5</f>
        <v>55</v>
      </c>
      <c r="M7" s="72"/>
    </row>
    <row r="8" spans="2:16" x14ac:dyDescent="0.3">
      <c r="B8" s="272"/>
      <c r="C8" s="434" t="s">
        <v>127</v>
      </c>
      <c r="D8" s="243">
        <f>Сравнение!B8</f>
        <v>5</v>
      </c>
      <c r="E8" s="432"/>
      <c r="F8" s="163" t="s">
        <v>73</v>
      </c>
      <c r="G8" s="119">
        <f>IF(ISNA(VLOOKUP($G$4,'качество справочник'!$B$2:$O$27,5,0))," ",VLOOKUP($G$4,'качество справочник'!$B$2:$O$27,5,0))</f>
        <v>0.14499999999999999</v>
      </c>
      <c r="H8" s="275"/>
      <c r="I8" s="124"/>
      <c r="K8" s="32"/>
      <c r="M8" s="74"/>
    </row>
    <row r="9" spans="2:16" x14ac:dyDescent="0.3">
      <c r="B9" s="272"/>
      <c r="C9" s="434" t="s">
        <v>145</v>
      </c>
      <c r="D9" s="243">
        <f>Сравнение!B9</f>
        <v>7</v>
      </c>
      <c r="E9" s="432"/>
      <c r="F9" s="163" t="s">
        <v>74</v>
      </c>
      <c r="G9" s="119">
        <f>IF(ISNA(VLOOKUP($G$4,'качество справочник'!$B$2:$O$27,6,0))," ",VLOOKUP($G$4,'качество справочник'!$B$2:$O$27,6,0))</f>
        <v>0.02</v>
      </c>
      <c r="H9" s="275"/>
      <c r="I9" s="124"/>
      <c r="J9" s="319" t="s">
        <v>55</v>
      </c>
      <c r="K9" s="436"/>
    </row>
    <row r="10" spans="2:16" x14ac:dyDescent="0.3">
      <c r="B10" s="272"/>
      <c r="C10" s="434" t="s">
        <v>118</v>
      </c>
      <c r="D10" s="431" t="str">
        <f>Сравнение!B10</f>
        <v>EXW</v>
      </c>
      <c r="E10" s="432"/>
      <c r="F10" s="163" t="s">
        <v>75</v>
      </c>
      <c r="G10" s="119">
        <f>IF(ISNA(VLOOKUP($G$4,'качество справочник'!$B$2:$O$27,7,0))," ",VLOOKUP($G$4,'качество справочник'!$B$2:$O$27,7,0))</f>
        <v>0.04</v>
      </c>
      <c r="H10" s="275"/>
      <c r="I10" s="125"/>
      <c r="J10" s="319" t="s">
        <v>44</v>
      </c>
      <c r="K10" s="436">
        <f>Сравнение!E11</f>
        <v>0.13</v>
      </c>
    </row>
    <row r="11" spans="2:16" ht="39.6" x14ac:dyDescent="0.3">
      <c r="B11" s="272"/>
      <c r="C11" s="437" t="s">
        <v>116</v>
      </c>
      <c r="D11" s="438">
        <f>Сравнение!B13</f>
        <v>3000</v>
      </c>
      <c r="E11" s="439" t="s">
        <v>35</v>
      </c>
      <c r="F11" s="103" t="s">
        <v>83</v>
      </c>
      <c r="G11" s="165" t="str">
        <f>IF(ISNA(VLOOKUP($G$4,'качество справочник'!$B$2:$O$27,8,0))," ",VLOOKUP($G$4,'качество справочник'!$B$2:$O$27,8,0))</f>
        <v>&lt;=2</v>
      </c>
      <c r="H11" s="275"/>
      <c r="I11" s="124"/>
      <c r="J11" s="319" t="s">
        <v>45</v>
      </c>
      <c r="K11" s="436">
        <f>K10/12</f>
        <v>1.0833333333333334E-2</v>
      </c>
    </row>
    <row r="12" spans="2:16" ht="15.6" x14ac:dyDescent="0.3">
      <c r="B12" s="272"/>
      <c r="C12" s="437" t="s">
        <v>202</v>
      </c>
      <c r="D12" s="438">
        <f>Сравнение!B14</f>
        <v>25000</v>
      </c>
      <c r="E12" s="439" t="s">
        <v>35</v>
      </c>
      <c r="F12" s="163" t="s">
        <v>76</v>
      </c>
      <c r="G12" s="119" t="str">
        <f>IF(ISNA(VLOOKUP($G$4,'качество справочник'!$B$2:$O$27,9,0))," ",VLOOKUP($G$4,'качество справочник'!$B$2:$O$27,9,0))</f>
        <v>&lt;=85</v>
      </c>
      <c r="H12" s="275"/>
      <c r="I12" s="125"/>
      <c r="J12" s="17" t="s">
        <v>47</v>
      </c>
      <c r="K12" s="440">
        <f>Сравнение!E13</f>
        <v>56.3</v>
      </c>
    </row>
    <row r="13" spans="2:16" ht="16.5" customHeight="1" x14ac:dyDescent="0.3">
      <c r="B13" s="272"/>
      <c r="C13" s="441" t="s">
        <v>110</v>
      </c>
      <c r="D13" s="442" t="str">
        <f>Сравнение!B15</f>
        <v>пш 4 класс кл. 20-22 (12.5)</v>
      </c>
      <c r="E13" s="432"/>
      <c r="F13" s="163" t="s">
        <v>78</v>
      </c>
      <c r="G13" s="119" t="str">
        <f>IF(ISNA(VLOOKUP($G$4,'качество справочник'!$B$2:$O$27,10,0))," ",VLOOKUP($G$4,'качество справочник'!$B$2:$O$27,10,0))</f>
        <v>&gt;=280</v>
      </c>
      <c r="H13" s="275"/>
      <c r="I13" s="124"/>
      <c r="J13" s="17" t="s">
        <v>48</v>
      </c>
      <c r="K13" s="440">
        <f>Сравнение!E14</f>
        <v>70.17</v>
      </c>
    </row>
    <row r="14" spans="2:16" x14ac:dyDescent="0.3">
      <c r="B14" s="272"/>
      <c r="C14" s="443" t="s">
        <v>77</v>
      </c>
      <c r="D14" s="442" t="str">
        <f>Сравнение!B16</f>
        <v>100% предоплата</v>
      </c>
      <c r="E14" s="432"/>
      <c r="F14" s="164" t="s">
        <v>79</v>
      </c>
      <c r="G14" s="119" t="str">
        <f>IF(ISNA(VLOOKUP($G$4,'качество справочник'!$B$2:$O$27,11,0))," ",VLOOKUP($G$4,'качество справочник'!$B$2:$O$27,11,0))</f>
        <v>-</v>
      </c>
      <c r="H14" s="275"/>
      <c r="I14" s="124"/>
      <c r="J14" s="321" t="s">
        <v>192</v>
      </c>
      <c r="K14" s="322">
        <v>0.04</v>
      </c>
    </row>
    <row r="15" spans="2:16" x14ac:dyDescent="0.3">
      <c r="B15" s="272"/>
      <c r="C15" s="434" t="s">
        <v>219</v>
      </c>
      <c r="D15" s="444">
        <f>IF(ISNA(VLOOKUP(D14,справочник!E15:F19,2,0))," ",VLOOKUP(D14,справочник!E15:F19,2,0))</f>
        <v>21000000</v>
      </c>
      <c r="E15" s="272"/>
      <c r="F15" s="164" t="s">
        <v>80</v>
      </c>
      <c r="G15" s="119" t="str">
        <f>IF(ISNA(VLOOKUP($G$4,'качество справочник'!$B$2:$O$27,12,0))," ",VLOOKUP($G$4,'качество справочник'!$B$2:$O$27,12,0))</f>
        <v>-</v>
      </c>
      <c r="H15" s="275"/>
      <c r="I15" s="124"/>
      <c r="J15" s="319" t="s">
        <v>193</v>
      </c>
      <c r="K15" s="323">
        <f>((((D11*J35)/K12)*(K14/365))*K7)/D11</f>
        <v>0.68128178301175213</v>
      </c>
    </row>
    <row r="16" spans="2:16" ht="15.6" x14ac:dyDescent="0.3">
      <c r="B16" s="272"/>
      <c r="C16" s="443" t="s">
        <v>125</v>
      </c>
      <c r="D16" s="445">
        <v>45</v>
      </c>
      <c r="E16" s="446" t="s">
        <v>51</v>
      </c>
      <c r="F16" s="164" t="s">
        <v>81</v>
      </c>
      <c r="G16" s="119" t="str">
        <f>IF(ISNA(VLOOKUP($G$4,'качество справочник'!$B$2:$O$27,13,0))," - ",VLOOKUP($G$4,'качество справочник'!$B$2:$O$27,13,1))</f>
        <v>-</v>
      </c>
      <c r="H16" s="275"/>
      <c r="I16" s="125"/>
      <c r="J16" s="17" t="s">
        <v>200</v>
      </c>
      <c r="K16" s="440"/>
    </row>
    <row r="17" spans="2:16" ht="15.6" x14ac:dyDescent="0.3">
      <c r="B17" s="272"/>
      <c r="C17" s="443" t="s">
        <v>126</v>
      </c>
      <c r="D17" s="447">
        <f>Сравнение!B17</f>
        <v>45</v>
      </c>
      <c r="E17" s="446" t="s">
        <v>51</v>
      </c>
      <c r="F17" s="164" t="s">
        <v>82</v>
      </c>
      <c r="G17" s="119" t="str">
        <f>IF(ISNA(VLOOKUP($G$4,'качество справочник'!$B$2:$O$27,14,0))," ",VLOOKUP($G$4,'качество справочник'!$B$2:$O$27,14,0))</f>
        <v>-</v>
      </c>
      <c r="H17" s="275"/>
      <c r="I17" s="448"/>
      <c r="J17" s="15"/>
      <c r="K17" s="15"/>
    </row>
    <row r="18" spans="2:16" x14ac:dyDescent="0.3">
      <c r="B18" s="272"/>
      <c r="C18" s="449" t="s">
        <v>39</v>
      </c>
      <c r="D18" s="450">
        <f>Сравнение!B20</f>
        <v>1.0833333333333334E-2</v>
      </c>
      <c r="E18" s="446"/>
      <c r="F18" s="446"/>
      <c r="G18" s="275"/>
      <c r="H18" s="275"/>
      <c r="I18" s="448"/>
      <c r="J18" s="451" t="s">
        <v>49</v>
      </c>
      <c r="K18" s="324">
        <f>G35-J35</f>
        <v>636.36363636363694</v>
      </c>
      <c r="M18" s="268"/>
      <c r="N18" s="4"/>
    </row>
    <row r="19" spans="2:16" x14ac:dyDescent="0.3">
      <c r="B19" s="272"/>
      <c r="C19" s="453" t="s">
        <v>199</v>
      </c>
      <c r="D19" s="454">
        <f>Сравнение!B21</f>
        <v>4.45</v>
      </c>
      <c r="E19" s="446" t="s">
        <v>51</v>
      </c>
      <c r="F19" s="446"/>
      <c r="G19" s="275"/>
      <c r="H19" s="275"/>
      <c r="I19" s="95"/>
      <c r="J19" s="451" t="s">
        <v>50</v>
      </c>
      <c r="K19" s="324">
        <f>(G73+G81+G53+G48)-(J73+J81+J53+J48)</f>
        <v>135.25528414755763</v>
      </c>
    </row>
    <row r="20" spans="2:16" ht="14.4" thickBot="1" x14ac:dyDescent="0.35">
      <c r="B20" s="272"/>
      <c r="C20" s="455" t="s">
        <v>199</v>
      </c>
      <c r="D20" s="456">
        <f>D19*31</f>
        <v>137.95000000000002</v>
      </c>
      <c r="E20" s="446" t="s">
        <v>201</v>
      </c>
      <c r="F20" s="272"/>
      <c r="G20" s="275"/>
      <c r="H20" s="275"/>
      <c r="J20" s="457" t="s">
        <v>53</v>
      </c>
      <c r="K20" s="325">
        <f>SUM(K18:K19)</f>
        <v>771.61892051119457</v>
      </c>
      <c r="P20" s="70"/>
    </row>
    <row r="21" spans="2:16" s="26" customFormat="1" ht="14.4" thickBot="1" x14ac:dyDescent="0.35">
      <c r="B21" s="272"/>
      <c r="C21" s="459"/>
      <c r="D21" s="460"/>
      <c r="E21" s="446"/>
      <c r="F21" s="272"/>
      <c r="G21" s="275"/>
      <c r="H21" s="275"/>
      <c r="I21" s="32"/>
      <c r="J21" s="461"/>
      <c r="K21" s="277"/>
      <c r="L21" s="32"/>
      <c r="P21" s="70"/>
    </row>
    <row r="22" spans="2:16" s="26" customFormat="1" ht="14.4" thickBot="1" x14ac:dyDescent="0.35">
      <c r="B22" s="272"/>
      <c r="C22" s="273"/>
      <c r="D22" s="599" t="s">
        <v>62</v>
      </c>
      <c r="E22" s="600"/>
      <c r="F22" s="599" t="s">
        <v>61</v>
      </c>
      <c r="G22" s="600"/>
      <c r="H22" s="272"/>
      <c r="I22" s="4"/>
      <c r="J22" s="276"/>
      <c r="K22" s="277"/>
      <c r="L22" s="32"/>
      <c r="P22" s="70"/>
    </row>
    <row r="23" spans="2:16" s="26" customFormat="1" ht="14.4" thickBot="1" x14ac:dyDescent="0.35">
      <c r="B23" s="272"/>
      <c r="C23" s="273"/>
      <c r="D23" s="279" t="s">
        <v>41</v>
      </c>
      <c r="E23" s="279" t="s">
        <v>2</v>
      </c>
      <c r="F23" s="279" t="s">
        <v>40</v>
      </c>
      <c r="G23" s="279" t="s">
        <v>2</v>
      </c>
      <c r="H23" s="272"/>
      <c r="I23" s="3"/>
      <c r="J23" s="326" t="s">
        <v>203</v>
      </c>
      <c r="K23" s="327"/>
      <c r="L23" s="32"/>
      <c r="P23" s="70"/>
    </row>
    <row r="24" spans="2:16" s="26" customFormat="1" x14ac:dyDescent="0.3">
      <c r="B24" s="272"/>
      <c r="C24" s="280" t="s">
        <v>54</v>
      </c>
      <c r="D24" s="284">
        <f>D3*K12</f>
        <v>11541.5</v>
      </c>
      <c r="E24" s="284">
        <f>D3</f>
        <v>205</v>
      </c>
      <c r="F24" s="284">
        <f>D3*K12</f>
        <v>11541.5</v>
      </c>
      <c r="G24" s="284">
        <f>D3</f>
        <v>205</v>
      </c>
      <c r="H24" s="272"/>
      <c r="I24" s="9"/>
      <c r="J24" s="326" t="s">
        <v>204</v>
      </c>
      <c r="K24" s="327"/>
      <c r="L24" s="32"/>
      <c r="P24" s="70"/>
    </row>
    <row r="25" spans="2:16" s="26" customFormat="1" x14ac:dyDescent="0.3">
      <c r="B25" s="272"/>
      <c r="C25" s="281" t="s">
        <v>33</v>
      </c>
      <c r="D25" s="285">
        <f>SUM(G35+G73+G81+G90+G86+G53+G48)</f>
        <v>11306.556979597421</v>
      </c>
      <c r="E25" s="285">
        <f>D25/K12</f>
        <v>200.82694457544264</v>
      </c>
      <c r="F25" s="285">
        <f>SUM(J35+J73+J81+J90+J86+J53+J48)</f>
        <v>10533.028968177137</v>
      </c>
      <c r="G25" s="285">
        <f>F25/K12</f>
        <v>187.08754828023336</v>
      </c>
      <c r="H25" s="272"/>
      <c r="J25" s="326" t="s">
        <v>205</v>
      </c>
      <c r="K25" s="328"/>
      <c r="L25" s="32"/>
      <c r="P25" s="70"/>
    </row>
    <row r="26" spans="2:16" s="26" customFormat="1" ht="15.6" x14ac:dyDescent="0.3">
      <c r="B26" s="272"/>
      <c r="C26" s="282" t="s">
        <v>34</v>
      </c>
      <c r="D26" s="286">
        <f>(D24-D25)</f>
        <v>234.94302040257935</v>
      </c>
      <c r="E26" s="286">
        <f>(E24-E25)</f>
        <v>4.1730554245573614</v>
      </c>
      <c r="F26" s="286">
        <f>(F24-F25)</f>
        <v>1008.4710318228626</v>
      </c>
      <c r="G26" s="286">
        <f>(G24-G25)</f>
        <v>17.912451719766636</v>
      </c>
      <c r="H26" s="91">
        <f>G26+M82</f>
        <v>16.748646202673125</v>
      </c>
      <c r="I26" s="3"/>
      <c r="J26" s="326" t="s">
        <v>206</v>
      </c>
      <c r="K26" s="327"/>
      <c r="L26" s="32"/>
      <c r="P26" s="70"/>
    </row>
    <row r="27" spans="2:16" s="26" customFormat="1" ht="14.4" thickBot="1" x14ac:dyDescent="0.35">
      <c r="B27" s="272"/>
      <c r="C27" s="283" t="str">
        <f>J15</f>
        <v>Hedge gain per deal</v>
      </c>
      <c r="D27" s="287"/>
      <c r="E27" s="287"/>
      <c r="F27" s="287"/>
      <c r="G27" s="288">
        <f>K15</f>
        <v>0.68128178301175213</v>
      </c>
      <c r="H27" s="272"/>
      <c r="I27" s="3"/>
      <c r="J27" s="326" t="s">
        <v>207</v>
      </c>
      <c r="K27" s="327"/>
      <c r="L27" s="32"/>
      <c r="P27" s="70"/>
    </row>
    <row r="28" spans="2:16" s="26" customFormat="1" x14ac:dyDescent="0.3">
      <c r="B28" s="272"/>
      <c r="C28" s="289" t="s">
        <v>20</v>
      </c>
      <c r="D28" s="290">
        <f>D3*K12</f>
        <v>11541.5</v>
      </c>
      <c r="E28" s="306"/>
      <c r="F28" s="306"/>
      <c r="G28" s="306"/>
      <c r="H28" s="272"/>
      <c r="I28" s="3"/>
      <c r="L28" s="32"/>
      <c r="P28" s="70"/>
    </row>
    <row r="29" spans="2:16" s="26" customFormat="1" x14ac:dyDescent="0.3">
      <c r="B29" s="272"/>
      <c r="C29" s="291" t="s">
        <v>16</v>
      </c>
      <c r="D29" s="292">
        <f>D28-D25</f>
        <v>234.94302040257935</v>
      </c>
      <c r="E29" s="306"/>
      <c r="F29" s="306"/>
      <c r="G29" s="306"/>
      <c r="H29" s="272"/>
      <c r="I29" s="8"/>
      <c r="L29" s="32"/>
      <c r="P29" s="70"/>
    </row>
    <row r="30" spans="2:16" s="26" customFormat="1" x14ac:dyDescent="0.3">
      <c r="B30" s="272"/>
      <c r="C30" s="291" t="s">
        <v>17</v>
      </c>
      <c r="D30" s="292">
        <f>D29+(K18+K19)</f>
        <v>1006.5619409137739</v>
      </c>
      <c r="E30" s="306"/>
      <c r="F30" s="306"/>
      <c r="G30" s="306"/>
      <c r="H30" s="272"/>
      <c r="I30" s="15"/>
      <c r="L30" s="32"/>
      <c r="P30" s="70"/>
    </row>
    <row r="31" spans="2:16" s="26" customFormat="1" ht="14.4" thickBot="1" x14ac:dyDescent="0.35">
      <c r="B31" s="272"/>
      <c r="C31" s="293" t="s">
        <v>18</v>
      </c>
      <c r="D31" s="294">
        <f>D30/(D25)</f>
        <v>8.9024620203135743E-2</v>
      </c>
      <c r="E31" s="307"/>
      <c r="F31" s="307"/>
      <c r="G31" s="307"/>
      <c r="H31" s="272"/>
      <c r="I31" s="15"/>
      <c r="J31" s="276"/>
      <c r="K31" s="277"/>
      <c r="L31" s="32"/>
      <c r="P31" s="70"/>
    </row>
    <row r="32" spans="2:16" ht="14.4" thickBot="1" x14ac:dyDescent="0.35">
      <c r="B32" s="272"/>
      <c r="C32" s="272"/>
      <c r="D32" s="272"/>
      <c r="E32" s="308"/>
      <c r="F32" s="274"/>
      <c r="G32" s="275"/>
      <c r="H32" s="275"/>
      <c r="J32" s="275"/>
      <c r="K32" s="275"/>
      <c r="P32" s="71"/>
    </row>
    <row r="33" spans="2:22" ht="12.75" customHeight="1" thickBot="1" x14ac:dyDescent="0.35">
      <c r="B33" s="606" t="s">
        <v>0</v>
      </c>
      <c r="C33" s="606" t="s">
        <v>19</v>
      </c>
      <c r="D33" s="608" t="s">
        <v>46</v>
      </c>
      <c r="E33" s="608" t="s">
        <v>58</v>
      </c>
      <c r="F33" s="608" t="s">
        <v>59</v>
      </c>
      <c r="G33" s="611" t="s">
        <v>60</v>
      </c>
      <c r="H33" s="612"/>
      <c r="I33" s="612"/>
      <c r="J33" s="612"/>
      <c r="K33" s="613"/>
      <c r="L33" s="266"/>
      <c r="P33" s="73"/>
    </row>
    <row r="34" spans="2:22" ht="14.4" thickBot="1" x14ac:dyDescent="0.35">
      <c r="B34" s="607"/>
      <c r="C34" s="607"/>
      <c r="D34" s="609"/>
      <c r="E34" s="610"/>
      <c r="F34" s="610"/>
      <c r="G34" s="82" t="s">
        <v>41</v>
      </c>
      <c r="H34" s="82" t="s">
        <v>2</v>
      </c>
      <c r="I34" s="178"/>
      <c r="J34" s="179" t="s">
        <v>40</v>
      </c>
      <c r="K34" s="82" t="s">
        <v>2</v>
      </c>
      <c r="L34" s="266"/>
    </row>
    <row r="35" spans="2:22" ht="17.25" customHeight="1" thickBot="1" x14ac:dyDescent="0.35">
      <c r="B35" s="513"/>
      <c r="C35" s="463" t="s">
        <v>177</v>
      </c>
      <c r="D35" s="464">
        <f>Сравнение!B12</f>
        <v>1.1000000000000001</v>
      </c>
      <c r="E35" s="465" t="s">
        <v>1</v>
      </c>
      <c r="F35" s="466">
        <f>Сравнение!B11</f>
        <v>7000</v>
      </c>
      <c r="G35" s="467">
        <f>F35</f>
        <v>7000</v>
      </c>
      <c r="H35" s="76">
        <f>G35/K12</f>
        <v>124.33392539964477</v>
      </c>
      <c r="I35" s="126"/>
      <c r="J35" s="75">
        <f>IF(IF(D35=0,G35,G35/D35)=0,"",(IF(D35=0,G35,G35/D35)))</f>
        <v>6363.6363636363631</v>
      </c>
      <c r="K35" s="76">
        <f>J35/K12</f>
        <v>113.03084127240432</v>
      </c>
    </row>
    <row r="36" spans="2:22" ht="14.4" thickBot="1" x14ac:dyDescent="0.35">
      <c r="B36" s="199" t="s">
        <v>36</v>
      </c>
      <c r="C36" s="200" t="s">
        <v>179</v>
      </c>
      <c r="D36" s="207"/>
      <c r="E36" s="201"/>
      <c r="F36" s="202"/>
      <c r="G36" s="55">
        <f>SUM(G35)</f>
        <v>7000</v>
      </c>
      <c r="H36" s="56">
        <f>SUM(H35)</f>
        <v>124.33392539964477</v>
      </c>
      <c r="I36" s="130"/>
      <c r="J36" s="33">
        <f>SUM(J35)</f>
        <v>6363.6363636363631</v>
      </c>
      <c r="K36" s="57">
        <f>SUM(K35)</f>
        <v>113.03084127240432</v>
      </c>
    </row>
    <row r="37" spans="2:22" ht="27.6" x14ac:dyDescent="0.3">
      <c r="B37" s="195"/>
      <c r="C37" s="219" t="s">
        <v>166</v>
      </c>
      <c r="D37" s="468">
        <v>1.18</v>
      </c>
      <c r="E37" s="469" t="s">
        <v>1</v>
      </c>
      <c r="F37" s="470"/>
      <c r="G37" s="77" t="str">
        <f t="shared" ref="G37:G47" si="0">IF((IF(E37="RUR",F37,F37*$K$12))=0,"",(IF(E37="RUR",F37,F37*$K$12)))</f>
        <v/>
      </c>
      <c r="H37" s="39" t="str">
        <f t="shared" ref="H37:H47" si="1">IF(ISERROR(G37/$K$12),"",(G37/$K$12))</f>
        <v/>
      </c>
      <c r="I37" s="127" t="e">
        <f t="shared" ref="I37:I45" si="2">IF(IF(D37=0,G37,G37/D37)=0,"",(IF(D37=0,G37,G37/D37)))</f>
        <v>#VALUE!</v>
      </c>
      <c r="J37" s="78" t="str">
        <f>IF(ISERROR(I37),"",(I37))</f>
        <v/>
      </c>
      <c r="K37" s="39" t="str">
        <f t="shared" ref="K37:K47" si="3">IF(ISERROR(J37/$K$12)," ",(J37/$K$12))</f>
        <v xml:space="preserve"> </v>
      </c>
    </row>
    <row r="38" spans="2:22" x14ac:dyDescent="0.3">
      <c r="B38" s="195"/>
      <c r="C38" s="220" t="s">
        <v>167</v>
      </c>
      <c r="D38" s="471">
        <v>1.18</v>
      </c>
      <c r="E38" s="469" t="s">
        <v>1</v>
      </c>
      <c r="F38" s="472">
        <f>IF(Сравнение!B18="YES",справочник!F23,"-")</f>
        <v>29.5</v>
      </c>
      <c r="G38" s="49">
        <f t="shared" si="0"/>
        <v>29.5</v>
      </c>
      <c r="H38" s="50">
        <f t="shared" si="1"/>
        <v>0.52397868561278871</v>
      </c>
      <c r="I38" s="128">
        <f t="shared" si="2"/>
        <v>25</v>
      </c>
      <c r="J38" s="51">
        <f t="shared" ref="J38:J47" si="4">IF(ISERROR(I38),"",(I38))</f>
        <v>25</v>
      </c>
      <c r="K38" s="38">
        <f t="shared" si="3"/>
        <v>0.44404973357015987</v>
      </c>
      <c r="V38" s="3"/>
    </row>
    <row r="39" spans="2:22" x14ac:dyDescent="0.3">
      <c r="B39" s="196"/>
      <c r="C39" s="221" t="s">
        <v>168</v>
      </c>
      <c r="D39" s="473">
        <v>1.18</v>
      </c>
      <c r="E39" s="469" t="s">
        <v>1</v>
      </c>
      <c r="F39" s="470"/>
      <c r="G39" s="49" t="str">
        <f t="shared" si="0"/>
        <v/>
      </c>
      <c r="H39" s="50" t="str">
        <f t="shared" si="1"/>
        <v/>
      </c>
      <c r="I39" s="128" t="e">
        <f t="shared" si="2"/>
        <v>#VALUE!</v>
      </c>
      <c r="J39" s="51" t="str">
        <f t="shared" si="4"/>
        <v/>
      </c>
      <c r="K39" s="38" t="str">
        <f t="shared" si="3"/>
        <v xml:space="preserve"> </v>
      </c>
      <c r="V39" s="3"/>
    </row>
    <row r="40" spans="2:22" ht="41.4" x14ac:dyDescent="0.3">
      <c r="B40" s="195"/>
      <c r="C40" s="222" t="s">
        <v>169</v>
      </c>
      <c r="D40" s="473">
        <v>1.18</v>
      </c>
      <c r="E40" s="469" t="s">
        <v>1</v>
      </c>
      <c r="F40" s="470"/>
      <c r="G40" s="49" t="str">
        <f t="shared" si="0"/>
        <v/>
      </c>
      <c r="H40" s="50" t="str">
        <f t="shared" si="1"/>
        <v/>
      </c>
      <c r="I40" s="128" t="e">
        <f t="shared" si="2"/>
        <v>#VALUE!</v>
      </c>
      <c r="J40" s="51" t="str">
        <f t="shared" si="4"/>
        <v/>
      </c>
      <c r="K40" s="38" t="str">
        <f t="shared" si="3"/>
        <v xml:space="preserve"> </v>
      </c>
      <c r="V40" s="7"/>
    </row>
    <row r="41" spans="2:22" ht="27.6" x14ac:dyDescent="0.3">
      <c r="B41" s="196"/>
      <c r="C41" s="222" t="s">
        <v>170</v>
      </c>
      <c r="D41" s="473">
        <v>1.18</v>
      </c>
      <c r="E41" s="469" t="s">
        <v>1</v>
      </c>
      <c r="F41" s="470"/>
      <c r="G41" s="49" t="str">
        <f t="shared" si="0"/>
        <v/>
      </c>
      <c r="H41" s="50" t="str">
        <f t="shared" si="1"/>
        <v/>
      </c>
      <c r="I41" s="128" t="e">
        <f t="shared" si="2"/>
        <v>#VALUE!</v>
      </c>
      <c r="J41" s="51" t="str">
        <f t="shared" si="4"/>
        <v/>
      </c>
      <c r="K41" s="38" t="str">
        <f t="shared" si="3"/>
        <v xml:space="preserve"> </v>
      </c>
      <c r="V41" s="7"/>
    </row>
    <row r="42" spans="2:22" ht="27.6" x14ac:dyDescent="0.3">
      <c r="B42" s="197"/>
      <c r="C42" s="228" t="s">
        <v>182</v>
      </c>
      <c r="D42" s="473">
        <v>1.18</v>
      </c>
      <c r="E42" s="469" t="s">
        <v>1</v>
      </c>
      <c r="F42" s="470"/>
      <c r="G42" s="49" t="str">
        <f t="shared" si="0"/>
        <v/>
      </c>
      <c r="H42" s="50" t="str">
        <f t="shared" si="1"/>
        <v/>
      </c>
      <c r="I42" s="128" t="e">
        <f t="shared" si="2"/>
        <v>#VALUE!</v>
      </c>
      <c r="J42" s="51" t="str">
        <f t="shared" si="4"/>
        <v/>
      </c>
      <c r="K42" s="38" t="str">
        <f t="shared" si="3"/>
        <v xml:space="preserve"> </v>
      </c>
      <c r="V42" s="3"/>
    </row>
    <row r="43" spans="2:22" x14ac:dyDescent="0.3">
      <c r="B43" s="197"/>
      <c r="C43" s="223" t="s">
        <v>171</v>
      </c>
      <c r="D43" s="473">
        <v>1.18</v>
      </c>
      <c r="E43" s="469" t="s">
        <v>1</v>
      </c>
      <c r="F43" s="470"/>
      <c r="G43" s="49" t="str">
        <f t="shared" si="0"/>
        <v/>
      </c>
      <c r="H43" s="50" t="str">
        <f t="shared" si="1"/>
        <v/>
      </c>
      <c r="I43" s="128" t="e">
        <f t="shared" si="2"/>
        <v>#VALUE!</v>
      </c>
      <c r="J43" s="51" t="str">
        <f t="shared" si="4"/>
        <v/>
      </c>
      <c r="K43" s="38" t="str">
        <f t="shared" si="3"/>
        <v xml:space="preserve"> </v>
      </c>
      <c r="V43" s="3"/>
    </row>
    <row r="44" spans="2:22" ht="13.95" customHeight="1" x14ac:dyDescent="0.3">
      <c r="B44" s="197"/>
      <c r="C44" s="224" t="s">
        <v>172</v>
      </c>
      <c r="D44" s="474">
        <v>1.18</v>
      </c>
      <c r="E44" s="469" t="s">
        <v>1</v>
      </c>
      <c r="F44" s="475">
        <f>IF(ISNA(VLOOKUP(D5,'справочник логистика'!A1:H20,6,0))," ",VLOOKUP(D5,'справочник логистика'!A1:H20,6,0))</f>
        <v>318</v>
      </c>
      <c r="G44" s="49">
        <f t="shared" si="0"/>
        <v>318</v>
      </c>
      <c r="H44" s="50">
        <f t="shared" si="1"/>
        <v>5.6483126110124333</v>
      </c>
      <c r="I44" s="128">
        <f t="shared" si="2"/>
        <v>269.49152542372883</v>
      </c>
      <c r="J44" s="51">
        <f t="shared" si="4"/>
        <v>269.49152542372883</v>
      </c>
      <c r="K44" s="38">
        <f t="shared" si="3"/>
        <v>4.7867056025529102</v>
      </c>
      <c r="V44" s="3"/>
    </row>
    <row r="45" spans="2:22" ht="27.6" x14ac:dyDescent="0.3">
      <c r="B45" s="197"/>
      <c r="C45" s="222" t="s">
        <v>173</v>
      </c>
      <c r="D45" s="473">
        <v>1.18</v>
      </c>
      <c r="E45" s="469" t="s">
        <v>1</v>
      </c>
      <c r="F45" s="470"/>
      <c r="G45" s="49" t="str">
        <f t="shared" si="0"/>
        <v/>
      </c>
      <c r="H45" s="50" t="str">
        <f t="shared" si="1"/>
        <v/>
      </c>
      <c r="I45" s="128" t="e">
        <f t="shared" si="2"/>
        <v>#VALUE!</v>
      </c>
      <c r="J45" s="51" t="str">
        <f t="shared" si="4"/>
        <v/>
      </c>
      <c r="K45" s="38" t="str">
        <f t="shared" si="3"/>
        <v xml:space="preserve"> </v>
      </c>
      <c r="V45" s="8"/>
    </row>
    <row r="46" spans="2:22" x14ac:dyDescent="0.3">
      <c r="B46" s="197"/>
      <c r="C46" s="225" t="s">
        <v>174</v>
      </c>
      <c r="D46" s="473">
        <v>1.18</v>
      </c>
      <c r="E46" s="469" t="s">
        <v>1</v>
      </c>
      <c r="F46" s="466"/>
      <c r="G46" s="49" t="str">
        <f t="shared" si="0"/>
        <v/>
      </c>
      <c r="H46" s="50" t="str">
        <f t="shared" si="1"/>
        <v/>
      </c>
      <c r="I46" s="128" t="e">
        <f>IF(IF(D46=0,G46,G46/D46)=0,"",(IF(D46=0,G46,G46/D46)))</f>
        <v>#VALUE!</v>
      </c>
      <c r="J46" s="51" t="str">
        <f t="shared" si="4"/>
        <v/>
      </c>
      <c r="K46" s="38" t="str">
        <f t="shared" si="3"/>
        <v xml:space="preserve"> </v>
      </c>
    </row>
    <row r="47" spans="2:22" ht="14.4" thickBot="1" x14ac:dyDescent="0.35">
      <c r="B47" s="198"/>
      <c r="C47" s="226" t="s">
        <v>189</v>
      </c>
      <c r="D47" s="476">
        <v>0</v>
      </c>
      <c r="E47" s="469" t="s">
        <v>2</v>
      </c>
      <c r="F47" s="477">
        <v>0.5</v>
      </c>
      <c r="G47" s="52">
        <f t="shared" si="0"/>
        <v>28.15</v>
      </c>
      <c r="H47" s="53">
        <f t="shared" si="1"/>
        <v>0.5</v>
      </c>
      <c r="I47" s="129">
        <f>IF(IF(D47=0,G47,G47/D47)=0,"",(IF(D47=0,G47,G47/D47)))</f>
        <v>28.15</v>
      </c>
      <c r="J47" s="54">
        <f t="shared" si="4"/>
        <v>28.15</v>
      </c>
      <c r="K47" s="92">
        <f t="shared" si="3"/>
        <v>0.5</v>
      </c>
      <c r="L47" s="268"/>
      <c r="M47" s="4"/>
    </row>
    <row r="48" spans="2:22" ht="14.4" thickBot="1" x14ac:dyDescent="0.35">
      <c r="B48" s="199" t="s">
        <v>36</v>
      </c>
      <c r="C48" s="303"/>
      <c r="D48" s="304"/>
      <c r="E48" s="201"/>
      <c r="F48" s="202"/>
      <c r="G48" s="311">
        <f>SUM(G37:G47)</f>
        <v>375.65</v>
      </c>
      <c r="H48" s="312">
        <f t="shared" ref="H48" si="5">SUM(H37:H47)</f>
        <v>6.6722912966252217</v>
      </c>
      <c r="I48" s="131"/>
      <c r="J48" s="37">
        <f>SUM(J37:J47)</f>
        <v>322.64152542372881</v>
      </c>
      <c r="K48" s="57">
        <f>SUM(K37:K47)</f>
        <v>5.7307553361230701</v>
      </c>
      <c r="L48" s="267"/>
      <c r="M48" s="4"/>
      <c r="P48" s="5"/>
    </row>
    <row r="49" spans="2:16" x14ac:dyDescent="0.3">
      <c r="B49" s="203"/>
      <c r="C49" s="297" t="s">
        <v>175</v>
      </c>
      <c r="D49" s="514">
        <v>1.18</v>
      </c>
      <c r="E49" s="515" t="s">
        <v>1</v>
      </c>
      <c r="F49" s="516">
        <v>336</v>
      </c>
      <c r="G49" s="315">
        <f>IF((IF(E49="RUR",F49,F49*$K$12))=0,"",(IF(E49="RUR",F49,F49*$K$12)))</f>
        <v>336</v>
      </c>
      <c r="H49" s="316">
        <f>IF(ISERROR(G49/$K$12),"",(G49/$K$12))</f>
        <v>5.9680284191829491</v>
      </c>
      <c r="I49" s="313">
        <f>IF(IF(D49=0,G49,G49/D49)=0,"",(IF(D49=0,G49,G49/D49)))</f>
        <v>284.74576271186442</v>
      </c>
      <c r="J49" s="301">
        <f t="shared" ref="J49:J52" si="6">IF(ISERROR(I49),"",(I49))</f>
        <v>284.74576271186442</v>
      </c>
      <c r="K49" s="302">
        <f>IF(ISERROR(J49/$K$12)," ",(J49/$K$12))</f>
        <v>5.0576512026974143</v>
      </c>
      <c r="L49" s="262"/>
      <c r="M49" s="4"/>
      <c r="P49" s="5"/>
    </row>
    <row r="50" spans="2:16" x14ac:dyDescent="0.3">
      <c r="B50" s="204"/>
      <c r="C50" s="216" t="s">
        <v>176</v>
      </c>
      <c r="D50" s="473">
        <v>0</v>
      </c>
      <c r="E50" s="517" t="s">
        <v>1</v>
      </c>
      <c r="F50" s="245"/>
      <c r="G50" s="58" t="str">
        <f>IF((IF(E50="RUR",F50,F50*$K$12))=0,"",(IF(E50="RUR",F50,F50*$K$12)))</f>
        <v/>
      </c>
      <c r="H50" s="40" t="str">
        <f>IF(ISERROR(G50/$K$12),"",(G50/$K$12))</f>
        <v/>
      </c>
      <c r="I50" s="132" t="str">
        <f>IF(IF(D50=0,G50,G50/D50)=0,"",(IF(D50=0,G50,G50/D50)))</f>
        <v/>
      </c>
      <c r="J50" s="247" t="str">
        <f t="shared" si="6"/>
        <v/>
      </c>
      <c r="K50" s="249" t="str">
        <f>IF(ISERROR(J50/$K$12)," ",(J50/$K$12))</f>
        <v xml:space="preserve"> </v>
      </c>
      <c r="L50" s="262"/>
      <c r="M50" s="4"/>
      <c r="N50" s="3"/>
      <c r="O50" s="5"/>
      <c r="P50" s="5"/>
    </row>
    <row r="51" spans="2:16" x14ac:dyDescent="0.3">
      <c r="B51" s="203"/>
      <c r="C51" s="216" t="s">
        <v>183</v>
      </c>
      <c r="D51" s="518">
        <v>1.18</v>
      </c>
      <c r="E51" s="517" t="s">
        <v>1</v>
      </c>
      <c r="F51" s="519"/>
      <c r="G51" s="58" t="str">
        <f>IF((IF(E51="RUR",F51,F51*$K$12))=0,"",(IF(E51="RUR",F51,F51*$K$12)))</f>
        <v/>
      </c>
      <c r="H51" s="40" t="str">
        <f>IF(ISERROR(G51/$K$12),"",(G51/$K$12))</f>
        <v/>
      </c>
      <c r="I51" s="132" t="e">
        <f>IF(IF(D51=0,G51,G51/D51)=0,"",(IF(D51=0,G51,G51/D51)))</f>
        <v>#VALUE!</v>
      </c>
      <c r="J51" s="247" t="str">
        <f t="shared" si="6"/>
        <v/>
      </c>
      <c r="K51" s="249" t="str">
        <f>IF(ISERROR(J51/$K$12)," ",(J51/$K$12))</f>
        <v xml:space="preserve"> </v>
      </c>
      <c r="L51" s="262"/>
      <c r="M51" s="4"/>
      <c r="P51" s="5"/>
    </row>
    <row r="52" spans="2:16" ht="14.4" thickBot="1" x14ac:dyDescent="0.35">
      <c r="B52" s="204"/>
      <c r="C52" s="520" t="s">
        <v>181</v>
      </c>
      <c r="D52" s="521">
        <v>1.18</v>
      </c>
      <c r="E52" s="522" t="s">
        <v>1</v>
      </c>
      <c r="F52" s="523">
        <f>D17*D19</f>
        <v>200.25</v>
      </c>
      <c r="G52" s="317">
        <f>IF((IF(E52="RUR",F52,F52*$K$12))=0,"",(IF(E52="RUR",F52,F52*$K$12)))</f>
        <v>200.25</v>
      </c>
      <c r="H52" s="318">
        <f>IF(ISERROR(G52/$K$12),"",(G52/$K$12))</f>
        <v>3.5568383658969807</v>
      </c>
      <c r="I52" s="314">
        <f>IF(IF(D52=0,G52,G52/D52)=0,"",(IF(D52=0,G52,G52/D52)))</f>
        <v>169.70338983050848</v>
      </c>
      <c r="J52" s="248">
        <f t="shared" si="6"/>
        <v>169.70338983050848</v>
      </c>
      <c r="K52" s="250">
        <f>IF(ISERROR(J52/$K$12)," ",(J52/$K$12))</f>
        <v>3.014269801607611</v>
      </c>
      <c r="L52" s="262"/>
      <c r="M52" s="4"/>
      <c r="N52" s="3"/>
      <c r="O52" s="5"/>
      <c r="P52" s="5"/>
    </row>
    <row r="53" spans="2:16" ht="17.25" customHeight="1" thickBot="1" x14ac:dyDescent="0.35">
      <c r="B53" s="614" t="s">
        <v>178</v>
      </c>
      <c r="C53" s="615"/>
      <c r="D53" s="208"/>
      <c r="E53" s="209"/>
      <c r="F53" s="210"/>
      <c r="G53" s="55">
        <f>SUM(G49:G52)</f>
        <v>536.25</v>
      </c>
      <c r="H53" s="56">
        <f>SUM(H49:H52)</f>
        <v>9.5248667850799293</v>
      </c>
      <c r="I53" s="130"/>
      <c r="J53" s="33">
        <f>SUM(J49:J52)</f>
        <v>454.44915254237287</v>
      </c>
      <c r="K53" s="56">
        <f>SUM(K49:K52)</f>
        <v>8.0719210043050253</v>
      </c>
      <c r="L53" s="267"/>
      <c r="M53" s="4"/>
      <c r="N53" s="177"/>
      <c r="O53" s="26"/>
      <c r="P53" s="5"/>
    </row>
    <row r="54" spans="2:16" outlineLevel="1" x14ac:dyDescent="0.3">
      <c r="B54" s="203"/>
      <c r="C54" s="335" t="s">
        <v>30</v>
      </c>
      <c r="D54" s="336">
        <v>1.18</v>
      </c>
      <c r="E54" s="337" t="s">
        <v>1</v>
      </c>
      <c r="F54" s="338">
        <f>2500/D12</f>
        <v>0.1</v>
      </c>
      <c r="G54" s="238">
        <f t="shared" ref="G54:G67" si="7">IF((IF(E54="RUR",F54,F54*$K$12))=0,"",(IF(E54="RUR",F54,F54*$K$12)))</f>
        <v>0.1</v>
      </c>
      <c r="H54" s="39">
        <f t="shared" ref="H54:H72" si="8">IF(ISERROR(G54/$K$12),"",(G54/$K$12))</f>
        <v>1.7761989342806397E-3</v>
      </c>
      <c r="I54" s="127">
        <f>IF(IF(D54=0,G54,G54/D54)=0,"",(IF(D54=0,G54,G54/D54)))</f>
        <v>8.4745762711864417E-2</v>
      </c>
      <c r="J54" s="78">
        <f>IF(ISERROR(I54),"",(I54))</f>
        <v>8.4745762711864417E-2</v>
      </c>
      <c r="K54" s="39">
        <f t="shared" ref="K54:K72" si="9">IF(ISERROR(J54/$K$12)," ",(J54/$K$12))</f>
        <v>1.5052533341361354E-3</v>
      </c>
      <c r="L54" s="268"/>
      <c r="M54" s="4"/>
      <c r="P54" s="5"/>
    </row>
    <row r="55" spans="2:16" outlineLevel="1" x14ac:dyDescent="0.3">
      <c r="B55" s="203"/>
      <c r="C55" s="339" t="s">
        <v>147</v>
      </c>
      <c r="D55" s="340">
        <v>1.18</v>
      </c>
      <c r="E55" s="341" t="s">
        <v>1</v>
      </c>
      <c r="F55" s="342"/>
      <c r="G55" s="182" t="str">
        <f t="shared" si="7"/>
        <v/>
      </c>
      <c r="H55" s="50" t="str">
        <f t="shared" si="8"/>
        <v/>
      </c>
      <c r="I55" s="128" t="e">
        <f t="shared" ref="I55:I79" si="10">IF(IF(D55=0,G55,G55/D55)=0,"",(IF(D55=0,G55,G55/D55)))</f>
        <v>#VALUE!</v>
      </c>
      <c r="J55" s="51" t="str">
        <f t="shared" ref="J55:J80" si="11">IF(ISERROR(I55),"",(I55))</f>
        <v/>
      </c>
      <c r="K55" s="38" t="str">
        <f t="shared" si="9"/>
        <v xml:space="preserve"> </v>
      </c>
      <c r="L55" s="268"/>
      <c r="M55" s="4"/>
      <c r="P55" s="5"/>
    </row>
    <row r="56" spans="2:16" s="24" customFormat="1" outlineLevel="1" x14ac:dyDescent="0.3">
      <c r="B56" s="203"/>
      <c r="C56" s="343" t="s">
        <v>148</v>
      </c>
      <c r="D56" s="340">
        <v>1.18</v>
      </c>
      <c r="E56" s="341" t="s">
        <v>1</v>
      </c>
      <c r="F56" s="344"/>
      <c r="G56" s="182" t="str">
        <f t="shared" si="7"/>
        <v/>
      </c>
      <c r="H56" s="50" t="str">
        <f t="shared" si="8"/>
        <v/>
      </c>
      <c r="I56" s="128" t="e">
        <f t="shared" si="10"/>
        <v>#VALUE!</v>
      </c>
      <c r="J56" s="51" t="str">
        <f t="shared" si="11"/>
        <v/>
      </c>
      <c r="K56" s="38" t="str">
        <f t="shared" si="9"/>
        <v xml:space="preserve"> </v>
      </c>
      <c r="L56" s="268"/>
      <c r="M56" s="22"/>
      <c r="P56" s="23"/>
    </row>
    <row r="57" spans="2:16" outlineLevel="1" x14ac:dyDescent="0.3">
      <c r="B57" s="524"/>
      <c r="C57" s="345" t="s">
        <v>27</v>
      </c>
      <c r="D57" s="346">
        <v>1.18</v>
      </c>
      <c r="E57" s="347" t="s">
        <v>1</v>
      </c>
      <c r="F57" s="348"/>
      <c r="G57" s="182" t="str">
        <f t="shared" si="7"/>
        <v/>
      </c>
      <c r="H57" s="50" t="str">
        <f t="shared" si="8"/>
        <v/>
      </c>
      <c r="I57" s="128" t="e">
        <f t="shared" si="10"/>
        <v>#VALUE!</v>
      </c>
      <c r="J57" s="51" t="str">
        <f t="shared" si="11"/>
        <v/>
      </c>
      <c r="K57" s="38" t="str">
        <f t="shared" si="9"/>
        <v xml:space="preserve"> </v>
      </c>
      <c r="L57" s="268"/>
      <c r="M57" s="4"/>
      <c r="P57" s="5"/>
    </row>
    <row r="58" spans="2:16" outlineLevel="1" x14ac:dyDescent="0.3">
      <c r="B58" s="203"/>
      <c r="C58" s="343" t="s">
        <v>149</v>
      </c>
      <c r="D58" s="340">
        <v>1.18</v>
      </c>
      <c r="E58" s="341" t="s">
        <v>1</v>
      </c>
      <c r="F58" s="344"/>
      <c r="G58" s="182" t="str">
        <f t="shared" si="7"/>
        <v/>
      </c>
      <c r="H58" s="50" t="str">
        <f t="shared" si="8"/>
        <v/>
      </c>
      <c r="I58" s="128" t="e">
        <f t="shared" si="10"/>
        <v>#VALUE!</v>
      </c>
      <c r="J58" s="51" t="str">
        <f t="shared" si="11"/>
        <v/>
      </c>
      <c r="K58" s="38" t="str">
        <f t="shared" si="9"/>
        <v xml:space="preserve"> </v>
      </c>
      <c r="L58" s="268"/>
      <c r="M58" s="4"/>
      <c r="P58" s="5"/>
    </row>
    <row r="59" spans="2:16" outlineLevel="1" x14ac:dyDescent="0.3">
      <c r="B59" s="203"/>
      <c r="C59" s="343" t="s">
        <v>150</v>
      </c>
      <c r="D59" s="340">
        <v>1.18</v>
      </c>
      <c r="E59" s="341" t="s">
        <v>1</v>
      </c>
      <c r="F59" s="349"/>
      <c r="G59" s="182" t="str">
        <f t="shared" si="7"/>
        <v/>
      </c>
      <c r="H59" s="50" t="str">
        <f t="shared" si="8"/>
        <v/>
      </c>
      <c r="I59" s="128" t="e">
        <f t="shared" si="10"/>
        <v>#VALUE!</v>
      </c>
      <c r="J59" s="51" t="str">
        <f t="shared" si="11"/>
        <v/>
      </c>
      <c r="K59" s="38" t="str">
        <f t="shared" si="9"/>
        <v xml:space="preserve"> </v>
      </c>
      <c r="L59" s="268"/>
      <c r="M59" s="4"/>
      <c r="P59" s="5"/>
    </row>
    <row r="60" spans="2:16" outlineLevel="1" x14ac:dyDescent="0.3">
      <c r="B60" s="203"/>
      <c r="C60" s="350" t="s">
        <v>162</v>
      </c>
      <c r="D60" s="340">
        <v>1.18</v>
      </c>
      <c r="E60" s="341" t="s">
        <v>1</v>
      </c>
      <c r="F60" s="351"/>
      <c r="G60" s="182" t="str">
        <f t="shared" si="7"/>
        <v/>
      </c>
      <c r="H60" s="50" t="str">
        <f t="shared" si="8"/>
        <v/>
      </c>
      <c r="I60" s="128" t="e">
        <f t="shared" si="10"/>
        <v>#VALUE!</v>
      </c>
      <c r="J60" s="51" t="str">
        <f t="shared" si="11"/>
        <v/>
      </c>
      <c r="K60" s="38" t="str">
        <f t="shared" si="9"/>
        <v xml:space="preserve"> </v>
      </c>
      <c r="L60" s="268"/>
      <c r="M60" s="4"/>
      <c r="N60" s="26"/>
      <c r="P60" s="5"/>
    </row>
    <row r="61" spans="2:16" ht="27.6" outlineLevel="1" x14ac:dyDescent="0.3">
      <c r="B61" s="203"/>
      <c r="C61" s="350" t="s">
        <v>158</v>
      </c>
      <c r="D61" s="340">
        <v>0</v>
      </c>
      <c r="E61" s="408" t="s">
        <v>228</v>
      </c>
      <c r="F61" s="409">
        <v>0.24</v>
      </c>
      <c r="G61" s="182">
        <f>IF(E61="RUR",F61,IF(E61="USD",F61*$K$12,IF(E61="EUR",F61*$K$13,)))</f>
        <v>16.840800000000002</v>
      </c>
      <c r="H61" s="50">
        <f t="shared" si="8"/>
        <v>0.29912611012433399</v>
      </c>
      <c r="I61" s="128">
        <f t="shared" si="10"/>
        <v>16.840800000000002</v>
      </c>
      <c r="J61" s="51">
        <f t="shared" si="11"/>
        <v>16.840800000000002</v>
      </c>
      <c r="K61" s="38">
        <f t="shared" si="9"/>
        <v>0.29912611012433399</v>
      </c>
      <c r="L61" s="268"/>
      <c r="M61" s="4"/>
      <c r="N61" s="26"/>
      <c r="P61" s="5"/>
    </row>
    <row r="62" spans="2:16" outlineLevel="1" x14ac:dyDescent="0.3">
      <c r="B62" s="203"/>
      <c r="C62" s="343" t="s">
        <v>65</v>
      </c>
      <c r="D62" s="340">
        <v>0</v>
      </c>
      <c r="E62" s="408" t="s">
        <v>228</v>
      </c>
      <c r="F62" s="409">
        <v>0.15</v>
      </c>
      <c r="G62" s="182">
        <f>IF(E62="RUR",F62,IF(E62="USD",F62*$K$12,IF(E62="EUR",F62*$K$13,)))</f>
        <v>10.525499999999999</v>
      </c>
      <c r="H62" s="50">
        <f>IF(ISERROR(G62/$K$12),"",(G62/$K$12))</f>
        <v>0.1869538188277087</v>
      </c>
      <c r="I62" s="128">
        <f t="shared" si="10"/>
        <v>10.525499999999999</v>
      </c>
      <c r="J62" s="51">
        <f t="shared" si="11"/>
        <v>10.525499999999999</v>
      </c>
      <c r="K62" s="38">
        <f t="shared" si="9"/>
        <v>0.1869538188277087</v>
      </c>
      <c r="L62" s="268"/>
      <c r="M62" s="410"/>
      <c r="N62" s="26"/>
      <c r="P62" s="5"/>
    </row>
    <row r="63" spans="2:16" ht="23.4" customHeight="1" outlineLevel="1" x14ac:dyDescent="0.3">
      <c r="B63" s="203"/>
      <c r="C63" s="415" t="s">
        <v>28</v>
      </c>
      <c r="D63" s="340">
        <v>0</v>
      </c>
      <c r="E63" s="408" t="s">
        <v>228</v>
      </c>
      <c r="F63" s="409">
        <v>0.6</v>
      </c>
      <c r="G63" s="182">
        <f>IF(E63="RUR",F63,IF(E63="USD",F63*$K$12,IF(E63="EUR",F63*$K$13,)))</f>
        <v>42.101999999999997</v>
      </c>
      <c r="H63" s="50">
        <f t="shared" si="8"/>
        <v>0.7478152753108348</v>
      </c>
      <c r="I63" s="128">
        <f t="shared" si="10"/>
        <v>42.101999999999997</v>
      </c>
      <c r="J63" s="51">
        <f t="shared" si="11"/>
        <v>42.101999999999997</v>
      </c>
      <c r="K63" s="38">
        <f t="shared" si="9"/>
        <v>0.7478152753108348</v>
      </c>
      <c r="L63" s="268"/>
      <c r="M63" s="4"/>
      <c r="N63" s="26"/>
      <c r="P63" s="5"/>
    </row>
    <row r="64" spans="2:16" ht="41.4" outlineLevel="1" x14ac:dyDescent="0.3">
      <c r="B64" s="203"/>
      <c r="C64" s="350" t="s">
        <v>151</v>
      </c>
      <c r="D64" s="340">
        <v>1.18</v>
      </c>
      <c r="E64" s="341" t="s">
        <v>1</v>
      </c>
      <c r="F64" s="352"/>
      <c r="G64" s="182" t="str">
        <f t="shared" si="7"/>
        <v/>
      </c>
      <c r="H64" s="50" t="str">
        <f t="shared" si="8"/>
        <v/>
      </c>
      <c r="I64" s="128" t="e">
        <f t="shared" si="10"/>
        <v>#VALUE!</v>
      </c>
      <c r="J64" s="51" t="str">
        <f t="shared" si="11"/>
        <v/>
      </c>
      <c r="K64" s="38" t="str">
        <f t="shared" si="9"/>
        <v xml:space="preserve"> </v>
      </c>
      <c r="L64" s="268"/>
      <c r="M64" s="4"/>
      <c r="N64" s="26"/>
      <c r="P64" s="5"/>
    </row>
    <row r="65" spans="2:17" outlineLevel="1" x14ac:dyDescent="0.3">
      <c r="B65" s="203"/>
      <c r="C65" s="343" t="s">
        <v>152</v>
      </c>
      <c r="D65" s="412">
        <v>0</v>
      </c>
      <c r="E65" s="413" t="s">
        <v>1</v>
      </c>
      <c r="F65" s="414">
        <f>(IF($D$6&gt;=13,Сравнение!$B$23*22500,IF($D$6&lt;=10,Сравнение!$B$23*15000)))/$D$11</f>
        <v>22.058823529411768</v>
      </c>
      <c r="G65" s="182">
        <f t="shared" si="7"/>
        <v>22.058823529411768</v>
      </c>
      <c r="H65" s="50">
        <f t="shared" si="8"/>
        <v>0.39180858844425875</v>
      </c>
      <c r="I65" s="128">
        <f t="shared" si="10"/>
        <v>22.058823529411768</v>
      </c>
      <c r="J65" s="51">
        <f t="shared" si="11"/>
        <v>22.058823529411768</v>
      </c>
      <c r="K65" s="38">
        <f t="shared" si="9"/>
        <v>0.39180858844425875</v>
      </c>
      <c r="L65" s="268"/>
      <c r="M65" s="4"/>
      <c r="P65" s="5"/>
    </row>
    <row r="66" spans="2:17" outlineLevel="1" x14ac:dyDescent="0.3">
      <c r="B66" s="203"/>
      <c r="C66" s="343" t="s">
        <v>29</v>
      </c>
      <c r="D66" s="412">
        <v>1.18</v>
      </c>
      <c r="E66" s="413" t="s">
        <v>1</v>
      </c>
      <c r="F66" s="414">
        <f>(16000*Сравнение!B23)/D12</f>
        <v>2.8235294117647061</v>
      </c>
      <c r="G66" s="182">
        <f t="shared" si="7"/>
        <v>2.8235294117647061</v>
      </c>
      <c r="H66" s="50">
        <f t="shared" si="8"/>
        <v>5.0151499320865121E-2</v>
      </c>
      <c r="I66" s="128">
        <f t="shared" si="10"/>
        <v>2.3928215353938187</v>
      </c>
      <c r="J66" s="51">
        <f t="shared" si="11"/>
        <v>2.3928215353938187</v>
      </c>
      <c r="K66" s="38">
        <f t="shared" si="9"/>
        <v>4.2501270610902642E-2</v>
      </c>
      <c r="L66" s="268"/>
      <c r="M66" s="4"/>
      <c r="P66" s="5"/>
    </row>
    <row r="67" spans="2:17" outlineLevel="1" x14ac:dyDescent="0.3">
      <c r="B67" s="203"/>
      <c r="C67" s="343" t="s">
        <v>153</v>
      </c>
      <c r="D67" s="340">
        <v>0</v>
      </c>
      <c r="E67" s="341" t="s">
        <v>1</v>
      </c>
      <c r="F67" s="352"/>
      <c r="G67" s="182" t="str">
        <f t="shared" si="7"/>
        <v/>
      </c>
      <c r="H67" s="50" t="str">
        <f t="shared" si="8"/>
        <v/>
      </c>
      <c r="I67" s="128" t="str">
        <f t="shared" si="10"/>
        <v/>
      </c>
      <c r="J67" s="51" t="str">
        <f t="shared" si="11"/>
        <v/>
      </c>
      <c r="K67" s="38" t="str">
        <f t="shared" si="9"/>
        <v xml:space="preserve"> </v>
      </c>
      <c r="L67" s="268"/>
      <c r="M67" s="4"/>
      <c r="P67" s="5"/>
    </row>
    <row r="68" spans="2:17" outlineLevel="1" x14ac:dyDescent="0.3">
      <c r="B68" s="203"/>
      <c r="C68" s="350" t="s">
        <v>154</v>
      </c>
      <c r="D68" s="346">
        <v>0</v>
      </c>
      <c r="E68" s="408" t="s">
        <v>228</v>
      </c>
      <c r="F68" s="409">
        <v>16</v>
      </c>
      <c r="G68" s="182">
        <f>IF(E68="RUR",F68,IF(E68="USD",F68*$K$12,IF(E68="EUR",F68*$K$13,)))</f>
        <v>1122.72</v>
      </c>
      <c r="H68" s="50">
        <f t="shared" si="8"/>
        <v>19.941740674955597</v>
      </c>
      <c r="I68" s="128">
        <f t="shared" si="10"/>
        <v>1122.72</v>
      </c>
      <c r="J68" s="51">
        <f t="shared" si="11"/>
        <v>1122.72</v>
      </c>
      <c r="K68" s="38">
        <f t="shared" si="9"/>
        <v>19.941740674955597</v>
      </c>
      <c r="L68" s="268"/>
      <c r="M68" s="4"/>
      <c r="P68" s="5"/>
    </row>
    <row r="69" spans="2:17" outlineLevel="1" x14ac:dyDescent="0.3">
      <c r="B69" s="203"/>
      <c r="C69" s="339" t="s">
        <v>155</v>
      </c>
      <c r="D69" s="340">
        <v>0</v>
      </c>
      <c r="E69" s="408" t="s">
        <v>228</v>
      </c>
      <c r="F69" s="422">
        <f>150/D12</f>
        <v>6.0000000000000001E-3</v>
      </c>
      <c r="G69" s="182">
        <f>IF(E69="RUR",F69,IF(E69="USD",F69*$K$12,IF(E69="EUR",F69*$K$13,)))</f>
        <v>0.42102000000000001</v>
      </c>
      <c r="H69" s="50">
        <f t="shared" si="8"/>
        <v>7.4781527531083483E-3</v>
      </c>
      <c r="I69" s="128">
        <f t="shared" si="10"/>
        <v>0.42102000000000001</v>
      </c>
      <c r="J69" s="51">
        <f t="shared" si="11"/>
        <v>0.42102000000000001</v>
      </c>
      <c r="K69" s="38">
        <f t="shared" si="9"/>
        <v>7.4781527531083483E-3</v>
      </c>
      <c r="L69" s="268"/>
      <c r="M69" s="4"/>
      <c r="N69" s="3"/>
      <c r="O69" s="5"/>
      <c r="P69" s="5"/>
    </row>
    <row r="70" spans="2:17" outlineLevel="1" x14ac:dyDescent="0.3">
      <c r="B70" s="203"/>
      <c r="C70" s="343" t="s">
        <v>157</v>
      </c>
      <c r="D70" s="340">
        <v>0</v>
      </c>
      <c r="E70" s="408" t="s">
        <v>228</v>
      </c>
      <c r="F70" s="417">
        <f>0.24+(230/D12)</f>
        <v>0.24919999999999998</v>
      </c>
      <c r="G70" s="182">
        <f>IF(E70="RUR",F70,IF(E70="USD",F70*$K$12,IF(E70="EUR",F70*$K$13,)))</f>
        <v>17.486363999999998</v>
      </c>
      <c r="H70" s="50">
        <f t="shared" si="8"/>
        <v>0.31059261101243335</v>
      </c>
      <c r="I70" s="128">
        <f t="shared" si="10"/>
        <v>17.486363999999998</v>
      </c>
      <c r="J70" s="51">
        <f t="shared" si="11"/>
        <v>17.486363999999998</v>
      </c>
      <c r="K70" s="38">
        <f t="shared" si="9"/>
        <v>0.31059261101243335</v>
      </c>
      <c r="L70" s="268"/>
      <c r="M70" s="4"/>
      <c r="N70" s="3"/>
      <c r="O70" s="5"/>
      <c r="P70" s="5"/>
    </row>
    <row r="71" spans="2:17" outlineLevel="1" x14ac:dyDescent="0.3">
      <c r="B71" s="203"/>
      <c r="C71" s="343" t="s">
        <v>231</v>
      </c>
      <c r="D71" s="354">
        <v>0</v>
      </c>
      <c r="E71" s="408" t="s">
        <v>228</v>
      </c>
      <c r="F71" s="416">
        <f>120/D12</f>
        <v>4.7999999999999996E-3</v>
      </c>
      <c r="G71" s="182">
        <f>IF(E71="RUR",F71,IF(E71="USD",F71*$K$12,IF(E71="EUR",F71*$K$13,)))</f>
        <v>0.336816</v>
      </c>
      <c r="H71" s="50">
        <f t="shared" si="8"/>
        <v>5.982522202486679E-3</v>
      </c>
      <c r="I71" s="128">
        <f t="shared" si="10"/>
        <v>0.336816</v>
      </c>
      <c r="J71" s="51">
        <f t="shared" si="11"/>
        <v>0.336816</v>
      </c>
      <c r="K71" s="38">
        <f t="shared" si="9"/>
        <v>5.982522202486679E-3</v>
      </c>
      <c r="L71" s="268"/>
      <c r="M71" s="4"/>
      <c r="N71" s="3"/>
      <c r="O71" s="5"/>
      <c r="P71" s="5"/>
    </row>
    <row r="72" spans="2:17" ht="14.4" outlineLevel="1" thickBot="1" x14ac:dyDescent="0.35">
      <c r="B72" s="525"/>
      <c r="C72" s="343" t="s">
        <v>232</v>
      </c>
      <c r="D72" s="358">
        <v>0</v>
      </c>
      <c r="E72" s="408" t="s">
        <v>228</v>
      </c>
      <c r="F72" s="416">
        <f>50/D12</f>
        <v>2E-3</v>
      </c>
      <c r="G72" s="239">
        <f>IF(E72="RUR",F72,IF(E72="USD",F72*$K$12,IF(E72="EUR",F72*$K$13,)))</f>
        <v>0.14033999999999999</v>
      </c>
      <c r="H72" s="53">
        <f t="shared" si="8"/>
        <v>2.4927175843694493E-3</v>
      </c>
      <c r="I72" s="129">
        <f t="shared" si="10"/>
        <v>0.14033999999999999</v>
      </c>
      <c r="J72" s="54">
        <f t="shared" si="11"/>
        <v>0.14033999999999999</v>
      </c>
      <c r="K72" s="92">
        <f t="shared" si="9"/>
        <v>2.4927175843694493E-3</v>
      </c>
      <c r="L72" s="268"/>
      <c r="M72" s="4"/>
      <c r="N72" s="3"/>
      <c r="O72" s="5"/>
      <c r="P72" s="5"/>
    </row>
    <row r="73" spans="2:17" ht="14.4" thickBot="1" x14ac:dyDescent="0.35">
      <c r="B73" s="199" t="s">
        <v>36</v>
      </c>
      <c r="C73" s="200" t="s">
        <v>180</v>
      </c>
      <c r="D73" s="526"/>
      <c r="E73" s="209"/>
      <c r="F73" s="527"/>
      <c r="G73" s="55">
        <f>SUM(G54:G72)</f>
        <v>1235.5551929411765</v>
      </c>
      <c r="H73" s="56">
        <f>SUM(H54:H72)</f>
        <v>21.945918169470282</v>
      </c>
      <c r="I73" s="130"/>
      <c r="J73" s="33">
        <f>SUM(J54:J72)</f>
        <v>1235.1092308275174</v>
      </c>
      <c r="K73" s="57">
        <f>SUM(K54:K72)</f>
        <v>21.937996995160173</v>
      </c>
      <c r="L73" s="267"/>
      <c r="M73" s="4"/>
      <c r="P73" s="5"/>
    </row>
    <row r="74" spans="2:17" x14ac:dyDescent="0.3">
      <c r="B74" s="528"/>
      <c r="C74" s="529" t="s">
        <v>156</v>
      </c>
      <c r="D74" s="530">
        <v>1.18</v>
      </c>
      <c r="E74" s="469" t="s">
        <v>1</v>
      </c>
      <c r="F74" s="531"/>
      <c r="G74" s="58">
        <f>((F74/30)*D17)</f>
        <v>0</v>
      </c>
      <c r="H74" s="40">
        <f t="shared" ref="H74:H80" si="12">IF(ISERROR(G74/$K$12),"",(G74/$K$12))</f>
        <v>0</v>
      </c>
      <c r="I74" s="132" t="str">
        <f>IF(IF(D74=0,(F74/D17)*30,((F74/D74)/D17)*30)=0,"",IF(D74=0,(F74/D17)*30,((F74/D74)/30)*D17))</f>
        <v/>
      </c>
      <c r="J74" s="58" t="str">
        <f t="shared" si="11"/>
        <v/>
      </c>
      <c r="K74" s="40" t="str">
        <f t="shared" ref="K74:K80" si="13">IF(ISERROR(J74/$K$12)," ",(J74/$K$12))</f>
        <v xml:space="preserve"> </v>
      </c>
      <c r="L74" s="262"/>
      <c r="M74" s="4"/>
      <c r="N74" s="3"/>
      <c r="O74" s="5"/>
      <c r="P74" s="5"/>
    </row>
    <row r="75" spans="2:17" x14ac:dyDescent="0.3">
      <c r="B75" s="532"/>
      <c r="C75" s="533" t="s">
        <v>160</v>
      </c>
      <c r="D75" s="530">
        <v>0</v>
      </c>
      <c r="E75" s="469" t="s">
        <v>2</v>
      </c>
      <c r="F75" s="531"/>
      <c r="G75" s="58" t="str">
        <f t="shared" ref="G75:G80" si="14">IF((IF(E75="RUR",F75,F75*$K$12))=0,"",(IF(E75="RUR",F75,F75*$K$12)))</f>
        <v/>
      </c>
      <c r="H75" s="40" t="str">
        <f t="shared" si="12"/>
        <v/>
      </c>
      <c r="I75" s="132" t="str">
        <f t="shared" si="10"/>
        <v/>
      </c>
      <c r="J75" s="58" t="str">
        <f t="shared" si="11"/>
        <v/>
      </c>
      <c r="K75" s="40" t="str">
        <f t="shared" si="13"/>
        <v xml:space="preserve"> </v>
      </c>
      <c r="L75" s="262"/>
      <c r="M75" s="4"/>
      <c r="N75" s="3"/>
      <c r="O75" s="5"/>
      <c r="P75" s="5"/>
    </row>
    <row r="76" spans="2:17" s="18" customFormat="1" x14ac:dyDescent="0.3">
      <c r="B76" s="532"/>
      <c r="C76" s="533" t="s">
        <v>161</v>
      </c>
      <c r="D76" s="534">
        <v>0</v>
      </c>
      <c r="E76" s="469" t="s">
        <v>1</v>
      </c>
      <c r="F76" s="475">
        <f>IF(ISNA(VLOOKUP(D5,'справочник логистика'!A1:H20,5,0))," ",VLOOKUP(D5,'справочник логистика'!A1:H20,5,0))</f>
        <v>1826.19</v>
      </c>
      <c r="G76" s="58">
        <f t="shared" si="14"/>
        <v>1826.19</v>
      </c>
      <c r="H76" s="40">
        <f t="shared" si="12"/>
        <v>32.436767317939612</v>
      </c>
      <c r="I76" s="132">
        <f t="shared" si="10"/>
        <v>1826.19</v>
      </c>
      <c r="J76" s="58">
        <f t="shared" si="11"/>
        <v>1826.19</v>
      </c>
      <c r="K76" s="40">
        <f t="shared" si="13"/>
        <v>32.436767317939612</v>
      </c>
      <c r="L76" s="262"/>
      <c r="N76" s="3"/>
      <c r="O76" s="6"/>
      <c r="P76" s="6"/>
    </row>
    <row r="77" spans="2:17" s="18" customFormat="1" x14ac:dyDescent="0.3">
      <c r="B77" s="532"/>
      <c r="C77" s="533" t="s">
        <v>163</v>
      </c>
      <c r="D77" s="530">
        <v>0</v>
      </c>
      <c r="E77" s="469" t="s">
        <v>1</v>
      </c>
      <c r="F77" s="535"/>
      <c r="G77" s="58" t="str">
        <f t="shared" si="14"/>
        <v/>
      </c>
      <c r="H77" s="40" t="str">
        <f t="shared" si="12"/>
        <v/>
      </c>
      <c r="I77" s="132" t="str">
        <f t="shared" si="10"/>
        <v/>
      </c>
      <c r="J77" s="58" t="str">
        <f t="shared" si="11"/>
        <v/>
      </c>
      <c r="K77" s="40" t="str">
        <f t="shared" si="13"/>
        <v xml:space="preserve"> </v>
      </c>
      <c r="L77" s="262"/>
      <c r="M77" s="4"/>
      <c r="N77" s="3"/>
      <c r="O77" s="6"/>
      <c r="P77" s="6"/>
      <c r="Q77" s="93">
        <f>J35*K10/365*$D$16</f>
        <v>101.99252801992527</v>
      </c>
    </row>
    <row r="78" spans="2:17" s="190" customFormat="1" x14ac:dyDescent="0.3">
      <c r="B78" s="532"/>
      <c r="C78" s="191"/>
      <c r="D78" s="530">
        <v>0</v>
      </c>
      <c r="E78" s="469" t="s">
        <v>1</v>
      </c>
      <c r="F78" s="531"/>
      <c r="G78" s="58" t="str">
        <f t="shared" si="14"/>
        <v/>
      </c>
      <c r="H78" s="40" t="str">
        <f t="shared" si="12"/>
        <v/>
      </c>
      <c r="I78" s="132" t="str">
        <f>IF(IF(D78=0,G78,G78/D78)=0,"",(IF(D78=0,G78,G78/D78)))</f>
        <v/>
      </c>
      <c r="J78" s="58" t="str">
        <f>IF(ISERROR(I78),"",(I78))</f>
        <v/>
      </c>
      <c r="K78" s="40" t="str">
        <f t="shared" si="13"/>
        <v xml:space="preserve"> </v>
      </c>
      <c r="L78" s="262"/>
      <c r="M78" s="22"/>
      <c r="N78" s="187"/>
      <c r="O78" s="188"/>
      <c r="P78" s="188"/>
      <c r="Q78" s="189">
        <f>(J35/100*10)*$K$10/365*$D$19</f>
        <v>1.008592777085928</v>
      </c>
    </row>
    <row r="79" spans="2:17" x14ac:dyDescent="0.3">
      <c r="B79" s="532"/>
      <c r="C79" s="192"/>
      <c r="D79" s="536">
        <v>0</v>
      </c>
      <c r="E79" s="469" t="s">
        <v>1</v>
      </c>
      <c r="F79" s="537"/>
      <c r="G79" s="183" t="str">
        <f t="shared" si="14"/>
        <v/>
      </c>
      <c r="H79" s="184" t="str">
        <f t="shared" si="12"/>
        <v/>
      </c>
      <c r="I79" s="185" t="str">
        <f t="shared" si="10"/>
        <v/>
      </c>
      <c r="J79" s="186" t="str">
        <f t="shared" si="11"/>
        <v/>
      </c>
      <c r="K79" s="184" t="str">
        <f t="shared" si="13"/>
        <v xml:space="preserve"> </v>
      </c>
      <c r="L79" s="269"/>
      <c r="M79" s="4"/>
      <c r="N79" s="3"/>
      <c r="O79" s="5"/>
      <c r="P79" s="5"/>
      <c r="Q79" s="93">
        <f>(J73+J81)/100*18*$K$10/365*$D$20</f>
        <v>27.073878783803156</v>
      </c>
    </row>
    <row r="80" spans="2:17" ht="16.2" thickBot="1" x14ac:dyDescent="0.35">
      <c r="B80" s="538"/>
      <c r="C80" s="539"/>
      <c r="D80" s="540">
        <v>0</v>
      </c>
      <c r="E80" s="541" t="s">
        <v>1</v>
      </c>
      <c r="F80" s="542"/>
      <c r="G80" s="211" t="str">
        <f t="shared" si="14"/>
        <v/>
      </c>
      <c r="H80" s="212" t="str">
        <f t="shared" si="12"/>
        <v/>
      </c>
      <c r="I80" s="213" t="str">
        <f>IF(IF(D80=0,G80,G80/D80)=0,"",(IF(D80=0,G80,G80/D80)))</f>
        <v/>
      </c>
      <c r="J80" s="211" t="str">
        <f t="shared" si="11"/>
        <v/>
      </c>
      <c r="K80" s="212" t="str">
        <f t="shared" si="13"/>
        <v xml:space="preserve"> </v>
      </c>
      <c r="L80" s="262"/>
      <c r="M80" s="88" t="s">
        <v>68</v>
      </c>
      <c r="N80" s="85" t="s">
        <v>67</v>
      </c>
      <c r="P80" s="5"/>
      <c r="Q80" s="94">
        <f>(J73+J81)*$K$10/365*$D$20</f>
        <v>150.41043768779534</v>
      </c>
    </row>
    <row r="81" spans="2:16" ht="14.4" thickBot="1" x14ac:dyDescent="0.35">
      <c r="B81" s="614" t="s">
        <v>36</v>
      </c>
      <c r="C81" s="616"/>
      <c r="D81" s="543"/>
      <c r="E81" s="201"/>
      <c r="F81" s="544"/>
      <c r="G81" s="35">
        <f>SUM(G74:G80)</f>
        <v>1826.19</v>
      </c>
      <c r="H81" s="57">
        <f>SUM(H74:H80)</f>
        <v>32.436767317939612</v>
      </c>
      <c r="I81" s="131"/>
      <c r="J81" s="37">
        <f>SUM(J74:J80)</f>
        <v>1826.19</v>
      </c>
      <c r="K81" s="57">
        <f>SUM(K74:K80)</f>
        <v>32.436767317939612</v>
      </c>
      <c r="L81" s="267"/>
      <c r="M81" s="86">
        <f>J82-N81</f>
        <v>-65.522250612364729</v>
      </c>
      <c r="N81" s="87">
        <f>(J35*K10/365*$D$16)+((J35/100*10)*$K$10/365*$D$19)+((J73+J81)/100*18*$K$10/365*$D$20)+((J73+J81)*$K$10/365*$D$20)</f>
        <v>280.4854372686097</v>
      </c>
      <c r="O81" s="89" t="s">
        <v>1</v>
      </c>
      <c r="P81" s="5"/>
    </row>
    <row r="82" spans="2:16" x14ac:dyDescent="0.3">
      <c r="B82" s="545"/>
      <c r="C82" s="546" t="s">
        <v>31</v>
      </c>
      <c r="D82" s="547">
        <f>K11</f>
        <v>1.0833333333333334E-2</v>
      </c>
      <c r="E82" s="548" t="s">
        <v>1</v>
      </c>
      <c r="F82" s="531"/>
      <c r="G82" s="81">
        <f>$K$7*(((G35+SUM(G54:G72,G49:G52,G74:G80,G37:G47)))*$K$10/365)</f>
        <v>214.96318665624497</v>
      </c>
      <c r="H82" s="79">
        <f>G82/K12</f>
        <v>3.818173830483925</v>
      </c>
      <c r="I82" s="133"/>
      <c r="J82" s="41">
        <f>G82</f>
        <v>214.96318665624497</v>
      </c>
      <c r="K82" s="42">
        <f>H82</f>
        <v>3.818173830483925</v>
      </c>
      <c r="L82" s="270"/>
      <c r="M82" s="255">
        <f>M81/K12</f>
        <v>-1.1638055170935122</v>
      </c>
      <c r="N82" s="87">
        <f>N81/K12</f>
        <v>4.981979347577437</v>
      </c>
      <c r="O82" s="90" t="s">
        <v>66</v>
      </c>
      <c r="P82" s="5"/>
    </row>
    <row r="83" spans="2:16" x14ac:dyDescent="0.3">
      <c r="B83" s="545"/>
      <c r="C83" s="332" t="s">
        <v>191</v>
      </c>
      <c r="D83" s="549">
        <v>0.06</v>
      </c>
      <c r="E83" s="550" t="s">
        <v>1</v>
      </c>
      <c r="F83" s="542"/>
      <c r="G83" s="229">
        <f>H83*K12</f>
        <v>96.948600000000013</v>
      </c>
      <c r="H83" s="229">
        <f>(((D3*D11)*12%)*(K10-D83)/D11)</f>
        <v>1.7220000000000002</v>
      </c>
      <c r="I83" s="230"/>
      <c r="J83" s="231">
        <f>K83*K12</f>
        <v>96.948600000000013</v>
      </c>
      <c r="K83" s="256">
        <f>(((D3*D11)*12%)*(K10-D83)/D11)</f>
        <v>1.7220000000000002</v>
      </c>
      <c r="L83" s="83"/>
      <c r="M83" s="232"/>
      <c r="N83" s="233"/>
      <c r="O83" s="90"/>
      <c r="P83" s="5"/>
    </row>
    <row r="84" spans="2:16" x14ac:dyDescent="0.3">
      <c r="B84" s="551"/>
      <c r="C84" s="552" t="s">
        <v>154</v>
      </c>
      <c r="D84" s="553">
        <v>0</v>
      </c>
      <c r="E84" s="469" t="s">
        <v>2</v>
      </c>
      <c r="F84" s="554"/>
      <c r="G84" s="174" t="str">
        <f>IF((IF(E84="RUR",F84,F84*$K$12))=0,"",(IF(E84="RUR",F84,F84*$K$12)))</f>
        <v/>
      </c>
      <c r="H84" s="176" t="str">
        <f>IF(ISERROR(G84/$K$12),"",(G84/$K$12))</f>
        <v/>
      </c>
      <c r="I84" s="134" t="str">
        <f t="shared" ref="I84" si="15">IF(IF(D84=0,G84,G84/D84)=0,"",(IF(D84=0,G84,G84/D84)))</f>
        <v/>
      </c>
      <c r="J84" s="59" t="str">
        <f t="shared" ref="J84" si="16">IF(ISERROR(I84),"",(I84))</f>
        <v/>
      </c>
      <c r="K84" s="45" t="str">
        <f>IF(ISERROR(J84/$K$12)," ",(J84/$K$12))</f>
        <v xml:space="preserve"> </v>
      </c>
      <c r="L84" s="83"/>
      <c r="M84" s="4"/>
      <c r="N84" s="3"/>
      <c r="O84" s="5"/>
      <c r="P84" s="5"/>
    </row>
    <row r="85" spans="2:16" ht="14.4" thickBot="1" x14ac:dyDescent="0.35">
      <c r="B85" s="555"/>
      <c r="C85" s="539" t="s">
        <v>159</v>
      </c>
      <c r="D85" s="556">
        <f>K9</f>
        <v>0</v>
      </c>
      <c r="E85" s="557" t="s">
        <v>1</v>
      </c>
      <c r="F85" s="531"/>
      <c r="G85" s="175">
        <f>IF(ISERROR(I85),"",(I85))</f>
        <v>0</v>
      </c>
      <c r="H85" s="80">
        <f>IF(ISERROR(G85/K12),"",(G85/K12))</f>
        <v>0</v>
      </c>
      <c r="I85" s="135">
        <f>D3*D85</f>
        <v>0</v>
      </c>
      <c r="J85" s="43">
        <f>G85</f>
        <v>0</v>
      </c>
      <c r="K85" s="44">
        <f>H85</f>
        <v>0</v>
      </c>
      <c r="L85" s="83"/>
      <c r="M85" s="4"/>
      <c r="N85" s="3"/>
      <c r="O85" s="5"/>
      <c r="P85" s="5"/>
    </row>
    <row r="86" spans="2:16" ht="14.4" thickBot="1" x14ac:dyDescent="0.35">
      <c r="B86" s="617" t="s">
        <v>36</v>
      </c>
      <c r="C86" s="618"/>
      <c r="D86" s="558"/>
      <c r="E86" s="201"/>
      <c r="F86" s="544"/>
      <c r="G86" s="55">
        <f>SUM(G82:G85)</f>
        <v>311.911786656245</v>
      </c>
      <c r="H86" s="34">
        <f>SUM(H82:H85)</f>
        <v>5.5401738304839254</v>
      </c>
      <c r="I86" s="136"/>
      <c r="J86" s="36">
        <f>SUM(J82:J85)</f>
        <v>311.911786656245</v>
      </c>
      <c r="K86" s="34">
        <f>SUM(K82:K85)</f>
        <v>5.5401738304839254</v>
      </c>
      <c r="L86" s="267"/>
      <c r="M86" s="4"/>
      <c r="N86" s="3"/>
      <c r="O86" s="5"/>
      <c r="P86" s="5"/>
    </row>
    <row r="87" spans="2:16" x14ac:dyDescent="0.3">
      <c r="B87" s="545"/>
      <c r="C87" s="546" t="s">
        <v>56</v>
      </c>
      <c r="D87" s="547">
        <v>2E-3</v>
      </c>
      <c r="E87" s="548" t="s">
        <v>63</v>
      </c>
      <c r="F87" s="531"/>
      <c r="G87" s="41">
        <f>IF(E87="YES",(G35*D87)," ")</f>
        <v>14</v>
      </c>
      <c r="H87" s="42">
        <f>IF(ISERROR(G87/K12),"",(G87/K12))</f>
        <v>0.24866785079928952</v>
      </c>
      <c r="I87" s="133"/>
      <c r="J87" s="41">
        <f>IF(E87="YES",(J35*D87)," ")</f>
        <v>12.727272727272727</v>
      </c>
      <c r="K87" s="42">
        <f>IF(ISERROR(J87/K12),"",(J87/K12))</f>
        <v>0.22606168254480866</v>
      </c>
      <c r="L87" s="83"/>
      <c r="M87" s="4"/>
      <c r="N87" s="83"/>
      <c r="O87" s="5"/>
      <c r="P87" s="5"/>
    </row>
    <row r="88" spans="2:16" x14ac:dyDescent="0.3">
      <c r="B88" s="551"/>
      <c r="C88" s="559" t="s">
        <v>57</v>
      </c>
      <c r="D88" s="560">
        <v>1E-3</v>
      </c>
      <c r="E88" s="561" t="s">
        <v>63</v>
      </c>
      <c r="F88" s="531"/>
      <c r="G88" s="59">
        <f>IF(E88="YES",I88," ")</f>
        <v>7</v>
      </c>
      <c r="H88" s="45">
        <f>IF(ISERROR(G88/K12),"",(G88/K12))</f>
        <v>0.12433392539964476</v>
      </c>
      <c r="I88" s="137">
        <f>IF(F74&gt;=0,((G35+((F74/30.5)*D16))*D88),0)</f>
        <v>7</v>
      </c>
      <c r="J88" s="59">
        <f>IF(E88="YES",(I89)," ")</f>
        <v>6.3636363636363633</v>
      </c>
      <c r="K88" s="45">
        <f>IF(ISERROR(J88/K12),"",(J88/K12))</f>
        <v>0.11303084127240433</v>
      </c>
      <c r="L88" s="83"/>
      <c r="M88" s="4"/>
      <c r="N88" s="3"/>
      <c r="O88" s="5"/>
      <c r="P88" s="5"/>
    </row>
    <row r="89" spans="2:16" ht="14.4" thickBot="1" x14ac:dyDescent="0.35">
      <c r="B89" s="555"/>
      <c r="C89" s="562" t="s">
        <v>32</v>
      </c>
      <c r="D89" s="563"/>
      <c r="E89" s="564" t="s">
        <v>1</v>
      </c>
      <c r="F89" s="531"/>
      <c r="G89" s="60"/>
      <c r="H89" s="46"/>
      <c r="I89" s="137">
        <f>IF(F74&gt;=0,((J35+((F74/30.5)*D16))*D88),0)</f>
        <v>6.3636363636363633</v>
      </c>
      <c r="J89" s="60"/>
      <c r="K89" s="46"/>
      <c r="L89" s="83"/>
      <c r="M89" s="4"/>
      <c r="N89" s="3"/>
      <c r="O89" s="5"/>
      <c r="P89" s="5"/>
    </row>
    <row r="90" spans="2:16" ht="14.4" thickBot="1" x14ac:dyDescent="0.35">
      <c r="B90" s="619" t="s">
        <v>36</v>
      </c>
      <c r="C90" s="620"/>
      <c r="D90" s="62"/>
      <c r="E90" s="68"/>
      <c r="F90" s="62"/>
      <c r="G90" s="37">
        <f>SUM(G87:G89)</f>
        <v>21</v>
      </c>
      <c r="H90" s="34">
        <f>SUM(H87:H89)</f>
        <v>0.37300177619893427</v>
      </c>
      <c r="I90" s="136"/>
      <c r="J90" s="36">
        <f>SUM(J87:J89)</f>
        <v>19.09090909090909</v>
      </c>
      <c r="K90" s="34">
        <f>SUM(K87:K89)</f>
        <v>0.339092523817213</v>
      </c>
      <c r="L90" s="267"/>
      <c r="M90" s="4"/>
      <c r="N90" s="3"/>
      <c r="O90" s="5"/>
      <c r="P90" s="5"/>
    </row>
    <row r="91" spans="2:16" x14ac:dyDescent="0.3">
      <c r="B91" s="69"/>
      <c r="H91" s="30"/>
      <c r="I91" s="138"/>
      <c r="J91" s="30"/>
      <c r="K91" s="30"/>
      <c r="L91" s="30"/>
      <c r="M91" s="4"/>
      <c r="N91" s="3"/>
      <c r="O91" s="5"/>
      <c r="P91" s="5"/>
    </row>
    <row r="92" spans="2:16" x14ac:dyDescent="0.3">
      <c r="B92" s="69"/>
      <c r="H92" s="31"/>
      <c r="I92" s="139"/>
      <c r="J92" s="31"/>
      <c r="K92" s="31"/>
      <c r="L92" s="31"/>
      <c r="O92" s="5"/>
      <c r="P92" s="5"/>
    </row>
    <row r="93" spans="2:16" ht="15.6" x14ac:dyDescent="0.3">
      <c r="B93" s="69"/>
      <c r="C93" s="329" t="s">
        <v>208</v>
      </c>
      <c r="D93" s="330"/>
      <c r="H93" s="30"/>
      <c r="I93" s="138"/>
      <c r="J93" s="30"/>
      <c r="K93" s="30"/>
      <c r="L93" s="30"/>
      <c r="O93" s="5"/>
      <c r="P93" s="5"/>
    </row>
    <row r="94" spans="2:16" s="26" customFormat="1" ht="15.6" x14ac:dyDescent="0.3">
      <c r="C94" s="331"/>
      <c r="D94" s="15"/>
      <c r="O94" s="5"/>
      <c r="P94" s="5"/>
    </row>
    <row r="95" spans="2:16" ht="15.6" x14ac:dyDescent="0.3">
      <c r="C95" s="329" t="s">
        <v>209</v>
      </c>
      <c r="D95" s="332"/>
      <c r="O95" s="5"/>
      <c r="P95" s="5"/>
    </row>
    <row r="96" spans="2:16" s="18" customFormat="1" ht="15.6" x14ac:dyDescent="0.3">
      <c r="C96" s="331"/>
      <c r="D96" s="15"/>
      <c r="L96" s="271"/>
      <c r="O96" s="6"/>
      <c r="P96" s="6"/>
    </row>
    <row r="97" spans="2:16" ht="15.6" x14ac:dyDescent="0.3">
      <c r="C97" s="329" t="s">
        <v>210</v>
      </c>
      <c r="D97" s="333"/>
      <c r="O97" s="5"/>
      <c r="P97" s="5"/>
    </row>
    <row r="98" spans="2:16" x14ac:dyDescent="0.3">
      <c r="O98" s="5"/>
      <c r="P98" s="5"/>
    </row>
    <row r="99" spans="2:16" s="18" customFormat="1" x14ac:dyDescent="0.3">
      <c r="L99" s="271"/>
      <c r="O99" s="6"/>
      <c r="P99" s="6"/>
    </row>
    <row r="100" spans="2:16" x14ac:dyDescent="0.3">
      <c r="O100" s="5"/>
      <c r="P100" s="5"/>
    </row>
    <row r="101" spans="2:16" ht="14.4" customHeight="1" x14ac:dyDescent="0.3">
      <c r="O101" s="5"/>
      <c r="P101" s="5"/>
    </row>
    <row r="104" spans="2:16" x14ac:dyDescent="0.3">
      <c r="B104" s="26"/>
      <c r="C104" s="26"/>
      <c r="D104" s="26"/>
      <c r="E104" s="47"/>
      <c r="F104" s="26"/>
      <c r="G104" s="32"/>
      <c r="H104" s="32"/>
      <c r="J104" s="32"/>
      <c r="K104" s="32"/>
    </row>
    <row r="105" spans="2:16" x14ac:dyDescent="0.3">
      <c r="B105" s="26"/>
      <c r="C105" s="26"/>
      <c r="D105" s="26"/>
      <c r="E105" s="47"/>
      <c r="F105" s="26"/>
      <c r="G105" s="32"/>
      <c r="H105" s="32"/>
      <c r="J105" s="32"/>
      <c r="K105" s="32"/>
      <c r="M105" s="16"/>
    </row>
    <row r="106" spans="2:16" x14ac:dyDescent="0.3">
      <c r="B106" s="16"/>
      <c r="C106" s="156"/>
      <c r="D106" s="621"/>
      <c r="E106" s="621"/>
      <c r="F106" s="621"/>
      <c r="G106" s="621"/>
      <c r="H106" s="334"/>
      <c r="I106" s="334"/>
      <c r="J106" s="334"/>
      <c r="K106" s="334"/>
      <c r="L106" s="334"/>
      <c r="M106" s="16"/>
    </row>
    <row r="107" spans="2:16" x14ac:dyDescent="0.3">
      <c r="B107" s="158"/>
      <c r="C107" s="16"/>
      <c r="D107" s="16"/>
      <c r="E107" s="159"/>
      <c r="F107" s="16"/>
      <c r="G107" s="28"/>
      <c r="H107" s="28"/>
      <c r="I107" s="28"/>
      <c r="J107" s="28"/>
      <c r="K107" s="160"/>
      <c r="L107" s="160"/>
      <c r="M107" s="16"/>
    </row>
    <row r="108" spans="2:16" x14ac:dyDescent="0.3">
      <c r="B108" s="158"/>
      <c r="C108" s="16"/>
      <c r="D108" s="16"/>
      <c r="E108" s="159"/>
      <c r="F108" s="16"/>
      <c r="G108" s="28"/>
      <c r="H108" s="28"/>
      <c r="I108" s="28"/>
      <c r="J108" s="28"/>
      <c r="K108" s="160"/>
      <c r="L108" s="160"/>
      <c r="M108" s="16"/>
    </row>
    <row r="109" spans="2:16" x14ac:dyDescent="0.3">
      <c r="B109" s="158"/>
      <c r="C109" s="16"/>
      <c r="D109" s="16"/>
      <c r="E109" s="159"/>
      <c r="F109" s="16"/>
      <c r="G109" s="28"/>
      <c r="H109" s="28"/>
      <c r="I109" s="28"/>
      <c r="J109" s="28"/>
      <c r="K109" s="160"/>
      <c r="L109" s="160"/>
      <c r="M109" s="16"/>
    </row>
    <row r="110" spans="2:16" x14ac:dyDescent="0.3">
      <c r="B110" s="158"/>
      <c r="C110" s="16"/>
      <c r="D110" s="16"/>
      <c r="E110" s="159"/>
      <c r="F110" s="16"/>
      <c r="G110" s="28"/>
      <c r="H110" s="28"/>
      <c r="I110" s="28"/>
      <c r="J110" s="28"/>
      <c r="K110" s="160"/>
      <c r="L110" s="160"/>
      <c r="M110" s="16"/>
    </row>
    <row r="111" spans="2:16" x14ac:dyDescent="0.3">
      <c r="B111" s="161"/>
      <c r="C111" s="16"/>
      <c r="D111" s="16"/>
      <c r="E111" s="159"/>
      <c r="F111" s="16"/>
      <c r="G111" s="28"/>
      <c r="H111" s="28"/>
      <c r="I111" s="28"/>
      <c r="J111" s="28"/>
      <c r="K111" s="160"/>
      <c r="L111" s="160"/>
      <c r="M111" s="16"/>
    </row>
    <row r="112" spans="2:16" x14ac:dyDescent="0.3">
      <c r="B112" s="158"/>
      <c r="C112" s="16"/>
      <c r="D112" s="16"/>
      <c r="E112" s="159"/>
      <c r="F112" s="16"/>
      <c r="G112" s="28"/>
      <c r="H112" s="28"/>
      <c r="I112" s="28"/>
      <c r="J112" s="28"/>
      <c r="K112" s="160"/>
      <c r="L112" s="160"/>
      <c r="M112" s="16"/>
    </row>
    <row r="113" spans="2:13" x14ac:dyDescent="0.3">
      <c r="B113" s="158"/>
      <c r="C113" s="16"/>
      <c r="D113" s="16"/>
      <c r="E113" s="16"/>
      <c r="F113" s="16"/>
      <c r="G113" s="16"/>
      <c r="H113" s="16"/>
      <c r="I113" s="16"/>
      <c r="J113" s="16"/>
      <c r="K113" s="160"/>
      <c r="L113" s="160"/>
      <c r="M113" s="16"/>
    </row>
    <row r="114" spans="2:13" x14ac:dyDescent="0.3">
      <c r="B114" s="16"/>
      <c r="C114" s="16"/>
      <c r="D114" s="16"/>
      <c r="E114" s="159"/>
      <c r="F114" s="16"/>
      <c r="G114" s="28"/>
      <c r="H114" s="28"/>
      <c r="I114" s="28"/>
      <c r="J114" s="28"/>
      <c r="K114" s="28"/>
      <c r="L114" s="28"/>
      <c r="M114" s="16"/>
    </row>
    <row r="115" spans="2:13" x14ac:dyDescent="0.3">
      <c r="B115" s="16"/>
      <c r="C115" s="16"/>
      <c r="D115" s="16"/>
      <c r="E115" s="159"/>
      <c r="F115" s="16"/>
      <c r="G115" s="28"/>
      <c r="H115" s="28"/>
      <c r="I115" s="28"/>
      <c r="J115" s="28"/>
      <c r="K115" s="28"/>
      <c r="L115" s="28"/>
    </row>
  </sheetData>
  <sheetProtection algorithmName="SHA-512" hashValue="1CTXnPg7yZUH3ri+viELgzNFERSZGGbgCjy93Wv1BQmcPMMm3cuzhZWcZYzI6OE89KtVy2T7IxyaK6TJLaHb+g==" saltValue="rufzlpYp64xoB0xcCACbjQ==" spinCount="100000" sheet="1" objects="1" scenarios="1"/>
  <mergeCells count="15">
    <mergeCell ref="B53:C53"/>
    <mergeCell ref="B81:C81"/>
    <mergeCell ref="B86:C86"/>
    <mergeCell ref="B90:C90"/>
    <mergeCell ref="D106:G106"/>
    <mergeCell ref="C1:K1"/>
    <mergeCell ref="F3:G3"/>
    <mergeCell ref="D22:E22"/>
    <mergeCell ref="F22:G22"/>
    <mergeCell ref="B33:B34"/>
    <mergeCell ref="C33:C34"/>
    <mergeCell ref="D33:D34"/>
    <mergeCell ref="E33:E34"/>
    <mergeCell ref="F33:F34"/>
    <mergeCell ref="G33:K33"/>
  </mergeCells>
  <conditionalFormatting sqref="E54:E72">
    <cfRule type="cellIs" dxfId="31" priority="15" operator="equal">
      <formula>"USD"</formula>
    </cfRule>
    <cfRule type="containsText" dxfId="30" priority="16" operator="containsText" text="RUR">
      <formula>NOT(ISERROR(SEARCH("RUR",E54)))</formula>
    </cfRule>
  </conditionalFormatting>
  <conditionalFormatting sqref="E51:E52 E74:E80">
    <cfRule type="cellIs" dxfId="29" priority="13" operator="equal">
      <formula>"USD"</formula>
    </cfRule>
    <cfRule type="cellIs" dxfId="28" priority="14" operator="equal">
      <formula>"RUR"</formula>
    </cfRule>
  </conditionalFormatting>
  <conditionalFormatting sqref="E51:E52">
    <cfRule type="cellIs" dxfId="27" priority="11" operator="equal">
      <formula>"USD"</formula>
    </cfRule>
    <cfRule type="cellIs" dxfId="26" priority="12" operator="equal">
      <formula>"RUR"</formula>
    </cfRule>
  </conditionalFormatting>
  <conditionalFormatting sqref="E49:E50">
    <cfRule type="cellIs" dxfId="25" priority="3" operator="equal">
      <formula>"USD"</formula>
    </cfRule>
    <cfRule type="cellIs" dxfId="24" priority="4" operator="equal">
      <formula>"RUR"</formula>
    </cfRule>
  </conditionalFormatting>
  <conditionalFormatting sqref="E49:E50">
    <cfRule type="cellIs" dxfId="23" priority="5" operator="equal">
      <formula>"USD"</formula>
    </cfRule>
    <cfRule type="cellIs" dxfId="22" priority="6" operator="equal">
      <formula>"RUR"</formula>
    </cfRule>
  </conditionalFormatting>
  <conditionalFormatting sqref="E37:E47">
    <cfRule type="cellIs" dxfId="21" priority="9" operator="equal">
      <formula>"USD"</formula>
    </cfRule>
    <cfRule type="cellIs" dxfId="20" priority="10" operator="equal">
      <formula>"RUR"</formula>
    </cfRule>
  </conditionalFormatting>
  <conditionalFormatting sqref="E37:E47">
    <cfRule type="cellIs" dxfId="19" priority="7" operator="equal">
      <formula>"USD"</formula>
    </cfRule>
    <cfRule type="cellIs" dxfId="18" priority="8" operator="equal">
      <formula>"RUR"</formula>
    </cfRule>
  </conditionalFormatting>
  <conditionalFormatting sqref="E84">
    <cfRule type="cellIs" dxfId="17" priority="1" operator="equal">
      <formula>"USD"</formula>
    </cfRule>
    <cfRule type="cellIs" dxfId="16" priority="2" operator="equal">
      <formula>"RUR"</formula>
    </cfRule>
  </conditionalFormatting>
  <pageMargins left="0.25" right="0.25" top="0.75" bottom="0.75" header="0.3" footer="0.3"/>
  <pageSetup paperSize="9" scale="73" orientation="portrait" horizontalDpi="4294967295" verticalDpi="4294967295" r:id="rId1"/>
  <headerFooter alignWithMargins="0"/>
  <rowBreaks count="1" manualBreakCount="1">
    <brk id="32" min="1" max="11" man="1"/>
  </rowBreaks>
  <extLst>
    <ext xmlns:x14="http://schemas.microsoft.com/office/spreadsheetml/2009/9/main" uri="{CCE6A557-97BC-4b89-ADB6-D9C93CAAB3DF}">
      <x14:dataValidations xmlns:xm="http://schemas.microsoft.com/office/excel/2006/main" count="11">
        <x14:dataValidation type="list" allowBlank="1" showInputMessage="1" showErrorMessage="1">
          <x14:formula1>
            <xm:f>'P:\Расчеты сделок\DAP Гардабани Грузия\[Pасчет DAP Гардабани Грачевский эл-р 29 11 17.xlsx]справочник'!#REF!</xm:f>
          </x14:formula1>
          <xm:sqref>D51:D52 E37:E47 E49:E52</xm:sqref>
        </x14:dataValidation>
        <x14:dataValidation type="list" allowBlank="1" showInputMessage="1" showErrorMessage="1">
          <x14:formula1>
            <xm:f>'справочник логистика'!$A$2:$A$20</xm:f>
          </x14:formula1>
          <xm:sqref>D5</xm:sqref>
        </x14:dataValidation>
        <x14:dataValidation type="list" allowBlank="1" showInputMessage="1" showErrorMessage="1">
          <x14:formula1>
            <xm:f>справочник!$F$2:$F$4</xm:f>
          </x14:formula1>
          <xm:sqref>D7</xm:sqref>
        </x14:dataValidation>
        <x14:dataValidation type="list" allowBlank="1" showInputMessage="1" showErrorMessage="1">
          <x14:formula1>
            <xm:f>справочник!$C$23:$C$24</xm:f>
          </x14:formula1>
          <xm:sqref>E84 E74:E80 E37:E47 E49:E52 E54:E60 E64:E67</xm:sqref>
        </x14:dataValidation>
        <x14:dataValidation type="list" allowBlank="1" showInputMessage="1" showErrorMessage="1">
          <x14:formula1>
            <xm:f>справочник!$C$28:$C$29</xm:f>
          </x14:formula1>
          <xm:sqref>E87:E88</xm:sqref>
        </x14:dataValidation>
        <x14:dataValidation type="list" allowBlank="1" showInputMessage="1" showErrorMessage="1">
          <x14:formula1>
            <xm:f>справочник!$E$1:$E$9</xm:f>
          </x14:formula1>
          <xm:sqref>D10</xm:sqref>
        </x14:dataValidation>
        <x14:dataValidation type="list" allowBlank="1" showInputMessage="1" showErrorMessage="1">
          <x14:formula1>
            <xm:f>'качество справочник'!$B$2:$B$27</xm:f>
          </x14:formula1>
          <xm:sqref>D13</xm:sqref>
        </x14:dataValidation>
        <x14:dataValidation type="list" allowBlank="1" showInputMessage="1" showErrorMessage="1">
          <x14:formula1>
            <xm:f>справочник!$C$1:$C$8</xm:f>
          </x14:formula1>
          <xm:sqref>D4</xm:sqref>
        </x14:dataValidation>
        <x14:dataValidation type="list" allowBlank="1" showInputMessage="1" showErrorMessage="1">
          <x14:formula1>
            <xm:f>справочник!$E$15:$E$19</xm:f>
          </x14:formula1>
          <xm:sqref>D14</xm:sqref>
        </x14:dataValidation>
        <x14:dataValidation type="list" allowBlank="1" showInputMessage="1" showErrorMessage="1">
          <x14:formula1>
            <xm:f>справочник!$C$16:$C$18</xm:f>
          </x14:formula1>
          <xm:sqref>D54:D72 D35 D74:D80 D37:D47 D49:D52 D84</xm:sqref>
        </x14:dataValidation>
        <x14:dataValidation type="list" allowBlank="1" showInputMessage="1" showErrorMessage="1">
          <x14:formula1>
            <xm:f>справочник!$C$23:$C$25</xm:f>
          </x14:formula1>
          <xm:sqref>E68:E72 E61:E63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V115"/>
  <sheetViews>
    <sheetView topLeftCell="A43" zoomScale="70" zoomScaleNormal="70" workbookViewId="0">
      <selection activeCell="D19" sqref="D19"/>
    </sheetView>
  </sheetViews>
  <sheetFormatPr defaultColWidth="9.109375" defaultRowHeight="13.8" outlineLevelRow="1" outlineLevelCol="1" x14ac:dyDescent="0.3"/>
  <cols>
    <col min="1" max="1" width="2.6640625" style="15" customWidth="1"/>
    <col min="2" max="2" width="1.88671875" style="15" customWidth="1"/>
    <col min="3" max="3" width="28.33203125" style="15" customWidth="1"/>
    <col min="4" max="4" width="21.6640625" style="15" customWidth="1"/>
    <col min="5" max="5" width="10.44140625" style="48" customWidth="1"/>
    <col min="6" max="6" width="11.44140625" style="15" customWidth="1"/>
    <col min="7" max="7" width="14" style="29" customWidth="1"/>
    <col min="8" max="8" width="12.33203125" style="29" customWidth="1"/>
    <col min="9" max="9" width="21.33203125" style="123" hidden="1" customWidth="1" outlineLevel="1"/>
    <col min="10" max="10" width="20.33203125" style="29" customWidth="1" collapsed="1"/>
    <col min="11" max="11" width="13" style="29" customWidth="1"/>
    <col min="12" max="12" width="3.109375" style="32" customWidth="1"/>
    <col min="13" max="13" width="13.5546875" style="15" customWidth="1"/>
    <col min="14" max="14" width="16.6640625" style="15" customWidth="1"/>
    <col min="15" max="15" width="10" style="15" customWidth="1"/>
    <col min="16" max="16" width="11.33203125" style="15" hidden="1" customWidth="1"/>
    <col min="17" max="17" width="13.5546875" style="15" hidden="1" customWidth="1"/>
    <col min="18" max="18" width="0" style="15" hidden="1" customWidth="1"/>
    <col min="19" max="16384" width="9.109375" style="15"/>
  </cols>
  <sheetData>
    <row r="1" spans="2:16" ht="18" x14ac:dyDescent="0.35">
      <c r="B1" s="309"/>
      <c r="C1" s="603" t="s">
        <v>15</v>
      </c>
      <c r="D1" s="603"/>
      <c r="E1" s="603"/>
      <c r="F1" s="603"/>
      <c r="G1" s="603"/>
      <c r="H1" s="603"/>
      <c r="I1" s="603"/>
      <c r="J1" s="603"/>
      <c r="K1" s="603"/>
      <c r="L1" s="296"/>
      <c r="M1" s="296"/>
      <c r="N1" s="296"/>
      <c r="O1" s="296"/>
      <c r="P1" s="14"/>
    </row>
    <row r="2" spans="2:16" ht="15" thickBot="1" x14ac:dyDescent="0.35">
      <c r="B2" s="310"/>
      <c r="C2" s="424"/>
      <c r="D2" s="425"/>
      <c r="E2" s="305"/>
      <c r="F2" s="272"/>
      <c r="G2" s="275"/>
      <c r="H2" s="275"/>
      <c r="J2" s="263" t="s">
        <v>196</v>
      </c>
      <c r="K2" s="426">
        <f>Сравнение!E4</f>
        <v>43179</v>
      </c>
      <c r="M2" s="263"/>
      <c r="O2" s="265"/>
      <c r="P2" s="19"/>
    </row>
    <row r="3" spans="2:16" ht="25.2" x14ac:dyDescent="0.45">
      <c r="B3" s="272"/>
      <c r="C3" s="427" t="s">
        <v>52</v>
      </c>
      <c r="D3" s="428">
        <f>Сравнение!B4</f>
        <v>205</v>
      </c>
      <c r="E3" s="425"/>
      <c r="F3" s="622" t="s">
        <v>72</v>
      </c>
      <c r="G3" s="623"/>
      <c r="H3" s="275"/>
      <c r="I3" s="124"/>
      <c r="J3" s="263" t="s">
        <v>144</v>
      </c>
      <c r="K3" s="426">
        <f>Сравнение!E5</f>
        <v>43186</v>
      </c>
      <c r="M3" s="263"/>
      <c r="O3" s="168"/>
      <c r="P3" s="19"/>
    </row>
    <row r="4" spans="2:16" ht="27.6" x14ac:dyDescent="0.3">
      <c r="B4" s="272"/>
      <c r="C4" s="429" t="s">
        <v>119</v>
      </c>
      <c r="D4" s="430" t="s">
        <v>165</v>
      </c>
      <c r="E4" s="272"/>
      <c r="F4" s="100" t="s">
        <v>84</v>
      </c>
      <c r="G4" s="101" t="str">
        <f>D13</f>
        <v>пш 4 класс кл. 20-22 (12.5)</v>
      </c>
      <c r="H4" s="275"/>
      <c r="I4" s="124"/>
      <c r="J4" s="261" t="s">
        <v>197</v>
      </c>
      <c r="K4" s="16"/>
      <c r="M4" s="172"/>
    </row>
    <row r="5" spans="2:16" ht="13.95" customHeight="1" x14ac:dyDescent="0.3">
      <c r="B5" s="272"/>
      <c r="C5" s="429" t="s">
        <v>120</v>
      </c>
      <c r="D5" s="431" t="str">
        <f>Сравнение!B5</f>
        <v>Бабарыкино</v>
      </c>
      <c r="E5" s="432"/>
      <c r="F5" s="100" t="s">
        <v>71</v>
      </c>
      <c r="G5" s="119">
        <f>IF(ISNA(VLOOKUP($G$4,'качество справочник'!$B$2:$O$27,2,0))," ",VLOOKUP($G$4,'качество справочник'!$B$2:$O$27,2,0))</f>
        <v>0.125</v>
      </c>
      <c r="H5" s="275"/>
      <c r="I5" s="124"/>
      <c r="J5" s="257" t="s">
        <v>194</v>
      </c>
      <c r="K5" s="433">
        <f>Сравнение!E7</f>
        <v>43145</v>
      </c>
      <c r="M5" s="1"/>
    </row>
    <row r="6" spans="2:16" ht="24" customHeight="1" x14ac:dyDescent="0.3">
      <c r="B6" s="272"/>
      <c r="C6" s="434" t="s">
        <v>121</v>
      </c>
      <c r="D6" s="435">
        <f>Сравнение!B6</f>
        <v>10</v>
      </c>
      <c r="E6" s="432"/>
      <c r="F6" s="100" t="s">
        <v>70</v>
      </c>
      <c r="G6" s="119" t="str">
        <f>IF(ISNA(VLOOKUP($G$4,'качество справочник'!$B$2:$O$27,3,0))," ",VLOOKUP($G$4,'качество справочник'!$B$2:$O$27,3,0))</f>
        <v>20-22</v>
      </c>
      <c r="H6" s="275"/>
      <c r="I6" s="124"/>
      <c r="J6" s="295" t="s">
        <v>198</v>
      </c>
      <c r="K6" s="433">
        <f>Сравнение!E8</f>
        <v>43200</v>
      </c>
      <c r="M6" s="2"/>
      <c r="O6" s="19"/>
    </row>
    <row r="7" spans="2:16" ht="14.4" x14ac:dyDescent="0.3">
      <c r="B7" s="272"/>
      <c r="C7" s="434" t="s">
        <v>122</v>
      </c>
      <c r="D7" s="435" t="str">
        <f>Сравнение!B7</f>
        <v>Выходные ИСКЛ</v>
      </c>
      <c r="E7" s="432"/>
      <c r="F7" s="163" t="s">
        <v>69</v>
      </c>
      <c r="G7" s="119" t="str">
        <f>IF(ISNA(VLOOKUP($G$4,'качество справочник'!$B$2:$O$27,4,0))," ",VLOOKUP($G$4,'качество справочник'!$B$2:$O$27,4,0))</f>
        <v>770-780 г/л</v>
      </c>
      <c r="H7" s="275"/>
      <c r="I7" s="124"/>
      <c r="J7" s="258" t="s">
        <v>195</v>
      </c>
      <c r="K7" s="260">
        <f>K6-K5</f>
        <v>55</v>
      </c>
      <c r="M7" s="72"/>
    </row>
    <row r="8" spans="2:16" x14ac:dyDescent="0.3">
      <c r="B8" s="272"/>
      <c r="C8" s="434" t="s">
        <v>127</v>
      </c>
      <c r="D8" s="243">
        <f>Сравнение!B8</f>
        <v>5</v>
      </c>
      <c r="E8" s="432"/>
      <c r="F8" s="163" t="s">
        <v>73</v>
      </c>
      <c r="G8" s="119">
        <f>IF(ISNA(VLOOKUP($G$4,'качество справочник'!$B$2:$O$27,5,0))," ",VLOOKUP($G$4,'качество справочник'!$B$2:$O$27,5,0))</f>
        <v>0.14499999999999999</v>
      </c>
      <c r="H8" s="275"/>
      <c r="I8" s="124"/>
      <c r="K8" s="32"/>
      <c r="M8" s="74"/>
    </row>
    <row r="9" spans="2:16" x14ac:dyDescent="0.3">
      <c r="B9" s="272"/>
      <c r="C9" s="434" t="s">
        <v>145</v>
      </c>
      <c r="D9" s="243">
        <f>Сравнение!B9</f>
        <v>7</v>
      </c>
      <c r="E9" s="432"/>
      <c r="F9" s="163" t="s">
        <v>74</v>
      </c>
      <c r="G9" s="119">
        <f>IF(ISNA(VLOOKUP($G$4,'качество справочник'!$B$2:$O$27,6,0))," ",VLOOKUP($G$4,'качество справочник'!$B$2:$O$27,6,0))</f>
        <v>0.02</v>
      </c>
      <c r="H9" s="275"/>
      <c r="I9" s="124"/>
      <c r="J9" s="319" t="s">
        <v>55</v>
      </c>
      <c r="K9" s="436"/>
    </row>
    <row r="10" spans="2:16" x14ac:dyDescent="0.3">
      <c r="B10" s="272"/>
      <c r="C10" s="434" t="s">
        <v>118</v>
      </c>
      <c r="D10" s="431" t="str">
        <f>Сравнение!B10</f>
        <v>EXW</v>
      </c>
      <c r="E10" s="432"/>
      <c r="F10" s="163" t="s">
        <v>75</v>
      </c>
      <c r="G10" s="119">
        <f>IF(ISNA(VLOOKUP($G$4,'качество справочник'!$B$2:$O$27,7,0))," ",VLOOKUP($G$4,'качество справочник'!$B$2:$O$27,7,0))</f>
        <v>0.04</v>
      </c>
      <c r="H10" s="275"/>
      <c r="I10" s="125"/>
      <c r="J10" s="319" t="s">
        <v>44</v>
      </c>
      <c r="K10" s="436">
        <f>Сравнение!E11</f>
        <v>0.13</v>
      </c>
    </row>
    <row r="11" spans="2:16" ht="39.6" x14ac:dyDescent="0.3">
      <c r="B11" s="272"/>
      <c r="C11" s="437" t="s">
        <v>116</v>
      </c>
      <c r="D11" s="438">
        <f>Сравнение!B13</f>
        <v>3000</v>
      </c>
      <c r="E11" s="439" t="s">
        <v>35</v>
      </c>
      <c r="F11" s="103" t="s">
        <v>83</v>
      </c>
      <c r="G11" s="165" t="str">
        <f>IF(ISNA(VLOOKUP($G$4,'качество справочник'!$B$2:$O$27,8,0))," ",VLOOKUP($G$4,'качество справочник'!$B$2:$O$27,8,0))</f>
        <v>&lt;=2</v>
      </c>
      <c r="H11" s="275"/>
      <c r="I11" s="124"/>
      <c r="J11" s="319" t="s">
        <v>45</v>
      </c>
      <c r="K11" s="436">
        <f>K10/12</f>
        <v>1.0833333333333334E-2</v>
      </c>
    </row>
    <row r="12" spans="2:16" ht="15.6" x14ac:dyDescent="0.3">
      <c r="B12" s="272"/>
      <c r="C12" s="437" t="s">
        <v>202</v>
      </c>
      <c r="D12" s="438">
        <f>Сравнение!B14</f>
        <v>25000</v>
      </c>
      <c r="E12" s="439" t="s">
        <v>35</v>
      </c>
      <c r="F12" s="163" t="s">
        <v>76</v>
      </c>
      <c r="G12" s="119" t="str">
        <f>IF(ISNA(VLOOKUP($G$4,'качество справочник'!$B$2:$O$27,9,0))," ",VLOOKUP($G$4,'качество справочник'!$B$2:$O$27,9,0))</f>
        <v>&lt;=85</v>
      </c>
      <c r="H12" s="275"/>
      <c r="I12" s="125"/>
      <c r="J12" s="17" t="s">
        <v>47</v>
      </c>
      <c r="K12" s="440">
        <f>Сравнение!E13</f>
        <v>56.3</v>
      </c>
    </row>
    <row r="13" spans="2:16" ht="16.5" customHeight="1" x14ac:dyDescent="0.3">
      <c r="B13" s="272"/>
      <c r="C13" s="441" t="s">
        <v>110</v>
      </c>
      <c r="D13" s="442" t="str">
        <f>Сравнение!B15</f>
        <v>пш 4 класс кл. 20-22 (12.5)</v>
      </c>
      <c r="E13" s="432"/>
      <c r="F13" s="163" t="s">
        <v>78</v>
      </c>
      <c r="G13" s="119" t="str">
        <f>IF(ISNA(VLOOKUP($G$4,'качество справочник'!$B$2:$O$27,10,0))," ",VLOOKUP($G$4,'качество справочник'!$B$2:$O$27,10,0))</f>
        <v>&gt;=280</v>
      </c>
      <c r="H13" s="275"/>
      <c r="I13" s="124"/>
      <c r="J13" s="17" t="s">
        <v>48</v>
      </c>
      <c r="K13" s="440">
        <f>Сравнение!E14</f>
        <v>70.17</v>
      </c>
    </row>
    <row r="14" spans="2:16" x14ac:dyDescent="0.3">
      <c r="B14" s="272"/>
      <c r="C14" s="443" t="s">
        <v>77</v>
      </c>
      <c r="D14" s="442" t="str">
        <f>Сравнение!B16</f>
        <v>100% предоплата</v>
      </c>
      <c r="E14" s="432"/>
      <c r="F14" s="164" t="s">
        <v>79</v>
      </c>
      <c r="G14" s="119" t="str">
        <f>IF(ISNA(VLOOKUP($G$4,'качество справочник'!$B$2:$O$27,11,0))," ",VLOOKUP($G$4,'качество справочник'!$B$2:$O$27,11,0))</f>
        <v>-</v>
      </c>
      <c r="H14" s="275"/>
      <c r="I14" s="124"/>
      <c r="J14" s="321" t="s">
        <v>192</v>
      </c>
      <c r="K14" s="322">
        <v>0.04</v>
      </c>
    </row>
    <row r="15" spans="2:16" x14ac:dyDescent="0.3">
      <c r="B15" s="272"/>
      <c r="C15" s="434" t="s">
        <v>219</v>
      </c>
      <c r="D15" s="444">
        <f>IF(ISNA(VLOOKUP(D14,справочник!E15:F19,2,0))," ",VLOOKUP(D14,справочник!E15:F19,2,0))</f>
        <v>21000000</v>
      </c>
      <c r="E15" s="272"/>
      <c r="F15" s="164" t="s">
        <v>80</v>
      </c>
      <c r="G15" s="119" t="str">
        <f>IF(ISNA(VLOOKUP($G$4,'качество справочник'!$B$2:$O$27,12,0))," ",VLOOKUP($G$4,'качество справочник'!$B$2:$O$27,12,0))</f>
        <v>-</v>
      </c>
      <c r="H15" s="275"/>
      <c r="I15" s="124"/>
      <c r="J15" s="319" t="s">
        <v>193</v>
      </c>
      <c r="K15" s="323">
        <f>((((D11*J35)/K12)*(K14/365))*K7)/D11</f>
        <v>0.68128178301175213</v>
      </c>
    </row>
    <row r="16" spans="2:16" ht="15.6" x14ac:dyDescent="0.3">
      <c r="B16" s="272"/>
      <c r="C16" s="443" t="s">
        <v>125</v>
      </c>
      <c r="D16" s="445">
        <v>45</v>
      </c>
      <c r="E16" s="446" t="s">
        <v>51</v>
      </c>
      <c r="F16" s="164" t="s">
        <v>81</v>
      </c>
      <c r="G16" s="119" t="str">
        <f>IF(ISNA(VLOOKUP($G$4,'качество справочник'!$B$2:$O$27,13,0))," - ",VLOOKUP($G$4,'качество справочник'!$B$2:$O$27,13,1))</f>
        <v>-</v>
      </c>
      <c r="H16" s="275"/>
      <c r="I16" s="125"/>
      <c r="J16" s="17" t="s">
        <v>200</v>
      </c>
      <c r="K16" s="440"/>
    </row>
    <row r="17" spans="2:16" ht="15.6" x14ac:dyDescent="0.3">
      <c r="B17" s="272"/>
      <c r="C17" s="443" t="s">
        <v>126</v>
      </c>
      <c r="D17" s="447">
        <f>Сравнение!B17</f>
        <v>45</v>
      </c>
      <c r="E17" s="446" t="s">
        <v>51</v>
      </c>
      <c r="F17" s="164" t="s">
        <v>82</v>
      </c>
      <c r="G17" s="119" t="str">
        <f>IF(ISNA(VLOOKUP($G$4,'качество справочник'!$B$2:$O$27,14,0))," ",VLOOKUP($G$4,'качество справочник'!$B$2:$O$27,14,0))</f>
        <v>-</v>
      </c>
      <c r="H17" s="275"/>
      <c r="I17" s="448"/>
      <c r="J17" s="15"/>
      <c r="K17" s="15"/>
    </row>
    <row r="18" spans="2:16" x14ac:dyDescent="0.3">
      <c r="B18" s="272"/>
      <c r="C18" s="449" t="s">
        <v>39</v>
      </c>
      <c r="D18" s="450">
        <f>Сравнение!B20</f>
        <v>1.0833333333333334E-2</v>
      </c>
      <c r="E18" s="446"/>
      <c r="F18" s="446"/>
      <c r="G18" s="275"/>
      <c r="H18" s="275"/>
      <c r="I18" s="448"/>
      <c r="J18" s="451" t="s">
        <v>49</v>
      </c>
      <c r="K18" s="452">
        <f>G35-J35</f>
        <v>636.36363636363694</v>
      </c>
      <c r="M18" s="268"/>
      <c r="N18" s="4"/>
    </row>
    <row r="19" spans="2:16" x14ac:dyDescent="0.3">
      <c r="B19" s="272"/>
      <c r="C19" s="453" t="s">
        <v>199</v>
      </c>
      <c r="D19" s="454">
        <f>Сравнение!B21</f>
        <v>4.45</v>
      </c>
      <c r="E19" s="446" t="s">
        <v>51</v>
      </c>
      <c r="F19" s="446"/>
      <c r="G19" s="275"/>
      <c r="H19" s="275"/>
      <c r="I19" s="95"/>
      <c r="J19" s="451" t="s">
        <v>50</v>
      </c>
      <c r="K19" s="452">
        <f>(G73+G81+G53+G48)-(J73+J81+J53+J48)</f>
        <v>486.08729946305084</v>
      </c>
    </row>
    <row r="20" spans="2:16" ht="14.4" thickBot="1" x14ac:dyDescent="0.35">
      <c r="B20" s="272"/>
      <c r="C20" s="455" t="s">
        <v>199</v>
      </c>
      <c r="D20" s="456">
        <f>D19*31</f>
        <v>137.95000000000002</v>
      </c>
      <c r="E20" s="446" t="s">
        <v>201</v>
      </c>
      <c r="F20" s="272"/>
      <c r="G20" s="275"/>
      <c r="H20" s="275"/>
      <c r="J20" s="457" t="s">
        <v>53</v>
      </c>
      <c r="K20" s="458">
        <f>SUM(K18:K19)</f>
        <v>1122.4509358266878</v>
      </c>
      <c r="P20" s="70"/>
    </row>
    <row r="21" spans="2:16" s="26" customFormat="1" ht="14.4" thickBot="1" x14ac:dyDescent="0.35">
      <c r="B21" s="272"/>
      <c r="C21" s="459"/>
      <c r="D21" s="460"/>
      <c r="E21" s="446"/>
      <c r="F21" s="272"/>
      <c r="G21" s="275"/>
      <c r="H21" s="275"/>
      <c r="I21" s="32"/>
      <c r="J21" s="461"/>
      <c r="K21" s="462"/>
      <c r="L21" s="32"/>
      <c r="P21" s="70"/>
    </row>
    <row r="22" spans="2:16" s="26" customFormat="1" ht="14.4" thickBot="1" x14ac:dyDescent="0.35">
      <c r="B22" s="272"/>
      <c r="C22" s="273"/>
      <c r="D22" s="599" t="s">
        <v>62</v>
      </c>
      <c r="E22" s="600"/>
      <c r="F22" s="599" t="s">
        <v>61</v>
      </c>
      <c r="G22" s="600"/>
      <c r="H22" s="272"/>
      <c r="I22" s="4"/>
      <c r="J22" s="276"/>
      <c r="K22" s="277"/>
      <c r="L22" s="32"/>
      <c r="P22" s="70"/>
    </row>
    <row r="23" spans="2:16" s="26" customFormat="1" ht="14.4" thickBot="1" x14ac:dyDescent="0.35">
      <c r="B23" s="272"/>
      <c r="C23" s="273"/>
      <c r="D23" s="279" t="s">
        <v>41</v>
      </c>
      <c r="E23" s="279" t="s">
        <v>2</v>
      </c>
      <c r="F23" s="279" t="s">
        <v>40</v>
      </c>
      <c r="G23" s="279" t="s">
        <v>2</v>
      </c>
      <c r="H23" s="272"/>
      <c r="I23" s="3"/>
      <c r="J23" s="326" t="s">
        <v>203</v>
      </c>
      <c r="K23" s="327"/>
      <c r="L23" s="32"/>
      <c r="P23" s="70"/>
    </row>
    <row r="24" spans="2:16" s="26" customFormat="1" x14ac:dyDescent="0.3">
      <c r="B24" s="272"/>
      <c r="C24" s="280" t="s">
        <v>54</v>
      </c>
      <c r="D24" s="284">
        <f>D3*K12</f>
        <v>11541.5</v>
      </c>
      <c r="E24" s="284">
        <f>D3</f>
        <v>205</v>
      </c>
      <c r="F24" s="284">
        <f>D3*K12</f>
        <v>11541.5</v>
      </c>
      <c r="G24" s="284">
        <f>D3</f>
        <v>205</v>
      </c>
      <c r="H24" s="272"/>
      <c r="I24" s="9"/>
      <c r="J24" s="326" t="s">
        <v>204</v>
      </c>
      <c r="K24" s="327"/>
      <c r="L24" s="32"/>
      <c r="P24" s="70"/>
    </row>
    <row r="25" spans="2:16" s="26" customFormat="1" x14ac:dyDescent="0.3">
      <c r="B25" s="272"/>
      <c r="C25" s="281" t="s">
        <v>33</v>
      </c>
      <c r="D25" s="285">
        <f>SUM(G35+G73+G81+G90+G86+G53+G48)</f>
        <v>11761.146511288563</v>
      </c>
      <c r="E25" s="285">
        <f>D25/K12</f>
        <v>208.90135899269208</v>
      </c>
      <c r="F25" s="285">
        <f>SUM(J35+J73+J81+J90+J86+J53+J48)</f>
        <v>10636.786484552787</v>
      </c>
      <c r="G25" s="285">
        <f>F25/K12</f>
        <v>188.93048818033373</v>
      </c>
      <c r="H25" s="272"/>
      <c r="J25" s="326" t="s">
        <v>205</v>
      </c>
      <c r="K25" s="328"/>
      <c r="L25" s="32"/>
      <c r="P25" s="70"/>
    </row>
    <row r="26" spans="2:16" s="26" customFormat="1" ht="15.6" x14ac:dyDescent="0.3">
      <c r="B26" s="272"/>
      <c r="C26" s="282" t="s">
        <v>34</v>
      </c>
      <c r="D26" s="286">
        <f>(D24-D25)</f>
        <v>-219.64651128856349</v>
      </c>
      <c r="E26" s="286">
        <f>(E24-E25)</f>
        <v>-3.9013589926920815</v>
      </c>
      <c r="F26" s="286">
        <f>(F24-F25)</f>
        <v>904.71351544721256</v>
      </c>
      <c r="G26" s="286">
        <f>(G24-G25)</f>
        <v>16.069511819666275</v>
      </c>
      <c r="H26" s="91">
        <f>G26+M82</f>
        <v>15.570036319903235</v>
      </c>
      <c r="I26" s="3"/>
      <c r="J26" s="326" t="s">
        <v>206</v>
      </c>
      <c r="K26" s="327"/>
      <c r="L26" s="32"/>
      <c r="P26" s="70"/>
    </row>
    <row r="27" spans="2:16" s="26" customFormat="1" ht="14.4" thickBot="1" x14ac:dyDescent="0.35">
      <c r="B27" s="272"/>
      <c r="C27" s="283" t="str">
        <f>J15</f>
        <v>Hedge gain per deal</v>
      </c>
      <c r="D27" s="287"/>
      <c r="E27" s="287"/>
      <c r="F27" s="287"/>
      <c r="G27" s="288">
        <f>K15</f>
        <v>0.68128178301175213</v>
      </c>
      <c r="H27" s="272"/>
      <c r="I27" s="3"/>
      <c r="J27" s="326" t="s">
        <v>207</v>
      </c>
      <c r="K27" s="327"/>
      <c r="L27" s="32"/>
      <c r="P27" s="70"/>
    </row>
    <row r="28" spans="2:16" s="26" customFormat="1" x14ac:dyDescent="0.3">
      <c r="B28" s="272"/>
      <c r="C28" s="289" t="s">
        <v>20</v>
      </c>
      <c r="D28" s="290">
        <f>D3*K12</f>
        <v>11541.5</v>
      </c>
      <c r="E28" s="306"/>
      <c r="F28" s="306"/>
      <c r="G28" s="306"/>
      <c r="H28" s="272"/>
      <c r="I28" s="3"/>
      <c r="L28" s="32"/>
      <c r="P28" s="70"/>
    </row>
    <row r="29" spans="2:16" s="26" customFormat="1" x14ac:dyDescent="0.3">
      <c r="B29" s="272"/>
      <c r="C29" s="291" t="s">
        <v>16</v>
      </c>
      <c r="D29" s="292">
        <f>D28-D25</f>
        <v>-219.64651128856349</v>
      </c>
      <c r="E29" s="306"/>
      <c r="F29" s="306"/>
      <c r="G29" s="306"/>
      <c r="H29" s="272"/>
      <c r="I29" s="8"/>
      <c r="L29" s="32"/>
      <c r="P29" s="70"/>
    </row>
    <row r="30" spans="2:16" s="26" customFormat="1" x14ac:dyDescent="0.3">
      <c r="B30" s="272"/>
      <c r="C30" s="291" t="s">
        <v>17</v>
      </c>
      <c r="D30" s="292">
        <f>D29+(K18+K19)</f>
        <v>902.80442453812429</v>
      </c>
      <c r="E30" s="306"/>
      <c r="F30" s="306"/>
      <c r="G30" s="306"/>
      <c r="H30" s="272"/>
      <c r="I30" s="15"/>
      <c r="L30" s="32"/>
      <c r="P30" s="70"/>
    </row>
    <row r="31" spans="2:16" s="26" customFormat="1" ht="14.4" thickBot="1" x14ac:dyDescent="0.35">
      <c r="B31" s="272"/>
      <c r="C31" s="293" t="s">
        <v>18</v>
      </c>
      <c r="D31" s="294">
        <f>D30/(D25)</f>
        <v>7.6761600042274461E-2</v>
      </c>
      <c r="E31" s="307"/>
      <c r="F31" s="307"/>
      <c r="G31" s="307"/>
      <c r="H31" s="272"/>
      <c r="I31" s="15"/>
      <c r="J31" s="276"/>
      <c r="K31" s="277"/>
      <c r="L31" s="32"/>
      <c r="P31" s="70"/>
    </row>
    <row r="32" spans="2:16" ht="14.4" thickBot="1" x14ac:dyDescent="0.35">
      <c r="B32" s="272"/>
      <c r="C32" s="272"/>
      <c r="D32" s="272"/>
      <c r="E32" s="308"/>
      <c r="F32" s="274"/>
      <c r="G32" s="275"/>
      <c r="H32" s="275"/>
      <c r="J32" s="275"/>
      <c r="K32" s="275"/>
      <c r="P32" s="71"/>
    </row>
    <row r="33" spans="2:22" ht="12.75" customHeight="1" thickBot="1" x14ac:dyDescent="0.35">
      <c r="B33" s="606" t="s">
        <v>0</v>
      </c>
      <c r="C33" s="606" t="s">
        <v>19</v>
      </c>
      <c r="D33" s="608" t="s">
        <v>46</v>
      </c>
      <c r="E33" s="608" t="s">
        <v>58</v>
      </c>
      <c r="F33" s="608" t="s">
        <v>59</v>
      </c>
      <c r="G33" s="611" t="s">
        <v>60</v>
      </c>
      <c r="H33" s="612"/>
      <c r="I33" s="612"/>
      <c r="J33" s="612"/>
      <c r="K33" s="613"/>
      <c r="L33" s="266"/>
      <c r="P33" s="73"/>
    </row>
    <row r="34" spans="2:22" ht="14.4" thickBot="1" x14ac:dyDescent="0.35">
      <c r="B34" s="607"/>
      <c r="C34" s="607"/>
      <c r="D34" s="609"/>
      <c r="E34" s="610"/>
      <c r="F34" s="610"/>
      <c r="G34" s="82" t="s">
        <v>41</v>
      </c>
      <c r="H34" s="82" t="s">
        <v>2</v>
      </c>
      <c r="I34" s="178"/>
      <c r="J34" s="179" t="s">
        <v>40</v>
      </c>
      <c r="K34" s="82" t="s">
        <v>2</v>
      </c>
      <c r="L34" s="266"/>
    </row>
    <row r="35" spans="2:22" ht="17.25" customHeight="1" thickBot="1" x14ac:dyDescent="0.35">
      <c r="B35" s="61"/>
      <c r="C35" s="463" t="s">
        <v>177</v>
      </c>
      <c r="D35" s="464">
        <f>Сравнение!B12</f>
        <v>1.1000000000000001</v>
      </c>
      <c r="E35" s="465" t="s">
        <v>1</v>
      </c>
      <c r="F35" s="466">
        <f>Сравнение!B11</f>
        <v>7000</v>
      </c>
      <c r="G35" s="467">
        <f>F35</f>
        <v>7000</v>
      </c>
      <c r="H35" s="76">
        <f>G35/K12</f>
        <v>124.33392539964477</v>
      </c>
      <c r="I35" s="126"/>
      <c r="J35" s="75">
        <f>IF(IF(D35=0,G35,G35/D35)=0,"",(IF(D35=0,G35,G35/D35)))</f>
        <v>6363.6363636363631</v>
      </c>
      <c r="K35" s="76">
        <f>J35/K12</f>
        <v>113.03084127240432</v>
      </c>
    </row>
    <row r="36" spans="2:22" ht="14.4" thickBot="1" x14ac:dyDescent="0.35">
      <c r="B36" s="199" t="s">
        <v>36</v>
      </c>
      <c r="C36" s="200" t="s">
        <v>179</v>
      </c>
      <c r="D36" s="207"/>
      <c r="E36" s="201"/>
      <c r="F36" s="202"/>
      <c r="G36" s="55">
        <f>SUM(G35)</f>
        <v>7000</v>
      </c>
      <c r="H36" s="56">
        <f>SUM(H35)</f>
        <v>124.33392539964477</v>
      </c>
      <c r="I36" s="130"/>
      <c r="J36" s="33">
        <f>SUM(J35)</f>
        <v>6363.6363636363631</v>
      </c>
      <c r="K36" s="57">
        <f>SUM(K35)</f>
        <v>113.03084127240432</v>
      </c>
    </row>
    <row r="37" spans="2:22" ht="27.6" x14ac:dyDescent="0.3">
      <c r="B37" s="195"/>
      <c r="C37" s="219" t="s">
        <v>166</v>
      </c>
      <c r="D37" s="468">
        <v>1.18</v>
      </c>
      <c r="E37" s="469" t="s">
        <v>1</v>
      </c>
      <c r="F37" s="470"/>
      <c r="G37" s="77" t="str">
        <f t="shared" ref="G37:G47" si="0">IF((IF(E37="RUR",F37,F37*$K$12))=0,"",(IF(E37="RUR",F37,F37*$K$12)))</f>
        <v/>
      </c>
      <c r="H37" s="39" t="str">
        <f t="shared" ref="H37:H47" si="1">IF(ISERROR(G37/$K$12),"",(G37/$K$12))</f>
        <v/>
      </c>
      <c r="I37" s="127" t="e">
        <f t="shared" ref="I37:I45" si="2">IF(IF(D37=0,G37,G37/D37)=0,"",(IF(D37=0,G37,G37/D37)))</f>
        <v>#VALUE!</v>
      </c>
      <c r="J37" s="78" t="str">
        <f>IF(ISERROR(I37),"",(I37))</f>
        <v/>
      </c>
      <c r="K37" s="39" t="str">
        <f t="shared" ref="K37:K47" si="3">IF(ISERROR(J37/$K$12)," ",(J37/$K$12))</f>
        <v xml:space="preserve"> </v>
      </c>
    </row>
    <row r="38" spans="2:22" x14ac:dyDescent="0.3">
      <c r="B38" s="195"/>
      <c r="C38" s="220" t="s">
        <v>167</v>
      </c>
      <c r="D38" s="471">
        <v>1.18</v>
      </c>
      <c r="E38" s="469" t="s">
        <v>1</v>
      </c>
      <c r="F38" s="472">
        <f>IF(Сравнение!B18="YES",справочник!F23,"-")</f>
        <v>29.5</v>
      </c>
      <c r="G38" s="49">
        <f t="shared" si="0"/>
        <v>29.5</v>
      </c>
      <c r="H38" s="50">
        <f t="shared" si="1"/>
        <v>0.52397868561278871</v>
      </c>
      <c r="I38" s="128">
        <f t="shared" si="2"/>
        <v>25</v>
      </c>
      <c r="J38" s="51">
        <f t="shared" ref="J38:J47" si="4">IF(ISERROR(I38),"",(I38))</f>
        <v>25</v>
      </c>
      <c r="K38" s="38">
        <f t="shared" si="3"/>
        <v>0.44404973357015987</v>
      </c>
      <c r="V38" s="3"/>
    </row>
    <row r="39" spans="2:22" x14ac:dyDescent="0.3">
      <c r="B39" s="196"/>
      <c r="C39" s="221" t="s">
        <v>168</v>
      </c>
      <c r="D39" s="473">
        <v>1.18</v>
      </c>
      <c r="E39" s="469" t="s">
        <v>1</v>
      </c>
      <c r="F39" s="470"/>
      <c r="G39" s="49" t="str">
        <f t="shared" si="0"/>
        <v/>
      </c>
      <c r="H39" s="50" t="str">
        <f t="shared" si="1"/>
        <v/>
      </c>
      <c r="I39" s="128" t="e">
        <f t="shared" si="2"/>
        <v>#VALUE!</v>
      </c>
      <c r="J39" s="51" t="str">
        <f t="shared" si="4"/>
        <v/>
      </c>
      <c r="K39" s="38" t="str">
        <f t="shared" si="3"/>
        <v xml:space="preserve"> </v>
      </c>
      <c r="V39" s="3"/>
    </row>
    <row r="40" spans="2:22" ht="41.4" x14ac:dyDescent="0.3">
      <c r="B40" s="195"/>
      <c r="C40" s="222" t="s">
        <v>169</v>
      </c>
      <c r="D40" s="473">
        <v>1.18</v>
      </c>
      <c r="E40" s="469" t="s">
        <v>1</v>
      </c>
      <c r="F40" s="470"/>
      <c r="G40" s="49" t="str">
        <f t="shared" si="0"/>
        <v/>
      </c>
      <c r="H40" s="50" t="str">
        <f t="shared" si="1"/>
        <v/>
      </c>
      <c r="I40" s="128" t="e">
        <f t="shared" si="2"/>
        <v>#VALUE!</v>
      </c>
      <c r="J40" s="51" t="str">
        <f t="shared" si="4"/>
        <v/>
      </c>
      <c r="K40" s="38" t="str">
        <f t="shared" si="3"/>
        <v xml:space="preserve"> </v>
      </c>
      <c r="V40" s="7"/>
    </row>
    <row r="41" spans="2:22" ht="27.6" x14ac:dyDescent="0.3">
      <c r="B41" s="196"/>
      <c r="C41" s="222" t="s">
        <v>170</v>
      </c>
      <c r="D41" s="473">
        <v>1.18</v>
      </c>
      <c r="E41" s="469" t="s">
        <v>1</v>
      </c>
      <c r="F41" s="470"/>
      <c r="G41" s="49" t="str">
        <f t="shared" si="0"/>
        <v/>
      </c>
      <c r="H41" s="50" t="str">
        <f t="shared" si="1"/>
        <v/>
      </c>
      <c r="I41" s="128" t="e">
        <f t="shared" si="2"/>
        <v>#VALUE!</v>
      </c>
      <c r="J41" s="51" t="str">
        <f t="shared" si="4"/>
        <v/>
      </c>
      <c r="K41" s="38" t="str">
        <f t="shared" si="3"/>
        <v xml:space="preserve"> </v>
      </c>
      <c r="V41" s="7"/>
    </row>
    <row r="42" spans="2:22" ht="27.6" x14ac:dyDescent="0.3">
      <c r="B42" s="197"/>
      <c r="C42" s="228" t="s">
        <v>182</v>
      </c>
      <c r="D42" s="473">
        <v>1.18</v>
      </c>
      <c r="E42" s="469" t="s">
        <v>1</v>
      </c>
      <c r="F42" s="470"/>
      <c r="G42" s="49" t="str">
        <f t="shared" si="0"/>
        <v/>
      </c>
      <c r="H42" s="50" t="str">
        <f t="shared" si="1"/>
        <v/>
      </c>
      <c r="I42" s="128" t="e">
        <f t="shared" si="2"/>
        <v>#VALUE!</v>
      </c>
      <c r="J42" s="51" t="str">
        <f t="shared" si="4"/>
        <v/>
      </c>
      <c r="K42" s="38" t="str">
        <f t="shared" si="3"/>
        <v xml:space="preserve"> </v>
      </c>
      <c r="V42" s="3"/>
    </row>
    <row r="43" spans="2:22" x14ac:dyDescent="0.3">
      <c r="B43" s="197"/>
      <c r="C43" s="223" t="s">
        <v>171</v>
      </c>
      <c r="D43" s="473">
        <v>1.18</v>
      </c>
      <c r="E43" s="469" t="s">
        <v>1</v>
      </c>
      <c r="F43" s="470"/>
      <c r="G43" s="49" t="str">
        <f t="shared" si="0"/>
        <v/>
      </c>
      <c r="H43" s="50" t="str">
        <f t="shared" si="1"/>
        <v/>
      </c>
      <c r="I43" s="128" t="e">
        <f t="shared" si="2"/>
        <v>#VALUE!</v>
      </c>
      <c r="J43" s="51" t="str">
        <f t="shared" si="4"/>
        <v/>
      </c>
      <c r="K43" s="38" t="str">
        <f t="shared" si="3"/>
        <v xml:space="preserve"> </v>
      </c>
      <c r="V43" s="3"/>
    </row>
    <row r="44" spans="2:22" ht="13.95" customHeight="1" x14ac:dyDescent="0.3">
      <c r="B44" s="197"/>
      <c r="C44" s="224" t="s">
        <v>172</v>
      </c>
      <c r="D44" s="474">
        <v>1.18</v>
      </c>
      <c r="E44" s="469" t="s">
        <v>1</v>
      </c>
      <c r="F44" s="475">
        <f>IF(ISNA(VLOOKUP(D5,'справочник логистика'!A1:H20,4,0))," ",VLOOKUP(D5,'справочник логистика'!A1:H20,4,0))</f>
        <v>209</v>
      </c>
      <c r="G44" s="49">
        <f t="shared" si="0"/>
        <v>209</v>
      </c>
      <c r="H44" s="50">
        <f t="shared" si="1"/>
        <v>3.7122557726465364</v>
      </c>
      <c r="I44" s="128">
        <f t="shared" si="2"/>
        <v>177.11864406779662</v>
      </c>
      <c r="J44" s="51">
        <f t="shared" si="4"/>
        <v>177.11864406779662</v>
      </c>
      <c r="K44" s="38">
        <f t="shared" si="3"/>
        <v>3.1459794683445228</v>
      </c>
      <c r="V44" s="3"/>
    </row>
    <row r="45" spans="2:22" ht="27.6" x14ac:dyDescent="0.3">
      <c r="B45" s="197"/>
      <c r="C45" s="222" t="s">
        <v>173</v>
      </c>
      <c r="D45" s="473">
        <v>1.18</v>
      </c>
      <c r="E45" s="469" t="s">
        <v>1</v>
      </c>
      <c r="F45" s="470"/>
      <c r="G45" s="49" t="str">
        <f t="shared" si="0"/>
        <v/>
      </c>
      <c r="H45" s="50" t="str">
        <f t="shared" si="1"/>
        <v/>
      </c>
      <c r="I45" s="128" t="e">
        <f t="shared" si="2"/>
        <v>#VALUE!</v>
      </c>
      <c r="J45" s="51" t="str">
        <f t="shared" si="4"/>
        <v/>
      </c>
      <c r="K45" s="38" t="str">
        <f t="shared" si="3"/>
        <v xml:space="preserve"> </v>
      </c>
      <c r="V45" s="8"/>
    </row>
    <row r="46" spans="2:22" x14ac:dyDescent="0.3">
      <c r="B46" s="197"/>
      <c r="C46" s="225" t="s">
        <v>174</v>
      </c>
      <c r="D46" s="473">
        <v>1.18</v>
      </c>
      <c r="E46" s="469" t="s">
        <v>1</v>
      </c>
      <c r="F46" s="466"/>
      <c r="G46" s="49" t="str">
        <f t="shared" si="0"/>
        <v/>
      </c>
      <c r="H46" s="50" t="str">
        <f t="shared" si="1"/>
        <v/>
      </c>
      <c r="I46" s="128" t="e">
        <f>IF(IF(D46=0,G46,G46/D46)=0,"",(IF(D46=0,G46,G46/D46)))</f>
        <v>#VALUE!</v>
      </c>
      <c r="J46" s="51" t="str">
        <f t="shared" si="4"/>
        <v/>
      </c>
      <c r="K46" s="38" t="str">
        <f t="shared" si="3"/>
        <v xml:space="preserve"> </v>
      </c>
    </row>
    <row r="47" spans="2:22" ht="14.4" thickBot="1" x14ac:dyDescent="0.35">
      <c r="B47" s="198"/>
      <c r="C47" s="226" t="s">
        <v>189</v>
      </c>
      <c r="D47" s="476">
        <v>0</v>
      </c>
      <c r="E47" s="469" t="s">
        <v>2</v>
      </c>
      <c r="F47" s="477">
        <v>0.5</v>
      </c>
      <c r="G47" s="52">
        <f t="shared" si="0"/>
        <v>28.15</v>
      </c>
      <c r="H47" s="53">
        <f t="shared" si="1"/>
        <v>0.5</v>
      </c>
      <c r="I47" s="129">
        <f>IF(IF(D47=0,G47,G47/D47)=0,"",(IF(D47=0,G47,G47/D47)))</f>
        <v>28.15</v>
      </c>
      <c r="J47" s="54">
        <f t="shared" si="4"/>
        <v>28.15</v>
      </c>
      <c r="K47" s="92">
        <f t="shared" si="3"/>
        <v>0.5</v>
      </c>
      <c r="L47" s="268"/>
      <c r="M47" s="4"/>
    </row>
    <row r="48" spans="2:22" ht="14.4" thickBot="1" x14ac:dyDescent="0.35">
      <c r="B48" s="199" t="s">
        <v>36</v>
      </c>
      <c r="C48" s="303"/>
      <c r="D48" s="304"/>
      <c r="E48" s="201"/>
      <c r="F48" s="202"/>
      <c r="G48" s="311">
        <f>SUM(G37:G47)</f>
        <v>266.64999999999998</v>
      </c>
      <c r="H48" s="312">
        <f t="shared" ref="H48" si="5">SUM(H37:H47)</f>
        <v>4.7362344582593252</v>
      </c>
      <c r="I48" s="131"/>
      <c r="J48" s="37">
        <f>SUM(J37:J47)</f>
        <v>230.26864406779663</v>
      </c>
      <c r="K48" s="57">
        <f>SUM(K37:K47)</f>
        <v>4.0900292019146827</v>
      </c>
      <c r="L48" s="267"/>
      <c r="M48" s="4"/>
      <c r="P48" s="5"/>
    </row>
    <row r="49" spans="2:16" x14ac:dyDescent="0.3">
      <c r="B49" s="203"/>
      <c r="C49" s="297" t="s">
        <v>175</v>
      </c>
      <c r="D49" s="298">
        <v>1.18</v>
      </c>
      <c r="E49" s="299" t="s">
        <v>1</v>
      </c>
      <c r="F49" s="300">
        <v>336</v>
      </c>
      <c r="G49" s="315">
        <f>IF((IF(E49="RUR",F49,F49*$K$12))=0,"",(IF(E49="RUR",F49,F49*$K$12)))</f>
        <v>336</v>
      </c>
      <c r="H49" s="316">
        <f>IF(ISERROR(G49/$K$12),"",(G49/$K$12))</f>
        <v>5.9680284191829491</v>
      </c>
      <c r="I49" s="313">
        <f>IF(IF(D49=0,G49,G49/D49)=0,"",(IF(D49=0,G49,G49/D49)))</f>
        <v>284.74576271186442</v>
      </c>
      <c r="J49" s="301">
        <f t="shared" ref="J49:J51" si="6">IF(ISERROR(I49),"",(I49))</f>
        <v>284.74576271186442</v>
      </c>
      <c r="K49" s="302">
        <f>IF(ISERROR(J49/$K$12)," ",(J49/$K$12))</f>
        <v>5.0576512026974143</v>
      </c>
      <c r="L49" s="262"/>
      <c r="M49" s="4"/>
      <c r="P49" s="5"/>
    </row>
    <row r="50" spans="2:16" x14ac:dyDescent="0.3">
      <c r="B50" s="204"/>
      <c r="C50" s="216" t="s">
        <v>176</v>
      </c>
      <c r="D50" s="227">
        <v>0</v>
      </c>
      <c r="E50" s="251" t="s">
        <v>1</v>
      </c>
      <c r="F50" s="245"/>
      <c r="G50" s="58" t="str">
        <f>IF((IF(E50="RUR",F50,F50*$K$12))=0,"",(IF(E50="RUR",F50,F50*$K$12)))</f>
        <v/>
      </c>
      <c r="H50" s="40" t="str">
        <f>IF(ISERROR(G50/$K$12),"",(G50/$K$12))</f>
        <v/>
      </c>
      <c r="I50" s="132" t="str">
        <f>IF(IF(D50=0,G50,G50/D50)=0,"",(IF(D50=0,G50,G50/D50)))</f>
        <v/>
      </c>
      <c r="J50" s="247" t="str">
        <f t="shared" si="6"/>
        <v/>
      </c>
      <c r="K50" s="249" t="str">
        <f>IF(ISERROR(J50/$K$12)," ",(J50/$K$12))</f>
        <v xml:space="preserve"> </v>
      </c>
      <c r="L50" s="262"/>
      <c r="M50" s="4"/>
      <c r="N50" s="3"/>
      <c r="O50" s="5"/>
      <c r="P50" s="5"/>
    </row>
    <row r="51" spans="2:16" x14ac:dyDescent="0.3">
      <c r="B51" s="205"/>
      <c r="C51" s="217" t="s">
        <v>183</v>
      </c>
      <c r="D51" s="253">
        <v>1.18</v>
      </c>
      <c r="E51" s="251" t="s">
        <v>1</v>
      </c>
      <c r="F51" s="244"/>
      <c r="G51" s="58" t="str">
        <f>IF((IF(E51="RUR",F51,F51*$K$12))=0,"",(IF(E51="RUR",F51,F51*$K$12)))</f>
        <v/>
      </c>
      <c r="H51" s="40" t="str">
        <f>IF(ISERROR(G51/$K$12),"",(G51/$K$12))</f>
        <v/>
      </c>
      <c r="I51" s="132" t="e">
        <f>IF(IF(D51=0,G51,G51/D51)=0,"",(IF(D51=0,G51,G51/D51)))</f>
        <v>#VALUE!</v>
      </c>
      <c r="J51" s="247" t="str">
        <f t="shared" si="6"/>
        <v/>
      </c>
      <c r="K51" s="249" t="str">
        <f>IF(ISERROR(J51/$K$12)," ",(J51/$K$12))</f>
        <v xml:space="preserve"> </v>
      </c>
      <c r="L51" s="262"/>
      <c r="M51" s="4"/>
      <c r="P51" s="5"/>
    </row>
    <row r="52" spans="2:16" ht="14.4" thickBot="1" x14ac:dyDescent="0.35">
      <c r="B52" s="206"/>
      <c r="C52" s="218" t="s">
        <v>181</v>
      </c>
      <c r="D52" s="254">
        <v>1.18</v>
      </c>
      <c r="E52" s="252" t="s">
        <v>1</v>
      </c>
      <c r="F52" s="246">
        <f>D17*D19</f>
        <v>200.25</v>
      </c>
      <c r="G52" s="317">
        <f>IF((IF(E52="RUR",F52,F52*$K$12))=0,"",(IF(E52="RUR",F52,F52*$K$12)))</f>
        <v>200.25</v>
      </c>
      <c r="H52" s="318">
        <f>IF(ISERROR(G52/$K$12),"",(G52/$K$12))</f>
        <v>3.5568383658969807</v>
      </c>
      <c r="I52" s="314">
        <f>IF(IF(D52=0,G52,G52/D52)=0,"",(IF(D52=0,G52,G52/D52)))</f>
        <v>169.70338983050848</v>
      </c>
      <c r="J52" s="248">
        <f t="shared" ref="J52" si="7">IF(ISERROR(I52),"",(I52))</f>
        <v>169.70338983050848</v>
      </c>
      <c r="K52" s="250">
        <f>IF(ISERROR(J52/$K$12)," ",(J52/$K$12))</f>
        <v>3.014269801607611</v>
      </c>
      <c r="L52" s="262"/>
      <c r="M52" s="4"/>
      <c r="N52" s="3"/>
      <c r="O52" s="5"/>
      <c r="P52" s="5"/>
    </row>
    <row r="53" spans="2:16" ht="17.25" customHeight="1" thickBot="1" x14ac:dyDescent="0.35">
      <c r="B53" s="614" t="s">
        <v>178</v>
      </c>
      <c r="C53" s="615"/>
      <c r="D53" s="208"/>
      <c r="E53" s="209"/>
      <c r="F53" s="210"/>
      <c r="G53" s="55">
        <f>SUM(G49:G52)</f>
        <v>536.25</v>
      </c>
      <c r="H53" s="56">
        <f>SUM(H49:H52)</f>
        <v>9.5248667850799293</v>
      </c>
      <c r="I53" s="130"/>
      <c r="J53" s="33">
        <f>SUM(J49:J52)</f>
        <v>454.44915254237287</v>
      </c>
      <c r="K53" s="56">
        <f>SUM(K49:K52)</f>
        <v>8.0719210043050253</v>
      </c>
      <c r="L53" s="267"/>
      <c r="M53" s="4"/>
      <c r="N53" s="177"/>
      <c r="O53" s="26"/>
      <c r="P53" s="5"/>
    </row>
    <row r="54" spans="2:16" outlineLevel="1" x14ac:dyDescent="0.3">
      <c r="B54" s="205"/>
      <c r="C54" s="335" t="s">
        <v>30</v>
      </c>
      <c r="D54" s="336">
        <v>1.18</v>
      </c>
      <c r="E54" s="337" t="s">
        <v>1</v>
      </c>
      <c r="F54" s="338">
        <f>2500/D12</f>
        <v>0.1</v>
      </c>
      <c r="G54" s="238">
        <f t="shared" ref="G54:G72" si="8">IF((IF(E54="RUR",F54,F54*$K$12))=0,"",(IF(E54="RUR",F54,F54*$K$12)))</f>
        <v>0.1</v>
      </c>
      <c r="H54" s="39">
        <f t="shared" ref="H54:H72" si="9">IF(ISERROR(G54/$K$12),"",(G54/$K$12))</f>
        <v>1.7761989342806397E-3</v>
      </c>
      <c r="I54" s="127">
        <f>IF(IF(D54=0,G54,G54/D54)=0,"",(IF(D54=0,G54,G54/D54)))</f>
        <v>8.4745762711864417E-2</v>
      </c>
      <c r="J54" s="78">
        <f>IF(ISERROR(I54),"",(I54))</f>
        <v>8.4745762711864417E-2</v>
      </c>
      <c r="K54" s="39">
        <f t="shared" ref="K54:K72" si="10">IF(ISERROR(J54/$K$12)," ",(J54/$K$12))</f>
        <v>1.5052533341361354E-3</v>
      </c>
      <c r="L54" s="268"/>
      <c r="M54" s="4"/>
      <c r="P54" s="5"/>
    </row>
    <row r="55" spans="2:16" outlineLevel="1" x14ac:dyDescent="0.3">
      <c r="B55" s="205"/>
      <c r="C55" s="339" t="s">
        <v>147</v>
      </c>
      <c r="D55" s="340">
        <v>1.18</v>
      </c>
      <c r="E55" s="341" t="s">
        <v>1</v>
      </c>
      <c r="F55" s="342"/>
      <c r="G55" s="182" t="str">
        <f t="shared" si="8"/>
        <v/>
      </c>
      <c r="H55" s="50" t="str">
        <f t="shared" si="9"/>
        <v/>
      </c>
      <c r="I55" s="128" t="e">
        <f t="shared" ref="I55:I79" si="11">IF(IF(D55=0,G55,G55/D55)=0,"",(IF(D55=0,G55,G55/D55)))</f>
        <v>#VALUE!</v>
      </c>
      <c r="J55" s="51" t="str">
        <f t="shared" ref="J55:J80" si="12">IF(ISERROR(I55),"",(I55))</f>
        <v/>
      </c>
      <c r="K55" s="38" t="str">
        <f t="shared" si="10"/>
        <v xml:space="preserve"> </v>
      </c>
      <c r="L55" s="268"/>
      <c r="M55" s="4"/>
      <c r="P55" s="5"/>
    </row>
    <row r="56" spans="2:16" s="24" customFormat="1" outlineLevel="1" x14ac:dyDescent="0.3">
      <c r="B56" s="205"/>
      <c r="C56" s="343" t="s">
        <v>148</v>
      </c>
      <c r="D56" s="340">
        <v>1.18</v>
      </c>
      <c r="E56" s="341" t="s">
        <v>1</v>
      </c>
      <c r="F56" s="344"/>
      <c r="G56" s="182" t="str">
        <f t="shared" si="8"/>
        <v/>
      </c>
      <c r="H56" s="50" t="str">
        <f t="shared" si="9"/>
        <v/>
      </c>
      <c r="I56" s="128" t="e">
        <f t="shared" si="11"/>
        <v>#VALUE!</v>
      </c>
      <c r="J56" s="51" t="str">
        <f t="shared" si="12"/>
        <v/>
      </c>
      <c r="K56" s="38" t="str">
        <f t="shared" si="10"/>
        <v xml:space="preserve"> </v>
      </c>
      <c r="L56" s="268"/>
      <c r="M56" s="22"/>
      <c r="P56" s="23"/>
    </row>
    <row r="57" spans="2:16" outlineLevel="1" x14ac:dyDescent="0.3">
      <c r="B57" s="214"/>
      <c r="C57" s="345" t="s">
        <v>27</v>
      </c>
      <c r="D57" s="346">
        <v>1.18</v>
      </c>
      <c r="E57" s="347" t="s">
        <v>1</v>
      </c>
      <c r="F57" s="348"/>
      <c r="G57" s="182" t="str">
        <f t="shared" si="8"/>
        <v/>
      </c>
      <c r="H57" s="50" t="str">
        <f t="shared" si="9"/>
        <v/>
      </c>
      <c r="I57" s="128" t="e">
        <f t="shared" si="11"/>
        <v>#VALUE!</v>
      </c>
      <c r="J57" s="51" t="str">
        <f t="shared" si="12"/>
        <v/>
      </c>
      <c r="K57" s="38" t="str">
        <f t="shared" si="10"/>
        <v xml:space="preserve"> </v>
      </c>
      <c r="L57" s="268"/>
      <c r="M57" s="4"/>
      <c r="P57" s="5"/>
    </row>
    <row r="58" spans="2:16" outlineLevel="1" x14ac:dyDescent="0.3">
      <c r="B58" s="205"/>
      <c r="C58" s="343" t="s">
        <v>149</v>
      </c>
      <c r="D58" s="340">
        <v>1.18</v>
      </c>
      <c r="E58" s="341" t="s">
        <v>1</v>
      </c>
      <c r="F58" s="344"/>
      <c r="G58" s="182" t="str">
        <f t="shared" si="8"/>
        <v/>
      </c>
      <c r="H58" s="50" t="str">
        <f t="shared" si="9"/>
        <v/>
      </c>
      <c r="I58" s="128" t="e">
        <f t="shared" si="11"/>
        <v>#VALUE!</v>
      </c>
      <c r="J58" s="51" t="str">
        <f t="shared" si="12"/>
        <v/>
      </c>
      <c r="K58" s="38" t="str">
        <f t="shared" si="10"/>
        <v xml:space="preserve"> </v>
      </c>
      <c r="L58" s="268"/>
      <c r="M58" s="4"/>
      <c r="P58" s="5"/>
    </row>
    <row r="59" spans="2:16" outlineLevel="1" x14ac:dyDescent="0.3">
      <c r="B59" s="205"/>
      <c r="C59" s="343" t="s">
        <v>150</v>
      </c>
      <c r="D59" s="340">
        <v>0</v>
      </c>
      <c r="E59" s="341" t="s">
        <v>1</v>
      </c>
      <c r="F59" s="349"/>
      <c r="G59" s="182" t="str">
        <f t="shared" si="8"/>
        <v/>
      </c>
      <c r="H59" s="50" t="str">
        <f t="shared" si="9"/>
        <v/>
      </c>
      <c r="I59" s="128" t="str">
        <f t="shared" si="11"/>
        <v/>
      </c>
      <c r="J59" s="51" t="str">
        <f t="shared" si="12"/>
        <v/>
      </c>
      <c r="K59" s="38" t="str">
        <f t="shared" si="10"/>
        <v xml:space="preserve"> </v>
      </c>
      <c r="L59" s="268"/>
      <c r="M59" s="4"/>
      <c r="P59" s="5"/>
    </row>
    <row r="60" spans="2:16" outlineLevel="1" x14ac:dyDescent="0.3">
      <c r="B60" s="205"/>
      <c r="C60" s="350" t="s">
        <v>162</v>
      </c>
      <c r="D60" s="340">
        <v>0</v>
      </c>
      <c r="E60" s="341" t="s">
        <v>2</v>
      </c>
      <c r="F60" s="351">
        <f>0.25+0.9+0.1+1.1</f>
        <v>2.35</v>
      </c>
      <c r="G60" s="182">
        <f t="shared" si="8"/>
        <v>132.30500000000001</v>
      </c>
      <c r="H60" s="50">
        <f t="shared" si="9"/>
        <v>2.35</v>
      </c>
      <c r="I60" s="128">
        <f t="shared" si="11"/>
        <v>132.30500000000001</v>
      </c>
      <c r="J60" s="51">
        <f t="shared" si="12"/>
        <v>132.30500000000001</v>
      </c>
      <c r="K60" s="38">
        <f t="shared" si="10"/>
        <v>2.35</v>
      </c>
      <c r="L60" s="268"/>
      <c r="M60" s="4"/>
      <c r="P60" s="5"/>
    </row>
    <row r="61" spans="2:16" ht="27.6" outlineLevel="1" x14ac:dyDescent="0.3">
      <c r="B61" s="205"/>
      <c r="C61" s="350" t="s">
        <v>158</v>
      </c>
      <c r="D61" s="340">
        <v>1.18</v>
      </c>
      <c r="E61" s="341" t="s">
        <v>2</v>
      </c>
      <c r="F61" s="351">
        <f>0.27*1.18</f>
        <v>0.31859999999999999</v>
      </c>
      <c r="G61" s="182">
        <f t="shared" si="8"/>
        <v>17.937179999999998</v>
      </c>
      <c r="H61" s="50">
        <f t="shared" si="9"/>
        <v>0.31859999999999999</v>
      </c>
      <c r="I61" s="128">
        <f t="shared" si="11"/>
        <v>15.200999999999999</v>
      </c>
      <c r="J61" s="51">
        <f t="shared" si="12"/>
        <v>15.200999999999999</v>
      </c>
      <c r="K61" s="38">
        <f t="shared" si="10"/>
        <v>0.27</v>
      </c>
      <c r="L61" s="268"/>
      <c r="M61" s="4"/>
      <c r="P61" s="5"/>
    </row>
    <row r="62" spans="2:16" outlineLevel="1" x14ac:dyDescent="0.3">
      <c r="B62" s="205"/>
      <c r="C62" s="343" t="s">
        <v>65</v>
      </c>
      <c r="D62" s="340">
        <v>1.18</v>
      </c>
      <c r="E62" s="341" t="s">
        <v>1</v>
      </c>
      <c r="F62" s="349"/>
      <c r="G62" s="182" t="str">
        <f t="shared" si="8"/>
        <v/>
      </c>
      <c r="H62" s="50" t="str">
        <f t="shared" si="9"/>
        <v/>
      </c>
      <c r="I62" s="128" t="e">
        <f t="shared" si="11"/>
        <v>#VALUE!</v>
      </c>
      <c r="J62" s="51" t="str">
        <f t="shared" si="12"/>
        <v/>
      </c>
      <c r="K62" s="38" t="str">
        <f t="shared" si="10"/>
        <v xml:space="preserve"> </v>
      </c>
      <c r="L62" s="268"/>
      <c r="M62" s="4"/>
      <c r="P62" s="5"/>
    </row>
    <row r="63" spans="2:16" ht="23.4" customHeight="1" outlineLevel="1" x14ac:dyDescent="0.3">
      <c r="B63" s="205"/>
      <c r="C63" s="343" t="s">
        <v>28</v>
      </c>
      <c r="D63" s="340">
        <v>1.18</v>
      </c>
      <c r="E63" s="341" t="s">
        <v>2</v>
      </c>
      <c r="F63" s="351">
        <v>1.1000000000000001</v>
      </c>
      <c r="G63" s="182">
        <f t="shared" si="8"/>
        <v>61.93</v>
      </c>
      <c r="H63" s="50">
        <f t="shared" si="9"/>
        <v>1.1000000000000001</v>
      </c>
      <c r="I63" s="128">
        <f t="shared" si="11"/>
        <v>52.483050847457626</v>
      </c>
      <c r="J63" s="51">
        <f t="shared" si="12"/>
        <v>52.483050847457626</v>
      </c>
      <c r="K63" s="38">
        <f t="shared" si="10"/>
        <v>0.93220338983050854</v>
      </c>
      <c r="L63" s="268"/>
      <c r="M63" s="4"/>
      <c r="P63" s="5"/>
    </row>
    <row r="64" spans="2:16" ht="41.4" outlineLevel="1" x14ac:dyDescent="0.3">
      <c r="B64" s="205"/>
      <c r="C64" s="350" t="s">
        <v>151</v>
      </c>
      <c r="D64" s="340">
        <v>1.18</v>
      </c>
      <c r="E64" s="341" t="s">
        <v>1</v>
      </c>
      <c r="F64" s="352"/>
      <c r="G64" s="182" t="str">
        <f t="shared" si="8"/>
        <v/>
      </c>
      <c r="H64" s="50" t="str">
        <f t="shared" si="9"/>
        <v/>
      </c>
      <c r="I64" s="128" t="e">
        <f t="shared" si="11"/>
        <v>#VALUE!</v>
      </c>
      <c r="J64" s="51" t="str">
        <f t="shared" si="12"/>
        <v/>
      </c>
      <c r="K64" s="38" t="str">
        <f t="shared" si="10"/>
        <v xml:space="preserve"> </v>
      </c>
      <c r="L64" s="268"/>
      <c r="M64" s="4"/>
      <c r="P64" s="5"/>
    </row>
    <row r="65" spans="2:17" outlineLevel="1" x14ac:dyDescent="0.3">
      <c r="B65" s="205"/>
      <c r="C65" s="343" t="s">
        <v>152</v>
      </c>
      <c r="D65" s="412">
        <v>0</v>
      </c>
      <c r="E65" s="413" t="s">
        <v>1</v>
      </c>
      <c r="F65" s="414">
        <f>(3750+22500)/D12</f>
        <v>1.05</v>
      </c>
      <c r="G65" s="182">
        <f t="shared" si="8"/>
        <v>1.05</v>
      </c>
      <c r="H65" s="50">
        <f t="shared" si="9"/>
        <v>1.8650088809946716E-2</v>
      </c>
      <c r="I65" s="128">
        <f t="shared" si="11"/>
        <v>1.05</v>
      </c>
      <c r="J65" s="51">
        <f t="shared" si="12"/>
        <v>1.05</v>
      </c>
      <c r="K65" s="38">
        <f t="shared" si="10"/>
        <v>1.8650088809946716E-2</v>
      </c>
      <c r="L65" s="268"/>
      <c r="M65" s="4"/>
      <c r="P65" s="5"/>
    </row>
    <row r="66" spans="2:17" outlineLevel="1" x14ac:dyDescent="0.3">
      <c r="B66" s="205"/>
      <c r="C66" s="343" t="s">
        <v>29</v>
      </c>
      <c r="D66" s="412">
        <v>1.18</v>
      </c>
      <c r="E66" s="413" t="s">
        <v>1</v>
      </c>
      <c r="F66" s="414">
        <f>(16000*2)/D12</f>
        <v>1.28</v>
      </c>
      <c r="G66" s="182">
        <f t="shared" si="8"/>
        <v>1.28</v>
      </c>
      <c r="H66" s="50">
        <f t="shared" si="9"/>
        <v>2.2735346358792187E-2</v>
      </c>
      <c r="I66" s="128">
        <f t="shared" si="11"/>
        <v>1.0847457627118644</v>
      </c>
      <c r="J66" s="51">
        <f t="shared" si="12"/>
        <v>1.0847457627118644</v>
      </c>
      <c r="K66" s="38">
        <f t="shared" si="10"/>
        <v>1.926724267694253E-2</v>
      </c>
      <c r="L66" s="268"/>
      <c r="M66" s="4"/>
      <c r="P66" s="5"/>
    </row>
    <row r="67" spans="2:17" outlineLevel="1" x14ac:dyDescent="0.3">
      <c r="B67" s="205"/>
      <c r="C67" s="343" t="s">
        <v>153</v>
      </c>
      <c r="D67" s="340">
        <v>0</v>
      </c>
      <c r="E67" s="341" t="s">
        <v>1</v>
      </c>
      <c r="F67" s="352"/>
      <c r="G67" s="182" t="str">
        <f t="shared" si="8"/>
        <v/>
      </c>
      <c r="H67" s="50" t="str">
        <f t="shared" si="9"/>
        <v/>
      </c>
      <c r="I67" s="128" t="str">
        <f t="shared" si="11"/>
        <v/>
      </c>
      <c r="J67" s="51" t="str">
        <f t="shared" si="12"/>
        <v/>
      </c>
      <c r="K67" s="38" t="str">
        <f t="shared" si="10"/>
        <v xml:space="preserve"> </v>
      </c>
      <c r="L67" s="268"/>
      <c r="M67" s="4"/>
      <c r="P67" s="5"/>
    </row>
    <row r="68" spans="2:17" outlineLevel="1" x14ac:dyDescent="0.3">
      <c r="B68" s="205"/>
      <c r="C68" s="350" t="s">
        <v>154</v>
      </c>
      <c r="D68" s="346">
        <v>0</v>
      </c>
      <c r="E68" s="347" t="s">
        <v>2</v>
      </c>
      <c r="F68" s="352"/>
      <c r="G68" s="182" t="str">
        <f t="shared" si="8"/>
        <v/>
      </c>
      <c r="H68" s="50" t="str">
        <f t="shared" si="9"/>
        <v/>
      </c>
      <c r="I68" s="128" t="str">
        <f t="shared" si="11"/>
        <v/>
      </c>
      <c r="J68" s="51" t="str">
        <f t="shared" si="12"/>
        <v/>
      </c>
      <c r="K68" s="38" t="str">
        <f t="shared" si="10"/>
        <v xml:space="preserve"> </v>
      </c>
      <c r="L68" s="268"/>
      <c r="M68" s="4"/>
      <c r="P68" s="5"/>
    </row>
    <row r="69" spans="2:17" outlineLevel="1" x14ac:dyDescent="0.3">
      <c r="B69" s="205"/>
      <c r="C69" s="343" t="s">
        <v>155</v>
      </c>
      <c r="D69" s="340">
        <v>1.18</v>
      </c>
      <c r="E69" s="341" t="s">
        <v>2</v>
      </c>
      <c r="F69" s="353">
        <f>(150*1.18)/D12</f>
        <v>7.0800000000000004E-3</v>
      </c>
      <c r="G69" s="182">
        <f t="shared" si="8"/>
        <v>0.39860400000000001</v>
      </c>
      <c r="H69" s="50">
        <f t="shared" si="9"/>
        <v>7.0800000000000004E-3</v>
      </c>
      <c r="I69" s="128">
        <f t="shared" si="11"/>
        <v>0.33780000000000004</v>
      </c>
      <c r="J69" s="51">
        <f t="shared" si="12"/>
        <v>0.33780000000000004</v>
      </c>
      <c r="K69" s="38">
        <f t="shared" si="10"/>
        <v>6.000000000000001E-3</v>
      </c>
      <c r="L69" s="268"/>
      <c r="M69" s="4"/>
      <c r="N69" s="3"/>
      <c r="O69" s="5"/>
      <c r="P69" s="5"/>
    </row>
    <row r="70" spans="2:17" outlineLevel="1" x14ac:dyDescent="0.3">
      <c r="B70" s="205"/>
      <c r="C70" s="343" t="s">
        <v>157</v>
      </c>
      <c r="D70" s="340">
        <v>1.18</v>
      </c>
      <c r="E70" s="341" t="s">
        <v>2</v>
      </c>
      <c r="F70" s="353">
        <f>(518*1.18)/D12</f>
        <v>2.4449600000000002E-2</v>
      </c>
      <c r="G70" s="182">
        <f t="shared" si="8"/>
        <v>1.3765124799999999</v>
      </c>
      <c r="H70" s="50">
        <f t="shared" si="9"/>
        <v>2.4449599999999998E-2</v>
      </c>
      <c r="I70" s="128">
        <f t="shared" si="11"/>
        <v>1.166536</v>
      </c>
      <c r="J70" s="51">
        <f t="shared" si="12"/>
        <v>1.166536</v>
      </c>
      <c r="K70" s="38">
        <f t="shared" si="10"/>
        <v>2.0720000000000002E-2</v>
      </c>
      <c r="L70" s="268"/>
      <c r="M70" s="4"/>
      <c r="N70" s="3"/>
      <c r="O70" s="5"/>
      <c r="P70" s="5"/>
    </row>
    <row r="71" spans="2:17" outlineLevel="1" x14ac:dyDescent="0.3">
      <c r="B71" s="205"/>
      <c r="C71" s="343" t="s">
        <v>164</v>
      </c>
      <c r="D71" s="354">
        <v>0</v>
      </c>
      <c r="E71" s="355" t="s">
        <v>1</v>
      </c>
      <c r="F71" s="356">
        <f>0.34+8.7</f>
        <v>9.0399999999999991</v>
      </c>
      <c r="G71" s="182">
        <f t="shared" si="8"/>
        <v>9.0399999999999991</v>
      </c>
      <c r="H71" s="50">
        <f t="shared" si="9"/>
        <v>0.1605683836589698</v>
      </c>
      <c r="I71" s="128">
        <f t="shared" si="11"/>
        <v>9.0399999999999991</v>
      </c>
      <c r="J71" s="51">
        <f t="shared" si="12"/>
        <v>9.0399999999999991</v>
      </c>
      <c r="K71" s="38">
        <f t="shared" si="10"/>
        <v>0.1605683836589698</v>
      </c>
      <c r="L71" s="268"/>
      <c r="M71" s="4"/>
      <c r="N71" s="3"/>
      <c r="O71" s="5"/>
      <c r="P71" s="5"/>
    </row>
    <row r="72" spans="2:17" ht="14.4" outlineLevel="1" thickBot="1" x14ac:dyDescent="0.35">
      <c r="B72" s="215"/>
      <c r="C72" s="357" t="s">
        <v>190</v>
      </c>
      <c r="D72" s="358">
        <v>0</v>
      </c>
      <c r="E72" s="359" t="s">
        <v>2</v>
      </c>
      <c r="F72" s="356">
        <v>0.5</v>
      </c>
      <c r="G72" s="239">
        <f t="shared" si="8"/>
        <v>28.15</v>
      </c>
      <c r="H72" s="53">
        <f t="shared" si="9"/>
        <v>0.5</v>
      </c>
      <c r="I72" s="129">
        <f t="shared" si="11"/>
        <v>28.15</v>
      </c>
      <c r="J72" s="54">
        <f t="shared" si="12"/>
        <v>28.15</v>
      </c>
      <c r="K72" s="92">
        <f t="shared" si="10"/>
        <v>0.5</v>
      </c>
      <c r="L72" s="268"/>
      <c r="M72" s="4"/>
      <c r="N72" s="3"/>
      <c r="O72" s="5"/>
      <c r="P72" s="5"/>
    </row>
    <row r="73" spans="2:17" ht="14.4" thickBot="1" x14ac:dyDescent="0.35">
      <c r="B73" s="65" t="s">
        <v>36</v>
      </c>
      <c r="C73" s="66" t="s">
        <v>180</v>
      </c>
      <c r="D73" s="235"/>
      <c r="E73" s="236"/>
      <c r="F73" s="237"/>
      <c r="G73" s="55">
        <f>SUM(G54:G72)</f>
        <v>253.56729648000001</v>
      </c>
      <c r="H73" s="56">
        <f>SUM(H54:H72)</f>
        <v>4.5038596177619894</v>
      </c>
      <c r="I73" s="130"/>
      <c r="J73" s="33">
        <f>SUM(J54:J72)</f>
        <v>240.90287837288136</v>
      </c>
      <c r="K73" s="57">
        <f>SUM(K54:K72)</f>
        <v>4.2789143583105034</v>
      </c>
      <c r="L73" s="267"/>
      <c r="M73" s="4"/>
      <c r="P73" s="5"/>
    </row>
    <row r="74" spans="2:17" x14ac:dyDescent="0.3">
      <c r="B74" s="84"/>
      <c r="C74" s="478" t="s">
        <v>156</v>
      </c>
      <c r="D74" s="479">
        <v>1.18</v>
      </c>
      <c r="E74" s="341" t="s">
        <v>1</v>
      </c>
      <c r="F74" s="480"/>
      <c r="G74" s="58">
        <f>((F74/30)*D17)</f>
        <v>0</v>
      </c>
      <c r="H74" s="40">
        <f t="shared" ref="H74:H80" si="13">IF(ISERROR(G74/$K$12),"",(G74/$K$12))</f>
        <v>0</v>
      </c>
      <c r="I74" s="132" t="str">
        <f>IF(IF(D74=0,(F74/D17)*30,((F74/D74)/D17)*30)=0,"",IF(D74=0,(F74/D17)*30,((F74/D74)/30)*D17))</f>
        <v/>
      </c>
      <c r="J74" s="58" t="str">
        <f t="shared" si="12"/>
        <v/>
      </c>
      <c r="K74" s="40" t="str">
        <f t="shared" ref="K74:K80" si="14">IF(ISERROR(J74/$K$12)," ",(J74/$K$12))</f>
        <v xml:space="preserve"> </v>
      </c>
      <c r="L74" s="262"/>
      <c r="M74" s="4"/>
      <c r="N74" s="3"/>
      <c r="O74" s="5"/>
      <c r="P74" s="5"/>
    </row>
    <row r="75" spans="2:17" x14ac:dyDescent="0.3">
      <c r="B75" s="64"/>
      <c r="C75" s="481" t="s">
        <v>160</v>
      </c>
      <c r="D75" s="479">
        <v>0</v>
      </c>
      <c r="E75" s="341" t="s">
        <v>2</v>
      </c>
      <c r="F75" s="480"/>
      <c r="G75" s="58" t="str">
        <f t="shared" ref="G75:G80" si="15">IF((IF(E75="RUR",F75,F75*$K$12))=0,"",(IF(E75="RUR",F75,F75*$K$12)))</f>
        <v/>
      </c>
      <c r="H75" s="40" t="str">
        <f t="shared" si="13"/>
        <v/>
      </c>
      <c r="I75" s="132" t="str">
        <f t="shared" si="11"/>
        <v/>
      </c>
      <c r="J75" s="58" t="str">
        <f t="shared" si="12"/>
        <v/>
      </c>
      <c r="K75" s="40" t="str">
        <f t="shared" si="14"/>
        <v xml:space="preserve"> </v>
      </c>
      <c r="L75" s="262"/>
      <c r="M75" s="4"/>
      <c r="N75" s="3"/>
      <c r="O75" s="5"/>
      <c r="P75" s="5"/>
    </row>
    <row r="76" spans="2:17" s="18" customFormat="1" x14ac:dyDescent="0.3">
      <c r="B76" s="64"/>
      <c r="C76" s="481" t="s">
        <v>161</v>
      </c>
      <c r="D76" s="482">
        <v>1.18</v>
      </c>
      <c r="E76" s="341" t="s">
        <v>1</v>
      </c>
      <c r="F76" s="483">
        <f>IF(ISNA(VLOOKUP(D5,'справочник логистика'!A1:H20,3,0))," ",VLOOKUP(D5,'справочник логистика'!A1:H20,3,0))</f>
        <v>2328.8000000000002</v>
      </c>
      <c r="G76" s="58">
        <f t="shared" si="15"/>
        <v>2328.8000000000002</v>
      </c>
      <c r="H76" s="40">
        <f t="shared" si="13"/>
        <v>41.364120781527539</v>
      </c>
      <c r="I76" s="132">
        <f t="shared" si="11"/>
        <v>1973.5593220338985</v>
      </c>
      <c r="J76" s="58">
        <f t="shared" si="12"/>
        <v>1973.5593220338985</v>
      </c>
      <c r="K76" s="40">
        <f t="shared" si="14"/>
        <v>35.054339645362319</v>
      </c>
      <c r="L76" s="262"/>
      <c r="N76" s="3"/>
      <c r="O76" s="6"/>
      <c r="P76" s="6"/>
    </row>
    <row r="77" spans="2:17" s="18" customFormat="1" x14ac:dyDescent="0.3">
      <c r="B77" s="64"/>
      <c r="C77" s="481" t="s">
        <v>163</v>
      </c>
      <c r="D77" s="479">
        <v>0</v>
      </c>
      <c r="E77" s="341" t="s">
        <v>1</v>
      </c>
      <c r="F77" s="484">
        <f>((D11/68)*300)/D11</f>
        <v>4.4117647058823533</v>
      </c>
      <c r="G77" s="58">
        <f t="shared" si="15"/>
        <v>4.4117647058823533</v>
      </c>
      <c r="H77" s="40">
        <f t="shared" si="13"/>
        <v>7.8361717688851751E-2</v>
      </c>
      <c r="I77" s="132">
        <f t="shared" si="11"/>
        <v>4.4117647058823533</v>
      </c>
      <c r="J77" s="58">
        <f t="shared" si="12"/>
        <v>4.4117647058823533</v>
      </c>
      <c r="K77" s="40">
        <f t="shared" si="14"/>
        <v>7.8361717688851751E-2</v>
      </c>
      <c r="L77" s="262"/>
      <c r="M77" s="4"/>
      <c r="N77" s="3"/>
      <c r="O77" s="6"/>
      <c r="P77" s="6"/>
      <c r="Q77" s="93">
        <f>J35*K10/365*$D$16</f>
        <v>101.99252801992527</v>
      </c>
    </row>
    <row r="78" spans="2:17" s="190" customFormat="1" x14ac:dyDescent="0.3">
      <c r="B78" s="64"/>
      <c r="C78" s="485"/>
      <c r="D78" s="479">
        <v>0</v>
      </c>
      <c r="E78" s="341" t="s">
        <v>1</v>
      </c>
      <c r="F78" s="480"/>
      <c r="G78" s="58" t="str">
        <f t="shared" si="15"/>
        <v/>
      </c>
      <c r="H78" s="40" t="str">
        <f t="shared" si="13"/>
        <v/>
      </c>
      <c r="I78" s="132" t="str">
        <f>IF(IF(D78=0,G78,G78/D78)=0,"",(IF(D78=0,G78,G78/D78)))</f>
        <v/>
      </c>
      <c r="J78" s="58" t="str">
        <f>IF(ISERROR(I78),"",(I78))</f>
        <v/>
      </c>
      <c r="K78" s="40" t="str">
        <f t="shared" si="14"/>
        <v xml:space="preserve"> </v>
      </c>
      <c r="L78" s="262"/>
      <c r="M78" s="22"/>
      <c r="N78" s="187"/>
      <c r="O78" s="188"/>
      <c r="P78" s="188"/>
      <c r="Q78" s="189">
        <f>(J35/100*10)*$K$10/365*$D$19</f>
        <v>1.008592777085928</v>
      </c>
    </row>
    <row r="79" spans="2:17" x14ac:dyDescent="0.3">
      <c r="B79" s="64"/>
      <c r="C79" s="486"/>
      <c r="D79" s="340">
        <v>0</v>
      </c>
      <c r="E79" s="341" t="s">
        <v>1</v>
      </c>
      <c r="F79" s="487"/>
      <c r="G79" s="183" t="str">
        <f t="shared" si="15"/>
        <v/>
      </c>
      <c r="H79" s="184" t="str">
        <f t="shared" si="13"/>
        <v/>
      </c>
      <c r="I79" s="185" t="str">
        <f t="shared" si="11"/>
        <v/>
      </c>
      <c r="J79" s="186" t="str">
        <f t="shared" si="12"/>
        <v/>
      </c>
      <c r="K79" s="184" t="str">
        <f t="shared" si="14"/>
        <v xml:space="preserve"> </v>
      </c>
      <c r="L79" s="269"/>
      <c r="M79" s="4"/>
      <c r="N79" s="3"/>
      <c r="O79" s="5"/>
      <c r="P79" s="5"/>
      <c r="Q79" s="93">
        <f>(J73+J81)/100*18*$K$10/365*$D$20</f>
        <v>19.62353897425378</v>
      </c>
    </row>
    <row r="80" spans="2:17" ht="16.2" thickBot="1" x14ac:dyDescent="0.35">
      <c r="B80" s="67"/>
      <c r="C80" s="488"/>
      <c r="D80" s="489">
        <v>0</v>
      </c>
      <c r="E80" s="355" t="s">
        <v>1</v>
      </c>
      <c r="F80" s="490"/>
      <c r="G80" s="211" t="str">
        <f t="shared" si="15"/>
        <v/>
      </c>
      <c r="H80" s="212" t="str">
        <f t="shared" si="13"/>
        <v/>
      </c>
      <c r="I80" s="213" t="str">
        <f>IF(IF(D80=0,G80,G80/D80)=0,"",(IF(D80=0,G80,G80/D80)))</f>
        <v/>
      </c>
      <c r="J80" s="211" t="str">
        <f t="shared" si="12"/>
        <v/>
      </c>
      <c r="K80" s="212" t="str">
        <f t="shared" si="14"/>
        <v xml:space="preserve"> </v>
      </c>
      <c r="L80" s="262"/>
      <c r="M80" s="88" t="s">
        <v>68</v>
      </c>
      <c r="N80" s="85" t="s">
        <v>67</v>
      </c>
      <c r="P80" s="5"/>
      <c r="Q80" s="94">
        <f>(J73+J81)*$K$10/365*$D$20</f>
        <v>109.01966096807654</v>
      </c>
    </row>
    <row r="81" spans="2:16" ht="14.4" thickBot="1" x14ac:dyDescent="0.35">
      <c r="B81" s="626" t="s">
        <v>36</v>
      </c>
      <c r="C81" s="627"/>
      <c r="D81" s="194"/>
      <c r="E81" s="63"/>
      <c r="F81" s="193"/>
      <c r="G81" s="35">
        <f>SUM(G74:G80)</f>
        <v>2333.2117647058826</v>
      </c>
      <c r="H81" s="57">
        <f>SUM(H74:H80)</f>
        <v>41.442482499216389</v>
      </c>
      <c r="I81" s="131"/>
      <c r="J81" s="37">
        <f>SUM(J74:J80)</f>
        <v>1977.971086739781</v>
      </c>
      <c r="K81" s="57">
        <f>SUM(K74:K80)</f>
        <v>35.132701363051169</v>
      </c>
      <c r="L81" s="267"/>
      <c r="M81" s="86">
        <f>J82-N81</f>
        <v>-28.120470636659149</v>
      </c>
      <c r="N81" s="87">
        <f>(J35*K10/365*$D$16)+((J35/100*10)*$K$10/365*$D$19)+((J73+J81)/100*18*$K$10/365*$D$20)+((J73+J81)*$K$10/365*$D$20)</f>
        <v>231.64432073934151</v>
      </c>
      <c r="O81" s="89" t="s">
        <v>1</v>
      </c>
      <c r="P81" s="5"/>
    </row>
    <row r="82" spans="2:16" x14ac:dyDescent="0.3">
      <c r="B82" s="491"/>
      <c r="C82" s="492" t="s">
        <v>31</v>
      </c>
      <c r="D82" s="493">
        <f>K11</f>
        <v>1.0833333333333334E-2</v>
      </c>
      <c r="E82" s="494" t="s">
        <v>1</v>
      </c>
      <c r="F82" s="480"/>
      <c r="G82" s="81">
        <f>$K$7*(((G35+SUM(G54:G72,G49:G52,G74:G80,G37:G47)))*$K$10/365)</f>
        <v>203.52385010268236</v>
      </c>
      <c r="H82" s="79">
        <f>G82/K12</f>
        <v>3.6149884565307704</v>
      </c>
      <c r="I82" s="133"/>
      <c r="J82" s="41">
        <f>G82</f>
        <v>203.52385010268236</v>
      </c>
      <c r="K82" s="42">
        <f>H82</f>
        <v>3.6149884565307704</v>
      </c>
      <c r="L82" s="270"/>
      <c r="M82" s="255">
        <f>M81/K12</f>
        <v>-0.49947549976303995</v>
      </c>
      <c r="N82" s="87">
        <f>N81/K12</f>
        <v>4.1144639562938101</v>
      </c>
      <c r="O82" s="90" t="s">
        <v>66</v>
      </c>
      <c r="P82" s="5"/>
    </row>
    <row r="83" spans="2:16" x14ac:dyDescent="0.3">
      <c r="B83" s="491"/>
      <c r="C83" s="495" t="s">
        <v>191</v>
      </c>
      <c r="D83" s="496">
        <v>0.06</v>
      </c>
      <c r="E83" s="497" t="s">
        <v>1</v>
      </c>
      <c r="F83" s="490"/>
      <c r="G83" s="229">
        <f>H83*K12</f>
        <v>96.948600000000013</v>
      </c>
      <c r="H83" s="229">
        <f>(((D3*D11)*12%)*(K10-D83)/D11)</f>
        <v>1.7220000000000002</v>
      </c>
      <c r="I83" s="230"/>
      <c r="J83" s="231">
        <f>K83*K12</f>
        <v>96.948600000000013</v>
      </c>
      <c r="K83" s="256">
        <f>(((D3*D11)*12%)*(K10-D83)/D11)</f>
        <v>1.7220000000000002</v>
      </c>
      <c r="L83" s="83"/>
      <c r="M83" s="232"/>
      <c r="N83" s="233"/>
      <c r="O83" s="90"/>
      <c r="P83" s="5"/>
    </row>
    <row r="84" spans="2:16" x14ac:dyDescent="0.3">
      <c r="B84" s="498"/>
      <c r="C84" s="499" t="s">
        <v>154</v>
      </c>
      <c r="D84" s="479">
        <v>0</v>
      </c>
      <c r="E84" s="341" t="s">
        <v>2</v>
      </c>
      <c r="F84" s="500">
        <f>21-F60</f>
        <v>18.649999999999999</v>
      </c>
      <c r="G84" s="174">
        <f>IF((IF(E84="RUR",F84,F84*$K$12))=0,"",(IF(E84="RUR",F84,F84*$K$12)))</f>
        <v>1049.9949999999999</v>
      </c>
      <c r="H84" s="176">
        <f>IF(ISERROR(G84/$K$12),"",(G84/$K$12))</f>
        <v>18.649999999999999</v>
      </c>
      <c r="I84" s="134">
        <f t="shared" ref="I84" si="16">IF(IF(D84=0,G84,G84/D84)=0,"",(IF(D84=0,G84,G84/D84)))</f>
        <v>1049.9949999999999</v>
      </c>
      <c r="J84" s="59">
        <f t="shared" ref="J84" si="17">IF(ISERROR(I84),"",(I84))</f>
        <v>1049.9949999999999</v>
      </c>
      <c r="K84" s="45">
        <f>IF(ISERROR(J84/$K$12)," ",(J84/$K$12))</f>
        <v>18.649999999999999</v>
      </c>
      <c r="L84" s="83"/>
      <c r="M84" s="4"/>
      <c r="N84" s="3"/>
      <c r="O84" s="5"/>
      <c r="P84" s="5"/>
    </row>
    <row r="85" spans="2:16" ht="14.4" thickBot="1" x14ac:dyDescent="0.35">
      <c r="B85" s="501"/>
      <c r="C85" s="488" t="s">
        <v>159</v>
      </c>
      <c r="D85" s="502">
        <f>K9</f>
        <v>0</v>
      </c>
      <c r="E85" s="503" t="s">
        <v>1</v>
      </c>
      <c r="F85" s="480"/>
      <c r="G85" s="175">
        <f>IF(ISERROR(I85),"",(I85))</f>
        <v>0</v>
      </c>
      <c r="H85" s="80">
        <f>IF(ISERROR(G85/K12),"",(G85/K12))</f>
        <v>0</v>
      </c>
      <c r="I85" s="135">
        <f>D3*D85</f>
        <v>0</v>
      </c>
      <c r="J85" s="43">
        <f>G85</f>
        <v>0</v>
      </c>
      <c r="K85" s="44">
        <f>H85</f>
        <v>0</v>
      </c>
      <c r="L85" s="83"/>
      <c r="M85" s="4"/>
      <c r="N85" s="3"/>
      <c r="O85" s="5"/>
      <c r="P85" s="5"/>
    </row>
    <row r="86" spans="2:16" ht="14.4" thickBot="1" x14ac:dyDescent="0.35">
      <c r="B86" s="624" t="s">
        <v>36</v>
      </c>
      <c r="C86" s="625"/>
      <c r="D86" s="504"/>
      <c r="E86" s="505"/>
      <c r="F86" s="506"/>
      <c r="G86" s="55">
        <f>SUM(G82:G85)</f>
        <v>1350.4674501026823</v>
      </c>
      <c r="H86" s="34">
        <f>SUM(H82:H85)</f>
        <v>23.986988456530767</v>
      </c>
      <c r="I86" s="136"/>
      <c r="J86" s="36">
        <f>SUM(J82:J85)</f>
        <v>1350.4674501026823</v>
      </c>
      <c r="K86" s="34">
        <f>SUM(K82:K85)</f>
        <v>23.986988456530767</v>
      </c>
      <c r="L86" s="267"/>
      <c r="M86" s="4"/>
      <c r="N86" s="3"/>
      <c r="O86" s="5"/>
      <c r="P86" s="5"/>
    </row>
    <row r="87" spans="2:16" x14ac:dyDescent="0.3">
      <c r="B87" s="491"/>
      <c r="C87" s="492" t="s">
        <v>56</v>
      </c>
      <c r="D87" s="493">
        <v>2E-3</v>
      </c>
      <c r="E87" s="494" t="s">
        <v>63</v>
      </c>
      <c r="F87" s="480"/>
      <c r="G87" s="41">
        <f>IF(E87="YES",(G35*D87)," ")</f>
        <v>14</v>
      </c>
      <c r="H87" s="42">
        <f>IF(ISERROR(G87/K12),"",(G87/K12))</f>
        <v>0.24866785079928952</v>
      </c>
      <c r="I87" s="133"/>
      <c r="J87" s="41">
        <f>IF(E87="YES",(J35*D87)," ")</f>
        <v>12.727272727272727</v>
      </c>
      <c r="K87" s="42">
        <f>IF(ISERROR(J87/K12),"",(J87/K12))</f>
        <v>0.22606168254480866</v>
      </c>
      <c r="L87" s="83"/>
      <c r="M87" s="4"/>
      <c r="N87" s="83"/>
      <c r="O87" s="5"/>
      <c r="P87" s="5"/>
    </row>
    <row r="88" spans="2:16" x14ac:dyDescent="0.3">
      <c r="B88" s="498"/>
      <c r="C88" s="507" t="s">
        <v>57</v>
      </c>
      <c r="D88" s="508">
        <v>1E-3</v>
      </c>
      <c r="E88" s="509" t="s">
        <v>63</v>
      </c>
      <c r="F88" s="480"/>
      <c r="G88" s="59">
        <f>IF(E88="YES",I88," ")</f>
        <v>7</v>
      </c>
      <c r="H88" s="45">
        <f>IF(ISERROR(G88/K12),"",(G88/K12))</f>
        <v>0.12433392539964476</v>
      </c>
      <c r="I88" s="137">
        <f>IF(F74&gt;=0,((G35+((F74/30.5)*D16))*D88),0)</f>
        <v>7</v>
      </c>
      <c r="J88" s="59">
        <f>IF(E88="YES",(I89)," ")</f>
        <v>6.3636363636363633</v>
      </c>
      <c r="K88" s="45">
        <f>IF(ISERROR(J88/K12),"",(J88/K12))</f>
        <v>0.11303084127240433</v>
      </c>
      <c r="L88" s="83"/>
      <c r="M88" s="4"/>
      <c r="N88" s="3"/>
      <c r="O88" s="5"/>
      <c r="P88" s="5"/>
    </row>
    <row r="89" spans="2:16" ht="14.4" thickBot="1" x14ac:dyDescent="0.35">
      <c r="B89" s="501"/>
      <c r="C89" s="510" t="s">
        <v>32</v>
      </c>
      <c r="D89" s="511"/>
      <c r="E89" s="512" t="s">
        <v>1</v>
      </c>
      <c r="F89" s="480"/>
      <c r="G89" s="60"/>
      <c r="H89" s="46"/>
      <c r="I89" s="137">
        <f>IF(F74&gt;=0,((J35+((F74/30.5)*D16))*D88),0)</f>
        <v>6.3636363636363633</v>
      </c>
      <c r="J89" s="60"/>
      <c r="K89" s="46"/>
      <c r="L89" s="83"/>
      <c r="M89" s="4"/>
      <c r="N89" s="3"/>
      <c r="O89" s="5"/>
      <c r="P89" s="5"/>
    </row>
    <row r="90" spans="2:16" ht="14.4" thickBot="1" x14ac:dyDescent="0.35">
      <c r="B90" s="619" t="s">
        <v>36</v>
      </c>
      <c r="C90" s="620"/>
      <c r="D90" s="62"/>
      <c r="E90" s="68"/>
      <c r="F90" s="62"/>
      <c r="G90" s="37">
        <f>SUM(G87:G89)</f>
        <v>21</v>
      </c>
      <c r="H90" s="34">
        <f>SUM(H87:H89)</f>
        <v>0.37300177619893427</v>
      </c>
      <c r="I90" s="136"/>
      <c r="J90" s="36">
        <f>SUM(J87:J89)</f>
        <v>19.09090909090909</v>
      </c>
      <c r="K90" s="34">
        <f>SUM(K87:K89)</f>
        <v>0.339092523817213</v>
      </c>
      <c r="L90" s="267"/>
      <c r="M90" s="4"/>
      <c r="N90" s="3"/>
      <c r="O90" s="5"/>
      <c r="P90" s="5"/>
    </row>
    <row r="91" spans="2:16" x14ac:dyDescent="0.3">
      <c r="B91" s="69"/>
      <c r="H91" s="30"/>
      <c r="I91" s="138"/>
      <c r="J91" s="30"/>
      <c r="K91" s="30"/>
      <c r="L91" s="30"/>
      <c r="M91" s="4"/>
      <c r="N91" s="3"/>
      <c r="O91" s="5"/>
      <c r="P91" s="5"/>
    </row>
    <row r="92" spans="2:16" x14ac:dyDescent="0.3">
      <c r="B92" s="69"/>
      <c r="H92" s="31"/>
      <c r="I92" s="139"/>
      <c r="J92" s="31"/>
      <c r="K92" s="31"/>
      <c r="L92" s="31"/>
      <c r="O92" s="5"/>
      <c r="P92" s="5"/>
    </row>
    <row r="93" spans="2:16" ht="15.6" x14ac:dyDescent="0.3">
      <c r="B93" s="69"/>
      <c r="C93" s="329" t="s">
        <v>208</v>
      </c>
      <c r="D93" s="330"/>
      <c r="H93" s="30"/>
      <c r="I93" s="138"/>
      <c r="J93" s="30"/>
      <c r="K93" s="30"/>
      <c r="L93" s="30"/>
      <c r="O93" s="5"/>
      <c r="P93" s="5"/>
    </row>
    <row r="94" spans="2:16" s="26" customFormat="1" ht="15.6" x14ac:dyDescent="0.3">
      <c r="C94" s="331"/>
      <c r="D94" s="15"/>
      <c r="O94" s="5"/>
      <c r="P94" s="5"/>
    </row>
    <row r="95" spans="2:16" ht="15.6" x14ac:dyDescent="0.3">
      <c r="C95" s="329" t="s">
        <v>209</v>
      </c>
      <c r="D95" s="332"/>
      <c r="O95" s="5"/>
      <c r="P95" s="5"/>
    </row>
    <row r="96" spans="2:16" s="18" customFormat="1" ht="15.6" x14ac:dyDescent="0.3">
      <c r="C96" s="331"/>
      <c r="D96" s="15"/>
      <c r="L96" s="271"/>
      <c r="O96" s="6"/>
      <c r="P96" s="6"/>
    </row>
    <row r="97" spans="2:16" ht="15.6" x14ac:dyDescent="0.3">
      <c r="C97" s="329" t="s">
        <v>210</v>
      </c>
      <c r="D97" s="333"/>
      <c r="O97" s="5"/>
      <c r="P97" s="5"/>
    </row>
    <row r="98" spans="2:16" x14ac:dyDescent="0.3">
      <c r="O98" s="5"/>
      <c r="P98" s="5"/>
    </row>
    <row r="99" spans="2:16" s="18" customFormat="1" x14ac:dyDescent="0.3">
      <c r="L99" s="271"/>
      <c r="O99" s="6"/>
      <c r="P99" s="6"/>
    </row>
    <row r="100" spans="2:16" x14ac:dyDescent="0.3">
      <c r="O100" s="5"/>
      <c r="P100" s="5"/>
    </row>
    <row r="101" spans="2:16" ht="14.4" customHeight="1" x14ac:dyDescent="0.3">
      <c r="O101" s="5"/>
      <c r="P101" s="5"/>
    </row>
    <row r="104" spans="2:16" x14ac:dyDescent="0.3">
      <c r="B104" s="26"/>
      <c r="C104" s="26"/>
      <c r="D104" s="26"/>
      <c r="E104" s="47"/>
      <c r="F104" s="26"/>
      <c r="G104" s="32"/>
      <c r="H104" s="32"/>
      <c r="J104" s="32"/>
      <c r="K104" s="32"/>
    </row>
    <row r="105" spans="2:16" x14ac:dyDescent="0.3">
      <c r="B105" s="26"/>
      <c r="C105" s="26"/>
      <c r="D105" s="26"/>
      <c r="E105" s="47"/>
      <c r="F105" s="26"/>
      <c r="G105" s="32"/>
      <c r="H105" s="32"/>
      <c r="J105" s="32"/>
      <c r="K105" s="32"/>
      <c r="M105" s="16"/>
    </row>
    <row r="106" spans="2:16" x14ac:dyDescent="0.3">
      <c r="B106" s="16"/>
      <c r="C106" s="156"/>
      <c r="D106" s="621"/>
      <c r="E106" s="621"/>
      <c r="F106" s="621"/>
      <c r="G106" s="621"/>
      <c r="H106" s="157"/>
      <c r="I106" s="157"/>
      <c r="J106" s="157"/>
      <c r="K106" s="157"/>
      <c r="L106" s="264"/>
      <c r="M106" s="16"/>
    </row>
    <row r="107" spans="2:16" x14ac:dyDescent="0.3">
      <c r="B107" s="158"/>
      <c r="C107" s="16"/>
      <c r="D107" s="16"/>
      <c r="E107" s="159"/>
      <c r="F107" s="16"/>
      <c r="G107" s="28"/>
      <c r="H107" s="28"/>
      <c r="I107" s="28"/>
      <c r="J107" s="28"/>
      <c r="K107" s="160"/>
      <c r="L107" s="160"/>
      <c r="M107" s="16"/>
    </row>
    <row r="108" spans="2:16" x14ac:dyDescent="0.3">
      <c r="B108" s="158"/>
      <c r="C108" s="16"/>
      <c r="D108" s="16"/>
      <c r="E108" s="159"/>
      <c r="F108" s="16"/>
      <c r="G108" s="28"/>
      <c r="H108" s="28"/>
      <c r="I108" s="28"/>
      <c r="J108" s="28"/>
      <c r="K108" s="160"/>
      <c r="L108" s="160"/>
      <c r="M108" s="16"/>
    </row>
    <row r="109" spans="2:16" x14ac:dyDescent="0.3">
      <c r="B109" s="158"/>
      <c r="C109" s="16"/>
      <c r="D109" s="16"/>
      <c r="E109" s="159"/>
      <c r="F109" s="16"/>
      <c r="G109" s="28"/>
      <c r="H109" s="28"/>
      <c r="I109" s="28"/>
      <c r="J109" s="28"/>
      <c r="K109" s="160"/>
      <c r="L109" s="160"/>
      <c r="M109" s="16"/>
    </row>
    <row r="110" spans="2:16" x14ac:dyDescent="0.3">
      <c r="B110" s="158"/>
      <c r="C110" s="16"/>
      <c r="D110" s="16"/>
      <c r="E110" s="159"/>
      <c r="F110" s="16"/>
      <c r="G110" s="28"/>
      <c r="H110" s="28"/>
      <c r="I110" s="28"/>
      <c r="J110" s="28"/>
      <c r="K110" s="160"/>
      <c r="L110" s="160"/>
      <c r="M110" s="16"/>
    </row>
    <row r="111" spans="2:16" x14ac:dyDescent="0.3">
      <c r="B111" s="161"/>
      <c r="C111" s="16"/>
      <c r="D111" s="16"/>
      <c r="E111" s="159"/>
      <c r="F111" s="16"/>
      <c r="G111" s="28"/>
      <c r="H111" s="28"/>
      <c r="I111" s="28"/>
      <c r="J111" s="28"/>
      <c r="K111" s="160"/>
      <c r="L111" s="160"/>
      <c r="M111" s="16"/>
    </row>
    <row r="112" spans="2:16" x14ac:dyDescent="0.3">
      <c r="B112" s="158"/>
      <c r="C112" s="16"/>
      <c r="D112" s="16"/>
      <c r="E112" s="159"/>
      <c r="F112" s="16"/>
      <c r="G112" s="28"/>
      <c r="H112" s="28"/>
      <c r="I112" s="28"/>
      <c r="J112" s="28"/>
      <c r="K112" s="160"/>
      <c r="L112" s="160"/>
      <c r="M112" s="16"/>
    </row>
    <row r="113" spans="2:13" x14ac:dyDescent="0.3">
      <c r="B113" s="158"/>
      <c r="C113" s="16"/>
      <c r="D113" s="16"/>
      <c r="E113" s="16"/>
      <c r="F113" s="16"/>
      <c r="G113" s="16"/>
      <c r="H113" s="16"/>
      <c r="I113" s="16"/>
      <c r="J113" s="16"/>
      <c r="K113" s="160"/>
      <c r="L113" s="160"/>
      <c r="M113" s="16"/>
    </row>
    <row r="114" spans="2:13" x14ac:dyDescent="0.3">
      <c r="B114" s="16"/>
      <c r="C114" s="16"/>
      <c r="D114" s="16"/>
      <c r="E114" s="159"/>
      <c r="F114" s="16"/>
      <c r="G114" s="28"/>
      <c r="H114" s="28"/>
      <c r="I114" s="28"/>
      <c r="J114" s="28"/>
      <c r="K114" s="28"/>
      <c r="L114" s="28"/>
      <c r="M114" s="16"/>
    </row>
    <row r="115" spans="2:13" x14ac:dyDescent="0.3">
      <c r="B115" s="16"/>
      <c r="C115" s="16"/>
      <c r="D115" s="16"/>
      <c r="E115" s="159"/>
      <c r="F115" s="16"/>
      <c r="G115" s="28"/>
      <c r="H115" s="28"/>
      <c r="I115" s="28"/>
      <c r="J115" s="28"/>
      <c r="K115" s="28"/>
      <c r="L115" s="28"/>
    </row>
  </sheetData>
  <sheetProtection algorithmName="SHA-512" hashValue="SjOqCAkDwkshrruQYHieX6pdxkTztAgyFAkZv1beDFmRo1BIxxxfegDUS9dpA2UxrjkvDwzwX76+wmVN8exPfQ==" saltValue="FTZC2CnuWMbfRsTHUNGidw==" spinCount="100000" sheet="1" objects="1" scenarios="1"/>
  <mergeCells count="15">
    <mergeCell ref="D106:G106"/>
    <mergeCell ref="B90:C90"/>
    <mergeCell ref="E33:E34"/>
    <mergeCell ref="F33:F34"/>
    <mergeCell ref="G33:K33"/>
    <mergeCell ref="C1:K1"/>
    <mergeCell ref="F3:G3"/>
    <mergeCell ref="B86:C86"/>
    <mergeCell ref="B81:C81"/>
    <mergeCell ref="B33:B34"/>
    <mergeCell ref="C33:C34"/>
    <mergeCell ref="D33:D34"/>
    <mergeCell ref="B53:C53"/>
    <mergeCell ref="F22:G22"/>
    <mergeCell ref="D22:E22"/>
  </mergeCells>
  <phoneticPr fontId="0" type="noConversion"/>
  <conditionalFormatting sqref="E54:E72">
    <cfRule type="cellIs" dxfId="15" priority="23" operator="equal">
      <formula>"USD"</formula>
    </cfRule>
    <cfRule type="containsText" dxfId="14" priority="24" operator="containsText" text="RUR">
      <formula>NOT(ISERROR(SEARCH("RUR",E54)))</formula>
    </cfRule>
  </conditionalFormatting>
  <conditionalFormatting sqref="E51:E52 E74:E80">
    <cfRule type="cellIs" dxfId="13" priority="21" operator="equal">
      <formula>"USD"</formula>
    </cfRule>
    <cfRule type="cellIs" dxfId="12" priority="22" operator="equal">
      <formula>"RUR"</formula>
    </cfRule>
  </conditionalFormatting>
  <conditionalFormatting sqref="E51:E52">
    <cfRule type="cellIs" dxfId="11" priority="17" operator="equal">
      <formula>"USD"</formula>
    </cfRule>
    <cfRule type="cellIs" dxfId="10" priority="18" operator="equal">
      <formula>"RUR"</formula>
    </cfRule>
  </conditionalFormatting>
  <conditionalFormatting sqref="E49:E50">
    <cfRule type="cellIs" dxfId="9" priority="3" operator="equal">
      <formula>"USD"</formula>
    </cfRule>
    <cfRule type="cellIs" dxfId="8" priority="4" operator="equal">
      <formula>"RUR"</formula>
    </cfRule>
  </conditionalFormatting>
  <conditionalFormatting sqref="E49:E50">
    <cfRule type="cellIs" dxfId="7" priority="5" operator="equal">
      <formula>"USD"</formula>
    </cfRule>
    <cfRule type="cellIs" dxfId="6" priority="6" operator="equal">
      <formula>"RUR"</formula>
    </cfRule>
  </conditionalFormatting>
  <conditionalFormatting sqref="E37:E47">
    <cfRule type="cellIs" dxfId="5" priority="9" operator="equal">
      <formula>"USD"</formula>
    </cfRule>
    <cfRule type="cellIs" dxfId="4" priority="10" operator="equal">
      <formula>"RUR"</formula>
    </cfRule>
  </conditionalFormatting>
  <conditionalFormatting sqref="E37:E47">
    <cfRule type="cellIs" dxfId="3" priority="7" operator="equal">
      <formula>"USD"</formula>
    </cfRule>
    <cfRule type="cellIs" dxfId="2" priority="8" operator="equal">
      <formula>"RUR"</formula>
    </cfRule>
  </conditionalFormatting>
  <conditionalFormatting sqref="E84">
    <cfRule type="cellIs" dxfId="1" priority="1" operator="equal">
      <formula>"USD"</formula>
    </cfRule>
    <cfRule type="cellIs" dxfId="0" priority="2" operator="equal">
      <formula>"RUR"</formula>
    </cfRule>
  </conditionalFormatting>
  <pageMargins left="0.25" right="0.25" top="0.75" bottom="0.75" header="0.3" footer="0.3"/>
  <pageSetup paperSize="9" scale="73" orientation="portrait" horizontalDpi="4294967295" verticalDpi="4294967295" r:id="rId1"/>
  <headerFooter alignWithMargins="0"/>
  <rowBreaks count="1" manualBreakCount="1">
    <brk id="32" min="1" max="11" man="1"/>
  </rowBreaks>
  <extLs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InputMessage="1" showErrorMessage="1">
          <x14:formula1>
            <xm:f>справочник!$C$16:$C$18</xm:f>
          </x14:formula1>
          <xm:sqref>D54:D72 D35 D74:D80 D37:D47 D49:D52 D84</xm:sqref>
        </x14:dataValidation>
        <x14:dataValidation type="list" allowBlank="1" showInputMessage="1" showErrorMessage="1">
          <x14:formula1>
            <xm:f>справочник!$E$15:$E$19</xm:f>
          </x14:formula1>
          <xm:sqref>D14</xm:sqref>
        </x14:dataValidation>
        <x14:dataValidation type="list" allowBlank="1" showInputMessage="1" showErrorMessage="1">
          <x14:formula1>
            <xm:f>справочник!$C$1:$C$8</xm:f>
          </x14:formula1>
          <xm:sqref>D4</xm:sqref>
        </x14:dataValidation>
        <x14:dataValidation type="list" allowBlank="1" showInputMessage="1" showErrorMessage="1">
          <x14:formula1>
            <xm:f>'качество справочник'!$B$2:$B$27</xm:f>
          </x14:formula1>
          <xm:sqref>D13</xm:sqref>
        </x14:dataValidation>
        <x14:dataValidation type="list" allowBlank="1" showInputMessage="1" showErrorMessage="1">
          <x14:formula1>
            <xm:f>справочник!$E$1:$E$9</xm:f>
          </x14:formula1>
          <xm:sqref>D10</xm:sqref>
        </x14:dataValidation>
        <x14:dataValidation type="list" allowBlank="1" showInputMessage="1" showErrorMessage="1">
          <x14:formula1>
            <xm:f>справочник!$C$28:$C$29</xm:f>
          </x14:formula1>
          <xm:sqref>E87:E88</xm:sqref>
        </x14:dataValidation>
        <x14:dataValidation type="list" allowBlank="1" showInputMessage="1" showErrorMessage="1">
          <x14:formula1>
            <xm:f>справочник!$C$23:$C$24</xm:f>
          </x14:formula1>
          <xm:sqref>E54:E72 E74:E80 E37:E47 E49:E52 E84</xm:sqref>
        </x14:dataValidation>
        <x14:dataValidation type="list" allowBlank="1" showInputMessage="1" showErrorMessage="1">
          <x14:formula1>
            <xm:f>справочник!$F$2:$F$4</xm:f>
          </x14:formula1>
          <xm:sqref>D7</xm:sqref>
        </x14:dataValidation>
        <x14:dataValidation type="list" allowBlank="1" showInputMessage="1" showErrorMessage="1">
          <x14:formula1>
            <xm:f>'справочник логистика'!$A$2:$A$20</xm:f>
          </x14:formula1>
          <xm:sqref>D5</xm:sqref>
        </x14:dataValidation>
        <x14:dataValidation type="list" allowBlank="1" showInputMessage="1" showErrorMessage="1">
          <x14:formula1>
            <xm:f>'P:\Расчеты сделок\DAP Гардабани Грузия\[Pасчет DAP Гардабани Грачевский эл-р 29 11 17.xlsx]справочник'!#REF!</xm:f>
          </x14:formula1>
          <xm:sqref>D51:D52 E37:E47 E49:E52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J63"/>
  <sheetViews>
    <sheetView workbookViewId="0">
      <selection activeCell="I15" sqref="I15"/>
    </sheetView>
  </sheetViews>
  <sheetFormatPr defaultRowHeight="13.2" x14ac:dyDescent="0.25"/>
  <cols>
    <col min="1" max="1" width="3.33203125" style="12" customWidth="1"/>
    <col min="3" max="3" width="14" customWidth="1"/>
    <col min="4" max="4" width="20.109375" customWidth="1"/>
    <col min="5" max="5" width="36" customWidth="1"/>
    <col min="6" max="6" width="18.44140625" bestFit="1" customWidth="1"/>
    <col min="7" max="7" width="10.33203125" customWidth="1"/>
    <col min="8" max="8" width="10.109375" bestFit="1" customWidth="1"/>
  </cols>
  <sheetData>
    <row r="1" spans="1:10" ht="28.2" customHeight="1" x14ac:dyDescent="0.25">
      <c r="B1" s="10" t="s">
        <v>3</v>
      </c>
      <c r="C1" s="27" t="s">
        <v>37</v>
      </c>
      <c r="E1" s="96" t="s">
        <v>137</v>
      </c>
      <c r="F1" s="140"/>
      <c r="G1" s="170" t="s">
        <v>185</v>
      </c>
      <c r="H1" s="171" t="s">
        <v>186</v>
      </c>
    </row>
    <row r="2" spans="1:10" x14ac:dyDescent="0.25">
      <c r="A2" s="12">
        <v>1</v>
      </c>
      <c r="B2" s="11" t="s">
        <v>7</v>
      </c>
      <c r="C2" s="27" t="s">
        <v>38</v>
      </c>
      <c r="E2" s="96" t="s">
        <v>138</v>
      </c>
      <c r="F2" s="167" t="s">
        <v>143</v>
      </c>
      <c r="G2" s="240">
        <f>ROUNDUP((Туапсе!D11/Туапсе!D6)/68,0)</f>
        <v>5</v>
      </c>
      <c r="H2" s="241">
        <f>Туапсе!K2+справочник!G2</f>
        <v>43184</v>
      </c>
      <c r="I2" s="180"/>
    </row>
    <row r="3" spans="1:10" x14ac:dyDescent="0.25">
      <c r="A3" s="12">
        <v>2</v>
      </c>
      <c r="B3" s="11" t="s">
        <v>9</v>
      </c>
      <c r="C3" s="27" t="s">
        <v>26</v>
      </c>
      <c r="E3" s="96" t="s">
        <v>139</v>
      </c>
      <c r="F3" s="167" t="s">
        <v>187</v>
      </c>
      <c r="G3" s="240">
        <f>ROUNDUP(H3-Туапсе!K2,0)</f>
        <v>7</v>
      </c>
      <c r="H3" s="241">
        <f>WORKDAY(Туапсе!K2,Туапсе!D8,0)</f>
        <v>43186</v>
      </c>
    </row>
    <row r="4" spans="1:10" x14ac:dyDescent="0.25">
      <c r="A4" s="12">
        <v>3</v>
      </c>
      <c r="B4" s="11" t="s">
        <v>11</v>
      </c>
      <c r="C4" s="140" t="s">
        <v>142</v>
      </c>
      <c r="E4" s="96" t="s">
        <v>140</v>
      </c>
      <c r="F4" s="167" t="s">
        <v>188</v>
      </c>
      <c r="G4" s="240">
        <f>ROUNDUP((G2/2)*5+I4,0)</f>
        <v>13</v>
      </c>
      <c r="H4" s="241">
        <f>Туапсе!K2+справочник!G4</f>
        <v>43192</v>
      </c>
    </row>
    <row r="5" spans="1:10" x14ac:dyDescent="0.25">
      <c r="A5" s="12">
        <v>4</v>
      </c>
      <c r="B5" s="11" t="s">
        <v>6</v>
      </c>
      <c r="C5" s="167" t="s">
        <v>146</v>
      </c>
      <c r="E5" s="162" t="s">
        <v>141</v>
      </c>
      <c r="F5" s="169"/>
      <c r="G5" s="240"/>
      <c r="H5" s="242"/>
    </row>
    <row r="6" spans="1:10" x14ac:dyDescent="0.25">
      <c r="A6" s="12">
        <v>5</v>
      </c>
      <c r="B6" s="11" t="s">
        <v>10</v>
      </c>
      <c r="C6" t="s">
        <v>165</v>
      </c>
      <c r="E6" s="97"/>
    </row>
    <row r="7" spans="1:10" x14ac:dyDescent="0.25">
      <c r="A7" s="12">
        <v>6</v>
      </c>
      <c r="B7" s="11" t="s">
        <v>4</v>
      </c>
      <c r="E7" s="97"/>
    </row>
    <row r="8" spans="1:10" x14ac:dyDescent="0.25">
      <c r="A8" s="12">
        <v>7</v>
      </c>
      <c r="B8" s="11" t="s">
        <v>5</v>
      </c>
      <c r="E8" s="97"/>
    </row>
    <row r="9" spans="1:10" x14ac:dyDescent="0.25">
      <c r="A9" s="12">
        <v>8</v>
      </c>
      <c r="B9" s="11" t="s">
        <v>12</v>
      </c>
      <c r="E9" s="97"/>
    </row>
    <row r="10" spans="1:10" x14ac:dyDescent="0.25">
      <c r="A10" s="12">
        <v>9</v>
      </c>
      <c r="B10" s="11" t="s">
        <v>8</v>
      </c>
    </row>
    <row r="11" spans="1:10" x14ac:dyDescent="0.25">
      <c r="A11" s="12">
        <v>10</v>
      </c>
      <c r="B11" s="11" t="s">
        <v>13</v>
      </c>
    </row>
    <row r="12" spans="1:10" x14ac:dyDescent="0.25">
      <c r="A12" s="12">
        <v>11</v>
      </c>
      <c r="B12" s="11" t="s">
        <v>14</v>
      </c>
      <c r="I12" s="167" t="s">
        <v>229</v>
      </c>
    </row>
    <row r="13" spans="1:10" x14ac:dyDescent="0.25">
      <c r="A13" s="12">
        <v>12</v>
      </c>
      <c r="B13" s="13"/>
      <c r="I13">
        <v>10</v>
      </c>
      <c r="J13">
        <v>15000</v>
      </c>
    </row>
    <row r="14" spans="1:10" x14ac:dyDescent="0.25">
      <c r="A14" s="12">
        <v>13</v>
      </c>
      <c r="B14" s="13"/>
      <c r="E14" s="141" t="s">
        <v>77</v>
      </c>
      <c r="F14" s="141" t="s">
        <v>117</v>
      </c>
      <c r="I14">
        <v>13</v>
      </c>
      <c r="J14">
        <v>22500</v>
      </c>
    </row>
    <row r="15" spans="1:10" x14ac:dyDescent="0.25">
      <c r="C15" s="141" t="s">
        <v>46</v>
      </c>
      <c r="E15" s="147" t="s">
        <v>111</v>
      </c>
      <c r="F15" s="234">
        <f>Туапсе!D11*Туапсе!G35</f>
        <v>21000000</v>
      </c>
    </row>
    <row r="16" spans="1:10" x14ac:dyDescent="0.25">
      <c r="C16" s="142">
        <v>0</v>
      </c>
      <c r="E16" s="147" t="s">
        <v>113</v>
      </c>
      <c r="F16" s="234">
        <f>(Туапсе!D11*Туапсе!G35)/2</f>
        <v>10500000</v>
      </c>
    </row>
    <row r="17" spans="1:6" x14ac:dyDescent="0.25">
      <c r="C17" s="143">
        <v>1.18</v>
      </c>
      <c r="E17" s="143" t="s">
        <v>114</v>
      </c>
      <c r="F17" s="234">
        <f>(Туапсе!D11*Туапсе!G35)*0.2</f>
        <v>4200000</v>
      </c>
    </row>
    <row r="18" spans="1:6" x14ac:dyDescent="0.25">
      <c r="C18" s="144">
        <v>1.1000000000000001</v>
      </c>
      <c r="E18" s="147" t="s">
        <v>112</v>
      </c>
      <c r="F18" s="234">
        <v>0</v>
      </c>
    </row>
    <row r="19" spans="1:6" x14ac:dyDescent="0.25">
      <c r="C19" s="145">
        <f>Туапсе!K11</f>
        <v>1.0833333333333334E-2</v>
      </c>
      <c r="E19" s="143" t="s">
        <v>115</v>
      </c>
      <c r="F19" s="234">
        <v>0</v>
      </c>
    </row>
    <row r="20" spans="1:6" x14ac:dyDescent="0.25">
      <c r="E20" s="147" t="s">
        <v>184</v>
      </c>
      <c r="F20" s="234">
        <f>(Туапсе!G35*Туапсе!D11)*0.1</f>
        <v>2100000</v>
      </c>
    </row>
    <row r="22" spans="1:6" x14ac:dyDescent="0.25">
      <c r="C22" s="141" t="s">
        <v>58</v>
      </c>
    </row>
    <row r="23" spans="1:6" x14ac:dyDescent="0.25">
      <c r="C23" s="146" t="s">
        <v>1</v>
      </c>
      <c r="E23" s="167" t="s">
        <v>224</v>
      </c>
      <c r="F23">
        <v>29.5</v>
      </c>
    </row>
    <row r="24" spans="1:6" x14ac:dyDescent="0.25">
      <c r="C24" s="146" t="s">
        <v>2</v>
      </c>
      <c r="E24" s="20"/>
    </row>
    <row r="25" spans="1:6" x14ac:dyDescent="0.25">
      <c r="C25" s="146" t="s">
        <v>228</v>
      </c>
      <c r="E25" s="27"/>
    </row>
    <row r="27" spans="1:6" x14ac:dyDescent="0.25">
      <c r="E27" s="27"/>
    </row>
    <row r="28" spans="1:6" x14ac:dyDescent="0.25">
      <c r="C28" t="s">
        <v>63</v>
      </c>
      <c r="E28" s="27"/>
    </row>
    <row r="29" spans="1:6" x14ac:dyDescent="0.25">
      <c r="C29" t="s">
        <v>64</v>
      </c>
      <c r="E29" s="27"/>
    </row>
    <row r="30" spans="1:6" x14ac:dyDescent="0.25">
      <c r="E30" s="27"/>
    </row>
    <row r="31" spans="1:6" x14ac:dyDescent="0.25">
      <c r="E31" s="27"/>
    </row>
    <row r="32" spans="1:6" x14ac:dyDescent="0.25">
      <c r="A32" s="12" t="s">
        <v>42</v>
      </c>
      <c r="E32" s="27"/>
    </row>
    <row r="33" spans="5:5" x14ac:dyDescent="0.25">
      <c r="E33" s="27"/>
    </row>
    <row r="34" spans="5:5" x14ac:dyDescent="0.25">
      <c r="E34" s="20" t="s">
        <v>21</v>
      </c>
    </row>
    <row r="35" spans="5:5" x14ac:dyDescent="0.25">
      <c r="E35" s="27" t="s">
        <v>43</v>
      </c>
    </row>
    <row r="37" spans="5:5" x14ac:dyDescent="0.25">
      <c r="E37" s="20" t="s">
        <v>22</v>
      </c>
    </row>
    <row r="40" spans="5:5" x14ac:dyDescent="0.25">
      <c r="E40" s="20" t="s">
        <v>23</v>
      </c>
    </row>
    <row r="43" spans="5:5" x14ac:dyDescent="0.25">
      <c r="E43" s="20" t="s">
        <v>24</v>
      </c>
    </row>
    <row r="44" spans="5:5" x14ac:dyDescent="0.25">
      <c r="E44" s="21"/>
    </row>
    <row r="45" spans="5:5" x14ac:dyDescent="0.25">
      <c r="E45" s="21"/>
    </row>
    <row r="46" spans="5:5" x14ac:dyDescent="0.25">
      <c r="E46" s="21"/>
    </row>
    <row r="48" spans="5:5" x14ac:dyDescent="0.25">
      <c r="E48" s="20" t="s">
        <v>25</v>
      </c>
    </row>
    <row r="53" spans="5:5" x14ac:dyDescent="0.25">
      <c r="E53" t="s">
        <v>7</v>
      </c>
    </row>
    <row r="54" spans="5:5" x14ac:dyDescent="0.25">
      <c r="E54" t="s">
        <v>9</v>
      </c>
    </row>
    <row r="55" spans="5:5" x14ac:dyDescent="0.25">
      <c r="E55" t="s">
        <v>11</v>
      </c>
    </row>
    <row r="56" spans="5:5" x14ac:dyDescent="0.25">
      <c r="E56" t="s">
        <v>6</v>
      </c>
    </row>
    <row r="57" spans="5:5" x14ac:dyDescent="0.25">
      <c r="E57" t="s">
        <v>10</v>
      </c>
    </row>
    <row r="58" spans="5:5" x14ac:dyDescent="0.25">
      <c r="E58" t="s">
        <v>4</v>
      </c>
    </row>
    <row r="59" spans="5:5" x14ac:dyDescent="0.25">
      <c r="E59" t="s">
        <v>5</v>
      </c>
    </row>
    <row r="60" spans="5:5" x14ac:dyDescent="0.25">
      <c r="E60" t="s">
        <v>12</v>
      </c>
    </row>
    <row r="61" spans="5:5" x14ac:dyDescent="0.25">
      <c r="E61" t="s">
        <v>8</v>
      </c>
    </row>
    <row r="62" spans="5:5" x14ac:dyDescent="0.25">
      <c r="E62" t="s">
        <v>13</v>
      </c>
    </row>
    <row r="63" spans="5:5" x14ac:dyDescent="0.25">
      <c r="E63" t="s">
        <v>14</v>
      </c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4"/>
  <sheetViews>
    <sheetView workbookViewId="0">
      <selection activeCell="Q10" sqref="Q10"/>
    </sheetView>
  </sheetViews>
  <sheetFormatPr defaultRowHeight="13.2" x14ac:dyDescent="0.25"/>
  <cols>
    <col min="2" max="2" width="21.5546875" style="98" customWidth="1"/>
  </cols>
  <sheetData>
    <row r="1" spans="1:34" ht="30.6" x14ac:dyDescent="0.25">
      <c r="A1" s="104" t="s">
        <v>108</v>
      </c>
      <c r="B1" s="104" t="s">
        <v>107</v>
      </c>
      <c r="C1" s="104" t="s">
        <v>71</v>
      </c>
      <c r="D1" s="104" t="s">
        <v>70</v>
      </c>
      <c r="E1" s="105" t="s">
        <v>69</v>
      </c>
      <c r="F1" s="105" t="s">
        <v>73</v>
      </c>
      <c r="G1" s="105" t="s">
        <v>74</v>
      </c>
      <c r="H1" s="105" t="s">
        <v>75</v>
      </c>
      <c r="I1" s="104" t="s">
        <v>83</v>
      </c>
      <c r="J1" s="105" t="s">
        <v>76</v>
      </c>
      <c r="K1" s="105" t="s">
        <v>78</v>
      </c>
      <c r="L1" s="105" t="s">
        <v>79</v>
      </c>
      <c r="M1" s="105" t="s">
        <v>80</v>
      </c>
      <c r="N1" s="105" t="s">
        <v>81</v>
      </c>
      <c r="O1" s="105" t="s">
        <v>82</v>
      </c>
    </row>
    <row r="2" spans="1:34" ht="13.8" x14ac:dyDescent="0.25">
      <c r="A2" s="106">
        <v>5009016</v>
      </c>
      <c r="B2" s="107" t="s">
        <v>90</v>
      </c>
      <c r="C2" s="118">
        <v>0.115</v>
      </c>
      <c r="D2" s="108" t="s">
        <v>96</v>
      </c>
      <c r="E2" s="108" t="s">
        <v>128</v>
      </c>
      <c r="F2" s="148">
        <v>0.14499999999999999</v>
      </c>
      <c r="G2" s="148">
        <v>0.02</v>
      </c>
      <c r="H2" s="148">
        <v>0.04</v>
      </c>
      <c r="I2" s="108" t="s">
        <v>98</v>
      </c>
      <c r="J2" s="108" t="s">
        <v>101</v>
      </c>
      <c r="K2" s="108" t="s">
        <v>100</v>
      </c>
      <c r="L2" s="108" t="s">
        <v>109</v>
      </c>
      <c r="M2" s="108" t="s">
        <v>109</v>
      </c>
      <c r="N2" s="108" t="s">
        <v>109</v>
      </c>
      <c r="O2" s="108" t="s">
        <v>109</v>
      </c>
      <c r="P2" s="99"/>
      <c r="Q2" s="99"/>
      <c r="R2" s="99"/>
      <c r="S2" s="99"/>
      <c r="T2" s="99"/>
      <c r="U2" s="99"/>
      <c r="V2" s="99"/>
      <c r="W2" s="99"/>
      <c r="X2" s="99"/>
      <c r="Y2" s="99"/>
      <c r="Z2" s="99"/>
      <c r="AA2" s="99"/>
      <c r="AB2" s="99"/>
      <c r="AC2" s="99"/>
      <c r="AD2" s="99"/>
      <c r="AE2" s="99"/>
      <c r="AF2" s="99"/>
      <c r="AG2" s="99"/>
      <c r="AH2" s="99"/>
    </row>
    <row r="3" spans="1:34" ht="13.8" x14ac:dyDescent="0.3">
      <c r="A3" s="109">
        <v>5009910</v>
      </c>
      <c r="B3" s="110" t="s">
        <v>91</v>
      </c>
      <c r="C3" s="119">
        <v>0.115</v>
      </c>
      <c r="D3" s="111" t="s">
        <v>96</v>
      </c>
      <c r="E3" s="108" t="s">
        <v>128</v>
      </c>
      <c r="F3" s="149">
        <v>0.14499999999999999</v>
      </c>
      <c r="G3" s="150">
        <v>0.02</v>
      </c>
      <c r="H3" s="150">
        <v>0.04</v>
      </c>
      <c r="I3" s="111" t="s">
        <v>99</v>
      </c>
      <c r="J3" s="111" t="s">
        <v>101</v>
      </c>
      <c r="K3" s="111" t="s">
        <v>100</v>
      </c>
      <c r="L3" s="111" t="s">
        <v>109</v>
      </c>
      <c r="M3" s="111" t="s">
        <v>109</v>
      </c>
      <c r="N3" s="111" t="s">
        <v>109</v>
      </c>
      <c r="O3" s="111" t="s">
        <v>109</v>
      </c>
    </row>
    <row r="4" spans="1:34" ht="13.8" x14ac:dyDescent="0.3">
      <c r="A4" s="106">
        <v>5009017</v>
      </c>
      <c r="B4" s="107" t="s">
        <v>92</v>
      </c>
      <c r="C4" s="120">
        <v>0.125</v>
      </c>
      <c r="D4" s="108" t="s">
        <v>102</v>
      </c>
      <c r="E4" s="108" t="s">
        <v>131</v>
      </c>
      <c r="F4" s="151">
        <v>0.14499999999999999</v>
      </c>
      <c r="G4" s="148">
        <v>0.02</v>
      </c>
      <c r="H4" s="148">
        <v>0.04</v>
      </c>
      <c r="I4" s="108" t="s">
        <v>98</v>
      </c>
      <c r="J4" s="108" t="s">
        <v>101</v>
      </c>
      <c r="K4" s="108" t="s">
        <v>97</v>
      </c>
      <c r="L4" s="108" t="s">
        <v>109</v>
      </c>
      <c r="M4" s="108" t="s">
        <v>109</v>
      </c>
      <c r="N4" s="108" t="s">
        <v>109</v>
      </c>
      <c r="O4" s="108" t="s">
        <v>109</v>
      </c>
    </row>
    <row r="5" spans="1:34" ht="13.8" x14ac:dyDescent="0.3">
      <c r="A5" s="113"/>
      <c r="B5" s="110" t="s">
        <v>94</v>
      </c>
      <c r="C5" s="119">
        <v>0.125</v>
      </c>
      <c r="D5" s="111" t="s">
        <v>102</v>
      </c>
      <c r="E5" s="111" t="s">
        <v>131</v>
      </c>
      <c r="F5" s="149">
        <v>0.14499999999999999</v>
      </c>
      <c r="G5" s="150">
        <v>0.02</v>
      </c>
      <c r="H5" s="150">
        <v>0.04</v>
      </c>
      <c r="I5" s="111" t="s">
        <v>99</v>
      </c>
      <c r="J5" s="111" t="s">
        <v>101</v>
      </c>
      <c r="K5" s="111" t="s">
        <v>97</v>
      </c>
      <c r="L5" s="111" t="s">
        <v>109</v>
      </c>
      <c r="M5" s="111" t="s">
        <v>109</v>
      </c>
      <c r="N5" s="111" t="s">
        <v>109</v>
      </c>
      <c r="O5" s="111" t="s">
        <v>109</v>
      </c>
    </row>
    <row r="6" spans="1:34" ht="13.8" x14ac:dyDescent="0.3">
      <c r="A6" s="112"/>
      <c r="B6" s="107" t="s">
        <v>95</v>
      </c>
      <c r="C6" s="120">
        <v>0.12</v>
      </c>
      <c r="D6" s="108" t="s">
        <v>103</v>
      </c>
      <c r="E6" s="108" t="s">
        <v>129</v>
      </c>
      <c r="F6" s="151">
        <v>0.14499999999999999</v>
      </c>
      <c r="G6" s="148">
        <v>0.02</v>
      </c>
      <c r="H6" s="148">
        <v>0.04</v>
      </c>
      <c r="I6" s="108" t="s">
        <v>99</v>
      </c>
      <c r="J6" s="108" t="s">
        <v>101</v>
      </c>
      <c r="K6" s="108" t="s">
        <v>97</v>
      </c>
      <c r="L6" s="108" t="s">
        <v>109</v>
      </c>
      <c r="M6" s="108" t="s">
        <v>109</v>
      </c>
      <c r="N6" s="108" t="s">
        <v>109</v>
      </c>
      <c r="O6" s="108" t="s">
        <v>109</v>
      </c>
    </row>
    <row r="7" spans="1:34" ht="13.8" x14ac:dyDescent="0.3">
      <c r="A7" s="113"/>
      <c r="B7" s="110" t="s">
        <v>130</v>
      </c>
      <c r="C7" s="119">
        <v>0.12</v>
      </c>
      <c r="D7" s="111" t="s">
        <v>103</v>
      </c>
      <c r="E7" s="111" t="s">
        <v>129</v>
      </c>
      <c r="F7" s="149">
        <v>0.14499999999999999</v>
      </c>
      <c r="G7" s="150">
        <v>0.02</v>
      </c>
      <c r="H7" s="150">
        <v>0.04</v>
      </c>
      <c r="I7" s="111" t="s">
        <v>98</v>
      </c>
      <c r="J7" s="111" t="s">
        <v>101</v>
      </c>
      <c r="K7" s="111" t="s">
        <v>97</v>
      </c>
      <c r="L7" s="111" t="s">
        <v>109</v>
      </c>
      <c r="M7" s="111" t="s">
        <v>109</v>
      </c>
      <c r="N7" s="111" t="s">
        <v>109</v>
      </c>
      <c r="O7" s="111" t="s">
        <v>109</v>
      </c>
    </row>
    <row r="8" spans="1:34" ht="13.8" x14ac:dyDescent="0.3">
      <c r="A8" s="106">
        <v>5009012</v>
      </c>
      <c r="B8" s="107" t="s">
        <v>86</v>
      </c>
      <c r="C8" s="120">
        <v>0.13500000000000001</v>
      </c>
      <c r="D8" s="108" t="s">
        <v>104</v>
      </c>
      <c r="E8" s="108" t="s">
        <v>133</v>
      </c>
      <c r="F8" s="151">
        <v>0.14499999999999999</v>
      </c>
      <c r="G8" s="148">
        <v>0.02</v>
      </c>
      <c r="H8" s="148">
        <v>0.04</v>
      </c>
      <c r="I8" s="108" t="s">
        <v>98</v>
      </c>
      <c r="J8" s="108" t="s">
        <v>101</v>
      </c>
      <c r="K8" s="108" t="s">
        <v>97</v>
      </c>
      <c r="L8" s="108" t="s">
        <v>109</v>
      </c>
      <c r="M8" s="108" t="s">
        <v>109</v>
      </c>
      <c r="N8" s="108" t="s">
        <v>109</v>
      </c>
      <c r="O8" s="108" t="s">
        <v>109</v>
      </c>
    </row>
    <row r="9" spans="1:34" ht="13.8" x14ac:dyDescent="0.3">
      <c r="A9" s="109">
        <v>5009012</v>
      </c>
      <c r="B9" s="110" t="s">
        <v>132</v>
      </c>
      <c r="C9" s="119">
        <v>0.13500000000000001</v>
      </c>
      <c r="D9" s="111" t="s">
        <v>104</v>
      </c>
      <c r="E9" s="111" t="s">
        <v>133</v>
      </c>
      <c r="F9" s="149">
        <v>0.14499999999999999</v>
      </c>
      <c r="G9" s="150">
        <v>0.02</v>
      </c>
      <c r="H9" s="150">
        <v>0.04</v>
      </c>
      <c r="I9" s="111" t="s">
        <v>99</v>
      </c>
      <c r="J9" s="111" t="s">
        <v>101</v>
      </c>
      <c r="K9" s="111" t="s">
        <v>97</v>
      </c>
      <c r="L9" s="111" t="s">
        <v>109</v>
      </c>
      <c r="M9" s="111" t="s">
        <v>109</v>
      </c>
      <c r="N9" s="111" t="s">
        <v>109</v>
      </c>
      <c r="O9" s="111" t="s">
        <v>109</v>
      </c>
    </row>
    <row r="10" spans="1:34" ht="13.8" x14ac:dyDescent="0.3">
      <c r="A10" s="106">
        <v>5009013</v>
      </c>
      <c r="B10" s="107" t="s">
        <v>87</v>
      </c>
      <c r="C10" s="120">
        <v>0.14000000000000001</v>
      </c>
      <c r="D10" s="108">
        <v>25</v>
      </c>
      <c r="E10" s="108" t="s">
        <v>133</v>
      </c>
      <c r="F10" s="151">
        <v>0.14499999999999999</v>
      </c>
      <c r="G10" s="148">
        <v>0.02</v>
      </c>
      <c r="H10" s="148">
        <v>0.04</v>
      </c>
      <c r="I10" s="108" t="s">
        <v>98</v>
      </c>
      <c r="J10" s="108" t="s">
        <v>101</v>
      </c>
      <c r="K10" s="108" t="s">
        <v>97</v>
      </c>
      <c r="L10" s="108" t="s">
        <v>109</v>
      </c>
      <c r="M10" s="108" t="s">
        <v>109</v>
      </c>
      <c r="N10" s="108" t="s">
        <v>109</v>
      </c>
      <c r="O10" s="108" t="s">
        <v>109</v>
      </c>
    </row>
    <row r="11" spans="1:34" ht="13.8" x14ac:dyDescent="0.3">
      <c r="A11" s="109">
        <v>5009014</v>
      </c>
      <c r="B11" s="110" t="s">
        <v>88</v>
      </c>
      <c r="C11" s="119">
        <v>0.14499999999999999</v>
      </c>
      <c r="D11" s="111" t="s">
        <v>105</v>
      </c>
      <c r="E11" s="111" t="s">
        <v>133</v>
      </c>
      <c r="F11" s="149">
        <v>0.14499999999999999</v>
      </c>
      <c r="G11" s="150">
        <v>0.02</v>
      </c>
      <c r="H11" s="150">
        <v>0.04</v>
      </c>
      <c r="I11" s="111" t="s">
        <v>98</v>
      </c>
      <c r="J11" s="111" t="s">
        <v>101</v>
      </c>
      <c r="K11" s="111" t="s">
        <v>97</v>
      </c>
      <c r="L11" s="111" t="s">
        <v>109</v>
      </c>
      <c r="M11" s="111" t="s">
        <v>109</v>
      </c>
      <c r="N11" s="111" t="s">
        <v>109</v>
      </c>
      <c r="O11" s="111" t="s">
        <v>109</v>
      </c>
    </row>
    <row r="12" spans="1:34" ht="13.8" x14ac:dyDescent="0.3">
      <c r="A12" s="106">
        <v>5009015</v>
      </c>
      <c r="B12" s="107" t="s">
        <v>89</v>
      </c>
      <c r="C12" s="120">
        <v>0.14499999999999999</v>
      </c>
      <c r="D12" s="108" t="s">
        <v>106</v>
      </c>
      <c r="E12" s="108" t="s">
        <v>133</v>
      </c>
      <c r="F12" s="151">
        <v>0.14499999999999999</v>
      </c>
      <c r="G12" s="148">
        <v>0.02</v>
      </c>
      <c r="H12" s="148">
        <v>0.04</v>
      </c>
      <c r="I12" s="108" t="s">
        <v>98</v>
      </c>
      <c r="J12" s="108" t="s">
        <v>101</v>
      </c>
      <c r="K12" s="108" t="s">
        <v>97</v>
      </c>
      <c r="L12" s="108" t="s">
        <v>109</v>
      </c>
      <c r="M12" s="108" t="s">
        <v>109</v>
      </c>
      <c r="N12" s="108" t="s">
        <v>109</v>
      </c>
      <c r="O12" s="108" t="s">
        <v>109</v>
      </c>
    </row>
    <row r="13" spans="1:34" ht="13.8" x14ac:dyDescent="0.3">
      <c r="A13" s="109">
        <v>5009018</v>
      </c>
      <c r="B13" s="110" t="s">
        <v>85</v>
      </c>
      <c r="C13" s="111" t="s">
        <v>109</v>
      </c>
      <c r="D13" s="111" t="s">
        <v>109</v>
      </c>
      <c r="E13" s="111" t="s">
        <v>128</v>
      </c>
      <c r="F13" s="149">
        <v>0.14499999999999999</v>
      </c>
      <c r="G13" s="150">
        <v>0.02</v>
      </c>
      <c r="H13" s="150">
        <v>0.04</v>
      </c>
      <c r="I13" s="111" t="s">
        <v>98</v>
      </c>
      <c r="J13" s="111" t="s">
        <v>109</v>
      </c>
      <c r="K13" s="111" t="s">
        <v>109</v>
      </c>
      <c r="L13" s="111" t="s">
        <v>109</v>
      </c>
      <c r="M13" s="111" t="s">
        <v>109</v>
      </c>
      <c r="N13" s="111" t="s">
        <v>109</v>
      </c>
      <c r="O13" s="111" t="s">
        <v>109</v>
      </c>
    </row>
    <row r="14" spans="1:34" ht="13.8" x14ac:dyDescent="0.3">
      <c r="A14" s="106">
        <v>5009911</v>
      </c>
      <c r="B14" s="107" t="s">
        <v>93</v>
      </c>
      <c r="C14" s="108" t="s">
        <v>109</v>
      </c>
      <c r="D14" s="108" t="s">
        <v>109</v>
      </c>
      <c r="E14" s="108" t="s">
        <v>128</v>
      </c>
      <c r="F14" s="151">
        <v>0.14499999999999999</v>
      </c>
      <c r="G14" s="148">
        <v>0.02</v>
      </c>
      <c r="H14" s="148">
        <v>0.04</v>
      </c>
      <c r="I14" s="108" t="s">
        <v>98</v>
      </c>
      <c r="J14" s="108" t="s">
        <v>136</v>
      </c>
      <c r="K14" s="108" t="s">
        <v>109</v>
      </c>
      <c r="L14" s="108" t="s">
        <v>109</v>
      </c>
      <c r="M14" s="108" t="s">
        <v>109</v>
      </c>
      <c r="N14" s="108" t="s">
        <v>109</v>
      </c>
      <c r="O14" s="108" t="s">
        <v>109</v>
      </c>
    </row>
    <row r="15" spans="1:34" ht="13.8" x14ac:dyDescent="0.3">
      <c r="A15" s="109"/>
      <c r="B15" s="110" t="s">
        <v>134</v>
      </c>
      <c r="C15" s="119">
        <v>0.105</v>
      </c>
      <c r="D15" s="111" t="s">
        <v>109</v>
      </c>
      <c r="E15" s="111" t="s">
        <v>128</v>
      </c>
      <c r="F15" s="149">
        <v>0.14499999999999999</v>
      </c>
      <c r="G15" s="150">
        <v>0.02</v>
      </c>
      <c r="H15" s="150">
        <v>0.04</v>
      </c>
      <c r="I15" s="111" t="s">
        <v>98</v>
      </c>
      <c r="J15" s="111" t="s">
        <v>136</v>
      </c>
      <c r="K15" s="111" t="s">
        <v>109</v>
      </c>
      <c r="L15" s="111" t="s">
        <v>109</v>
      </c>
      <c r="M15" s="111" t="s">
        <v>109</v>
      </c>
      <c r="N15" s="111" t="s">
        <v>109</v>
      </c>
      <c r="O15" s="111" t="s">
        <v>109</v>
      </c>
    </row>
    <row r="16" spans="1:34" ht="13.8" x14ac:dyDescent="0.3">
      <c r="A16" s="106"/>
      <c r="B16" s="107" t="s">
        <v>135</v>
      </c>
      <c r="C16" s="120">
        <v>0.105</v>
      </c>
      <c r="D16" s="108" t="s">
        <v>109</v>
      </c>
      <c r="E16" s="108" t="s">
        <v>128</v>
      </c>
      <c r="F16" s="151">
        <v>0.14499999999999999</v>
      </c>
      <c r="G16" s="148">
        <v>0.02</v>
      </c>
      <c r="H16" s="148">
        <v>0.04</v>
      </c>
      <c r="I16" s="108" t="s">
        <v>99</v>
      </c>
      <c r="J16" s="108" t="s">
        <v>136</v>
      </c>
      <c r="K16" s="108" t="s">
        <v>109</v>
      </c>
      <c r="L16" s="108" t="s">
        <v>109</v>
      </c>
      <c r="M16" s="108" t="s">
        <v>109</v>
      </c>
      <c r="N16" s="108" t="s">
        <v>109</v>
      </c>
      <c r="O16" s="108" t="s">
        <v>109</v>
      </c>
    </row>
    <row r="17" spans="1:15" ht="13.8" x14ac:dyDescent="0.3">
      <c r="A17" s="109"/>
      <c r="B17" s="110"/>
      <c r="C17" s="111"/>
      <c r="D17" s="111"/>
      <c r="E17" s="102"/>
      <c r="F17" s="149"/>
      <c r="G17" s="150"/>
      <c r="H17" s="150"/>
      <c r="I17" s="111"/>
      <c r="J17" s="111"/>
      <c r="K17" s="111"/>
      <c r="L17" s="111"/>
      <c r="M17" s="111"/>
      <c r="N17" s="111"/>
      <c r="O17" s="111"/>
    </row>
    <row r="18" spans="1:15" ht="13.8" x14ac:dyDescent="0.25">
      <c r="A18" s="106"/>
      <c r="B18" s="114"/>
      <c r="C18" s="121"/>
      <c r="D18" s="112"/>
      <c r="E18" s="112"/>
      <c r="F18" s="152"/>
      <c r="G18" s="152"/>
      <c r="H18" s="152"/>
      <c r="I18" s="112"/>
      <c r="J18" s="112"/>
      <c r="K18" s="112"/>
      <c r="L18" s="112"/>
      <c r="M18" s="112"/>
      <c r="N18" s="108"/>
      <c r="O18" s="112"/>
    </row>
    <row r="19" spans="1:15" ht="13.8" x14ac:dyDescent="0.25">
      <c r="A19" s="111"/>
      <c r="B19" s="115"/>
      <c r="C19" s="122"/>
      <c r="D19" s="113"/>
      <c r="E19" s="113"/>
      <c r="F19" s="153"/>
      <c r="G19" s="153"/>
      <c r="H19" s="153"/>
      <c r="I19" s="113"/>
      <c r="J19" s="113"/>
      <c r="K19" s="113"/>
      <c r="L19" s="113"/>
      <c r="M19" s="113"/>
      <c r="N19" s="113"/>
      <c r="O19" s="113"/>
    </row>
    <row r="20" spans="1:15" ht="13.8" x14ac:dyDescent="0.25">
      <c r="A20" s="108"/>
      <c r="B20" s="114"/>
      <c r="C20" s="121"/>
      <c r="D20" s="112"/>
      <c r="E20" s="112"/>
      <c r="F20" s="152"/>
      <c r="G20" s="152"/>
      <c r="H20" s="152"/>
      <c r="I20" s="112"/>
      <c r="J20" s="112"/>
      <c r="K20" s="112"/>
      <c r="L20" s="112"/>
      <c r="M20" s="112"/>
      <c r="N20" s="112"/>
      <c r="O20" s="112"/>
    </row>
    <row r="21" spans="1:15" ht="13.8" x14ac:dyDescent="0.25">
      <c r="A21" s="111"/>
      <c r="B21" s="115"/>
      <c r="C21" s="122"/>
      <c r="D21" s="113"/>
      <c r="E21" s="113"/>
      <c r="F21" s="153"/>
      <c r="G21" s="153"/>
      <c r="H21" s="153"/>
      <c r="I21" s="113"/>
      <c r="J21" s="113"/>
      <c r="K21" s="113"/>
      <c r="L21" s="113"/>
      <c r="M21" s="113"/>
      <c r="N21" s="113"/>
      <c r="O21" s="113"/>
    </row>
    <row r="22" spans="1:15" x14ac:dyDescent="0.25">
      <c r="A22" s="112"/>
      <c r="B22" s="114"/>
      <c r="C22" s="112"/>
      <c r="D22" s="112"/>
      <c r="E22" s="112"/>
      <c r="F22" s="152"/>
      <c r="G22" s="152"/>
      <c r="H22" s="152"/>
      <c r="I22" s="112"/>
      <c r="J22" s="112"/>
      <c r="K22" s="112"/>
      <c r="L22" s="112"/>
      <c r="M22" s="112"/>
      <c r="N22" s="112"/>
      <c r="O22" s="112"/>
    </row>
    <row r="23" spans="1:15" x14ac:dyDescent="0.25">
      <c r="A23" s="113"/>
      <c r="B23" s="115"/>
      <c r="C23" s="113"/>
      <c r="D23" s="113"/>
      <c r="E23" s="113"/>
      <c r="F23" s="153"/>
      <c r="G23" s="153"/>
      <c r="H23" s="153"/>
      <c r="I23" s="113"/>
      <c r="J23" s="113"/>
      <c r="K23" s="113"/>
      <c r="L23" s="113"/>
      <c r="M23" s="113"/>
      <c r="N23" s="113"/>
      <c r="O23" s="113"/>
    </row>
    <row r="24" spans="1:15" x14ac:dyDescent="0.25">
      <c r="A24" s="112"/>
      <c r="B24" s="114"/>
      <c r="C24" s="112"/>
      <c r="D24" s="112"/>
      <c r="E24" s="112"/>
      <c r="F24" s="152"/>
      <c r="G24" s="152"/>
      <c r="H24" s="152"/>
      <c r="I24" s="112"/>
      <c r="J24" s="112"/>
      <c r="K24" s="112"/>
      <c r="L24" s="112"/>
      <c r="M24" s="112"/>
      <c r="N24" s="112"/>
      <c r="O24" s="112"/>
    </row>
    <row r="25" spans="1:15" x14ac:dyDescent="0.25">
      <c r="A25" s="113"/>
      <c r="B25" s="115"/>
      <c r="C25" s="113"/>
      <c r="D25" s="113"/>
      <c r="E25" s="113"/>
      <c r="F25" s="153"/>
      <c r="G25" s="153"/>
      <c r="H25" s="153"/>
      <c r="I25" s="113"/>
      <c r="J25" s="113"/>
      <c r="K25" s="113"/>
      <c r="L25" s="113"/>
      <c r="M25" s="113"/>
      <c r="N25" s="113"/>
      <c r="O25" s="113"/>
    </row>
    <row r="26" spans="1:15" x14ac:dyDescent="0.25">
      <c r="A26" s="112"/>
      <c r="B26" s="114"/>
      <c r="C26" s="112"/>
      <c r="D26" s="112"/>
      <c r="E26" s="112"/>
      <c r="F26" s="152"/>
      <c r="G26" s="152"/>
      <c r="H26" s="152"/>
      <c r="I26" s="112"/>
      <c r="J26" s="112"/>
      <c r="K26" s="112"/>
      <c r="L26" s="112"/>
      <c r="M26" s="112"/>
      <c r="N26" s="112"/>
      <c r="O26" s="112"/>
    </row>
    <row r="27" spans="1:15" x14ac:dyDescent="0.25">
      <c r="A27" s="113"/>
      <c r="B27" s="115"/>
      <c r="C27" s="113"/>
      <c r="D27" s="113"/>
      <c r="E27" s="113"/>
      <c r="F27" s="153"/>
      <c r="G27" s="153"/>
      <c r="H27" s="153"/>
      <c r="I27" s="113"/>
      <c r="J27" s="113"/>
      <c r="K27" s="113"/>
      <c r="L27" s="113"/>
      <c r="M27" s="113"/>
      <c r="N27" s="113"/>
      <c r="O27" s="113"/>
    </row>
    <row r="28" spans="1:15" x14ac:dyDescent="0.25">
      <c r="A28" s="154"/>
      <c r="B28" s="155"/>
      <c r="C28" s="154"/>
      <c r="D28" s="154"/>
      <c r="E28" s="154"/>
      <c r="F28" s="154"/>
      <c r="G28" s="154"/>
      <c r="H28" s="154"/>
      <c r="I28" s="154"/>
      <c r="J28" s="154"/>
      <c r="K28" s="154"/>
      <c r="L28" s="154"/>
      <c r="M28" s="154"/>
      <c r="N28" s="154"/>
      <c r="O28" s="154"/>
    </row>
    <row r="29" spans="1:15" x14ac:dyDescent="0.25">
      <c r="A29" s="116"/>
      <c r="B29" s="117"/>
      <c r="C29" s="116"/>
      <c r="D29" s="116"/>
      <c r="E29" s="116"/>
      <c r="F29" s="116"/>
      <c r="G29" s="116"/>
      <c r="H29" s="116"/>
      <c r="I29" s="116"/>
      <c r="J29" s="116"/>
      <c r="K29" s="116"/>
      <c r="L29" s="116"/>
      <c r="M29" s="116"/>
      <c r="N29" s="116"/>
      <c r="O29" s="116"/>
    </row>
    <row r="30" spans="1:15" x14ac:dyDescent="0.25">
      <c r="A30" s="116"/>
      <c r="B30" s="117"/>
      <c r="C30" s="116"/>
      <c r="D30" s="116"/>
      <c r="E30" s="116"/>
      <c r="F30" s="116"/>
      <c r="G30" s="116"/>
      <c r="H30" s="116"/>
      <c r="I30" s="116"/>
      <c r="J30" s="116"/>
      <c r="K30" s="116"/>
      <c r="L30" s="116"/>
      <c r="M30" s="116"/>
      <c r="N30" s="116"/>
      <c r="O30" s="116"/>
    </row>
    <row r="31" spans="1:15" x14ac:dyDescent="0.25">
      <c r="A31" s="116"/>
      <c r="B31" s="117"/>
      <c r="C31" s="116"/>
      <c r="D31" s="116"/>
      <c r="E31" s="116"/>
      <c r="F31" s="116"/>
      <c r="G31" s="116"/>
      <c r="H31" s="116"/>
      <c r="I31" s="116"/>
      <c r="J31" s="116"/>
      <c r="K31" s="116"/>
      <c r="L31" s="116"/>
      <c r="M31" s="116"/>
      <c r="N31" s="116"/>
      <c r="O31" s="116"/>
    </row>
    <row r="32" spans="1:15" x14ac:dyDescent="0.25">
      <c r="A32" s="116"/>
      <c r="B32" s="117"/>
      <c r="C32" s="116"/>
      <c r="D32" s="116"/>
      <c r="E32" s="116"/>
      <c r="F32" s="116"/>
      <c r="G32" s="116"/>
      <c r="H32" s="116"/>
      <c r="I32" s="116"/>
      <c r="J32" s="116"/>
      <c r="K32" s="116"/>
      <c r="L32" s="116"/>
      <c r="M32" s="116"/>
      <c r="N32" s="116"/>
      <c r="O32" s="116"/>
    </row>
    <row r="33" spans="1:15" x14ac:dyDescent="0.25">
      <c r="A33" s="116"/>
      <c r="B33" s="117"/>
      <c r="C33" s="116"/>
      <c r="D33" s="116"/>
      <c r="E33" s="116"/>
      <c r="F33" s="116"/>
      <c r="G33" s="116"/>
      <c r="H33" s="116"/>
      <c r="I33" s="116"/>
      <c r="J33" s="116"/>
      <c r="K33" s="116"/>
      <c r="L33" s="116"/>
      <c r="M33" s="116"/>
      <c r="N33" s="116"/>
      <c r="O33" s="116"/>
    </row>
    <row r="34" spans="1:15" x14ac:dyDescent="0.25">
      <c r="A34" s="116"/>
      <c r="B34" s="117"/>
      <c r="C34" s="116"/>
      <c r="D34" s="116"/>
      <c r="E34" s="116"/>
      <c r="F34" s="116"/>
      <c r="G34" s="116"/>
      <c r="H34" s="116"/>
      <c r="I34" s="116"/>
      <c r="J34" s="116"/>
      <c r="K34" s="116"/>
      <c r="L34" s="116"/>
      <c r="M34" s="116"/>
      <c r="N34" s="116"/>
      <c r="O34" s="116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workbookViewId="0">
      <selection activeCell="F16" sqref="F16"/>
    </sheetView>
  </sheetViews>
  <sheetFormatPr defaultRowHeight="13.2" x14ac:dyDescent="0.25"/>
  <cols>
    <col min="1" max="1" width="18" customWidth="1"/>
    <col min="2" max="2" width="8" customWidth="1"/>
    <col min="3" max="3" width="12.5546875" bestFit="1" customWidth="1"/>
    <col min="9" max="9" width="8.88671875" style="397"/>
  </cols>
  <sheetData>
    <row r="1" spans="1:9" ht="48.6" thickBot="1" x14ac:dyDescent="0.3">
      <c r="A1" s="166" t="s">
        <v>123</v>
      </c>
      <c r="B1" s="166" t="s">
        <v>124</v>
      </c>
      <c r="C1" s="360" t="s">
        <v>237</v>
      </c>
      <c r="D1" s="360" t="s">
        <v>213</v>
      </c>
      <c r="E1" s="363" t="s">
        <v>238</v>
      </c>
      <c r="F1" s="363" t="s">
        <v>214</v>
      </c>
      <c r="G1" s="166" t="s">
        <v>215</v>
      </c>
      <c r="H1" s="166" t="s">
        <v>216</v>
      </c>
      <c r="I1" s="396" t="s">
        <v>223</v>
      </c>
    </row>
    <row r="2" spans="1:9" x14ac:dyDescent="0.25">
      <c r="A2" s="167" t="s">
        <v>233</v>
      </c>
      <c r="B2">
        <v>10</v>
      </c>
      <c r="C2" s="575">
        <v>2415.5500000000002</v>
      </c>
      <c r="D2" s="578">
        <v>192</v>
      </c>
      <c r="E2" s="577">
        <v>1714.51</v>
      </c>
      <c r="F2" s="580">
        <v>301</v>
      </c>
      <c r="H2">
        <v>3.76</v>
      </c>
      <c r="I2" s="397">
        <v>29.5</v>
      </c>
    </row>
    <row r="3" spans="1:9" x14ac:dyDescent="0.25">
      <c r="A3" s="167" t="s">
        <v>234</v>
      </c>
      <c r="B3">
        <v>10</v>
      </c>
      <c r="C3" s="575">
        <v>2173.35</v>
      </c>
      <c r="D3" s="579">
        <v>196</v>
      </c>
      <c r="E3" s="577">
        <v>2000.12</v>
      </c>
      <c r="F3" s="580">
        <v>313</v>
      </c>
      <c r="H3">
        <v>3.76</v>
      </c>
      <c r="I3" s="397">
        <v>29.5</v>
      </c>
    </row>
    <row r="4" spans="1:9" x14ac:dyDescent="0.25">
      <c r="A4" s="167" t="s">
        <v>235</v>
      </c>
      <c r="B4">
        <v>10</v>
      </c>
      <c r="C4" s="575">
        <v>2287.9299999999998</v>
      </c>
      <c r="D4" s="579">
        <v>190</v>
      </c>
      <c r="E4" s="577">
        <v>1951.31</v>
      </c>
      <c r="F4" s="580">
        <v>308</v>
      </c>
      <c r="H4">
        <v>3.76</v>
      </c>
      <c r="I4" s="397">
        <v>29.5</v>
      </c>
    </row>
    <row r="5" spans="1:9" x14ac:dyDescent="0.25">
      <c r="A5" s="167" t="s">
        <v>236</v>
      </c>
      <c r="B5">
        <v>10</v>
      </c>
      <c r="C5" s="576">
        <v>2328.8000000000002</v>
      </c>
      <c r="D5" s="579">
        <v>209</v>
      </c>
      <c r="E5" s="577">
        <v>1826.19</v>
      </c>
      <c r="F5" s="580">
        <v>318</v>
      </c>
      <c r="H5">
        <v>4.45</v>
      </c>
      <c r="I5" s="397">
        <v>29.5</v>
      </c>
    </row>
    <row r="6" spans="1:9" x14ac:dyDescent="0.25">
      <c r="A6" s="167"/>
      <c r="C6" s="361"/>
      <c r="D6" s="361"/>
      <c r="E6" s="364"/>
      <c r="F6" s="364"/>
    </row>
    <row r="7" spans="1:9" x14ac:dyDescent="0.25">
      <c r="A7" s="167"/>
      <c r="B7" s="25"/>
      <c r="C7" s="361"/>
      <c r="D7" s="361"/>
      <c r="E7" s="364"/>
      <c r="F7" s="364"/>
    </row>
    <row r="8" spans="1:9" x14ac:dyDescent="0.25">
      <c r="A8" s="167"/>
      <c r="B8" s="25"/>
      <c r="C8" s="362"/>
      <c r="D8" s="361"/>
      <c r="E8" s="364"/>
      <c r="F8" s="364"/>
    </row>
    <row r="9" spans="1:9" x14ac:dyDescent="0.25">
      <c r="A9" s="167"/>
      <c r="B9" s="169"/>
    </row>
    <row r="10" spans="1:9" x14ac:dyDescent="0.25">
      <c r="A10" s="167"/>
      <c r="B10" s="169"/>
    </row>
    <row r="11" spans="1:9" x14ac:dyDescent="0.25">
      <c r="A11" s="167"/>
      <c r="B11" s="181"/>
    </row>
    <row r="12" spans="1:9" x14ac:dyDescent="0.25">
      <c r="A12" s="167"/>
      <c r="B12" s="181"/>
    </row>
    <row r="13" spans="1:9" x14ac:dyDescent="0.25">
      <c r="A13" s="167"/>
      <c r="B13" s="181"/>
    </row>
    <row r="14" spans="1:9" x14ac:dyDescent="0.25">
      <c r="A14" s="167"/>
      <c r="B14" s="181"/>
    </row>
    <row r="15" spans="1:9" x14ac:dyDescent="0.25">
      <c r="B15" s="169"/>
    </row>
    <row r="16" spans="1:9" x14ac:dyDescent="0.25">
      <c r="B16" s="169"/>
    </row>
    <row r="17" spans="2:2" x14ac:dyDescent="0.25">
      <c r="B17" s="25"/>
    </row>
    <row r="18" spans="2:2" x14ac:dyDescent="0.25">
      <c r="B18" s="25"/>
    </row>
    <row r="19" spans="2:2" x14ac:dyDescent="0.25">
      <c r="B19" s="2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2</vt:i4>
      </vt:variant>
    </vt:vector>
  </HeadingPairs>
  <TitlesOfParts>
    <vt:vector size="9" baseType="lpstr">
      <vt:lpstr>Сравнение</vt:lpstr>
      <vt:lpstr>Рига</vt:lpstr>
      <vt:lpstr>Туапсе</vt:lpstr>
      <vt:lpstr>справочник</vt:lpstr>
      <vt:lpstr>Sheet1</vt:lpstr>
      <vt:lpstr>качество справочник</vt:lpstr>
      <vt:lpstr>справочник логистика</vt:lpstr>
      <vt:lpstr>Рига!Область_печати</vt:lpstr>
      <vt:lpstr>Туапсе!Область_печати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yb</dc:creator>
  <cp:lastModifiedBy>Борис Товалев</cp:lastModifiedBy>
  <cp:lastPrinted>2018-02-14T07:41:25Z</cp:lastPrinted>
  <dcterms:created xsi:type="dcterms:W3CDTF">1996-10-14T23:33:28Z</dcterms:created>
  <dcterms:modified xsi:type="dcterms:W3CDTF">2018-03-13T08:00:10Z</dcterms:modified>
</cp:coreProperties>
</file>