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4000" windowHeight="9135" tabRatio="866"/>
  </bookViews>
  <sheets>
    <sheet name="расчет" sheetId="10" r:id="rId1"/>
    <sheet name="Данные для расчета" sheetId="22" r:id="rId2"/>
    <sheet name="список работников с датами приё" sheetId="7" r:id="rId3"/>
    <sheet name="список неявок" sheetId="24" r:id="rId4"/>
    <sheet name="1" sheetId="16" r:id="rId5"/>
    <sheet name="2" sheetId="17" r:id="rId6"/>
    <sheet name="3" sheetId="18" r:id="rId7"/>
    <sheet name="4" sheetId="25" r:id="rId8"/>
    <sheet name="5" sheetId="26" r:id="rId9"/>
    <sheet name="6" sheetId="27" r:id="rId10"/>
    <sheet name="7" sheetId="28" r:id="rId11"/>
    <sheet name="8" sheetId="29" r:id="rId12"/>
    <sheet name="9" sheetId="30" r:id="rId13"/>
    <sheet name="10" sheetId="31" r:id="rId14"/>
    <sheet name="11" sheetId="32" r:id="rId15"/>
    <sheet name="12" sheetId="33" r:id="rId16"/>
  </sheets>
  <definedNames>
    <definedName name="_xlnm._FilterDatabase" localSheetId="5" hidden="1">'2'!$A$9:$BL$196</definedName>
    <definedName name="_xlnm._FilterDatabase" localSheetId="6" hidden="1">'3'!$A$9:$BL$196</definedName>
    <definedName name="_xlnm._FilterDatabase" localSheetId="7" hidden="1">'4'!$A$9:$BL$196</definedName>
    <definedName name="_xlnm._FilterDatabase" localSheetId="0" hidden="1">расчет!$A$8:$AW$47</definedName>
    <definedName name="Z_A1CF561E_B2E6_47DF_9774_926217537206_.wvu.Cols" localSheetId="0" hidden="1">расчет!$D:$M</definedName>
    <definedName name="Z_A1CF561E_B2E6_47DF_9774_926217537206_.wvu.FilterData" localSheetId="4" hidden="1">'1'!$A$5:$BL$7</definedName>
    <definedName name="Z_A1CF561E_B2E6_47DF_9774_926217537206_.wvu.FilterData" localSheetId="5" hidden="1">'2'!$A$9:$BL$196</definedName>
    <definedName name="Z_A1CF561E_B2E6_47DF_9774_926217537206_.wvu.FilterData" localSheetId="6" hidden="1">'3'!$A$9:$BL$196</definedName>
    <definedName name="Z_A1CF561E_B2E6_47DF_9774_926217537206_.wvu.FilterData" localSheetId="7" hidden="1">'4'!$A$9:$BL$196</definedName>
    <definedName name="Z_A1CF561E_B2E6_47DF_9774_926217537206_.wvu.FilterData" localSheetId="0" hidden="1">расчет!$A$8:$AW$47</definedName>
    <definedName name="Z_A1CF561E_B2E6_47DF_9774_926217537206_.wvu.PrintArea" localSheetId="1" hidden="1">'Данные для расчета'!$A$1:$J$24</definedName>
    <definedName name="Z_A1CF561E_B2E6_47DF_9774_926217537206_.wvu.PrintArea" localSheetId="0" hidden="1">расчет!$A$8:$S$47</definedName>
    <definedName name="Z_E2BF1834_0034_45BA_8357_3A303E968B4D_.wvu.FilterData" localSheetId="4" hidden="1">'1'!$A$5:$BL$7</definedName>
    <definedName name="Z_E2BF1834_0034_45BA_8357_3A303E968B4D_.wvu.FilterData" localSheetId="5" hidden="1">'2'!$A$9:$BL$196</definedName>
    <definedName name="Z_E2BF1834_0034_45BA_8357_3A303E968B4D_.wvu.FilterData" localSheetId="6" hidden="1">'3'!$A$9:$BL$196</definedName>
    <definedName name="Z_E2BF1834_0034_45BA_8357_3A303E968B4D_.wvu.FilterData" localSheetId="7" hidden="1">'4'!$A$9:$BL$196</definedName>
    <definedName name="Z_E2BF1834_0034_45BA_8357_3A303E968B4D_.wvu.FilterData" localSheetId="0" hidden="1">расчет!$A$8:$AW$47</definedName>
    <definedName name="Z_E2BF1834_0034_45BA_8357_3A303E968B4D_.wvu.PrintArea" localSheetId="1" hidden="1">'Данные для расчета'!$A$1:$J$24</definedName>
    <definedName name="_xlnm.Print_Area" localSheetId="1">'Данные для расчета'!$A$1:$J$24</definedName>
    <definedName name="_xlnm.Print_Area" localSheetId="0">расчет!$A$8:$S$47</definedName>
  </definedNames>
  <calcPr calcId="152511"/>
  <customWorkbookViews>
    <customWorkbookView name="Общий" guid="{E2BF1834-0034-45BA-8357-3A303E968B4D}" maximized="1" xWindow="1272" yWindow="-8" windowWidth="1296" windowHeight="1040" tabRatio="767" activeSheetId="10"/>
    <customWorkbookView name="на печать" guid="{A1CF561E-B2E6-47DF-9774-926217537206}" maximized="1" xWindow="1272" yWindow="-8" windowWidth="1296" windowHeight="1040" tabRatio="767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0" l="1"/>
  <c r="A9" i="10"/>
  <c r="AB10" i="10"/>
  <c r="AB14" i="10"/>
  <c r="AB18" i="10"/>
  <c r="AB22" i="10"/>
  <c r="AB26" i="10"/>
  <c r="AB30" i="10"/>
  <c r="AB42" i="10"/>
  <c r="AB16" i="10"/>
  <c r="AB32" i="10"/>
  <c r="AB44" i="10"/>
  <c r="AB11" i="10"/>
  <c r="AB15" i="10"/>
  <c r="AB19" i="10"/>
  <c r="AB23" i="10"/>
  <c r="AB27" i="10"/>
  <c r="AB31" i="10"/>
  <c r="AB35" i="10"/>
  <c r="AB39" i="10"/>
  <c r="AB43" i="10"/>
  <c r="AB20" i="10"/>
  <c r="AB28" i="10"/>
  <c r="AB40" i="10"/>
  <c r="AB13" i="10"/>
  <c r="AB17" i="10"/>
  <c r="AB25" i="10"/>
  <c r="AB29" i="10"/>
  <c r="AB33" i="10"/>
  <c r="AB37" i="10"/>
  <c r="AB41" i="10"/>
  <c r="AB45" i="10"/>
  <c r="AB38" i="10"/>
  <c r="AB46" i="10"/>
  <c r="AB12" i="10"/>
  <c r="AB24" i="10"/>
  <c r="AB36" i="10"/>
  <c r="AB9" i="10"/>
  <c r="AA10" i="10"/>
  <c r="AA14" i="10"/>
  <c r="AA18" i="10"/>
  <c r="AA22" i="10"/>
  <c r="AA26" i="10"/>
  <c r="AA30" i="10"/>
  <c r="AA46" i="10"/>
  <c r="AA40" i="10"/>
  <c r="AA11" i="10"/>
  <c r="AA15" i="10"/>
  <c r="AA19" i="10"/>
  <c r="AA23" i="10"/>
  <c r="AA27" i="10"/>
  <c r="AA31" i="10"/>
  <c r="AA35" i="10"/>
  <c r="AA39" i="10"/>
  <c r="AA43" i="10"/>
  <c r="AA12" i="10"/>
  <c r="AA16" i="10"/>
  <c r="AA20" i="10"/>
  <c r="AA24" i="10"/>
  <c r="AA28" i="10"/>
  <c r="AA36" i="10"/>
  <c r="AA13" i="10"/>
  <c r="AA17" i="10"/>
  <c r="AA25" i="10"/>
  <c r="AA29" i="10"/>
  <c r="AA33" i="10"/>
  <c r="AA37" i="10"/>
  <c r="AA41" i="10"/>
  <c r="AA45" i="10"/>
  <c r="AA38" i="10"/>
  <c r="AA42" i="10"/>
  <c r="AA32" i="10"/>
  <c r="AA44" i="10"/>
  <c r="AA9" i="10"/>
  <c r="AB47" i="10" l="1"/>
  <c r="AB21" i="10"/>
  <c r="AB34" i="10"/>
  <c r="AA47" i="10"/>
  <c r="AA21" i="10"/>
  <c r="AA34" i="10"/>
  <c r="J7" i="24"/>
  <c r="J6" i="24"/>
  <c r="J4" i="24" l="1"/>
  <c r="J5" i="24"/>
  <c r="C9" i="10" l="1"/>
  <c r="Y9" i="10" a="1"/>
  <c r="Z9" i="10"/>
  <c r="AP9" i="10"/>
  <c r="U9" i="10"/>
  <c r="Y9" i="10" l="1"/>
  <c r="J9" i="10" a="1"/>
  <c r="J9" i="10" s="1"/>
  <c r="I9" i="10" a="1"/>
  <c r="I9" i="10" s="1"/>
  <c r="H9" i="10" a="1"/>
  <c r="H9" i="10" s="1"/>
  <c r="G9" i="10" a="1"/>
  <c r="G9" i="10" s="1"/>
  <c r="F9" i="10" a="1"/>
  <c r="F9" i="10" s="1"/>
  <c r="E9" i="10" a="1"/>
  <c r="E9" i="10" s="1"/>
  <c r="D9" i="10" a="1"/>
  <c r="D9" i="10" s="1"/>
  <c r="A10" i="10"/>
  <c r="T9" i="10"/>
  <c r="R9" i="10"/>
  <c r="C10" i="10"/>
  <c r="Z10" i="10"/>
  <c r="Y10" i="10" a="1"/>
  <c r="AP10" i="10"/>
  <c r="M9" i="10" l="1"/>
  <c r="Y10" i="10"/>
  <c r="J10" i="10" a="1"/>
  <c r="J10" i="10" s="1"/>
  <c r="I10" i="10" a="1"/>
  <c r="I10" i="10" s="1"/>
  <c r="H10" i="10" a="1"/>
  <c r="H10" i="10" s="1"/>
  <c r="D10" i="10" a="1"/>
  <c r="D10" i="10" s="1"/>
  <c r="E10" i="10" a="1"/>
  <c r="E10" i="10" s="1"/>
  <c r="G10" i="10" a="1"/>
  <c r="G10" i="10" s="1"/>
  <c r="F10" i="10" a="1"/>
  <c r="F10" i="10" s="1"/>
  <c r="R10" i="10"/>
  <c r="B9" i="10"/>
  <c r="M10" i="10" l="1" a="1"/>
  <c r="M10" i="10" s="1"/>
  <c r="V24" i="22"/>
  <c r="U24" i="22"/>
  <c r="T24" i="22"/>
  <c r="S24" i="22"/>
  <c r="R24" i="22"/>
  <c r="Q24" i="22"/>
  <c r="P24" i="22"/>
  <c r="O24" i="22"/>
  <c r="N24" i="22"/>
  <c r="V23" i="22"/>
  <c r="U23" i="22"/>
  <c r="T23" i="22"/>
  <c r="S23" i="22"/>
  <c r="R23" i="22"/>
  <c r="Q23" i="22"/>
  <c r="P23" i="22"/>
  <c r="O23" i="22"/>
  <c r="N23" i="22"/>
  <c r="V22" i="22"/>
  <c r="U22" i="22"/>
  <c r="T22" i="22"/>
  <c r="S22" i="22"/>
  <c r="R22" i="22"/>
  <c r="Q22" i="22"/>
  <c r="P22" i="22"/>
  <c r="O22" i="22"/>
  <c r="V21" i="22"/>
  <c r="U21" i="22"/>
  <c r="T21" i="22"/>
  <c r="S21" i="22"/>
  <c r="R21" i="22"/>
  <c r="Q21" i="22"/>
  <c r="P21" i="22"/>
  <c r="O21" i="22"/>
  <c r="N21" i="22"/>
  <c r="V20" i="22"/>
  <c r="U20" i="22"/>
  <c r="T20" i="22"/>
  <c r="S20" i="22"/>
  <c r="R20" i="22"/>
  <c r="Q20" i="22"/>
  <c r="P20" i="22"/>
  <c r="O20" i="22"/>
  <c r="N20" i="22"/>
  <c r="V19" i="22"/>
  <c r="U19" i="22"/>
  <c r="B17" i="22" l="1"/>
  <c r="B8" i="22"/>
  <c r="N13" i="22" s="1"/>
  <c r="V15" i="22"/>
  <c r="U15" i="22"/>
  <c r="T15" i="22"/>
  <c r="S15" i="22"/>
  <c r="R15" i="22"/>
  <c r="Q15" i="22"/>
  <c r="P15" i="22"/>
  <c r="O15" i="22"/>
  <c r="N15" i="22"/>
  <c r="V14" i="22"/>
  <c r="U14" i="22"/>
  <c r="T14" i="22"/>
  <c r="S14" i="22"/>
  <c r="R14" i="22"/>
  <c r="Q14" i="22"/>
  <c r="P14" i="22"/>
  <c r="O14" i="22"/>
  <c r="N14" i="22"/>
  <c r="V13" i="22"/>
  <c r="U13" i="22"/>
  <c r="T13" i="22"/>
  <c r="S13" i="22"/>
  <c r="R13" i="22"/>
  <c r="Q13" i="22"/>
  <c r="P13" i="22"/>
  <c r="O13" i="22"/>
  <c r="V12" i="22"/>
  <c r="U12" i="22"/>
  <c r="T12" i="22"/>
  <c r="S12" i="22"/>
  <c r="R12" i="22"/>
  <c r="Q12" i="22"/>
  <c r="P12" i="22"/>
  <c r="O12" i="22"/>
  <c r="N12" i="22"/>
  <c r="V11" i="22"/>
  <c r="U11" i="22"/>
  <c r="T11" i="22"/>
  <c r="S11" i="22"/>
  <c r="R11" i="22"/>
  <c r="Q11" i="22"/>
  <c r="P11" i="22"/>
  <c r="O11" i="22"/>
  <c r="N11" i="22"/>
  <c r="V10" i="22"/>
  <c r="U10" i="22"/>
  <c r="M15" i="22" l="1"/>
  <c r="M14" i="22"/>
  <c r="M12" i="22"/>
  <c r="M11" i="22"/>
  <c r="M13" i="22"/>
  <c r="M23" i="22"/>
  <c r="M21" i="22"/>
  <c r="Q19" i="22"/>
  <c r="M19" i="22"/>
  <c r="N22" i="22"/>
  <c r="T19" i="22"/>
  <c r="P19" i="22"/>
  <c r="M24" i="22"/>
  <c r="M22" i="22"/>
  <c r="M20" i="22"/>
  <c r="S19" i="22"/>
  <c r="O19" i="22"/>
  <c r="R19" i="22"/>
  <c r="N19" i="22"/>
  <c r="S10" i="22"/>
  <c r="O10" i="22"/>
  <c r="R10" i="22"/>
  <c r="N10" i="22"/>
  <c r="Q10" i="22"/>
  <c r="M10" i="22"/>
  <c r="T10" i="22"/>
  <c r="P10" i="22"/>
  <c r="L9" i="10" l="1" a="1"/>
  <c r="L9" i="10" s="1"/>
  <c r="K9" i="10" s="1"/>
  <c r="L10" i="10" a="1"/>
  <c r="L10" i="10" s="1"/>
  <c r="K10" i="10" s="1"/>
  <c r="B10" i="10"/>
  <c r="O9" i="10"/>
  <c r="P9" i="10" s="1"/>
  <c r="Q9" i="10" s="1"/>
  <c r="S9" i="10"/>
  <c r="AO9" i="10"/>
  <c r="AC9" i="10"/>
  <c r="AJ9" i="10"/>
  <c r="AI9" i="10"/>
  <c r="AG9" i="10"/>
  <c r="AK9" i="10"/>
  <c r="AF9" i="10"/>
  <c r="AE9" i="10"/>
  <c r="U10" i="10" a="1"/>
  <c r="AD9" i="10"/>
  <c r="AL9" i="10"/>
  <c r="AM9" i="10"/>
  <c r="AN9" i="10"/>
  <c r="AH9" i="10"/>
  <c r="U10" i="10" l="1"/>
  <c r="W9" i="10"/>
  <c r="V9" i="10"/>
  <c r="A11" i="10"/>
  <c r="B11" i="10"/>
  <c r="T10" i="10"/>
  <c r="S10" i="10"/>
  <c r="O10" i="10"/>
  <c r="P10" i="10" s="1"/>
  <c r="Q10" i="10" s="1"/>
  <c r="C11" i="10"/>
  <c r="N8" i="10"/>
  <c r="Z11" i="10"/>
  <c r="Y11" i="10" a="1"/>
  <c r="AN10" i="10"/>
  <c r="AI10" i="10"/>
  <c r="AM10" i="10"/>
  <c r="AL10" i="10"/>
  <c r="AF10" i="10"/>
  <c r="AG10" i="10"/>
  <c r="AC10" i="10"/>
  <c r="AD10" i="10"/>
  <c r="AE10" i="10"/>
  <c r="AP11" i="10"/>
  <c r="AO10" i="10"/>
  <c r="AK10" i="10"/>
  <c r="AH10" i="10"/>
  <c r="AJ10" i="10"/>
  <c r="Y11" i="10" l="1"/>
  <c r="L11" i="10" a="1"/>
  <c r="L11" i="10" s="1"/>
  <c r="E11" i="10" a="1"/>
  <c r="E11" i="10" s="1"/>
  <c r="J11" i="10" a="1"/>
  <c r="J11" i="10" s="1"/>
  <c r="K11" i="10" s="1"/>
  <c r="I11" i="10" a="1"/>
  <c r="I11" i="10" s="1"/>
  <c r="G11" i="10" a="1"/>
  <c r="G11" i="10" s="1"/>
  <c r="D11" i="10" a="1"/>
  <c r="D11" i="10" s="1"/>
  <c r="H11" i="10" a="1"/>
  <c r="H11" i="10" s="1"/>
  <c r="F11" i="10" a="1"/>
  <c r="F11" i="10" s="1"/>
  <c r="W10" i="10"/>
  <c r="X9" i="10"/>
  <c r="R11" i="10"/>
  <c r="V10" i="10"/>
  <c r="A12" i="10"/>
  <c r="S11" i="10"/>
  <c r="T11" i="10"/>
  <c r="O11" i="10"/>
  <c r="P11" i="10" s="1"/>
  <c r="Q11" i="10" s="1"/>
  <c r="C12" i="10"/>
  <c r="B12" i="10"/>
  <c r="Z12" i="10"/>
  <c r="Y12" i="10" a="1"/>
  <c r="AL11" i="10"/>
  <c r="AD11" i="10"/>
  <c r="U11" i="10"/>
  <c r="AN11" i="10"/>
  <c r="AG11" i="10"/>
  <c r="AC11" i="10"/>
  <c r="AG12" i="10"/>
  <c r="AE11" i="10"/>
  <c r="AJ11" i="10"/>
  <c r="AO11" i="10"/>
  <c r="AF11" i="10"/>
  <c r="AK11" i="10"/>
  <c r="AM11" i="10"/>
  <c r="AH11" i="10"/>
  <c r="AP12" i="10"/>
  <c r="AI11" i="10"/>
  <c r="M11" i="10" l="1" a="1"/>
  <c r="M11" i="10" s="1"/>
  <c r="Y12" i="10"/>
  <c r="L12" i="10" a="1"/>
  <c r="L12" i="10" s="1"/>
  <c r="J12" i="10" a="1"/>
  <c r="J12" i="10" s="1"/>
  <c r="I12" i="10" a="1"/>
  <c r="I12" i="10" s="1"/>
  <c r="H12" i="10" a="1"/>
  <c r="H12" i="10" s="1"/>
  <c r="G12" i="10" a="1"/>
  <c r="G12" i="10" s="1"/>
  <c r="F12" i="10" a="1"/>
  <c r="F12" i="10" s="1"/>
  <c r="E12" i="10" a="1"/>
  <c r="E12" i="10" s="1"/>
  <c r="D12" i="10" a="1"/>
  <c r="D12" i="10" s="1"/>
  <c r="O12" i="10"/>
  <c r="P12" i="10" s="1"/>
  <c r="Q12" i="10" s="1"/>
  <c r="W11" i="10"/>
  <c r="V11" i="10"/>
  <c r="R12" i="10"/>
  <c r="X10" i="10"/>
  <c r="A13" i="10"/>
  <c r="S12" i="10"/>
  <c r="T12" i="10"/>
  <c r="B13" i="10"/>
  <c r="C13" i="10"/>
  <c r="Z13" i="10"/>
  <c r="Y13" i="10" a="1"/>
  <c r="U12" i="10"/>
  <c r="AL12" i="10"/>
  <c r="AG13" i="10"/>
  <c r="AP13" i="10"/>
  <c r="AF12" i="10"/>
  <c r="AD12" i="10"/>
  <c r="AD13" i="10"/>
  <c r="AO12" i="10"/>
  <c r="AJ12" i="10"/>
  <c r="AE12" i="10"/>
  <c r="AC12" i="10"/>
  <c r="AI12" i="10"/>
  <c r="AM12" i="10"/>
  <c r="AK12" i="10"/>
  <c r="AN12" i="10"/>
  <c r="AH12" i="10"/>
  <c r="K12" i="10" l="1"/>
  <c r="M12" i="10" a="1"/>
  <c r="M12" i="10" s="1"/>
  <c r="Y13" i="10"/>
  <c r="J13" i="10" a="1"/>
  <c r="J13" i="10" s="1"/>
  <c r="I13" i="10" a="1"/>
  <c r="I13" i="10" s="1"/>
  <c r="H13" i="10" a="1"/>
  <c r="H13" i="10" s="1"/>
  <c r="G13" i="10" a="1"/>
  <c r="G13" i="10" s="1"/>
  <c r="L13" i="10" a="1"/>
  <c r="L13" i="10" s="1"/>
  <c r="K13" i="10" s="1"/>
  <c r="E13" i="10" a="1"/>
  <c r="E13" i="10" s="1"/>
  <c r="F13" i="10" a="1"/>
  <c r="F13" i="10" s="1"/>
  <c r="D13" i="10" a="1"/>
  <c r="D13" i="10" s="1"/>
  <c r="W12" i="10"/>
  <c r="R13" i="10"/>
  <c r="X11" i="10"/>
  <c r="V12" i="10"/>
  <c r="A14" i="10"/>
  <c r="S13" i="10"/>
  <c r="T13" i="10"/>
  <c r="O13" i="10"/>
  <c r="P13" i="10" s="1"/>
  <c r="Q13" i="10" s="1"/>
  <c r="C14" i="10"/>
  <c r="B14" i="10"/>
  <c r="Z14" i="10"/>
  <c r="Y14" i="10" a="1"/>
  <c r="AM13" i="10"/>
  <c r="AH13" i="10"/>
  <c r="AN13" i="10"/>
  <c r="AC13" i="10"/>
  <c r="AI13" i="10"/>
  <c r="AL13" i="10"/>
  <c r="AO14" i="10"/>
  <c r="AP14" i="10"/>
  <c r="AO13" i="10"/>
  <c r="U13" i="10"/>
  <c r="AF13" i="10"/>
  <c r="AJ13" i="10"/>
  <c r="AE13" i="10"/>
  <c r="AK13" i="10"/>
  <c r="M13" i="10" l="1" a="1"/>
  <c r="M13" i="10" s="1"/>
  <c r="Y14" i="10"/>
  <c r="J14" i="10" a="1"/>
  <c r="J14" i="10" s="1"/>
  <c r="I14" i="10" a="1"/>
  <c r="I14" i="10" s="1"/>
  <c r="H14" i="10" a="1"/>
  <c r="H14" i="10" s="1"/>
  <c r="L14" i="10" a="1"/>
  <c r="L14" i="10" s="1"/>
  <c r="D14" i="10" a="1"/>
  <c r="D14" i="10" s="1"/>
  <c r="E14" i="10" a="1"/>
  <c r="E14" i="10" s="1"/>
  <c r="G14" i="10" a="1"/>
  <c r="G14" i="10" s="1"/>
  <c r="F14" i="10" a="1"/>
  <c r="F14" i="10" s="1"/>
  <c r="V13" i="10"/>
  <c r="W13" i="10"/>
  <c r="X12" i="10"/>
  <c r="R14" i="10"/>
  <c r="A15" i="10"/>
  <c r="C15" i="10"/>
  <c r="K14" i="10"/>
  <c r="S14" i="10"/>
  <c r="O14" i="10"/>
  <c r="P14" i="10" s="1"/>
  <c r="Q14" i="10" s="1"/>
  <c r="T14" i="10"/>
  <c r="B15" i="10"/>
  <c r="Z15" i="10"/>
  <c r="Y15" i="10" a="1"/>
  <c r="AM14" i="10"/>
  <c r="AE15" i="10"/>
  <c r="AL14" i="10"/>
  <c r="AG14" i="10"/>
  <c r="AK14" i="10"/>
  <c r="AC14" i="10"/>
  <c r="AD14" i="10"/>
  <c r="AP15" i="10"/>
  <c r="AE14" i="10"/>
  <c r="AJ14" i="10"/>
  <c r="AN14" i="10"/>
  <c r="AI14" i="10"/>
  <c r="AF14" i="10"/>
  <c r="U14" i="10"/>
  <c r="AD15" i="10"/>
  <c r="AH14" i="10"/>
  <c r="M14" i="10" l="1" a="1"/>
  <c r="M14" i="10" s="1"/>
  <c r="Y15" i="10"/>
  <c r="L15" i="10" a="1"/>
  <c r="L15" i="10" s="1"/>
  <c r="H15" i="10" a="1"/>
  <c r="H15" i="10" s="1"/>
  <c r="J15" i="10" a="1"/>
  <c r="J15" i="10" s="1"/>
  <c r="K15" i="10" s="1"/>
  <c r="F15" i="10" a="1"/>
  <c r="F15" i="10" s="1"/>
  <c r="I15" i="10" a="1"/>
  <c r="I15" i="10" s="1"/>
  <c r="E15" i="10" a="1"/>
  <c r="E15" i="10" s="1"/>
  <c r="G15" i="10" a="1"/>
  <c r="G15" i="10" s="1"/>
  <c r="D15" i="10" a="1"/>
  <c r="D15" i="10" s="1"/>
  <c r="V14" i="10"/>
  <c r="W14" i="10"/>
  <c r="X13" i="10"/>
  <c r="R15" i="10"/>
  <c r="A16" i="10"/>
  <c r="T15" i="10"/>
  <c r="O15" i="10"/>
  <c r="P15" i="10" s="1"/>
  <c r="Q15" i="10" s="1"/>
  <c r="S15" i="10"/>
  <c r="C16" i="10"/>
  <c r="B16" i="10"/>
  <c r="Z16" i="10"/>
  <c r="Y16" i="10" a="1"/>
  <c r="AK15" i="10"/>
  <c r="AJ15" i="10"/>
  <c r="AK16" i="10"/>
  <c r="AN15" i="10"/>
  <c r="AH15" i="10"/>
  <c r="AG15" i="10"/>
  <c r="AM15" i="10"/>
  <c r="AI15" i="10"/>
  <c r="U15" i="10"/>
  <c r="AO15" i="10"/>
  <c r="AL15" i="10"/>
  <c r="AP16" i="10"/>
  <c r="AC15" i="10"/>
  <c r="AF15" i="10"/>
  <c r="M15" i="10" l="1" a="1"/>
  <c r="M15" i="10" s="1"/>
  <c r="Y16" i="10"/>
  <c r="L16" i="10" a="1"/>
  <c r="L16" i="10" s="1"/>
  <c r="J16" i="10" a="1"/>
  <c r="J16" i="10" s="1"/>
  <c r="I16" i="10" a="1"/>
  <c r="I16" i="10" s="1"/>
  <c r="H16" i="10" a="1"/>
  <c r="H16" i="10" s="1"/>
  <c r="G16" i="10" a="1"/>
  <c r="G16" i="10" s="1"/>
  <c r="F16" i="10" a="1"/>
  <c r="F16" i="10" s="1"/>
  <c r="E16" i="10" a="1"/>
  <c r="E16" i="10" s="1"/>
  <c r="D16" i="10" a="1"/>
  <c r="D16" i="10" s="1"/>
  <c r="W15" i="10"/>
  <c r="R16" i="10"/>
  <c r="X14" i="10"/>
  <c r="A17" i="10"/>
  <c r="V15" i="10"/>
  <c r="O16" i="10"/>
  <c r="P16" i="10" s="1"/>
  <c r="Q16" i="10" s="1"/>
  <c r="T16" i="10"/>
  <c r="S16" i="10"/>
  <c r="C17" i="10"/>
  <c r="B17" i="10"/>
  <c r="Z17" i="10"/>
  <c r="Y17" i="10" a="1"/>
  <c r="AP17" i="10"/>
  <c r="AI16" i="10"/>
  <c r="AJ16" i="10"/>
  <c r="AL16" i="10"/>
  <c r="AD16" i="10"/>
  <c r="AM16" i="10"/>
  <c r="AG16" i="10"/>
  <c r="AO16" i="10"/>
  <c r="U16" i="10"/>
  <c r="AF16" i="10"/>
  <c r="AN16" i="10"/>
  <c r="AG17" i="10"/>
  <c r="AE16" i="10"/>
  <c r="AH16" i="10"/>
  <c r="AC16" i="10"/>
  <c r="AE17" i="10"/>
  <c r="K16" i="10" l="1"/>
  <c r="M16" i="10" a="1"/>
  <c r="M16" i="10" s="1"/>
  <c r="Y17" i="10"/>
  <c r="J17" i="10" a="1"/>
  <c r="J17" i="10" s="1"/>
  <c r="I17" i="10" a="1"/>
  <c r="I17" i="10" s="1"/>
  <c r="H17" i="10" a="1"/>
  <c r="H17" i="10" s="1"/>
  <c r="G17" i="10" a="1"/>
  <c r="G17" i="10" s="1"/>
  <c r="F17" i="10" a="1"/>
  <c r="F17" i="10" s="1"/>
  <c r="E17" i="10" a="1"/>
  <c r="E17" i="10" s="1"/>
  <c r="L17" i="10" a="1"/>
  <c r="L17" i="10" s="1"/>
  <c r="D17" i="10" a="1"/>
  <c r="D17" i="10" s="1"/>
  <c r="W16" i="10"/>
  <c r="V16" i="10"/>
  <c r="R17" i="10"/>
  <c r="X15" i="10"/>
  <c r="A18" i="10"/>
  <c r="T17" i="10"/>
  <c r="O17" i="10"/>
  <c r="P17" i="10" s="1"/>
  <c r="Q17" i="10" s="1"/>
  <c r="S17" i="10"/>
  <c r="C18" i="10"/>
  <c r="B18" i="10"/>
  <c r="Z18" i="10"/>
  <c r="Y18" i="10" a="1"/>
  <c r="AP18" i="10"/>
  <c r="AI17" i="10"/>
  <c r="AN17" i="10"/>
  <c r="AD17" i="10"/>
  <c r="AO17" i="10"/>
  <c r="U17" i="10"/>
  <c r="AH17" i="10"/>
  <c r="AM17" i="10"/>
  <c r="AJ17" i="10"/>
  <c r="AL17" i="10"/>
  <c r="AC17" i="10"/>
  <c r="AF17" i="10"/>
  <c r="AK17" i="10"/>
  <c r="AC18" i="10"/>
  <c r="K17" i="10" l="1"/>
  <c r="M17" i="10" a="1"/>
  <c r="M17" i="10" s="1"/>
  <c r="Y18" i="10"/>
  <c r="L18" i="10" a="1"/>
  <c r="L18" i="10" s="1"/>
  <c r="J18" i="10" a="1"/>
  <c r="J18" i="10" s="1"/>
  <c r="I18" i="10" a="1"/>
  <c r="I18" i="10" s="1"/>
  <c r="H18" i="10" a="1"/>
  <c r="H18" i="10" s="1"/>
  <c r="D18" i="10" a="1"/>
  <c r="D18" i="10" s="1"/>
  <c r="G18" i="10" a="1"/>
  <c r="G18" i="10" s="1"/>
  <c r="E18" i="10" a="1"/>
  <c r="E18" i="10" s="1"/>
  <c r="F18" i="10" a="1"/>
  <c r="F18" i="10" s="1"/>
  <c r="W17" i="10"/>
  <c r="R18" i="10"/>
  <c r="X16" i="10"/>
  <c r="A19" i="10"/>
  <c r="V17" i="10"/>
  <c r="T18" i="10"/>
  <c r="S18" i="10"/>
  <c r="O18" i="10"/>
  <c r="P18" i="10" s="1"/>
  <c r="Q18" i="10" s="1"/>
  <c r="C19" i="10"/>
  <c r="B19" i="10"/>
  <c r="Z19" i="10"/>
  <c r="Y19" i="10" a="1"/>
  <c r="AE18" i="10"/>
  <c r="AI18" i="10"/>
  <c r="U18" i="10"/>
  <c r="AH18" i="10"/>
  <c r="AD18" i="10"/>
  <c r="AF18" i="10"/>
  <c r="AG18" i="10"/>
  <c r="AL18" i="10"/>
  <c r="AP19" i="10"/>
  <c r="AM18" i="10"/>
  <c r="AN18" i="10"/>
  <c r="AO19" i="10"/>
  <c r="AJ18" i="10"/>
  <c r="AK18" i="10"/>
  <c r="AO18" i="10"/>
  <c r="K18" i="10" l="1"/>
  <c r="M18" i="10" a="1"/>
  <c r="M18" i="10" s="1"/>
  <c r="Y19" i="10"/>
  <c r="L19" i="10" a="1"/>
  <c r="L19" i="10" s="1"/>
  <c r="I19" i="10" a="1"/>
  <c r="I19" i="10" s="1"/>
  <c r="H19" i="10" a="1"/>
  <c r="H19" i="10" s="1"/>
  <c r="G19" i="10" a="1"/>
  <c r="G19" i="10" s="1"/>
  <c r="E19" i="10" a="1"/>
  <c r="E19" i="10" s="1"/>
  <c r="J19" i="10" a="1"/>
  <c r="J19" i="10" s="1"/>
  <c r="K19" i="10" s="1"/>
  <c r="F19" i="10" a="1"/>
  <c r="F19" i="10" s="1"/>
  <c r="D19" i="10" a="1"/>
  <c r="D19" i="10" s="1"/>
  <c r="W18" i="10"/>
  <c r="X17" i="10"/>
  <c r="R19" i="10"/>
  <c r="A20" i="10"/>
  <c r="V18" i="10"/>
  <c r="S19" i="10"/>
  <c r="T19" i="10"/>
  <c r="O19" i="10"/>
  <c r="P19" i="10" s="1"/>
  <c r="Q19" i="10" s="1"/>
  <c r="B20" i="10"/>
  <c r="C20" i="10"/>
  <c r="Y20" i="10" a="1"/>
  <c r="Z20" i="10"/>
  <c r="AF20" i="10"/>
  <c r="AH19" i="10"/>
  <c r="U19" i="10"/>
  <c r="AL19" i="10"/>
  <c r="AK19" i="10"/>
  <c r="AG20" i="10"/>
  <c r="AE19" i="10"/>
  <c r="AO20" i="10"/>
  <c r="AN19" i="10"/>
  <c r="AD19" i="10"/>
  <c r="AP20" i="10"/>
  <c r="AF19" i="10"/>
  <c r="U20" i="10"/>
  <c r="AI19" i="10"/>
  <c r="AG19" i="10"/>
  <c r="AJ19" i="10"/>
  <c r="AM19" i="10"/>
  <c r="AC19" i="10"/>
  <c r="M19" i="10" l="1" a="1"/>
  <c r="M19" i="10" s="1"/>
  <c r="Z7" i="10"/>
  <c r="Y20" i="10"/>
  <c r="J20" i="10" a="1"/>
  <c r="J20" i="10" s="1"/>
  <c r="I20" i="10" a="1"/>
  <c r="I20" i="10" s="1"/>
  <c r="H20" i="10" a="1"/>
  <c r="H20" i="10" s="1"/>
  <c r="G20" i="10" a="1"/>
  <c r="G20" i="10" s="1"/>
  <c r="F20" i="10" a="1"/>
  <c r="F20" i="10" s="1"/>
  <c r="L20" i="10" a="1"/>
  <c r="L20" i="10" s="1"/>
  <c r="D20" i="10" a="1"/>
  <c r="D20" i="10" s="1"/>
  <c r="E20" i="10" a="1"/>
  <c r="E20" i="10" s="1"/>
  <c r="W19" i="10"/>
  <c r="X18" i="10"/>
  <c r="R20" i="10"/>
  <c r="A21" i="10"/>
  <c r="V19" i="10"/>
  <c r="S20" i="10"/>
  <c r="T20" i="10"/>
  <c r="O20" i="10"/>
  <c r="P20" i="10" s="1"/>
  <c r="Q20" i="10" s="1"/>
  <c r="C21" i="10"/>
  <c r="B21" i="10"/>
  <c r="AM20" i="10"/>
  <c r="AC20" i="10"/>
  <c r="AK20" i="10"/>
  <c r="AJ20" i="10"/>
  <c r="AI20" i="10"/>
  <c r="AD20" i="10"/>
  <c r="AN20" i="10"/>
  <c r="AE20" i="10"/>
  <c r="AH20" i="10"/>
  <c r="AL20" i="10"/>
  <c r="K20" i="10" l="1"/>
  <c r="M20" i="10" a="1"/>
  <c r="M20" i="10" s="1"/>
  <c r="M21" i="10" s="1" a="1"/>
  <c r="M21" i="10" s="1"/>
  <c r="Z21" i="10"/>
  <c r="Y21" i="10" a="1"/>
  <c r="Y21" i="10" s="1"/>
  <c r="G21" i="10" a="1"/>
  <c r="G21" i="10" s="1"/>
  <c r="L21" i="10" a="1"/>
  <c r="L21" i="10" s="1"/>
  <c r="H21" i="10" a="1"/>
  <c r="H21" i="10" s="1"/>
  <c r="I21" i="10" a="1"/>
  <c r="I21" i="10" s="1"/>
  <c r="F21" i="10" a="1"/>
  <c r="F21" i="10" s="1"/>
  <c r="D21" i="10" a="1"/>
  <c r="D21" i="10" s="1"/>
  <c r="E21" i="10" a="1"/>
  <c r="E21" i="10" s="1"/>
  <c r="J21" i="10" a="1"/>
  <c r="J21" i="10" s="1"/>
  <c r="K21" i="10"/>
  <c r="AP21" i="10"/>
  <c r="V20" i="10"/>
  <c r="V21" i="10" s="1"/>
  <c r="W20" i="10"/>
  <c r="W21" i="10" s="1"/>
  <c r="U21" i="10"/>
  <c r="X19" i="10"/>
  <c r="AN21" i="10"/>
  <c r="A22" i="10"/>
  <c r="C22" i="10"/>
  <c r="B22" i="10"/>
  <c r="T21" i="10"/>
  <c r="AF21" i="10"/>
  <c r="AD21" i="10"/>
  <c r="AH21" i="10"/>
  <c r="AL21" i="10"/>
  <c r="AO21" i="10"/>
  <c r="AG21" i="10"/>
  <c r="AJ21" i="10"/>
  <c r="AI21" i="10"/>
  <c r="AE21" i="10"/>
  <c r="AK21" i="10"/>
  <c r="AC21" i="10"/>
  <c r="AM21" i="10"/>
  <c r="Y22" i="10" a="1"/>
  <c r="Z22" i="10"/>
  <c r="AF22" i="10"/>
  <c r="AM22" i="10"/>
  <c r="AP22" i="10"/>
  <c r="Y22" i="10" l="1"/>
  <c r="J22" i="10" a="1"/>
  <c r="J22" i="10" s="1"/>
  <c r="I22" i="10" a="1"/>
  <c r="I22" i="10" s="1"/>
  <c r="H22" i="10" a="1"/>
  <c r="H22" i="10" s="1"/>
  <c r="G22" i="10" a="1"/>
  <c r="G22" i="10" s="1"/>
  <c r="E22" i="10" a="1"/>
  <c r="E22" i="10" s="1"/>
  <c r="L22" i="10" a="1"/>
  <c r="L22" i="10" s="1"/>
  <c r="D22" i="10" a="1"/>
  <c r="D22" i="10" s="1"/>
  <c r="F22" i="10" a="1"/>
  <c r="F22" i="10" s="1"/>
  <c r="O21" i="10"/>
  <c r="P21" i="10" s="1"/>
  <c r="Q21" i="10" s="1"/>
  <c r="R22" i="10"/>
  <c r="A23" i="10"/>
  <c r="T22" i="10"/>
  <c r="O22" i="10"/>
  <c r="P22" i="10" s="1"/>
  <c r="Q22" i="10" s="1"/>
  <c r="S22" i="10"/>
  <c r="C23" i="10"/>
  <c r="B23" i="10"/>
  <c r="Y23" i="10" a="1"/>
  <c r="Z23" i="10"/>
  <c r="AD22" i="10"/>
  <c r="AJ22" i="10"/>
  <c r="AG22" i="10"/>
  <c r="AC23" i="10"/>
  <c r="AE22" i="10"/>
  <c r="AP23" i="10"/>
  <c r="AI22" i="10"/>
  <c r="AC22" i="10"/>
  <c r="AN22" i="10"/>
  <c r="U22" i="10"/>
  <c r="AO22" i="10"/>
  <c r="AK22" i="10"/>
  <c r="AH22" i="10"/>
  <c r="AL22" i="10"/>
  <c r="M22" i="10" l="1" a="1"/>
  <c r="M22" i="10" s="1"/>
  <c r="K22" i="10"/>
  <c r="W22" i="10" s="1"/>
  <c r="Y23" i="10"/>
  <c r="L23" i="10" a="1"/>
  <c r="L23" i="10" s="1"/>
  <c r="J23" i="10" a="1"/>
  <c r="J23" i="10" s="1"/>
  <c r="K23" i="10" s="1"/>
  <c r="I23" i="10" a="1"/>
  <c r="I23" i="10" s="1"/>
  <c r="H23" i="10" a="1"/>
  <c r="H23" i="10" s="1"/>
  <c r="F23" i="10" a="1"/>
  <c r="F23" i="10" s="1"/>
  <c r="E23" i="10" a="1"/>
  <c r="E23" i="10" s="1"/>
  <c r="G23" i="10" a="1"/>
  <c r="G23" i="10" s="1"/>
  <c r="D23" i="10" a="1"/>
  <c r="D23" i="10" s="1"/>
  <c r="X20" i="10"/>
  <c r="R23" i="10"/>
  <c r="A24" i="10"/>
  <c r="V22" i="10"/>
  <c r="S23" i="10"/>
  <c r="O23" i="10"/>
  <c r="P23" i="10" s="1"/>
  <c r="Q23" i="10" s="1"/>
  <c r="T23" i="10"/>
  <c r="B24" i="10"/>
  <c r="C24" i="10"/>
  <c r="Y24" i="10" a="1"/>
  <c r="Z24" i="10"/>
  <c r="AH23" i="10"/>
  <c r="AO23" i="10"/>
  <c r="AF23" i="10"/>
  <c r="AG23" i="10"/>
  <c r="U23" i="10"/>
  <c r="AJ23" i="10"/>
  <c r="AK23" i="10"/>
  <c r="AP24" i="10"/>
  <c r="AE23" i="10"/>
  <c r="AD23" i="10"/>
  <c r="AM23" i="10"/>
  <c r="U24" i="10" a="1"/>
  <c r="AI23" i="10"/>
  <c r="AN23" i="10"/>
  <c r="AG24" i="10"/>
  <c r="AL23" i="10"/>
  <c r="M23" i="10" l="1" a="1"/>
  <c r="M23" i="10" s="1"/>
  <c r="Y24" i="10"/>
  <c r="L24" i="10" a="1"/>
  <c r="L24" i="10" s="1"/>
  <c r="J24" i="10" a="1"/>
  <c r="J24" i="10" s="1"/>
  <c r="G24" i="10" a="1"/>
  <c r="G24" i="10" s="1"/>
  <c r="I24" i="10" a="1"/>
  <c r="I24" i="10" s="1"/>
  <c r="H24" i="10" a="1"/>
  <c r="H24" i="10" s="1"/>
  <c r="F24" i="10" a="1"/>
  <c r="F24" i="10" s="1"/>
  <c r="E24" i="10" a="1"/>
  <c r="E24" i="10" s="1"/>
  <c r="D24" i="10" a="1"/>
  <c r="D24" i="10" s="1"/>
  <c r="U24" i="10"/>
  <c r="W23" i="10"/>
  <c r="X21" i="10"/>
  <c r="R21" i="10" s="1"/>
  <c r="S21" i="10" s="1"/>
  <c r="X22" i="10"/>
  <c r="R24" i="10"/>
  <c r="A25" i="10"/>
  <c r="V23" i="10"/>
  <c r="T24" i="10"/>
  <c r="O24" i="10"/>
  <c r="P24" i="10" s="1"/>
  <c r="Q24" i="10" s="1"/>
  <c r="S24" i="10"/>
  <c r="C25" i="10"/>
  <c r="B25" i="10"/>
  <c r="Y25" i="10" a="1"/>
  <c r="Z25" i="10"/>
  <c r="AO24" i="10"/>
  <c r="AI24" i="10"/>
  <c r="AO25" i="10"/>
  <c r="AJ24" i="10"/>
  <c r="AM25" i="10"/>
  <c r="AD25" i="10"/>
  <c r="AL24" i="10"/>
  <c r="AF25" i="10"/>
  <c r="AF24" i="10"/>
  <c r="AD24" i="10"/>
  <c r="AK25" i="10"/>
  <c r="AM24" i="10"/>
  <c r="AP25" i="10"/>
  <c r="AH24" i="10"/>
  <c r="AN24" i="10"/>
  <c r="AK24" i="10"/>
  <c r="AE24" i="10"/>
  <c r="AL25" i="10"/>
  <c r="AC24" i="10"/>
  <c r="K24" i="10" l="1"/>
  <c r="M24" i="10" a="1"/>
  <c r="M24" i="10" s="1"/>
  <c r="Y25" i="10"/>
  <c r="J25" i="10" a="1"/>
  <c r="J25" i="10" s="1"/>
  <c r="I25" i="10" a="1"/>
  <c r="I25" i="10" s="1"/>
  <c r="H25" i="10" a="1"/>
  <c r="H25" i="10" s="1"/>
  <c r="G25" i="10" a="1"/>
  <c r="G25" i="10" s="1"/>
  <c r="F25" i="10" a="1"/>
  <c r="F25" i="10" s="1"/>
  <c r="E25" i="10" a="1"/>
  <c r="E25" i="10" s="1"/>
  <c r="L25" i="10" a="1"/>
  <c r="L25" i="10" s="1"/>
  <c r="D25" i="10" a="1"/>
  <c r="D25" i="10" s="1"/>
  <c r="V24" i="10"/>
  <c r="W24" i="10"/>
  <c r="X23" i="10"/>
  <c r="R25" i="10"/>
  <c r="A26" i="10"/>
  <c r="O25" i="10"/>
  <c r="P25" i="10" s="1"/>
  <c r="Q25" i="10" s="1"/>
  <c r="T25" i="10"/>
  <c r="S25" i="10"/>
  <c r="B26" i="10"/>
  <c r="C26" i="10"/>
  <c r="Y26" i="10" a="1"/>
  <c r="Z26" i="10"/>
  <c r="AG25" i="10"/>
  <c r="AP26" i="10"/>
  <c r="AI25" i="10"/>
  <c r="AJ25" i="10"/>
  <c r="AC25" i="10"/>
  <c r="AH25" i="10"/>
  <c r="AC26" i="10"/>
  <c r="AN25" i="10"/>
  <c r="AE25" i="10"/>
  <c r="U25" i="10"/>
  <c r="K25" i="10" l="1"/>
  <c r="M25" i="10" a="1"/>
  <c r="M25" i="10" s="1"/>
  <c r="Y26" i="10"/>
  <c r="J26" i="10" a="1"/>
  <c r="J26" i="10" s="1"/>
  <c r="I26" i="10" a="1"/>
  <c r="I26" i="10" s="1"/>
  <c r="H26" i="10" a="1"/>
  <c r="H26" i="10" s="1"/>
  <c r="G26" i="10" a="1"/>
  <c r="G26" i="10" s="1"/>
  <c r="L26" i="10" a="1"/>
  <c r="L26" i="10" s="1"/>
  <c r="D26" i="10" a="1"/>
  <c r="D26" i="10" s="1"/>
  <c r="F26" i="10" a="1"/>
  <c r="F26" i="10" s="1"/>
  <c r="E26" i="10" a="1"/>
  <c r="E26" i="10" s="1"/>
  <c r="W25" i="10"/>
  <c r="X24" i="10"/>
  <c r="R26" i="10"/>
  <c r="A27" i="10"/>
  <c r="V25" i="10"/>
  <c r="T26" i="10"/>
  <c r="O26" i="10"/>
  <c r="P26" i="10" s="1"/>
  <c r="Q26" i="10" s="1"/>
  <c r="S26" i="10"/>
  <c r="B27" i="10"/>
  <c r="C27" i="10"/>
  <c r="Y27" i="10" a="1"/>
  <c r="Z27" i="10"/>
  <c r="AJ26" i="10"/>
  <c r="AO26" i="10"/>
  <c r="AG27" i="10"/>
  <c r="AD26" i="10"/>
  <c r="AF26" i="10"/>
  <c r="AL26" i="10"/>
  <c r="AP27" i="10"/>
  <c r="AN26" i="10"/>
  <c r="U26" i="10"/>
  <c r="AH26" i="10"/>
  <c r="AE26" i="10"/>
  <c r="AM26" i="10"/>
  <c r="AG26" i="10"/>
  <c r="AI26" i="10"/>
  <c r="AK26" i="10"/>
  <c r="K26" i="10" l="1"/>
  <c r="M26" i="10" a="1"/>
  <c r="M26" i="10" s="1"/>
  <c r="Y27" i="10"/>
  <c r="L27" i="10" a="1"/>
  <c r="L27" i="10" s="1"/>
  <c r="J27" i="10" a="1"/>
  <c r="J27" i="10" s="1"/>
  <c r="K27" i="10" s="1"/>
  <c r="I27" i="10" a="1"/>
  <c r="I27" i="10" s="1"/>
  <c r="H27" i="10" a="1"/>
  <c r="H27" i="10" s="1"/>
  <c r="G27" i="10" a="1"/>
  <c r="G27" i="10" s="1"/>
  <c r="F27" i="10" a="1"/>
  <c r="F27" i="10" s="1"/>
  <c r="E27" i="10" a="1"/>
  <c r="E27" i="10" s="1"/>
  <c r="D27" i="10" a="1"/>
  <c r="D27" i="10" s="1"/>
  <c r="W26" i="10"/>
  <c r="X25" i="10"/>
  <c r="R27" i="10"/>
  <c r="A28" i="10"/>
  <c r="V26" i="10"/>
  <c r="T27" i="10"/>
  <c r="S27" i="10"/>
  <c r="O27" i="10"/>
  <c r="P27" i="10" s="1"/>
  <c r="Q27" i="10" s="1"/>
  <c r="B28" i="10"/>
  <c r="C28" i="10"/>
  <c r="Y28" i="10" a="1"/>
  <c r="Z28" i="10"/>
  <c r="AJ27" i="10"/>
  <c r="AI27" i="10"/>
  <c r="U28" i="10"/>
  <c r="AK27" i="10"/>
  <c r="AO27" i="10"/>
  <c r="AC27" i="10"/>
  <c r="AP28" i="10"/>
  <c r="AL27" i="10"/>
  <c r="AN27" i="10"/>
  <c r="AM27" i="10"/>
  <c r="AF27" i="10"/>
  <c r="AH28" i="10"/>
  <c r="AH27" i="10"/>
  <c r="AD27" i="10"/>
  <c r="U27" i="10"/>
  <c r="AE27" i="10"/>
  <c r="M27" i="10" l="1" a="1"/>
  <c r="M27" i="10" s="1"/>
  <c r="Y28" i="10"/>
  <c r="L28" i="10" a="1"/>
  <c r="L28" i="10" s="1"/>
  <c r="F28" i="10" a="1"/>
  <c r="F28" i="10" s="1"/>
  <c r="J28" i="10" a="1"/>
  <c r="J28" i="10" s="1"/>
  <c r="I28" i="10" a="1"/>
  <c r="I28" i="10" s="1"/>
  <c r="G28" i="10" a="1"/>
  <c r="G28" i="10" s="1"/>
  <c r="H28" i="10" a="1"/>
  <c r="H28" i="10" s="1"/>
  <c r="E28" i="10" a="1"/>
  <c r="E28" i="10" s="1"/>
  <c r="D28" i="10" a="1"/>
  <c r="D28" i="10" s="1"/>
  <c r="W27" i="10"/>
  <c r="R28" i="10"/>
  <c r="X26" i="10"/>
  <c r="A29" i="10"/>
  <c r="V27" i="10"/>
  <c r="S28" i="10"/>
  <c r="T28" i="10"/>
  <c r="O28" i="10"/>
  <c r="P28" i="10" s="1"/>
  <c r="Q28" i="10" s="1"/>
  <c r="C29" i="10"/>
  <c r="B29" i="10"/>
  <c r="Y29" i="10" a="1"/>
  <c r="Z29" i="10"/>
  <c r="AP29" i="10"/>
  <c r="AJ29" i="10"/>
  <c r="AK28" i="10"/>
  <c r="AM28" i="10"/>
  <c r="AD28" i="10"/>
  <c r="AD29" i="10"/>
  <c r="AN28" i="10"/>
  <c r="AE28" i="10"/>
  <c r="AG28" i="10"/>
  <c r="AL28" i="10"/>
  <c r="AH29" i="10"/>
  <c r="AE29" i="10"/>
  <c r="AF28" i="10"/>
  <c r="AC28" i="10"/>
  <c r="AI29" i="10"/>
  <c r="AI28" i="10"/>
  <c r="AO28" i="10"/>
  <c r="AJ28" i="10"/>
  <c r="AF29" i="10"/>
  <c r="AM29" i="10"/>
  <c r="M28" i="10" l="1" a="1"/>
  <c r="M28" i="10" s="1"/>
  <c r="K28" i="10"/>
  <c r="Y29" i="10"/>
  <c r="J29" i="10" a="1"/>
  <c r="J29" i="10" s="1"/>
  <c r="I29" i="10" a="1"/>
  <c r="I29" i="10" s="1"/>
  <c r="H29" i="10" a="1"/>
  <c r="H29" i="10" s="1"/>
  <c r="G29" i="10" a="1"/>
  <c r="G29" i="10" s="1"/>
  <c r="F29" i="10" a="1"/>
  <c r="F29" i="10" s="1"/>
  <c r="E29" i="10" a="1"/>
  <c r="E29" i="10" s="1"/>
  <c r="D29" i="10" a="1"/>
  <c r="D29" i="10" s="1"/>
  <c r="L29" i="10" a="1"/>
  <c r="L29" i="10" s="1"/>
  <c r="K29" i="10" s="1"/>
  <c r="V28" i="10"/>
  <c r="W28" i="10"/>
  <c r="X27" i="10"/>
  <c r="R29" i="10"/>
  <c r="A30" i="10"/>
  <c r="S29" i="10"/>
  <c r="T29" i="10"/>
  <c r="O29" i="10"/>
  <c r="P29" i="10" s="1"/>
  <c r="Q29" i="10" s="1"/>
  <c r="B30" i="10"/>
  <c r="C30" i="10"/>
  <c r="Y30" i="10" a="1"/>
  <c r="Z30" i="10"/>
  <c r="AO29" i="10"/>
  <c r="AN29" i="10"/>
  <c r="AK30" i="10"/>
  <c r="AC30" i="10"/>
  <c r="AG29" i="10"/>
  <c r="AD30" i="10"/>
  <c r="AK29" i="10"/>
  <c r="AH30" i="10"/>
  <c r="AM30" i="10"/>
  <c r="AP30" i="10"/>
  <c r="AL29" i="10"/>
  <c r="AC29" i="10"/>
  <c r="U29" i="10"/>
  <c r="M29" i="10" l="1" a="1"/>
  <c r="M29" i="10" s="1"/>
  <c r="Y30" i="10"/>
  <c r="J30" i="10" a="1"/>
  <c r="J30" i="10" s="1"/>
  <c r="I30" i="10" a="1"/>
  <c r="I30" i="10" s="1"/>
  <c r="H30" i="10" a="1"/>
  <c r="H30" i="10" s="1"/>
  <c r="G30" i="10" a="1"/>
  <c r="G30" i="10" s="1"/>
  <c r="F30" i="10" a="1"/>
  <c r="F30" i="10" s="1"/>
  <c r="L30" i="10" a="1"/>
  <c r="L30" i="10" s="1"/>
  <c r="D30" i="10" a="1"/>
  <c r="D30" i="10" s="1"/>
  <c r="E30" i="10" a="1"/>
  <c r="E30" i="10" s="1"/>
  <c r="V29" i="10"/>
  <c r="W29" i="10"/>
  <c r="X28" i="10"/>
  <c r="R30" i="10"/>
  <c r="A31" i="10"/>
  <c r="T30" i="10"/>
  <c r="O30" i="10"/>
  <c r="P30" i="10" s="1"/>
  <c r="Q30" i="10" s="1"/>
  <c r="S30" i="10"/>
  <c r="C31" i="10"/>
  <c r="B31" i="10"/>
  <c r="Y31" i="10" a="1"/>
  <c r="Z31" i="10"/>
  <c r="AC31" i="10"/>
  <c r="AF30" i="10"/>
  <c r="AN30" i="10"/>
  <c r="AI30" i="10"/>
  <c r="AO30" i="10"/>
  <c r="U30" i="10"/>
  <c r="AG30" i="10"/>
  <c r="AP31" i="10"/>
  <c r="AJ30" i="10"/>
  <c r="AE30" i="10"/>
  <c r="AL30" i="10"/>
  <c r="K30" i="10" l="1"/>
  <c r="M30" i="10" a="1"/>
  <c r="M30" i="10" s="1"/>
  <c r="Y31" i="10"/>
  <c r="L31" i="10" a="1"/>
  <c r="L31" i="10" s="1"/>
  <c r="J31" i="10" a="1"/>
  <c r="J31" i="10" s="1"/>
  <c r="K31" i="10" s="1"/>
  <c r="I31" i="10" a="1"/>
  <c r="I31" i="10" s="1"/>
  <c r="H31" i="10" a="1"/>
  <c r="H31" i="10" s="1"/>
  <c r="D31" i="10" a="1"/>
  <c r="D31" i="10" s="1"/>
  <c r="G31" i="10" a="1"/>
  <c r="G31" i="10" s="1"/>
  <c r="F31" i="10" a="1"/>
  <c r="F31" i="10" s="1"/>
  <c r="E31" i="10" a="1"/>
  <c r="E31" i="10" s="1"/>
  <c r="W30" i="10"/>
  <c r="R31" i="10"/>
  <c r="X29" i="10"/>
  <c r="A32" i="10"/>
  <c r="V30" i="10"/>
  <c r="S31" i="10"/>
  <c r="O31" i="10"/>
  <c r="P31" i="10" s="1"/>
  <c r="Q31" i="10" s="1"/>
  <c r="T31" i="10"/>
  <c r="C32" i="10"/>
  <c r="B32" i="10"/>
  <c r="Y32" i="10" a="1"/>
  <c r="Z32" i="10"/>
  <c r="U31" i="10"/>
  <c r="AI31" i="10"/>
  <c r="AK32" i="10"/>
  <c r="AG31" i="10"/>
  <c r="AN31" i="10"/>
  <c r="AD31" i="10"/>
  <c r="AF31" i="10"/>
  <c r="AH31" i="10"/>
  <c r="AE31" i="10"/>
  <c r="AP32" i="10"/>
  <c r="AL31" i="10"/>
  <c r="AO31" i="10"/>
  <c r="AJ31" i="10"/>
  <c r="AK31" i="10"/>
  <c r="AM31" i="10"/>
  <c r="M31" i="10" l="1" a="1"/>
  <c r="M31" i="10" s="1"/>
  <c r="Y32" i="10"/>
  <c r="L32" i="10" a="1"/>
  <c r="L32" i="10" s="1"/>
  <c r="H32" i="10" a="1"/>
  <c r="H32" i="10" s="1"/>
  <c r="J32" i="10" a="1"/>
  <c r="J32" i="10" s="1"/>
  <c r="K32" i="10" s="1"/>
  <c r="F32" i="10" a="1"/>
  <c r="F32" i="10" s="1"/>
  <c r="E32" i="10" a="1"/>
  <c r="E32" i="10" s="1"/>
  <c r="I32" i="10" a="1"/>
  <c r="I32" i="10" s="1"/>
  <c r="D32" i="10" a="1"/>
  <c r="D32" i="10" s="1"/>
  <c r="G32" i="10" a="1"/>
  <c r="G32" i="10" s="1"/>
  <c r="W31" i="10"/>
  <c r="X30" i="10"/>
  <c r="R32" i="10"/>
  <c r="A33" i="10"/>
  <c r="V31" i="10"/>
  <c r="T32" i="10"/>
  <c r="O32" i="10"/>
  <c r="P32" i="10" s="1"/>
  <c r="Q32" i="10" s="1"/>
  <c r="S32" i="10"/>
  <c r="C33" i="10"/>
  <c r="B33" i="10"/>
  <c r="Y33" i="10" a="1"/>
  <c r="Z33" i="10"/>
  <c r="AL32" i="10"/>
  <c r="AO33" i="10"/>
  <c r="AF32" i="10"/>
  <c r="AK33" i="10"/>
  <c r="AN32" i="10"/>
  <c r="AO32" i="10"/>
  <c r="AG33" i="10"/>
  <c r="AP33" i="10"/>
  <c r="U32" i="10"/>
  <c r="AE32" i="10"/>
  <c r="AM32" i="10"/>
  <c r="AJ33" i="10"/>
  <c r="AJ32" i="10"/>
  <c r="AD32" i="10"/>
  <c r="AG32" i="10"/>
  <c r="AH32" i="10"/>
  <c r="AC33" i="10"/>
  <c r="AC32" i="10"/>
  <c r="AI32" i="10"/>
  <c r="M32" i="10" l="1" a="1"/>
  <c r="M32" i="10" s="1"/>
  <c r="Y33" i="10"/>
  <c r="J33" i="10" a="1"/>
  <c r="J33" i="10" s="1"/>
  <c r="I33" i="10" a="1"/>
  <c r="I33" i="10" s="1"/>
  <c r="H33" i="10" a="1"/>
  <c r="H33" i="10" s="1"/>
  <c r="G33" i="10" a="1"/>
  <c r="G33" i="10" s="1"/>
  <c r="F33" i="10" a="1"/>
  <c r="F33" i="10" s="1"/>
  <c r="E33" i="10" a="1"/>
  <c r="E33" i="10" s="1"/>
  <c r="L33" i="10" a="1"/>
  <c r="L33" i="10" s="1"/>
  <c r="D33" i="10" a="1"/>
  <c r="D33" i="10" s="1"/>
  <c r="W32" i="10"/>
  <c r="X31" i="10"/>
  <c r="R33" i="10"/>
  <c r="A34" i="10"/>
  <c r="V32" i="10"/>
  <c r="O33" i="10"/>
  <c r="P33" i="10" s="1"/>
  <c r="Q33" i="10" s="1"/>
  <c r="T33" i="10"/>
  <c r="S33" i="10"/>
  <c r="B34" i="10"/>
  <c r="C34" i="10"/>
  <c r="AI33" i="10"/>
  <c r="U33" i="10"/>
  <c r="AE33" i="10"/>
  <c r="AN33" i="10"/>
  <c r="AH33" i="10"/>
  <c r="AF33" i="10"/>
  <c r="AM33" i="10"/>
  <c r="AD33" i="10"/>
  <c r="AL33" i="10"/>
  <c r="M33" i="10" l="1" a="1"/>
  <c r="M33" i="10" s="1"/>
  <c r="M34" i="10" s="1" a="1"/>
  <c r="M34" i="10" s="1"/>
  <c r="K33" i="10"/>
  <c r="K34" i="10" s="1"/>
  <c r="Z34" i="10"/>
  <c r="Y34" i="10" a="1"/>
  <c r="Y34" i="10" s="1"/>
  <c r="J34" i="10" a="1"/>
  <c r="J34" i="10" s="1"/>
  <c r="F34" i="10" a="1"/>
  <c r="F34" i="10" s="1"/>
  <c r="G34" i="10" a="1"/>
  <c r="G34" i="10" s="1"/>
  <c r="D34" i="10" a="1"/>
  <c r="D34" i="10" s="1"/>
  <c r="H34" i="10" a="1"/>
  <c r="H34" i="10" s="1"/>
  <c r="E34" i="10" a="1"/>
  <c r="E34" i="10" s="1"/>
  <c r="L34" i="10" a="1"/>
  <c r="L34" i="10" s="1"/>
  <c r="I34" i="10" a="1"/>
  <c r="I34" i="10" s="1"/>
  <c r="U34" i="10"/>
  <c r="AP34" i="10"/>
  <c r="X32" i="10"/>
  <c r="AN34" i="10"/>
  <c r="A35" i="10"/>
  <c r="V33" i="10"/>
  <c r="T34" i="10"/>
  <c r="AH34" i="10"/>
  <c r="AF34" i="10"/>
  <c r="AL34" i="10"/>
  <c r="AE34" i="10"/>
  <c r="AJ34" i="10"/>
  <c r="AG34" i="10"/>
  <c r="AK34" i="10"/>
  <c r="AM34" i="10"/>
  <c r="AC34" i="10"/>
  <c r="AI34" i="10"/>
  <c r="AO34" i="10"/>
  <c r="AD34" i="10"/>
  <c r="C35" i="10"/>
  <c r="B35" i="10"/>
  <c r="Y35" i="10" a="1"/>
  <c r="Z35" i="10"/>
  <c r="AP35" i="10"/>
  <c r="AG35" i="10"/>
  <c r="Y35" i="10" l="1"/>
  <c r="J35" i="10" a="1"/>
  <c r="J35" i="10" s="1"/>
  <c r="I35" i="10" a="1"/>
  <c r="I35" i="10" s="1"/>
  <c r="H35" i="10" a="1"/>
  <c r="H35" i="10" s="1"/>
  <c r="G35" i="10" a="1"/>
  <c r="G35" i="10" s="1"/>
  <c r="L35" i="10" a="1"/>
  <c r="L35" i="10" s="1"/>
  <c r="K35" i="10" s="1"/>
  <c r="D35" i="10" a="1"/>
  <c r="D35" i="10" s="1"/>
  <c r="F35" i="10" a="1"/>
  <c r="F35" i="10" s="1"/>
  <c r="E35" i="10" a="1"/>
  <c r="E35" i="10" s="1"/>
  <c r="W33" i="10"/>
  <c r="W34" i="10" s="1"/>
  <c r="R35" i="10"/>
  <c r="O34" i="10"/>
  <c r="P34" i="10" s="1"/>
  <c r="Q34" i="10" s="1"/>
  <c r="V34" i="10"/>
  <c r="A36" i="10"/>
  <c r="O35" i="10"/>
  <c r="P35" i="10" s="1"/>
  <c r="Q35" i="10" s="1"/>
  <c r="S35" i="10"/>
  <c r="T35" i="10"/>
  <c r="B36" i="10"/>
  <c r="C36" i="10"/>
  <c r="Y36" i="10" a="1"/>
  <c r="Z36" i="10"/>
  <c r="AM35" i="10"/>
  <c r="AJ35" i="10"/>
  <c r="AK35" i="10"/>
  <c r="AI35" i="10"/>
  <c r="AF36" i="10"/>
  <c r="AP36" i="10"/>
  <c r="AL35" i="10"/>
  <c r="AF35" i="10"/>
  <c r="AH35" i="10"/>
  <c r="AE35" i="10"/>
  <c r="AC35" i="10"/>
  <c r="U35" i="10"/>
  <c r="AD35" i="10"/>
  <c r="AN35" i="10"/>
  <c r="AO35" i="10"/>
  <c r="M35" i="10" l="1" a="1"/>
  <c r="M35" i="10" s="1"/>
  <c r="Y36" i="10"/>
  <c r="L36" i="10" a="1"/>
  <c r="L36" i="10" s="1"/>
  <c r="J36" i="10" a="1"/>
  <c r="J36" i="10" s="1"/>
  <c r="I36" i="10" a="1"/>
  <c r="I36" i="10" s="1"/>
  <c r="H36" i="10" a="1"/>
  <c r="H36" i="10" s="1"/>
  <c r="G36" i="10" a="1"/>
  <c r="G36" i="10" s="1"/>
  <c r="F36" i="10" a="1"/>
  <c r="F36" i="10" s="1"/>
  <c r="E36" i="10" a="1"/>
  <c r="E36" i="10" s="1"/>
  <c r="D36" i="10" a="1"/>
  <c r="D36" i="10" s="1"/>
  <c r="W35" i="10"/>
  <c r="X33" i="10"/>
  <c r="X34" i="10" s="1"/>
  <c r="R34" i="10" s="1"/>
  <c r="S34" i="10" s="1"/>
  <c r="R36" i="10"/>
  <c r="A37" i="10"/>
  <c r="V35" i="10"/>
  <c r="K36" i="10"/>
  <c r="T36" i="10"/>
  <c r="O36" i="10"/>
  <c r="P36" i="10" s="1"/>
  <c r="Q36" i="10" s="1"/>
  <c r="S36" i="10"/>
  <c r="C37" i="10"/>
  <c r="B37" i="10"/>
  <c r="Y37" i="10" a="1"/>
  <c r="Z37" i="10"/>
  <c r="AK36" i="10"/>
  <c r="AM36" i="10"/>
  <c r="AE36" i="10"/>
  <c r="AD36" i="10"/>
  <c r="AN36" i="10"/>
  <c r="AO36" i="10"/>
  <c r="AG37" i="10"/>
  <c r="AI36" i="10"/>
  <c r="AH36" i="10"/>
  <c r="AC36" i="10"/>
  <c r="AG36" i="10"/>
  <c r="AJ36" i="10"/>
  <c r="AP37" i="10"/>
  <c r="U36" i="10"/>
  <c r="AL36" i="10"/>
  <c r="M36" i="10" l="1" a="1"/>
  <c r="M36" i="10" s="1"/>
  <c r="Y37" i="10"/>
  <c r="L37" i="10" a="1"/>
  <c r="L37" i="10" s="1"/>
  <c r="I37" i="10" a="1"/>
  <c r="I37" i="10" s="1"/>
  <c r="H37" i="10" a="1"/>
  <c r="H37" i="10" s="1"/>
  <c r="G37" i="10" a="1"/>
  <c r="G37" i="10" s="1"/>
  <c r="D37" i="10" a="1"/>
  <c r="D37" i="10" s="1"/>
  <c r="J37" i="10" a="1"/>
  <c r="J37" i="10" s="1"/>
  <c r="K37" i="10" s="1"/>
  <c r="F37" i="10" a="1"/>
  <c r="F37" i="10" s="1"/>
  <c r="E37" i="10" a="1"/>
  <c r="E37" i="10" s="1"/>
  <c r="W36" i="10"/>
  <c r="R37" i="10"/>
  <c r="X35" i="10"/>
  <c r="A38" i="10"/>
  <c r="V36" i="10"/>
  <c r="O37" i="10"/>
  <c r="P37" i="10" s="1"/>
  <c r="Q37" i="10" s="1"/>
  <c r="T37" i="10"/>
  <c r="S37" i="10"/>
  <c r="B38" i="10"/>
  <c r="C38" i="10"/>
  <c r="Y38" i="10" a="1"/>
  <c r="Z38" i="10"/>
  <c r="AM37" i="10"/>
  <c r="AN37" i="10"/>
  <c r="AK37" i="10"/>
  <c r="AI37" i="10"/>
  <c r="AE37" i="10"/>
  <c r="AL37" i="10"/>
  <c r="AJ38" i="10"/>
  <c r="AD37" i="10"/>
  <c r="AP38" i="10"/>
  <c r="AC37" i="10"/>
  <c r="AH37" i="10"/>
  <c r="AJ37" i="10"/>
  <c r="AF37" i="10"/>
  <c r="AO37" i="10"/>
  <c r="U37" i="10"/>
  <c r="M37" i="10" l="1" a="1"/>
  <c r="M37" i="10" s="1"/>
  <c r="Y38" i="10"/>
  <c r="J38" i="10" a="1"/>
  <c r="J38" i="10" s="1"/>
  <c r="I38" i="10" a="1"/>
  <c r="I38" i="10" s="1"/>
  <c r="H38" i="10" a="1"/>
  <c r="H38" i="10" s="1"/>
  <c r="G38" i="10" a="1"/>
  <c r="G38" i="10" s="1"/>
  <c r="F38" i="10" a="1"/>
  <c r="F38" i="10" s="1"/>
  <c r="E38" i="10" a="1"/>
  <c r="E38" i="10" s="1"/>
  <c r="L38" i="10" a="1"/>
  <c r="L38" i="10" s="1"/>
  <c r="D38" i="10" a="1"/>
  <c r="D38" i="10" s="1"/>
  <c r="W37" i="10"/>
  <c r="R38" i="10"/>
  <c r="X36" i="10"/>
  <c r="A39" i="10"/>
  <c r="V37" i="10"/>
  <c r="T38" i="10"/>
  <c r="O38" i="10"/>
  <c r="P38" i="10" s="1"/>
  <c r="Q38" i="10" s="1"/>
  <c r="S38" i="10"/>
  <c r="C39" i="10"/>
  <c r="B39" i="10"/>
  <c r="Y39" i="10" a="1"/>
  <c r="Z39" i="10"/>
  <c r="AH38" i="10"/>
  <c r="AP39" i="10"/>
  <c r="AE38" i="10"/>
  <c r="AE39" i="10"/>
  <c r="AN38" i="10"/>
  <c r="AO38" i="10"/>
  <c r="AG39" i="10"/>
  <c r="AM38" i="10"/>
  <c r="AG38" i="10"/>
  <c r="AI38" i="10"/>
  <c r="U38" i="10"/>
  <c r="AF38" i="10"/>
  <c r="AD38" i="10"/>
  <c r="AK38" i="10"/>
  <c r="AL38" i="10"/>
  <c r="AC38" i="10"/>
  <c r="AJ39" i="10"/>
  <c r="K38" i="10" l="1"/>
  <c r="M38" i="10" a="1"/>
  <c r="M38" i="10" s="1"/>
  <c r="Y39" i="10"/>
  <c r="J39" i="10" a="1"/>
  <c r="J39" i="10" s="1"/>
  <c r="I39" i="10" a="1"/>
  <c r="I39" i="10" s="1"/>
  <c r="H39" i="10" a="1"/>
  <c r="H39" i="10" s="1"/>
  <c r="G39" i="10" a="1"/>
  <c r="G39" i="10" s="1"/>
  <c r="L39" i="10" a="1"/>
  <c r="L39" i="10" s="1"/>
  <c r="K39" i="10" s="1"/>
  <c r="D39" i="10" a="1"/>
  <c r="D39" i="10" s="1"/>
  <c r="F39" i="10" a="1"/>
  <c r="F39" i="10" s="1"/>
  <c r="E39" i="10" a="1"/>
  <c r="E39" i="10" s="1"/>
  <c r="X37" i="10"/>
  <c r="R39" i="10"/>
  <c r="W38" i="10"/>
  <c r="A40" i="10"/>
  <c r="V38" i="10"/>
  <c r="T39" i="10"/>
  <c r="S39" i="10"/>
  <c r="O39" i="10"/>
  <c r="P39" i="10" s="1"/>
  <c r="Q39" i="10" s="1"/>
  <c r="C40" i="10"/>
  <c r="B40" i="10"/>
  <c r="Y40" i="10" a="1"/>
  <c r="Z40" i="10"/>
  <c r="AC39" i="10"/>
  <c r="AP40" i="10"/>
  <c r="U39" i="10"/>
  <c r="AL39" i="10"/>
  <c r="AI39" i="10"/>
  <c r="AO39" i="10"/>
  <c r="AN39" i="10"/>
  <c r="AD39" i="10"/>
  <c r="AF39" i="10"/>
  <c r="AK39" i="10"/>
  <c r="AM39" i="10"/>
  <c r="AH39" i="10"/>
  <c r="M39" i="10" l="1" a="1"/>
  <c r="M39" i="10" s="1"/>
  <c r="Y40" i="10"/>
  <c r="L40" i="10" a="1"/>
  <c r="L40" i="10" s="1"/>
  <c r="J40" i="10" a="1"/>
  <c r="J40" i="10" s="1"/>
  <c r="I40" i="10" a="1"/>
  <c r="I40" i="10" s="1"/>
  <c r="H40" i="10" a="1"/>
  <c r="H40" i="10" s="1"/>
  <c r="G40" i="10" a="1"/>
  <c r="G40" i="10" s="1"/>
  <c r="D40" i="10" a="1"/>
  <c r="D40" i="10" s="1"/>
  <c r="F40" i="10" a="1"/>
  <c r="F40" i="10" s="1"/>
  <c r="E40" i="10" a="1"/>
  <c r="E40" i="10" s="1"/>
  <c r="X38" i="10"/>
  <c r="R40" i="10"/>
  <c r="W39" i="10"/>
  <c r="A41" i="10"/>
  <c r="V39" i="10"/>
  <c r="K40" i="10"/>
  <c r="S40" i="10"/>
  <c r="O40" i="10"/>
  <c r="P40" i="10" s="1"/>
  <c r="Q40" i="10" s="1"/>
  <c r="T40" i="10"/>
  <c r="C41" i="10"/>
  <c r="B41" i="10"/>
  <c r="Y41" i="10" a="1"/>
  <c r="Z41" i="10"/>
  <c r="AO40" i="10"/>
  <c r="AL40" i="10"/>
  <c r="AC40" i="10"/>
  <c r="AE40" i="10"/>
  <c r="AP41" i="10"/>
  <c r="AF40" i="10"/>
  <c r="AI40" i="10"/>
  <c r="U40" i="10"/>
  <c r="AH40" i="10"/>
  <c r="AM40" i="10"/>
  <c r="AG40" i="10"/>
  <c r="AE41" i="10"/>
  <c r="AK40" i="10"/>
  <c r="AN40" i="10"/>
  <c r="AD40" i="10"/>
  <c r="AJ40" i="10"/>
  <c r="M40" i="10" l="1" a="1"/>
  <c r="M40" i="10" s="1"/>
  <c r="Y41" i="10"/>
  <c r="L41" i="10" a="1"/>
  <c r="L41" i="10" s="1"/>
  <c r="J41" i="10" a="1"/>
  <c r="J41" i="10" s="1"/>
  <c r="I41" i="10" a="1"/>
  <c r="I41" i="10" s="1"/>
  <c r="D41" i="10" a="1"/>
  <c r="D41" i="10" s="1"/>
  <c r="H41" i="10" a="1"/>
  <c r="H41" i="10" s="1"/>
  <c r="F41" i="10" a="1"/>
  <c r="F41" i="10" s="1"/>
  <c r="E41" i="10" a="1"/>
  <c r="E41" i="10" s="1"/>
  <c r="G41" i="10" a="1"/>
  <c r="G41" i="10" s="1"/>
  <c r="W40" i="10"/>
  <c r="X39" i="10"/>
  <c r="R41" i="10"/>
  <c r="A42" i="10"/>
  <c r="V40" i="10"/>
  <c r="K41" i="10"/>
  <c r="S41" i="10"/>
  <c r="T41" i="10"/>
  <c r="O41" i="10"/>
  <c r="P41" i="10" s="1"/>
  <c r="Q41" i="10" s="1"/>
  <c r="C42" i="10"/>
  <c r="B42" i="10"/>
  <c r="Y42" i="10" a="1"/>
  <c r="Z42" i="10"/>
  <c r="AK41" i="10"/>
  <c r="AG41" i="10"/>
  <c r="AM41" i="10"/>
  <c r="AF41" i="10"/>
  <c r="AI41" i="10"/>
  <c r="AL41" i="10"/>
  <c r="AC41" i="10"/>
  <c r="U41" i="10"/>
  <c r="AP42" i="10"/>
  <c r="AH41" i="10"/>
  <c r="AN41" i="10"/>
  <c r="AO41" i="10"/>
  <c r="AJ41" i="10"/>
  <c r="AD41" i="10"/>
  <c r="AM42" i="10"/>
  <c r="M41" i="10" l="1" a="1"/>
  <c r="M41" i="10" s="1"/>
  <c r="Y42" i="10"/>
  <c r="J42" i="10" a="1"/>
  <c r="J42" i="10" s="1"/>
  <c r="I42" i="10" a="1"/>
  <c r="I42" i="10" s="1"/>
  <c r="H42" i="10" a="1"/>
  <c r="H42" i="10" s="1"/>
  <c r="G42" i="10" a="1"/>
  <c r="G42" i="10" s="1"/>
  <c r="F42" i="10" a="1"/>
  <c r="F42" i="10" s="1"/>
  <c r="E42" i="10" a="1"/>
  <c r="E42" i="10" s="1"/>
  <c r="L42" i="10" a="1"/>
  <c r="L42" i="10" s="1"/>
  <c r="D42" i="10" a="1"/>
  <c r="D42" i="10" s="1"/>
  <c r="R42" i="10"/>
  <c r="X40" i="10"/>
  <c r="W41" i="10"/>
  <c r="A43" i="10"/>
  <c r="V41" i="10"/>
  <c r="S42" i="10"/>
  <c r="T42" i="10"/>
  <c r="O42" i="10"/>
  <c r="P42" i="10" s="1"/>
  <c r="Q42" i="10" s="1"/>
  <c r="B43" i="10"/>
  <c r="C43" i="10"/>
  <c r="Y43" i="10" a="1"/>
  <c r="Z43" i="10"/>
  <c r="U42" i="10"/>
  <c r="AC42" i="10"/>
  <c r="AG42" i="10"/>
  <c r="AH42" i="10"/>
  <c r="AE42" i="10"/>
  <c r="AK42" i="10"/>
  <c r="AG43" i="10"/>
  <c r="AF42" i="10"/>
  <c r="AP43" i="10"/>
  <c r="AD42" i="10"/>
  <c r="AN42" i="10"/>
  <c r="AI42" i="10"/>
  <c r="AL42" i="10"/>
  <c r="AJ42" i="10"/>
  <c r="AH43" i="10"/>
  <c r="AO42" i="10"/>
  <c r="M42" i="10" l="1" a="1"/>
  <c r="M42" i="10" s="1"/>
  <c r="K42" i="10"/>
  <c r="Y43" i="10"/>
  <c r="J43" i="10" a="1"/>
  <c r="J43" i="10" s="1"/>
  <c r="I43" i="10" a="1"/>
  <c r="I43" i="10" s="1"/>
  <c r="H43" i="10" a="1"/>
  <c r="H43" i="10" s="1"/>
  <c r="E43" i="10" a="1"/>
  <c r="E43" i="10" s="1"/>
  <c r="L43" i="10" a="1"/>
  <c r="L43" i="10" s="1"/>
  <c r="D43" i="10" a="1"/>
  <c r="D43" i="10" s="1"/>
  <c r="G43" i="10" a="1"/>
  <c r="G43" i="10" s="1"/>
  <c r="F43" i="10" a="1"/>
  <c r="F43" i="10" s="1"/>
  <c r="W42" i="10"/>
  <c r="X41" i="10"/>
  <c r="R43" i="10"/>
  <c r="A44" i="10"/>
  <c r="V42" i="10"/>
  <c r="O43" i="10"/>
  <c r="P43" i="10" s="1"/>
  <c r="Q43" i="10" s="1"/>
  <c r="T43" i="10"/>
  <c r="S43" i="10"/>
  <c r="C44" i="10"/>
  <c r="B44" i="10"/>
  <c r="Y44" i="10" a="1"/>
  <c r="Z44" i="10"/>
  <c r="AF43" i="10"/>
  <c r="AK43" i="10"/>
  <c r="AO43" i="10"/>
  <c r="AN43" i="10"/>
  <c r="AI43" i="10"/>
  <c r="AP44" i="10"/>
  <c r="AI44" i="10"/>
  <c r="AC43" i="10"/>
  <c r="AD43" i="10"/>
  <c r="AL43" i="10"/>
  <c r="U43" i="10"/>
  <c r="AE43" i="10"/>
  <c r="AJ43" i="10"/>
  <c r="AM43" i="10"/>
  <c r="M43" i="10" l="1" a="1"/>
  <c r="M43" i="10" s="1"/>
  <c r="K43" i="10"/>
  <c r="Y44" i="10"/>
  <c r="L44" i="10" a="1"/>
  <c r="L44" i="10" s="1"/>
  <c r="J44" i="10" a="1"/>
  <c r="J44" i="10" s="1"/>
  <c r="I44" i="10" a="1"/>
  <c r="I44" i="10" s="1"/>
  <c r="G44" i="10" a="1"/>
  <c r="G44" i="10" s="1"/>
  <c r="H44" i="10" a="1"/>
  <c r="H44" i="10" s="1"/>
  <c r="F44" i="10" a="1"/>
  <c r="F44" i="10" s="1"/>
  <c r="E44" i="10" a="1"/>
  <c r="E44" i="10" s="1"/>
  <c r="D44" i="10" a="1"/>
  <c r="D44" i="10" s="1"/>
  <c r="X42" i="10"/>
  <c r="R44" i="10"/>
  <c r="A45" i="10"/>
  <c r="W43" i="10"/>
  <c r="V43" i="10"/>
  <c r="T44" i="10"/>
  <c r="O44" i="10"/>
  <c r="P44" i="10" s="1"/>
  <c r="Q44" i="10" s="1"/>
  <c r="S44" i="10"/>
  <c r="C45" i="10"/>
  <c r="B45" i="10"/>
  <c r="Y45" i="10" a="1"/>
  <c r="Z45" i="10"/>
  <c r="AE44" i="10"/>
  <c r="AG44" i="10"/>
  <c r="AK44" i="10"/>
  <c r="AH44" i="10"/>
  <c r="AL44" i="10"/>
  <c r="AF44" i="10"/>
  <c r="AP45" i="10"/>
  <c r="AJ44" i="10"/>
  <c r="AO44" i="10"/>
  <c r="AM44" i="10"/>
  <c r="AC44" i="10"/>
  <c r="AD44" i="10"/>
  <c r="AH45" i="10"/>
  <c r="U44" i="10"/>
  <c r="AN44" i="10"/>
  <c r="K44" i="10" l="1"/>
  <c r="M44" i="10" a="1"/>
  <c r="M44" i="10" s="1"/>
  <c r="Y45" i="10"/>
  <c r="L45" i="10" a="1"/>
  <c r="L45" i="10" s="1"/>
  <c r="H45" i="10" a="1"/>
  <c r="H45" i="10" s="1"/>
  <c r="J45" i="10" a="1"/>
  <c r="J45" i="10" s="1"/>
  <c r="I45" i="10" a="1"/>
  <c r="I45" i="10" s="1"/>
  <c r="G45" i="10" a="1"/>
  <c r="G45" i="10" s="1"/>
  <c r="F45" i="10" a="1"/>
  <c r="F45" i="10" s="1"/>
  <c r="E45" i="10" a="1"/>
  <c r="E45" i="10" s="1"/>
  <c r="D45" i="10" a="1"/>
  <c r="D45" i="10" s="1"/>
  <c r="R45" i="10"/>
  <c r="X43" i="10"/>
  <c r="W44" i="10"/>
  <c r="A46" i="10"/>
  <c r="V44" i="10"/>
  <c r="O45" i="10"/>
  <c r="P45" i="10" s="1"/>
  <c r="Q45" i="10" s="1"/>
  <c r="T45" i="10"/>
  <c r="S45" i="10"/>
  <c r="B46" i="10"/>
  <c r="C46" i="10"/>
  <c r="Y46" i="10" a="1"/>
  <c r="Z46" i="10"/>
  <c r="AJ46" i="10"/>
  <c r="AJ45" i="10"/>
  <c r="AK45" i="10"/>
  <c r="U45" i="10"/>
  <c r="AI45" i="10"/>
  <c r="AE45" i="10"/>
  <c r="AN45" i="10"/>
  <c r="AM45" i="10"/>
  <c r="AF45" i="10"/>
  <c r="AO45" i="10"/>
  <c r="AP46" i="10"/>
  <c r="AF46" i="10"/>
  <c r="AC45" i="10"/>
  <c r="AG45" i="10"/>
  <c r="AD45" i="10"/>
  <c r="AL45" i="10"/>
  <c r="M45" i="10" l="1" a="1"/>
  <c r="M45" i="10" s="1"/>
  <c r="K45" i="10"/>
  <c r="Y46" i="10"/>
  <c r="J46" i="10" a="1"/>
  <c r="J46" i="10" s="1"/>
  <c r="I46" i="10" a="1"/>
  <c r="I46" i="10" s="1"/>
  <c r="H46" i="10" a="1"/>
  <c r="H46" i="10" s="1"/>
  <c r="G46" i="10" a="1"/>
  <c r="G46" i="10" s="1"/>
  <c r="F46" i="10" a="1"/>
  <c r="F46" i="10" s="1"/>
  <c r="E46" i="10" a="1"/>
  <c r="E46" i="10" s="1"/>
  <c r="L46" i="10" a="1"/>
  <c r="L46" i="10" s="1"/>
  <c r="D46" i="10" a="1"/>
  <c r="D46" i="10" s="1"/>
  <c r="X44" i="10"/>
  <c r="R46" i="10"/>
  <c r="W45" i="10"/>
  <c r="A47" i="10"/>
  <c r="V45" i="10"/>
  <c r="T46" i="10"/>
  <c r="O46" i="10"/>
  <c r="P46" i="10" s="1"/>
  <c r="Q46" i="10" s="1"/>
  <c r="S46" i="10"/>
  <c r="C47" i="10"/>
  <c r="B47" i="10"/>
  <c r="AL46" i="10"/>
  <c r="AE46" i="10"/>
  <c r="AD46" i="10"/>
  <c r="U46" i="10"/>
  <c r="AI46" i="10"/>
  <c r="AO46" i="10"/>
  <c r="AG46" i="10"/>
  <c r="AN46" i="10"/>
  <c r="AM46" i="10"/>
  <c r="AH46" i="10"/>
  <c r="AC46" i="10"/>
  <c r="AK46" i="10"/>
  <c r="M46" i="10" l="1" a="1"/>
  <c r="M46" i="10" s="1"/>
  <c r="M47" i="10" s="1" a="1"/>
  <c r="M47" i="10" s="1"/>
  <c r="K46" i="10"/>
  <c r="K47" i="10" s="1"/>
  <c r="Z47" i="10"/>
  <c r="Y47" i="10" a="1"/>
  <c r="Y47" i="10" s="1"/>
  <c r="G47" i="10" a="1"/>
  <c r="G47" i="10" s="1"/>
  <c r="I47" i="10" a="1"/>
  <c r="I47" i="10" s="1"/>
  <c r="E47" i="10" a="1"/>
  <c r="E47" i="10" s="1"/>
  <c r="J47" i="10" a="1"/>
  <c r="J47" i="10" s="1"/>
  <c r="F47" i="10" a="1"/>
  <c r="F47" i="10" s="1"/>
  <c r="L47" i="10" a="1"/>
  <c r="L47" i="10" s="1"/>
  <c r="H47" i="10" a="1"/>
  <c r="H47" i="10" s="1"/>
  <c r="D47" i="10" a="1"/>
  <c r="D47" i="10" s="1"/>
  <c r="AP47" i="10"/>
  <c r="U47" i="10"/>
  <c r="X45" i="10"/>
  <c r="AN47" i="10"/>
  <c r="V46" i="10"/>
  <c r="V47" i="10" s="1"/>
  <c r="T47" i="10"/>
  <c r="AL47" i="10"/>
  <c r="AM47" i="10"/>
  <c r="AO47" i="10"/>
  <c r="AJ47" i="10"/>
  <c r="AC47" i="10"/>
  <c r="AH47" i="10"/>
  <c r="AG47" i="10"/>
  <c r="AF47" i="10"/>
  <c r="AE47" i="10"/>
  <c r="AK47" i="10"/>
  <c r="AD47" i="10"/>
  <c r="AI47" i="10"/>
  <c r="W46" i="10" l="1"/>
  <c r="W47" i="10" s="1"/>
  <c r="O47" i="10"/>
  <c r="P47" i="10" s="1"/>
  <c r="Q47" i="10" s="1"/>
  <c r="X46" i="10" l="1"/>
  <c r="X47" i="10" s="1"/>
  <c r="R47" i="10" s="1"/>
  <c r="S47" i="10" s="1"/>
  <c r="B4" i="10" l="1"/>
</calcChain>
</file>

<file path=xl/comments1.xml><?xml version="1.0" encoding="utf-8"?>
<comments xmlns="http://schemas.openxmlformats.org/spreadsheetml/2006/main">
  <authors>
    <author>Вова</author>
  </authors>
  <commentList>
    <comment ref="AB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
от 5 марта 2008 г. N 535-17 МИНИСТЕРСТВО ЗДРАВООХРАНЕНИЯ И СОЦИАЛЬНОГО РАЗВИТИЯ
РОССИЙСКОЙ ФЕДЕРАЦИИ
</t>
        </r>
      </text>
    </comment>
  </commentList>
</comments>
</file>

<file path=xl/comments2.xml><?xml version="1.0" encoding="utf-8"?>
<comments xmlns="http://schemas.openxmlformats.org/spreadsheetml/2006/main">
  <authors>
    <author>Вова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http://www.consultant.ru/cons/cgi/online.cgi?req=doc&amp;base=ESU&amp;n=7283&amp;div=LAW&amp;dst=100092%2C0&amp;rnd=0.0963949069728659</t>
        </r>
      </text>
    </comment>
  </commentList>
</comments>
</file>

<file path=xl/sharedStrings.xml><?xml version="1.0" encoding="utf-8"?>
<sst xmlns="http://schemas.openxmlformats.org/spreadsheetml/2006/main" count="910" uniqueCount="107">
  <si>
    <t>Расчетная ведомость</t>
  </si>
  <si>
    <t>Учреждение</t>
  </si>
  <si>
    <t>Всего начислено</t>
  </si>
  <si>
    <t>Процентная надбавка за стаж работы в южных районах Дальнего Востока</t>
  </si>
  <si>
    <t>ЕДП</t>
  </si>
  <si>
    <t>доплата за совмещение</t>
  </si>
  <si>
    <t>Стимулирующая выплата за интенсивность и высокие результаты</t>
  </si>
  <si>
    <t>Повышающий коэф. по занимаемой должности</t>
  </si>
  <si>
    <t>Повышающий коэф. к окладу</t>
  </si>
  <si>
    <t>Стимулирующая выплата за непрерывный стаж</t>
  </si>
  <si>
    <t>Стимулирующая выплата за качество работ</t>
  </si>
  <si>
    <t>Оклад по дням</t>
  </si>
  <si>
    <t>Оплата праздничных и выходных дней</t>
  </si>
  <si>
    <t>Доплата за работу в праздники и выходные</t>
  </si>
  <si>
    <t>Оплата больничных листов</t>
  </si>
  <si>
    <t>Оплата больничных листов за счет работодателя</t>
  </si>
  <si>
    <t>Оплата дополнительных дней донорам</t>
  </si>
  <si>
    <t>Оплата по среднему заработку</t>
  </si>
  <si>
    <t>Оплата дополнительных выходных дней по уходу за детьми - инвалидами</t>
  </si>
  <si>
    <t>Допотпуск</t>
  </si>
  <si>
    <t>Оплата отпуска по календарным дням</t>
  </si>
  <si>
    <t>Отпуск по уходу за ребенком без оплаты</t>
  </si>
  <si>
    <t>Отсутствие по невыясненной причине</t>
  </si>
  <si>
    <t>Районный коэффициент</t>
  </si>
  <si>
    <t>Пособие по уходу за ребёнком до 1.5 лет</t>
  </si>
  <si>
    <t>Отсутствие по болезни</t>
  </si>
  <si>
    <t>Надбавка за непрерывный стаж работы</t>
  </si>
  <si>
    <t>За интенсивность и высокие результаты работы</t>
  </si>
  <si>
    <t>За качество выполняемых работ</t>
  </si>
  <si>
    <t>Всего удержано</t>
  </si>
  <si>
    <t>Удержание по исп. листу процентом</t>
  </si>
  <si>
    <t>Удержание по исп. листу процентом до предела</t>
  </si>
  <si>
    <t>НДФЛ</t>
  </si>
  <si>
    <t>Всего выплачено</t>
  </si>
  <si>
    <t>Перечислено в банк (межрасчет)</t>
  </si>
  <si>
    <t>Через кассу (межрасчет)</t>
  </si>
  <si>
    <t>Перечислено в банк (аванс)</t>
  </si>
  <si>
    <t>Через кассу (аванс)</t>
  </si>
  <si>
    <t>Перечислено в банк (под расчет)</t>
  </si>
  <si>
    <t>Через кассу (под расчет)</t>
  </si>
  <si>
    <t>Отпуск по беременности и родам</t>
  </si>
  <si>
    <t>Отпуск учебный</t>
  </si>
  <si>
    <t>МП (материальная помощь)</t>
  </si>
  <si>
    <t>По итогам работы за год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</si>
  <si>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</si>
  <si>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</si>
  <si>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Премия к празднику (суммой)</t>
  </si>
  <si>
    <t>Перерасчет  с учетом надбавки за стаж работы в южных регионах Дальнего Востока за 12.12 - 08.15 вкл.</t>
  </si>
  <si>
    <t>Надбавка за стаж работы в южных районах ДВ по аппеляционному опр. суда от 04.04.2016 № 33АП-1636/16</t>
  </si>
  <si>
    <t>Удержание по исп. листу процентом без учета БЛ</t>
  </si>
  <si>
    <t>Исполнительский сбор</t>
  </si>
  <si>
    <t>Удержание по постановлению об обращении взыскания на доход должника от 25.05.2016 г. 7430/16/28004ИП</t>
  </si>
  <si>
    <t>Удержание по судебному приказу от 15.01.16 № 2-308/2016 г. Белогорск</t>
  </si>
  <si>
    <t>Удержание по судебному приказу от 01.02.2016  № 2-50/2016  г.Свободный</t>
  </si>
  <si>
    <t>Удержание по судебному приказу от 23.03.2015  № 2-269/2015 г.Свободный</t>
  </si>
  <si>
    <t>ФИО или табельный номер</t>
  </si>
  <si>
    <t>Среднедневной заработок</t>
  </si>
  <si>
    <t>список работников с датами приёма</t>
  </si>
  <si>
    <t>процент индексации</t>
  </si>
  <si>
    <t>дата индексации</t>
  </si>
  <si>
    <t>06.05.2014</t>
  </si>
  <si>
    <t>06.10.2016</t>
  </si>
  <si>
    <t>месяц расчетного периода</t>
  </si>
  <si>
    <t>Был в отпуске</t>
  </si>
  <si>
    <t>болел</t>
  </si>
  <si>
    <t>итого дней для расчета отпуска</t>
  </si>
  <si>
    <t>количество дней по норме</t>
  </si>
  <si>
    <t>отработано дней</t>
  </si>
  <si>
    <t>Если не заполнено "отработано дней" берется по норме</t>
  </si>
  <si>
    <t>дата расчета резерва</t>
  </si>
  <si>
    <t>Проверь даты праздников</t>
  </si>
  <si>
    <t>учтено премий</t>
  </si>
  <si>
    <t>не включаются</t>
  </si>
  <si>
    <t>коэффициент индексации</t>
  </si>
  <si>
    <t>идет в расчет отпуска без премий</t>
  </si>
  <si>
    <t>Отпускные</t>
  </si>
  <si>
    <t>на дату</t>
  </si>
  <si>
    <t xml:space="preserve">сумма резерва отпускных </t>
  </si>
  <si>
    <t>год</t>
  </si>
  <si>
    <t>№ месяца</t>
  </si>
  <si>
    <t>день месяца</t>
  </si>
  <si>
    <t xml:space="preserve">количество дней в календарном году, для подсчета стажа для отпуска (ст. 121 ТК РФ): </t>
  </si>
  <si>
    <t>1 - расчет при ликвидации организации или сокращение штатов, 0 - расчет резерва</t>
  </si>
  <si>
    <t>Расчет средств на отпуска</t>
  </si>
  <si>
    <t>Месяцы за которые причитается отпуск (п.35 правил "Об очередных и дополнительных отпусках" НКТ СССР 30.04.1930 № 169)</t>
  </si>
  <si>
    <t>Итого Месяцы за которые причитается отпуск (п.28 правил "Об очередных и дополнительных отпусках" НКТ СССР 30.04.1930 № 169)</t>
  </si>
  <si>
    <t>Дней отпуска</t>
  </si>
  <si>
    <t>Прочая оплата по среднему</t>
  </si>
  <si>
    <t>отпуск без сохранения заработной платы</t>
  </si>
  <si>
    <t>отпуск по уходу за ребенком</t>
  </si>
  <si>
    <t>отсутствие по невыясненной причине или был отстранен от работы</t>
  </si>
  <si>
    <t>выплаты для расчета среднего заработка с индексацией</t>
  </si>
  <si>
    <t>За более чем 1 месяц работы, выплаченные фиксированной суммой</t>
  </si>
  <si>
    <t>премии</t>
  </si>
  <si>
    <t>Проверка календарных дней</t>
  </si>
  <si>
    <t>месяц расчетного периода(последнее число этого месяца)</t>
  </si>
  <si>
    <t>08.06.2015</t>
  </si>
  <si>
    <t>Пособие за счет ФСС при рождении ребенка</t>
  </si>
  <si>
    <t>Конечное сальдо</t>
  </si>
  <si>
    <t>Начальное сальдо</t>
  </si>
  <si>
    <t>Премия к юбилейной дате  (суммой)</t>
  </si>
  <si>
    <t>Квартальная премия (суммой)</t>
  </si>
  <si>
    <t>Период: Февраль 2016 г.
Группировки строк: Учреждение; Подразделение; Работник; 
Группировки колонок: Вид расчета; 
Показатели: Сумма;</t>
  </si>
  <si>
    <t>Иванов</t>
  </si>
  <si>
    <t>Петров</t>
  </si>
  <si>
    <t>Сидоров</t>
  </si>
  <si>
    <t>дата приёма на работу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</si>
</sst>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4"/>
      <color theme="1"/>
      <name val="Times New Roman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4"/>
      <color theme="1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14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name val="Verdana"/>
      <family val="2"/>
    </font>
    <font>
      <sz val="14"/>
      <name val="Arial"/>
      <family val="2"/>
    </font>
    <font>
      <sz val="14"/>
      <color theme="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4" fillId="3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left" vertical="top"/>
    </xf>
    <xf numFmtId="14" fontId="0" fillId="0" borderId="0" xfId="0" applyNumberFormat="1"/>
    <xf numFmtId="0" fontId="1" fillId="0" borderId="0" xfId="1" applyNumberFormat="1" applyAlignment="1">
      <alignment wrapText="1"/>
    </xf>
    <xf numFmtId="14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7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Font="1" applyAlignment="1"/>
    <xf numFmtId="0" fontId="0" fillId="0" borderId="0" xfId="0" applyFont="1"/>
    <xf numFmtId="14" fontId="0" fillId="0" borderId="0" xfId="0" applyNumberFormat="1" applyFont="1" applyAlignment="1"/>
    <xf numFmtId="14" fontId="0" fillId="0" borderId="0" xfId="0" applyNumberFormat="1" applyFont="1"/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/>
    </xf>
    <xf numFmtId="9" fontId="9" fillId="0" borderId="0" xfId="0" applyNumberFormat="1" applyFont="1" applyAlignment="1">
      <alignment vertical="center" wrapText="1"/>
    </xf>
    <xf numFmtId="2" fontId="0" fillId="0" borderId="0" xfId="0" applyNumberFormat="1" applyFont="1"/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3" xfId="0" applyFont="1" applyBorder="1"/>
    <xf numFmtId="0" fontId="0" fillId="0" borderId="3" xfId="0" applyFont="1" applyFill="1" applyBorder="1" applyAlignment="1">
      <alignment wrapText="1"/>
    </xf>
    <xf numFmtId="14" fontId="0" fillId="0" borderId="3" xfId="0" applyNumberFormat="1" applyFont="1" applyFill="1" applyBorder="1" applyAlignment="1">
      <alignment wrapText="1"/>
    </xf>
    <xf numFmtId="0" fontId="0" fillId="4" borderId="3" xfId="0" applyFont="1" applyFill="1" applyBorder="1" applyAlignment="1">
      <alignment wrapText="1"/>
    </xf>
    <xf numFmtId="0" fontId="10" fillId="0" borderId="3" xfId="1" applyNumberFormat="1" applyFont="1" applyFill="1" applyBorder="1" applyAlignment="1">
      <alignment horizontal="left" vertical="top" wrapText="1"/>
    </xf>
    <xf numFmtId="0" fontId="10" fillId="0" borderId="3" xfId="1" applyNumberFormat="1" applyFont="1" applyFill="1" applyBorder="1" applyAlignment="1">
      <alignment horizontal="center" vertical="top" wrapText="1"/>
    </xf>
    <xf numFmtId="0" fontId="10" fillId="3" borderId="4" xfId="1" applyNumberFormat="1" applyFont="1" applyFill="1" applyBorder="1" applyAlignment="1">
      <alignment horizontal="center" vertical="top" wrapText="1"/>
    </xf>
    <xf numFmtId="0" fontId="10" fillId="3" borderId="2" xfId="1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1" xfId="3" applyNumberFormat="1" applyFont="1" applyBorder="1" applyAlignment="1">
      <alignment horizontal="left" vertical="top" wrapText="1"/>
    </xf>
    <xf numFmtId="14" fontId="11" fillId="0" borderId="2" xfId="3" applyNumberFormat="1" applyFont="1" applyBorder="1" applyAlignment="1">
      <alignment horizontal="left" vertical="top" wrapText="1"/>
    </xf>
    <xf numFmtId="14" fontId="11" fillId="0" borderId="2" xfId="3" applyNumberFormat="1" applyFont="1" applyBorder="1" applyAlignment="1">
      <alignment horizontal="center" vertical="top" wrapText="1"/>
    </xf>
    <xf numFmtId="2" fontId="0" fillId="0" borderId="0" xfId="0" applyNumberFormat="1" applyFont="1" applyAlignment="1">
      <alignment wrapText="1"/>
    </xf>
    <xf numFmtId="2" fontId="0" fillId="0" borderId="0" xfId="0" applyNumberFormat="1" applyFont="1" applyFill="1"/>
    <xf numFmtId="14" fontId="11" fillId="0" borderId="1" xfId="3" applyNumberFormat="1" applyFont="1" applyBorder="1" applyAlignment="1">
      <alignment horizontal="left" vertical="top" wrapText="1"/>
    </xf>
    <xf numFmtId="14" fontId="11" fillId="0" borderId="1" xfId="3" applyNumberFormat="1" applyFont="1" applyBorder="1" applyAlignment="1">
      <alignment horizontal="center" vertical="top" wrapText="1"/>
    </xf>
    <xf numFmtId="0" fontId="0" fillId="0" borderId="0" xfId="0" applyFont="1" applyFill="1"/>
    <xf numFmtId="164" fontId="0" fillId="0" borderId="0" xfId="4" applyFont="1" applyAlignment="1">
      <alignment wrapText="1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left"/>
    </xf>
    <xf numFmtId="0" fontId="12" fillId="0" borderId="0" xfId="0" applyFont="1"/>
    <xf numFmtId="0" fontId="0" fillId="0" borderId="0" xfId="0" applyFont="1" applyAlignment="1">
      <alignment horizontal="center"/>
    </xf>
    <xf numFmtId="0" fontId="11" fillId="0" borderId="1" xfId="3" applyNumberFormat="1" applyFont="1" applyBorder="1" applyAlignment="1">
      <alignment horizontal="left" vertical="top"/>
    </xf>
    <xf numFmtId="0" fontId="0" fillId="0" borderId="3" xfId="0" applyFont="1" applyFill="1" applyBorder="1" applyAlignment="1"/>
    <xf numFmtId="14" fontId="11" fillId="0" borderId="1" xfId="3" applyNumberFormat="1" applyFont="1" applyBorder="1" applyAlignment="1">
      <alignment horizontal="center" vertical="top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wrapText="1"/>
    </xf>
    <xf numFmtId="4" fontId="0" fillId="4" borderId="0" xfId="0" applyNumberFormat="1" applyFont="1" applyFill="1"/>
    <xf numFmtId="16" fontId="0" fillId="0" borderId="0" xfId="0" applyNumberFormat="1"/>
    <xf numFmtId="0" fontId="2" fillId="0" borderId="0" xfId="6" applyFont="1" applyAlignment="1">
      <alignment horizontal="left"/>
    </xf>
    <xf numFmtId="0" fontId="1" fillId="0" borderId="0" xfId="6"/>
    <xf numFmtId="0" fontId="3" fillId="2" borderId="1" xfId="6" applyNumberFormat="1" applyFont="1" applyFill="1" applyBorder="1" applyAlignment="1">
      <alignment horizontal="left" vertical="top" wrapText="1"/>
    </xf>
    <xf numFmtId="0" fontId="4" fillId="3" borderId="1" xfId="6" applyNumberFormat="1" applyFont="1" applyFill="1" applyBorder="1" applyAlignment="1">
      <alignment horizontal="left" vertical="top" wrapText="1"/>
    </xf>
    <xf numFmtId="0" fontId="4" fillId="3" borderId="1" xfId="6" applyNumberFormat="1" applyFont="1" applyFill="1" applyBorder="1" applyAlignment="1">
      <alignment horizontal="center" vertical="top" wrapText="1"/>
    </xf>
    <xf numFmtId="4" fontId="1" fillId="0" borderId="1" xfId="6" applyNumberFormat="1" applyFont="1" applyBorder="1" applyAlignment="1">
      <alignment horizontal="right" vertical="top"/>
    </xf>
    <xf numFmtId="0" fontId="1" fillId="0" borderId="1" xfId="6" applyNumberFormat="1" applyFont="1" applyBorder="1" applyAlignment="1">
      <alignment horizontal="left" vertical="top"/>
    </xf>
    <xf numFmtId="0" fontId="1" fillId="0" borderId="1" xfId="6" applyNumberFormat="1" applyFont="1" applyBorder="1" applyAlignment="1">
      <alignment horizontal="right" vertical="top"/>
    </xf>
    <xf numFmtId="0" fontId="1" fillId="0" borderId="0" xfId="6" applyNumberFormat="1" applyAlignment="1">
      <alignment wrapText="1"/>
    </xf>
    <xf numFmtId="0" fontId="1" fillId="0" borderId="1" xfId="5" applyNumberFormat="1" applyFont="1" applyBorder="1" applyAlignment="1">
      <alignment horizontal="left" vertical="top" wrapText="1"/>
    </xf>
    <xf numFmtId="4" fontId="0" fillId="0" borderId="0" xfId="0" applyNumberFormat="1" applyFont="1"/>
    <xf numFmtId="4" fontId="8" fillId="0" borderId="0" xfId="0" applyNumberFormat="1" applyFont="1"/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4" fontId="0" fillId="0" borderId="0" xfId="4" applyNumberFormat="1" applyFont="1" applyAlignment="1">
      <alignment horizontal="left" wrapText="1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</cellXfs>
  <cellStyles count="7">
    <cellStyle name="Обычный" xfId="0" builtinId="0"/>
    <cellStyle name="Обычный_1" xfId="6"/>
    <cellStyle name="Обычный_Лист1" xfId="1"/>
    <cellStyle name="Обычный_расчет" xfId="3"/>
    <cellStyle name="Обычный_список работников с датами приё" xfId="5"/>
    <cellStyle name="Финансовый" xfId="4" builtinId="3"/>
    <cellStyle name="Финансовый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FFFF00"/>
  </sheetPr>
  <dimension ref="A2:AP47"/>
  <sheetViews>
    <sheetView tabSelected="1" topLeftCell="T7" zoomScale="70" zoomScaleNormal="70" workbookViewId="0">
      <selection activeCell="AC9" sqref="AC9"/>
    </sheetView>
  </sheetViews>
  <sheetFormatPr defaultRowHeight="23.25" customHeight="1" outlineLevelCol="2" x14ac:dyDescent="0.3"/>
  <cols>
    <col min="1" max="1" width="42.6640625" style="16" customWidth="1"/>
    <col min="2" max="2" width="15.5546875" style="17" customWidth="1"/>
    <col min="3" max="3" width="13" style="18" customWidth="1"/>
    <col min="4" max="14" width="13" style="17" customWidth="1"/>
    <col min="15" max="17" width="11.88671875" style="17" customWidth="1"/>
    <col min="18" max="18" width="12.109375" style="17" customWidth="1"/>
    <col min="19" max="19" width="12.44140625" style="17" customWidth="1"/>
    <col min="20" max="20" width="10.109375" style="17" customWidth="1"/>
    <col min="21" max="21" width="16.77734375" style="17" bestFit="1" customWidth="1"/>
    <col min="22" max="22" width="12.44140625" style="17" bestFit="1" customWidth="1"/>
    <col min="23" max="23" width="11.88671875" style="17" customWidth="1"/>
    <col min="24" max="24" width="12.44140625" style="17" customWidth="1"/>
    <col min="25" max="27" width="12.5546875" style="17" customWidth="1" outlineLevel="2"/>
    <col min="28" max="28" width="11.88671875" style="17" customWidth="1" outlineLevel="2"/>
    <col min="29" max="29" width="11.88671875" style="17" customWidth="1" outlineLevel="1"/>
    <col min="30" max="32" width="8.88671875" style="17" customWidth="1" outlineLevel="1"/>
    <col min="33" max="33" width="11.88671875" style="17" customWidth="1" outlineLevel="1"/>
    <col min="34" max="41" width="8.88671875" style="17" customWidth="1" outlineLevel="1"/>
    <col min="42" max="42" width="12.33203125" style="17" customWidth="1"/>
    <col min="43" max="16384" width="8.88671875" style="17"/>
  </cols>
  <sheetData>
    <row r="2" spans="1:42" ht="23.25" customHeight="1" x14ac:dyDescent="0.3">
      <c r="J2" s="43"/>
    </row>
    <row r="3" spans="1:42" ht="23.25" customHeight="1" x14ac:dyDescent="0.3">
      <c r="A3" s="45" t="s">
        <v>76</v>
      </c>
      <c r="B3" s="46">
        <f>'Данные для расчета'!B2</f>
        <v>43161</v>
      </c>
      <c r="D3" s="18"/>
      <c r="E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42" ht="47.25" customHeight="1" x14ac:dyDescent="0.3">
      <c r="A4" s="20" t="s">
        <v>77</v>
      </c>
      <c r="B4" s="72">
        <f ca="1">SUM(S9:S1048576)</f>
        <v>832232.61</v>
      </c>
      <c r="C4" s="72"/>
      <c r="D4" s="44"/>
      <c r="E4" s="44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42" ht="23.25" customHeight="1" x14ac:dyDescent="0.3">
      <c r="C5" s="21"/>
      <c r="D5" s="22"/>
      <c r="F5" s="23"/>
      <c r="G5" s="23"/>
      <c r="H5" s="23"/>
      <c r="I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42" ht="23.25" customHeight="1" x14ac:dyDescent="0.3"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Y6" s="71" t="s">
        <v>93</v>
      </c>
      <c r="Z6" s="71"/>
      <c r="AA6" s="71"/>
      <c r="AB6" s="71"/>
    </row>
    <row r="7" spans="1:42" ht="69" customHeight="1" x14ac:dyDescent="0.3">
      <c r="D7" s="70" t="s">
        <v>81</v>
      </c>
      <c r="E7" s="70"/>
      <c r="F7" s="70"/>
      <c r="G7" s="24"/>
      <c r="H7" s="24"/>
      <c r="I7" s="24"/>
      <c r="J7" s="24"/>
      <c r="K7" s="24"/>
      <c r="L7" s="24"/>
      <c r="M7" s="25"/>
      <c r="N7" s="25"/>
      <c r="O7" s="24"/>
      <c r="P7" s="24"/>
      <c r="Q7" s="24"/>
      <c r="R7" s="16"/>
      <c r="S7" s="16"/>
      <c r="Y7" s="26" t="s">
        <v>92</v>
      </c>
      <c r="Z7" s="26">
        <f ca="1">SUM(Z9:Z20)</f>
        <v>18080.64</v>
      </c>
      <c r="AA7" s="26"/>
      <c r="AB7" s="27"/>
      <c r="AC7" s="73" t="s">
        <v>72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</row>
    <row r="8" spans="1:42" s="35" customFormat="1" ht="130.5" customHeight="1" x14ac:dyDescent="0.3">
      <c r="A8" s="28" t="s">
        <v>55</v>
      </c>
      <c r="B8" s="28" t="s">
        <v>106</v>
      </c>
      <c r="C8" s="29" t="s">
        <v>62</v>
      </c>
      <c r="D8" s="28" t="s">
        <v>88</v>
      </c>
      <c r="E8" s="28" t="s">
        <v>89</v>
      </c>
      <c r="F8" s="28" t="s">
        <v>90</v>
      </c>
      <c r="G8" s="28" t="s">
        <v>63</v>
      </c>
      <c r="H8" s="28" t="s">
        <v>87</v>
      </c>
      <c r="I8" s="28" t="s">
        <v>64</v>
      </c>
      <c r="J8" s="28" t="s">
        <v>67</v>
      </c>
      <c r="K8" s="28" t="s">
        <v>68</v>
      </c>
      <c r="L8" s="28" t="s">
        <v>66</v>
      </c>
      <c r="M8" s="28" t="s">
        <v>65</v>
      </c>
      <c r="N8" s="28" t="str">
        <f>"остатки отпусков на начало расчета ("&amp;TEXT(C9,"ДД.ММ.ГГГГ")&amp;")"</f>
        <v>остатки отпусков на начало расчета (31.03.2017)</v>
      </c>
      <c r="O8" s="28" t="s">
        <v>84</v>
      </c>
      <c r="P8" s="28" t="s">
        <v>85</v>
      </c>
      <c r="Q8" s="28" t="s">
        <v>86</v>
      </c>
      <c r="R8" s="28" t="s">
        <v>56</v>
      </c>
      <c r="S8" s="30" t="s">
        <v>75</v>
      </c>
      <c r="T8" s="28" t="s">
        <v>73</v>
      </c>
      <c r="U8" s="31" t="s">
        <v>2</v>
      </c>
      <c r="V8" s="31" t="s">
        <v>74</v>
      </c>
      <c r="W8" s="32" t="s">
        <v>71</v>
      </c>
      <c r="X8" s="31" t="s">
        <v>91</v>
      </c>
      <c r="Y8" s="33" t="s">
        <v>27</v>
      </c>
      <c r="Z8" s="33" t="s">
        <v>28</v>
      </c>
      <c r="AA8" s="33" t="s">
        <v>101</v>
      </c>
      <c r="AB8" s="34" t="s">
        <v>43</v>
      </c>
      <c r="AC8" s="34" t="s">
        <v>14</v>
      </c>
      <c r="AD8" s="34" t="s">
        <v>40</v>
      </c>
      <c r="AE8" s="34" t="s">
        <v>15</v>
      </c>
      <c r="AF8" s="34" t="s">
        <v>17</v>
      </c>
      <c r="AG8" s="34" t="s">
        <v>16</v>
      </c>
      <c r="AH8" s="34" t="s">
        <v>18</v>
      </c>
      <c r="AI8" s="34" t="s">
        <v>19</v>
      </c>
      <c r="AJ8" s="34" t="s">
        <v>41</v>
      </c>
      <c r="AK8" s="34" t="s">
        <v>20</v>
      </c>
      <c r="AL8" s="34" t="s">
        <v>21</v>
      </c>
      <c r="AM8" s="34" t="s">
        <v>24</v>
      </c>
      <c r="AN8" s="34" t="s">
        <v>42</v>
      </c>
      <c r="AO8" s="34" t="s">
        <v>42</v>
      </c>
      <c r="AP8" s="34" t="s">
        <v>100</v>
      </c>
    </row>
    <row r="9" spans="1:42" ht="23.25" customHeight="1" x14ac:dyDescent="0.3">
      <c r="A9" s="36" t="str">
        <f>'список работников с датами приё'!A2</f>
        <v>Иванов</v>
      </c>
      <c r="B9" s="37" t="str">
        <f>'список работников с датами приё'!B2</f>
        <v>06.05.2014</v>
      </c>
      <c r="C9" s="38">
        <f>IF('Данные для расчета'!$B$2=EOMONTH('Данные для расчета'!$B$2,0),EOMONTH(EDATE('Данные для расчета'!$B$2,-11),0),EOMONTH(EDATE('Данные для расчета'!$B$2,-12),0))</f>
        <v>42825</v>
      </c>
      <c r="D9" s="54">
        <f t="array" aca="1" ref="D9" ca="1">IF($C9="итого",SUM(OFFSET(D8,,,-12)),IFERROR(INDEX('список неявок'!$A$4:$I$500,MATCH($A9&amp;$C9,'список неявок'!$A$4:$A$500&amp;'список неявок'!$B$4:$B$500,0),COLUMN(C9)),))</f>
        <v>0</v>
      </c>
      <c r="E9" s="54">
        <f t="array" aca="1" ref="E9" ca="1">IF($C9="итого",SUM(OFFSET(E8,,,-12)),IFERROR(INDEX('список неявок'!$A$4:$I$500,MATCH($A9&amp;$C9,'список неявок'!$A$4:$A$500&amp;'список неявок'!$B$4:$B$500,0),COLUMN(D9)),))</f>
        <v>0</v>
      </c>
      <c r="F9" s="54">
        <f t="array" aca="1" ref="F9" ca="1">IF($C9="итого",SUM(OFFSET(F8,,,-12)),IFERROR(INDEX('список неявок'!$A$4:$I$500,MATCH($A9&amp;$C9,'список неявок'!$A$4:$A$500&amp;'список неявок'!$B$4:$B$500,0),COLUMN(E9)),))</f>
        <v>0</v>
      </c>
      <c r="G9" s="54">
        <f t="array" aca="1" ref="G9" ca="1">IF($C9="итого",SUM(OFFSET(G8,,,-12)),IFERROR(INDEX('список неявок'!$A$4:$I$500,MATCH($A9&amp;$C9,'список неявок'!$A$4:$A$500&amp;'список неявок'!$B$4:$B$500,0),COLUMN(F9)),))</f>
        <v>0</v>
      </c>
      <c r="H9" s="54">
        <f t="array" aca="1" ref="H9" ca="1">IF($C9="итого",SUM(OFFSET(H8,,,-12)),IFERROR(INDEX('список неявок'!$A$4:$I$500,MATCH($A9&amp;$C9,'список неявок'!$A$4:$A$500&amp;'список неявок'!$B$4:$B$500,0),COLUMN(G9)),))</f>
        <v>0</v>
      </c>
      <c r="I9" s="54">
        <f t="array" aca="1" ref="I9" ca="1">IF($C9="итого",SUM(OFFSET(I8,,,-12)),IFERROR(INDEX('список неявок'!$A$4:$I$500,MATCH($A9&amp;$C9,'список неявок'!$A$4:$A$500&amp;'список неявок'!$B$4:$B$500,0),COLUMN(H9)),))</f>
        <v>0</v>
      </c>
      <c r="J9" s="54">
        <f t="array" aca="1" ref="J9" ca="1">IF($C9="итого",SUM(OFFSET(J8,,,-12)),IFERROR(INDEX('список неявок'!$A$4:$I$500,MATCH($A9&amp;$C9,'список неявок'!$A$4:$A$500&amp;'список неявок'!$B$4:$B$500,0),COLUMN(I9)),))</f>
        <v>0</v>
      </c>
      <c r="K9" s="54">
        <f ca="1">IF(C9="итого",SUM(OFFSET(K8,,,-12)),IF(J9,J9,L9))</f>
        <v>22</v>
      </c>
      <c r="L9" s="55">
        <f t="array" aca="1" ref="L9" ca="1">IF(C9="итого",SUM(OFFSET(L8,,,-12)),NETWORKDAYS.INTL(DATE(YEAR(C9),MONTH(C9),1),C9,,'Данные для расчета'!$M$10:$V$24))</f>
        <v>22</v>
      </c>
      <c r="M9" s="39">
        <f ca="1">IF(C9="итого",SUM(OFFSET(M8,,,-12)),(_xlfn.DAYS(C9,DATE(YEAR(C9),MONTH(C9),1)-1)-SUM(D9:I9))*29.3/(_xlfn.DAYS(C9,DATE(YEAR(C9),MONTH(C9),1)-1)))</f>
        <v>29.3</v>
      </c>
      <c r="N9" s="39"/>
      <c r="O9" s="40" t="str">
        <f>IF(AND(C9="итого",B9=0),0,IF(C9="итого",IF('Данные для расчета'!$B$2+1-DATE(YEAR('Данные для расчета'!$B$2),MONTH('Данные для расчета'!$B$2),DAY(B9+E9+F9+((D9-14)&gt;0)*(D9-14)))&gt;DAY(EOMONTH('Данные для расчета'!$B$2,0))/2,(((YEAR('Данные для расчета'!$B$2)-YEAR(B9+E9+F9+((D9-14)&gt;0)*(D9-14)))*12+MONTH('Данные для расчета'!$B$2)-MONTH(B9+E9+F9+((D9-14)&gt;0)*(D9-14))+1)),((YEAR('Данные для расчета'!$B$2)-YEAR(B9+E9+F9+((D9-14)&gt;0)*(D9-14)))*12+MONTH('Данные для расчета'!$B$2)-MONTH(B9+E9+F9+((D9-14)&gt;0)*(D9-14)))),""))</f>
        <v/>
      </c>
      <c r="P9" s="40" t="str">
        <f>IF(O9=11,12,IF(AND(O9&gt;=5.5,O9&lt;=11,'Данные для расчета'!$A$5=1),12,расчет!O9))</f>
        <v/>
      </c>
      <c r="Q9" s="40" t="str">
        <f t="shared" ref="Q9:Q20" si="0">IF(P9="","",P9*28/12-N9-G9)</f>
        <v/>
      </c>
      <c r="R9" s="23">
        <f t="shared" ref="R9:R20" si="1">IF($C9="итого",X9/M9,0)</f>
        <v>0</v>
      </c>
      <c r="S9" s="56">
        <f t="shared" ref="S9:S47" si="2">IF($C9="итого",ROUND(Q9*R9,2),0)</f>
        <v>0</v>
      </c>
      <c r="T9" s="23">
        <f>IF(C9&lt;'Данные для расчета'!$B$3,1+'Данные для расчета'!$B$4,1)</f>
        <v>1</v>
      </c>
      <c r="U9" s="68">
        <f ca="1">IF($C9="итого",SUM(#REF!),IF(ISNA(INDEX(INDIRECT("'"&amp;MONTH($C9)&amp;"'!$A$4:$AR$500"),MATCH("*"&amp;$A9&amp;"*",INDIRECT("'"&amp;MONTH($C9)&amp;"'!$A$4:$A$500"),0),MATCH(U$8,INDIRECT("'"&amp;MONTH($C9)&amp;"'!$4:$4"),0))),0,INDEX(INDIRECT("'"&amp;MONTH($C9)&amp;"'!$A$4:$AR$500"),MATCH("*"&amp;$A9&amp;"*",INDIRECT("'"&amp;MONTH($C9)&amp;"'!$A$4:$A$500"),0),MATCH(U$8,INDIRECT("'"&amp;MONTH($C9)&amp;"'!$4:$4"),0))))</f>
        <v>61781.2</v>
      </c>
      <c r="V9" s="17">
        <f ca="1">IF($C9="итого",SUM(#REF!),U9-SUM(Y9:AO9))</f>
        <v>58767.759999999995</v>
      </c>
      <c r="W9" s="17">
        <f ca="1">IF($C9="итого",SUM(#REF!),Y9*J9/L9+AB9*(12+1-MONTH('Данные для расчета'!$B$2))/12)</f>
        <v>0</v>
      </c>
      <c r="X9" s="17">
        <f ca="1">IF($C9="итого",SUM(#REF!),(V9+W9)*T9)</f>
        <v>58767.759999999995</v>
      </c>
      <c r="Y9" s="17">
        <f t="array" aca="1" ref="Y9" ca="1">IF($C9="итого",SUM(OFFSET(Y8,,,-12)),IF(ISNA(INDEX(INDIRECT("'"&amp;MONTH($C9)&amp;"'!$A$4:$AR$500"),MATCH("*"&amp;$A9&amp;"*",INDIRECT("'"&amp;MONTH($C9)&amp;"'!$A$4:$A$500"),0),MATCH(Y$8,INDIRECT("'"&amp;MONTH($C9)&amp;"'!$4:$4"),0))),0,INDEX(INDIRECT("'"&amp;MONTH($C9)&amp;"'!$A$4:$AR$500"),MATCH("*"&amp;$A9&amp;"*",INDIRECT("'"&amp;MONTH($C9)&amp;"'!$A$4:$A$500"),0),MATCH(Y$8,INDIRECT("'"&amp;MONTH($C9)&amp;"'!$4:$4"),0))))</f>
        <v>1506.72</v>
      </c>
      <c r="Z9" s="17">
        <f ca="1">IF($C9="итого",SUM(OFFSET(Z8,,,-12)),IF(ISNA(INDEX(INDIRECT("'"&amp;MONTH($C9)&amp;"'!$A$4:$AR$500"),MATCH("*"&amp;$A9&amp;"*",INDIRECT("'"&amp;MONTH($C9)&amp;"'!$A$4:$A$500"),0),MATCH(Z$8,INDIRECT("'"&amp;MONTH($C9)&amp;"'!$4:$4"),0))),0,INDEX(INDIRECT("'"&amp;MONTH($C9)&amp;"'!$A$4:$AR$500"),MATCH("*"&amp;$A9&amp;"*",INDIRECT("'"&amp;MONTH($C9)&amp;"'!$A$4:$A$500"),0),MATCH(Z$8,INDIRECT("'"&amp;MONTH($C9)&amp;"'!$4:$4"),0))))</f>
        <v>1506.72</v>
      </c>
      <c r="AA9" s="17">
        <f ca="1">IF($C9="итого",SUM(OFFSET(AA8,,,-12)),IF(ISNA(INDEX(INDIRECT("'"&amp;MONTH($C9)&amp;"'!$A$4:$AR$500"),MATCH("*"&amp;$A9&amp;"*",INDIRECT("'"&amp;MONTH($C9)&amp;"'!$A$4:$A$500"),0),MATCH(AA$8,INDIRECT("'"&amp;MONTH($C9)&amp;"'!$4:$4"),0))),0,INDEX(INDIRECT("'"&amp;MONTH($C9)&amp;"'!$A$4:$AR$500"),MATCH("*"&amp;$A9&amp;"*",INDIRECT("'"&amp;MONTH($C9)&amp;"'!$A$4:$A$500"),0),MATCH(AA$8,INDIRECT("'"&amp;MONTH($C9)&amp;"'!$4:$4"),0))))</f>
        <v>0</v>
      </c>
      <c r="AB9" s="17">
        <f ca="1">IF($C9="итого",SUM(OFFSET(AB8,,,-12)),IF(ISNA(INDEX(INDIRECT("'"&amp;MONTH($C9)&amp;"'!$A$4:$AR$500"),MATCH("*"&amp;$A9&amp;"*",INDIRECT("'"&amp;MONTH($C9)&amp;"'!$A$4:$A$500"),0),MATCH(AB$8,INDIRECT("'"&amp;MONTH($C9)&amp;"'!$4:$4"),0))),0,INDEX(INDIRECT("'"&amp;MONTH($C9)&amp;"'!$A$4:$AR$500"),MATCH("*"&amp;$A9&amp;"*",INDIRECT("'"&amp;MONTH($C9)&amp;"'!$A$4:$A$500"),0),MATCH(AB$8,INDIRECT("'"&amp;MONTH($C9)&amp;"'!$4:$4"),0))))</f>
        <v>0</v>
      </c>
      <c r="AC9" s="17">
        <f ca="1">IF($C9="итого",SUM(#REF!),IF(ISNA(INDEX(INDIRECT("'"&amp;MONTH($C9)&amp;"'!$A$4:$AR$500"),MATCH("*"&amp;$A9&amp;"*",INDIRECT("'"&amp;MONTH($C9)&amp;"'!$A$4:$A$500"),0),MATCH(AC$8,INDIRECT("'"&amp;MONTH($C9)&amp;"'!$4:$4"),0))),0,INDEX(INDIRECT("'"&amp;MONTH($C9)&amp;"'!$A$4:$AR$500"),MATCH("*"&amp;$A9&amp;"*",INDIRECT("'"&amp;MONTH($C9)&amp;"'!$A$4:$A$500"),0),MATCH(AC$8,INDIRECT("'"&amp;MONTH($C9)&amp;"'!$4:$4"),0))))</f>
        <v>0</v>
      </c>
      <c r="AD9" s="17">
        <f ca="1">IF($C9="итого",SUM(#REF!),IF(ISNA(INDEX(INDIRECT("'"&amp;MONTH($C9)&amp;"'!$A$4:$AR$500"),MATCH("*"&amp;$A9&amp;"*",INDIRECT("'"&amp;MONTH($C9)&amp;"'!$A$4:$A$500"),0),MATCH(AD$8,INDIRECT("'"&amp;MONTH($C9)&amp;"'!$4:$4"),0))),0,INDEX(INDIRECT("'"&amp;MONTH($C9)&amp;"'!$A$4:$AR$500"),MATCH("*"&amp;$A9&amp;"*",INDIRECT("'"&amp;MONTH($C9)&amp;"'!$A$4:$A$500"),0),MATCH(AD$8,INDIRECT("'"&amp;MONTH($C9)&amp;"'!$4:$4"),0))))</f>
        <v>0</v>
      </c>
      <c r="AE9" s="17">
        <f ca="1">IF($C9="итого",SUM(#REF!),IF(ISNA(INDEX(INDIRECT("'"&amp;MONTH($C9)&amp;"'!$A$4:$AR$500"),MATCH("*"&amp;$A9&amp;"*",INDIRECT("'"&amp;MONTH($C9)&amp;"'!$A$4:$A$500"),0),MATCH(AE$8,INDIRECT("'"&amp;MONTH($C9)&amp;"'!$4:$4"),0))),0,INDEX(INDIRECT("'"&amp;MONTH($C9)&amp;"'!$A$4:$AR$500"),MATCH("*"&amp;$A9&amp;"*",INDIRECT("'"&amp;MONTH($C9)&amp;"'!$A$4:$A$500"),0),MATCH(AE$8,INDIRECT("'"&amp;MONTH($C9)&amp;"'!$4:$4"),0))))</f>
        <v>0</v>
      </c>
      <c r="AF9" s="17">
        <f ca="1">IF($C9="итого",SUM(#REF!),IF(ISNA(INDEX(INDIRECT("'"&amp;MONTH($C9)&amp;"'!$A$4:$AR$500"),MATCH("*"&amp;$A9&amp;"*",INDIRECT("'"&amp;MONTH($C9)&amp;"'!$A$4:$A$500"),0),MATCH(AF$8,INDIRECT("'"&amp;MONTH($C9)&amp;"'!$4:$4"),0))),0,INDEX(INDIRECT("'"&amp;MONTH($C9)&amp;"'!$A$4:$AR$500"),MATCH("*"&amp;$A9&amp;"*",INDIRECT("'"&amp;MONTH($C9)&amp;"'!$A$4:$A$500"),0),MATCH(AF$8,INDIRECT("'"&amp;MONTH($C9)&amp;"'!$4:$4"),0))))</f>
        <v>0</v>
      </c>
      <c r="AG9" s="17">
        <f ca="1">IF($C9="итого",SUM(#REF!),IF(ISNA(INDEX(INDIRECT("'"&amp;MONTH($C9)&amp;"'!$A$4:$AR$500"),MATCH("*"&amp;$A9&amp;"*",INDIRECT("'"&amp;MONTH($C9)&amp;"'!$A$4:$A$500"),0),MATCH(AG$8,INDIRECT("'"&amp;MONTH($C9)&amp;"'!$4:$4"),0))),0,INDEX(INDIRECT("'"&amp;MONTH($C9)&amp;"'!$A$4:$AR$500"),MATCH("*"&amp;$A9&amp;"*",INDIRECT("'"&amp;MONTH($C9)&amp;"'!$A$4:$A$500"),0),MATCH(AG$8,INDIRECT("'"&amp;MONTH($C9)&amp;"'!$4:$4"),0))))</f>
        <v>0</v>
      </c>
      <c r="AH9" s="17">
        <f ca="1">IF($C9="итого",SUM(#REF!),IF(ISNA(INDEX(INDIRECT("'"&amp;MONTH($C9)&amp;"'!$A$4:$AR$500"),MATCH("*"&amp;$A9&amp;"*",INDIRECT("'"&amp;MONTH($C9)&amp;"'!$A$4:$A$500"),0),MATCH(AH$8,INDIRECT("'"&amp;MONTH($C9)&amp;"'!$4:$4"),0))),0,INDEX(INDIRECT("'"&amp;MONTH($C9)&amp;"'!$A$4:$AR$500"),MATCH("*"&amp;$A9&amp;"*",INDIRECT("'"&amp;MONTH($C9)&amp;"'!$A$4:$A$500"),0),MATCH(AH$8,INDIRECT("'"&amp;MONTH($C9)&amp;"'!$4:$4"),0))))</f>
        <v>0</v>
      </c>
      <c r="AI9" s="17">
        <f ca="1">IF($C9="итого",SUM(#REF!),IF(ISNA(INDEX(INDIRECT("'"&amp;MONTH($C9)&amp;"'!$A$4:$AR$500"),MATCH("*"&amp;$A9&amp;"*",INDIRECT("'"&amp;MONTH($C9)&amp;"'!$A$4:$A$500"),0),MATCH(AI$8,INDIRECT("'"&amp;MONTH($C9)&amp;"'!$4:$4"),0))),0,INDEX(INDIRECT("'"&amp;MONTH($C9)&amp;"'!$A$4:$AR$500"),MATCH("*"&amp;$A9&amp;"*",INDIRECT("'"&amp;MONTH($C9)&amp;"'!$A$4:$A$500"),0),MATCH(AI$8,INDIRECT("'"&amp;MONTH($C9)&amp;"'!$4:$4"),0))))</f>
        <v>0</v>
      </c>
      <c r="AJ9" s="17">
        <f ca="1">IF($C9="итого",SUM(#REF!),IF(ISNA(INDEX(INDIRECT("'"&amp;MONTH($C9)&amp;"'!$A$4:$AR$500"),MATCH("*"&amp;$A9&amp;"*",INDIRECT("'"&amp;MONTH($C9)&amp;"'!$A$4:$A$500"),0),MATCH(AJ$8,INDIRECT("'"&amp;MONTH($C9)&amp;"'!$4:$4"),0))),0,INDEX(INDIRECT("'"&amp;MONTH($C9)&amp;"'!$A$4:$AR$500"),MATCH("*"&amp;$A9&amp;"*",INDIRECT("'"&amp;MONTH($C9)&amp;"'!$A$4:$A$500"),0),MATCH(AJ$8,INDIRECT("'"&amp;MONTH($C9)&amp;"'!$4:$4"),0))))</f>
        <v>0</v>
      </c>
      <c r="AK9" s="17">
        <f ca="1">IF($C9="итого",SUM(#REF!),IF(ISNA(INDEX(INDIRECT("'"&amp;MONTH($C9)&amp;"'!$A$4:$AR$500"),MATCH("*"&amp;$A9&amp;"*",INDIRECT("'"&amp;MONTH($C9)&amp;"'!$A$4:$A$500"),0),MATCH(AK$8,INDIRECT("'"&amp;MONTH($C9)&amp;"'!$4:$4"),0))),0,INDEX(INDIRECT("'"&amp;MONTH($C9)&amp;"'!$A$4:$AR$500"),MATCH("*"&amp;$A9&amp;"*",INDIRECT("'"&amp;MONTH($C9)&amp;"'!$A$4:$A$500"),0),MATCH(AK$8,INDIRECT("'"&amp;MONTH($C9)&amp;"'!$4:$4"),0))))</f>
        <v>0</v>
      </c>
      <c r="AL9" s="17">
        <f ca="1">IF($C9="итого",SUM(#REF!),IF(ISNA(INDEX(INDIRECT("'"&amp;MONTH($C9)&amp;"'!$A$4:$AR$500"),MATCH("*"&amp;$A9&amp;"*",INDIRECT("'"&amp;MONTH($C9)&amp;"'!$A$4:$A$500"),0),MATCH(AL$8,INDIRECT("'"&amp;MONTH($C9)&amp;"'!$4:$4"),0))),0,INDEX(INDIRECT("'"&amp;MONTH($C9)&amp;"'!$A$4:$AR$500"),MATCH("*"&amp;$A9&amp;"*",INDIRECT("'"&amp;MONTH($C9)&amp;"'!$A$4:$A$500"),0),MATCH(AL$8,INDIRECT("'"&amp;MONTH($C9)&amp;"'!$4:$4"),0))))</f>
        <v>0</v>
      </c>
      <c r="AM9" s="17">
        <f ca="1">IF($C9="итого",SUM(#REF!),IF(ISNA(INDEX(INDIRECT("'"&amp;MONTH($C9)&amp;"'!$A$4:$AR$500"),MATCH("*"&amp;$A9&amp;"*",INDIRECT("'"&amp;MONTH($C9)&amp;"'!$A$4:$A$500"),0),MATCH(AM$8,INDIRECT("'"&amp;MONTH($C9)&amp;"'!$4:$4"),0))),0,INDEX(INDIRECT("'"&amp;MONTH($C9)&amp;"'!$A$4:$AR$500"),MATCH("*"&amp;$A9&amp;"*",INDIRECT("'"&amp;MONTH($C9)&amp;"'!$A$4:$A$500"),0),MATCH(AM$8,INDIRECT("'"&amp;MONTH($C9)&amp;"'!$4:$4"),0))))</f>
        <v>0</v>
      </c>
      <c r="AN9" s="17">
        <f ca="1">IF($C9="итого",SUM(#REF!),IF(ISNA(INDEX(INDIRECT("'"&amp;MONTH($C9)&amp;"'!$A$4:$AR$500"),MATCH("*"&amp;$A9&amp;"*",INDIRECT("'"&amp;MONTH($C9)&amp;"'!$A$4:$A$500"),0),MATCH(AN$8,INDIRECT("'"&amp;MONTH($C9)&amp;"'!$4:$4"),0))),0,INDEX(INDIRECT("'"&amp;MONTH($C9)&amp;"'!$A$4:$AR$500"),MATCH("*"&amp;$A9&amp;"*",INDIRECT("'"&amp;MONTH($C9)&amp;"'!$A$4:$A$500"),0),MATCH(AN$8,INDIRECT("'"&amp;MONTH($C9)&amp;"'!$4:$4"),0))))</f>
        <v>0</v>
      </c>
      <c r="AO9" s="17">
        <f ca="1">IF($C9="итого",SUM(#REF!),IF(ISNA(INDEX(INDIRECT("'"&amp;MONTH($C9)&amp;"'!$A$4:$AR$500"),MATCH("*"&amp;$A9&amp;"*",INDIRECT("'"&amp;MONTH($C9)&amp;"'!$A$4:$A$500"),0),MATCH(AO$8,INDIRECT("'"&amp;MONTH($C9)&amp;"'!$4:$4"),0))),0,INDEX(INDIRECT("'"&amp;MONTH($C9)&amp;"'!$A$4:$AR$500"),MATCH("*"&amp;$A9&amp;"*",INDIRECT("'"&amp;MONTH($C9)&amp;"'!$A$4:$A$500"),0),MATCH(AO$8,INDIRECT("'"&amp;MONTH($C9)&amp;"'!$4:$4"),0))))</f>
        <v>0</v>
      </c>
      <c r="AP9" s="17">
        <f t="shared" ref="AP9" ca="1" si="3">IF($C9="итого",SUM(#REF!),IF(ISNA(INDEX(INDIRECT("'"&amp;MONTH($C9)&amp;"'!$A$4:$AR$500"),MATCH("*"&amp;$A9&amp;"*",INDIRECT("'"&amp;MONTH($C9)&amp;"'!$A$4:$A$500"),0),MATCH(AP$8,INDIRECT("'"&amp;MONTH($C9)&amp;"'!$4:$4"),0))),0,INDEX(INDIRECT("'"&amp;MONTH($C9)&amp;"'!$A$4:$AR$500"),MATCH("*"&amp;$A9&amp;"*",INDIRECT("'"&amp;MONTH($C9)&amp;"'!$A$4:$A$500"),0),MATCH(AP$8,INDIRECT("'"&amp;MONTH($C9)&amp;"'!$4:$4"),0))))</f>
        <v>0</v>
      </c>
    </row>
    <row r="10" spans="1:42" ht="23.25" customHeight="1" x14ac:dyDescent="0.3">
      <c r="A10" s="36" t="str">
        <f>IF(C9="итого",INDEX('список работников с датами приё'!$A$2:$B$282,COUNTIF(C$9:C9,"=итого")+1,1),A9)</f>
        <v>Иванов</v>
      </c>
      <c r="B10" s="41" t="str">
        <f>IF(OR(C9="итого",C9=$C$8),INDEX('список работников с датами приё'!$A$2:$B$282,COUNTIF(C$9:C9,"=итого")+1,2),B9)</f>
        <v>06.05.2014</v>
      </c>
      <c r="C10" s="42">
        <f>IF(AND(C9="итого",'Данные для расчета'!$B$2=EOMONTH('Данные для расчета'!$B$2,0)),EOMONTH(EDATE('Данные для расчета'!$B$2,-11),0),IF(C9="итого",EOMONTH(EDATE('Данные для расчета'!$B$2,-12),0),IF(EDATE(C9,1)&gt;=EDATE('Данные для расчета'!$B$2,0),"итого",EOMONTH(EDATE(C9,1),0))))</f>
        <v>42855</v>
      </c>
      <c r="D10" s="54">
        <f t="array" aca="1" ref="D10" ca="1">IF($C10="итого",SUM(OFFSET(D9,,,-12)),IFERROR(INDEX('список неявок'!$A$4:$I$500,MATCH($A10&amp;$C10,'список неявок'!$A$4:$A$500&amp;'список неявок'!$B$4:$B$500,0),COLUMN(C10)),))</f>
        <v>0</v>
      </c>
      <c r="E10" s="54">
        <f t="array" aca="1" ref="E10" ca="1">IF($C10="итого",SUM(OFFSET(E9,,,-12)),IFERROR(INDEX('список неявок'!$A$4:$I$500,MATCH($A10&amp;$C10,'список неявок'!$A$4:$A$500&amp;'список неявок'!$B$4:$B$500,0),COLUMN(D10)),))</f>
        <v>0</v>
      </c>
      <c r="F10" s="54">
        <f t="array" aca="1" ref="F10" ca="1">IF($C10="итого",SUM(OFFSET(F9,,,-12)),IFERROR(INDEX('список неявок'!$A$4:$I$500,MATCH($A10&amp;$C10,'список неявок'!$A$4:$A$500&amp;'список неявок'!$B$4:$B$500,0),COLUMN(E10)),))</f>
        <v>0</v>
      </c>
      <c r="G10" s="54">
        <f t="array" aca="1" ref="G10" ca="1">IF($C10="итого",SUM(OFFSET(G9,,,-12)),IFERROR(INDEX('список неявок'!$A$4:$I$500,MATCH($A10&amp;$C10,'список неявок'!$A$4:$A$500&amp;'список неявок'!$B$4:$B$500,0),COLUMN(F10)),))</f>
        <v>0</v>
      </c>
      <c r="H10" s="54">
        <f t="array" aca="1" ref="H10" ca="1">IF($C10="итого",SUM(OFFSET(H9,,,-12)),IFERROR(INDEX('список неявок'!$A$4:$I$500,MATCH($A10&amp;$C10,'список неявок'!$A$4:$A$500&amp;'список неявок'!$B$4:$B$500,0),COLUMN(G10)),))</f>
        <v>0</v>
      </c>
      <c r="I10" s="54">
        <f t="array" aca="1" ref="I10" ca="1">IF($C10="итого",SUM(OFFSET(I9,,,-12)),IFERROR(INDEX('список неявок'!$A$4:$I$500,MATCH($A10&amp;$C10,'список неявок'!$A$4:$A$500&amp;'список неявок'!$B$4:$B$500,0),COLUMN(H10)),))</f>
        <v>0</v>
      </c>
      <c r="J10" s="54">
        <f t="array" aca="1" ref="J10" ca="1">IF($C10="итого",SUM(OFFSET(J9,,,-12)),IFERROR(INDEX('список неявок'!$A$4:$I$500,MATCH($A10&amp;$C10,'список неявок'!$A$4:$A$500&amp;'список неявок'!$B$4:$B$500,0),COLUMN(I10)),))</f>
        <v>0</v>
      </c>
      <c r="K10" s="54">
        <f ca="1">IF(C10="итого",SUM(OFFSET(K9,,,-12)),IF(J10,J10,L10))</f>
        <v>20</v>
      </c>
      <c r="L10" s="55">
        <f t="array" aca="1" ref="L10" ca="1">IF(C10="итого",SUM(OFFSET(L9,,,-12)),NETWORKDAYS.INTL(DATE(YEAR(C10),MONTH(C10),1),C10,,'Данные для расчета'!$M$10:$V$24))</f>
        <v>20</v>
      </c>
      <c r="M10" s="39">
        <f t="array" aca="1" ref="M10" ca="1">IF(C10="итого",SUM(OFFSET(M9,,,-12)),(_xlfn.DAYS(C10,DATE(YEAR(C10),MONTH(C10),1)-1)-SUM(D10:I10))*29.3/(_xlfn.DAYS(C10,DATE(YEAR(C10),MONTH(C10),1)-1)))</f>
        <v>29.3</v>
      </c>
      <c r="N10" s="39"/>
      <c r="O10" s="40" t="str">
        <f>IF(AND(C10="итого",B10=0),0,IF(C10="итого",IF('Данные для расчета'!$B$2+1-DATE(YEAR('Данные для расчета'!$B$2),MONTH('Данные для расчета'!$B$2),DAY(B10+E10+F10+((D10-14)&gt;0)*(D10-14)))&gt;DAY(EOMONTH('Данные для расчета'!$B$2,0))/2,(((YEAR('Данные для расчета'!$B$2)-YEAR(B10+E10+F10+((D10-14)&gt;0)*(D10-14)))*12+MONTH('Данные для расчета'!$B$2)-MONTH(B10+E10+F10+((D10-14)&gt;0)*(D10-14))+1)),((YEAR('Данные для расчета'!$B$2)-YEAR(B10+E10+F10+((D10-14)&gt;0)*(D10-14)))*12+MONTH('Данные для расчета'!$B$2)-MONTH(B10+E10+F10+((D10-14)&gt;0)*(D10-14)))),""))</f>
        <v/>
      </c>
      <c r="P10" s="40" t="str">
        <f>IF(O10=11,12,IF(AND(O10&gt;=5.5,O10&lt;=11,'Данные для расчета'!$A$5=1),12,расчет!O10))</f>
        <v/>
      </c>
      <c r="Q10" s="40" t="str">
        <f t="shared" si="0"/>
        <v/>
      </c>
      <c r="R10" s="23">
        <f t="shared" si="1"/>
        <v>0</v>
      </c>
      <c r="S10" s="56">
        <f t="shared" si="2"/>
        <v>0</v>
      </c>
      <c r="T10" s="23">
        <f>IF(C10&lt;'Данные для расчета'!$B$3,1+'Данные для расчета'!$B$4,1)</f>
        <v>1</v>
      </c>
      <c r="U10" s="68">
        <f t="array" aca="1" ref="U10" ca="1">IF($C10="итого",SUM(#REF!),IF(ISNA(INDEX(INDIRECT("'"&amp;MONTH($C10)&amp;"'!$A$4:$AR$500"),MATCH("*"&amp;$A10&amp;"*",INDIRECT("'"&amp;MONTH($C10)&amp;"'!$A$4:$A$500"),0),MATCH(U$8,INDIRECT("'"&amp;MONTH($C10)&amp;"'!$4:$4"),0))),0,INDEX(INDIRECT("'"&amp;MONTH($C10)&amp;"'!$A$4:$AR$500"),MATCH("*"&amp;$A10&amp;"*",INDIRECT("'"&amp;MONTH($C10)&amp;"'!$A$4:$A$500"),0),MATCH(U$8,INDIRECT("'"&amp;MONTH($C10)&amp;"'!$4:$4"),0))))</f>
        <v>61781.2</v>
      </c>
      <c r="V10" s="17">
        <f ca="1">IF($C10="итого",SUM(#REF!),U10-SUM(AC10:AO10))</f>
        <v>61781.2</v>
      </c>
      <c r="W10" s="17">
        <f ca="1">IF($C10="итого",SUM(#REF!),Y10*J10/L10+AB10*(12+1-MONTH('Данные для расчета'!$B$2))/12)</f>
        <v>0</v>
      </c>
      <c r="X10" s="17">
        <f ca="1">IF($C10="итого",SUM(#REF!),(V10+W10)*T10)</f>
        <v>61781.2</v>
      </c>
      <c r="Y10" s="17">
        <f t="array" aca="1" ref="Y10" ca="1">IF($C10="итого",SUM(OFFSET(Y9,,,-12)),IF(ISNA(INDEX(INDIRECT("'"&amp;MONTH($C10)&amp;"'!$A$4:$AR$500"),MATCH("*"&amp;$A10&amp;"*",INDIRECT("'"&amp;MONTH($C10)&amp;"'!$A$4:$A$500"),0),MATCH(Y$8,INDIRECT("'"&amp;MONTH($C10)&amp;"'!$4:$4"),0))),0,INDEX(INDIRECT("'"&amp;MONTH($C10)&amp;"'!$A$4:$AR$500"),MATCH("*"&amp;$A10&amp;"*",INDIRECT("'"&amp;MONTH($C10)&amp;"'!$A$4:$A$500"),0),MATCH(Y$8,INDIRECT("'"&amp;MONTH($C10)&amp;"'!$4:$4"),0))))</f>
        <v>1506.72</v>
      </c>
      <c r="Z10" s="17">
        <f t="shared" ref="Z10:Z19" ca="1" si="4">IF($C10="итого",SUM(OFFSET(Z9,,,-12)),IF(ISNA(INDEX(INDIRECT("'"&amp;MONTH($C10)&amp;"'!$A$4:$AR$500"),MATCH("*"&amp;$A10&amp;"*",INDIRECT("'"&amp;MONTH($C10)&amp;"'!$A$4:$A$500"),0),MATCH(Z$8,INDIRECT("'"&amp;MONTH($C10)&amp;"'!$4:$4"),0))),0,INDEX(INDIRECT("'"&amp;MONTH($C10)&amp;"'!$A$4:$AR$500"),MATCH("*"&amp;$A10&amp;"*",INDIRECT("'"&amp;MONTH($C10)&amp;"'!$A$4:$A$500"),0),MATCH(Z$8,INDIRECT("'"&amp;MONTH($C10)&amp;"'!$4:$4"),0))))</f>
        <v>1506.72</v>
      </c>
      <c r="AA10" s="17">
        <f t="shared" ref="AA10:AA46" ca="1" si="5">IF($C10="итого",SUM(OFFSET(AA9,,,-12)),IF(ISNA(INDEX(INDIRECT("'"&amp;MONTH($C10)&amp;"'!$A$4:$AR$500"),MATCH("*"&amp;$A10&amp;"*",INDIRECT("'"&amp;MONTH($C10)&amp;"'!$A$4:$A$500"),0),MATCH(AA$8,INDIRECT("'"&amp;MONTH($C10)&amp;"'!$4:$4"),0))),0,INDEX(INDIRECT("'"&amp;MONTH($C10)&amp;"'!$A$4:$AR$500"),MATCH("*"&amp;$A10&amp;"*",INDIRECT("'"&amp;MONTH($C10)&amp;"'!$A$4:$A$500"),0),MATCH(AA$8,INDIRECT("'"&amp;MONTH($C10)&amp;"'!$4:$4"),0))))</f>
        <v>0</v>
      </c>
      <c r="AB10" s="17">
        <f t="shared" ref="AB10:AB46" ca="1" si="6">IF($C10="итого",SUM(OFFSET(AB9,,,-12)),IF(ISNA(INDEX(INDIRECT("'"&amp;MONTH($C10)&amp;"'!$A$4:$AR$500"),MATCH("*"&amp;$A10&amp;"*",INDIRECT("'"&amp;MONTH($C10)&amp;"'!$A$4:$A$500"),0),MATCH(AB$8,INDIRECT("'"&amp;MONTH($C10)&amp;"'!$4:$4"),0))),0,INDEX(INDIRECT("'"&amp;MONTH($C10)&amp;"'!$A$4:$AR$500"),MATCH("*"&amp;$A10&amp;"*",INDIRECT("'"&amp;MONTH($C10)&amp;"'!$A$4:$A$500"),0),MATCH(AB$8,INDIRECT("'"&amp;MONTH($C10)&amp;"'!$4:$4"),0))))</f>
        <v>0</v>
      </c>
      <c r="AC10" s="17">
        <f ca="1">IF($C10="итого",SUM(#REF!),IF(ISNA(INDEX(INDIRECT("'"&amp;MONTH($C10)&amp;"'!$A$4:$AR$500"),MATCH("*"&amp;$A10&amp;"*",INDIRECT("'"&amp;MONTH($C10)&amp;"'!$A$4:$A$500"),0),MATCH(AC$8,INDIRECT("'"&amp;MONTH($C10)&amp;"'!$4:$4"),0))),0,INDEX(INDIRECT("'"&amp;MONTH($C10)&amp;"'!$A$4:$AR$500"),MATCH("*"&amp;$A10&amp;"*",INDIRECT("'"&amp;MONTH($C10)&amp;"'!$A$4:$A$500"),0),MATCH(AC$8,INDIRECT("'"&amp;MONTH($C10)&amp;"'!$4:$4"),0))))</f>
        <v>0</v>
      </c>
      <c r="AD10" s="17">
        <f ca="1">IF($C10="итого",SUM(#REF!),IF(ISNA(INDEX(INDIRECT("'"&amp;MONTH($C10)&amp;"'!$A$4:$AR$500"),MATCH("*"&amp;$A10&amp;"*",INDIRECT("'"&amp;MONTH($C10)&amp;"'!$A$4:$A$500"),0),MATCH(AD$8,INDIRECT("'"&amp;MONTH($C10)&amp;"'!$4:$4"),0))),0,INDEX(INDIRECT("'"&amp;MONTH($C10)&amp;"'!$A$4:$AR$500"),MATCH("*"&amp;$A10&amp;"*",INDIRECT("'"&amp;MONTH($C10)&amp;"'!$A$4:$A$500"),0),MATCH(AD$8,INDIRECT("'"&amp;MONTH($C10)&amp;"'!$4:$4"),0))))</f>
        <v>0</v>
      </c>
      <c r="AE10" s="17">
        <f ca="1">IF($C10="итого",SUM(#REF!),IF(ISNA(INDEX(INDIRECT("'"&amp;MONTH($C10)&amp;"'!$A$4:$AR$500"),MATCH("*"&amp;$A10&amp;"*",INDIRECT("'"&amp;MONTH($C10)&amp;"'!$A$4:$A$500"),0),MATCH(AE$8,INDIRECT("'"&amp;MONTH($C10)&amp;"'!$4:$4"),0))),0,INDEX(INDIRECT("'"&amp;MONTH($C10)&amp;"'!$A$4:$AR$500"),MATCH("*"&amp;$A10&amp;"*",INDIRECT("'"&amp;MONTH($C10)&amp;"'!$A$4:$A$500"),0),MATCH(AE$8,INDIRECT("'"&amp;MONTH($C10)&amp;"'!$4:$4"),0))))</f>
        <v>0</v>
      </c>
      <c r="AF10" s="17">
        <f ca="1">IF($C10="итого",SUM(#REF!),IF(ISNA(INDEX(INDIRECT("'"&amp;MONTH($C10)&amp;"'!$A$4:$AR$500"),MATCH("*"&amp;$A10&amp;"*",INDIRECT("'"&amp;MONTH($C10)&amp;"'!$A$4:$A$500"),0),MATCH(AF$8,INDIRECT("'"&amp;MONTH($C10)&amp;"'!$4:$4"),0))),0,INDEX(INDIRECT("'"&amp;MONTH($C10)&amp;"'!$A$4:$AR$500"),MATCH("*"&amp;$A10&amp;"*",INDIRECT("'"&amp;MONTH($C10)&amp;"'!$A$4:$A$500"),0),MATCH(AF$8,INDIRECT("'"&amp;MONTH($C10)&amp;"'!$4:$4"),0))))</f>
        <v>0</v>
      </c>
      <c r="AG10" s="17">
        <f ca="1">IF($C10="итого",SUM(#REF!),IF(ISNA(INDEX(INDIRECT("'"&amp;MONTH($C10)&amp;"'!$A$4:$AR$500"),MATCH("*"&amp;$A10&amp;"*",INDIRECT("'"&amp;MONTH($C10)&amp;"'!$A$4:$A$500"),0),MATCH(AG$8,INDIRECT("'"&amp;MONTH($C10)&amp;"'!$4:$4"),0))),0,INDEX(INDIRECT("'"&amp;MONTH($C10)&amp;"'!$A$4:$AR$500"),MATCH("*"&amp;$A10&amp;"*",INDIRECT("'"&amp;MONTH($C10)&amp;"'!$A$4:$A$500"),0),MATCH(AG$8,INDIRECT("'"&amp;MONTH($C10)&amp;"'!$4:$4"),0))))</f>
        <v>0</v>
      </c>
      <c r="AH10" s="17">
        <f ca="1">IF($C10="итого",SUM(#REF!),IF(ISNA(INDEX(INDIRECT("'"&amp;MONTH($C10)&amp;"'!$A$4:$AR$500"),MATCH("*"&amp;$A10&amp;"*",INDIRECT("'"&amp;MONTH($C10)&amp;"'!$A$4:$A$500"),0),MATCH(AH$8,INDIRECT("'"&amp;MONTH($C10)&amp;"'!$4:$4"),0))),0,INDEX(INDIRECT("'"&amp;MONTH($C10)&amp;"'!$A$4:$AR$500"),MATCH("*"&amp;$A10&amp;"*",INDIRECT("'"&amp;MONTH($C10)&amp;"'!$A$4:$A$500"),0),MATCH(AH$8,INDIRECT("'"&amp;MONTH($C10)&amp;"'!$4:$4"),0))))</f>
        <v>0</v>
      </c>
      <c r="AI10" s="17">
        <f ca="1">IF($C10="итого",SUM(#REF!),IF(ISNA(INDEX(INDIRECT("'"&amp;MONTH($C10)&amp;"'!$A$4:$AR$500"),MATCH("*"&amp;$A10&amp;"*",INDIRECT("'"&amp;MONTH($C10)&amp;"'!$A$4:$A$500"),0),MATCH(AI$8,INDIRECT("'"&amp;MONTH($C10)&amp;"'!$4:$4"),0))),0,INDEX(INDIRECT("'"&amp;MONTH($C10)&amp;"'!$A$4:$AR$500"),MATCH("*"&amp;$A10&amp;"*",INDIRECT("'"&amp;MONTH($C10)&amp;"'!$A$4:$A$500"),0),MATCH(AI$8,INDIRECT("'"&amp;MONTH($C10)&amp;"'!$4:$4"),0))))</f>
        <v>0</v>
      </c>
      <c r="AJ10" s="17">
        <f ca="1">IF($C10="итого",SUM(#REF!),IF(ISNA(INDEX(INDIRECT("'"&amp;MONTH($C10)&amp;"'!$A$4:$AR$500"),MATCH("*"&amp;$A10&amp;"*",INDIRECT("'"&amp;MONTH($C10)&amp;"'!$A$4:$A$500"),0),MATCH(AJ$8,INDIRECT("'"&amp;MONTH($C10)&amp;"'!$4:$4"),0))),0,INDEX(INDIRECT("'"&amp;MONTH($C10)&amp;"'!$A$4:$AR$500"),MATCH("*"&amp;$A10&amp;"*",INDIRECT("'"&amp;MONTH($C10)&amp;"'!$A$4:$A$500"),0),MATCH(AJ$8,INDIRECT("'"&amp;MONTH($C10)&amp;"'!$4:$4"),0))))</f>
        <v>0</v>
      </c>
      <c r="AK10" s="17">
        <f ca="1">IF($C10="итого",SUM(#REF!),IF(ISNA(INDEX(INDIRECT("'"&amp;MONTH($C10)&amp;"'!$A$4:$AR$500"),MATCH("*"&amp;$A10&amp;"*",INDIRECT("'"&amp;MONTH($C10)&amp;"'!$A$4:$A$500"),0),MATCH(AK$8,INDIRECT("'"&amp;MONTH($C10)&amp;"'!$4:$4"),0))),0,INDEX(INDIRECT("'"&amp;MONTH($C10)&amp;"'!$A$4:$AR$500"),MATCH("*"&amp;$A10&amp;"*",INDIRECT("'"&amp;MONTH($C10)&amp;"'!$A$4:$A$500"),0),MATCH(AK$8,INDIRECT("'"&amp;MONTH($C10)&amp;"'!$4:$4"),0))))</f>
        <v>0</v>
      </c>
      <c r="AL10" s="17">
        <f ca="1">IF($C10="итого",SUM(#REF!),IF(ISNA(INDEX(INDIRECT("'"&amp;MONTH($C10)&amp;"'!$A$4:$AR$500"),MATCH("*"&amp;$A10&amp;"*",INDIRECT("'"&amp;MONTH($C10)&amp;"'!$A$4:$A$500"),0),MATCH(AL$8,INDIRECT("'"&amp;MONTH($C10)&amp;"'!$4:$4"),0))),0,INDEX(INDIRECT("'"&amp;MONTH($C10)&amp;"'!$A$4:$AR$500"),MATCH("*"&amp;$A10&amp;"*",INDIRECT("'"&amp;MONTH($C10)&amp;"'!$A$4:$A$500"),0),MATCH(AL$8,INDIRECT("'"&amp;MONTH($C10)&amp;"'!$4:$4"),0))))</f>
        <v>0</v>
      </c>
      <c r="AM10" s="17">
        <f ca="1">IF($C10="итого",SUM(#REF!),IF(ISNA(INDEX(INDIRECT("'"&amp;MONTH($C10)&amp;"'!$A$4:$AR$500"),MATCH("*"&amp;$A10&amp;"*",INDIRECT("'"&amp;MONTH($C10)&amp;"'!$A$4:$A$500"),0),MATCH(AM$8,INDIRECT("'"&amp;MONTH($C10)&amp;"'!$4:$4"),0))),0,INDEX(INDIRECT("'"&amp;MONTH($C10)&amp;"'!$A$4:$AR$500"),MATCH("*"&amp;$A10&amp;"*",INDIRECT("'"&amp;MONTH($C10)&amp;"'!$A$4:$A$500"),0),MATCH(AM$8,INDIRECT("'"&amp;MONTH($C10)&amp;"'!$4:$4"),0))))</f>
        <v>0</v>
      </c>
      <c r="AN10" s="17">
        <f ca="1">IF($C10="итого",SUM(#REF!),IF(ISNA(INDEX(INDIRECT("'"&amp;MONTH($C10)&amp;"'!$A$4:$AR$500"),MATCH("*"&amp;$A10&amp;"*",INDIRECT("'"&amp;MONTH($C10)&amp;"'!$A$4:$A$500"),0),MATCH(AN$8,INDIRECT("'"&amp;MONTH($C10)&amp;"'!$4:$4"),0))),0,INDEX(INDIRECT("'"&amp;MONTH($C10)&amp;"'!$A$4:$AR$500"),MATCH("*"&amp;$A10&amp;"*",INDIRECT("'"&amp;MONTH($C10)&amp;"'!$A$4:$A$500"),0),MATCH(AN$8,INDIRECT("'"&amp;MONTH($C10)&amp;"'!$4:$4"),0))))</f>
        <v>0</v>
      </c>
      <c r="AO10" s="17">
        <f ca="1">IF($C10="итого",SUM(#REF!),IF(ISNA(INDEX(INDIRECT("'"&amp;MONTH($C10)&amp;"'!$A$4:$AR$500"),MATCH("*"&amp;$A10&amp;"*",INDIRECT("'"&amp;MONTH($C10)&amp;"'!$A$4:$A$500"),0),MATCH(AO$8,INDIRECT("'"&amp;MONTH($C10)&amp;"'!$4:$4"),0))),0,INDEX(INDIRECT("'"&amp;MONTH($C10)&amp;"'!$A$4:$AR$500"),MATCH("*"&amp;$A10&amp;"*",INDIRECT("'"&amp;MONTH($C10)&amp;"'!$A$4:$A$500"),0),MATCH(AO$8,INDIRECT("'"&amp;MONTH($C10)&amp;"'!$4:$4"),0))))</f>
        <v>0</v>
      </c>
      <c r="AP10" s="17">
        <f t="shared" ref="AP10" ca="1" si="7">IF($C10="итого",SUM(#REF!),IF(ISNA(INDEX(INDIRECT("'"&amp;MONTH($C10)&amp;"'!$A$4:$AR$500"),MATCH("*"&amp;$A10&amp;"*",INDIRECT("'"&amp;MONTH($C10)&amp;"'!$A$4:$A$500"),0),MATCH(AP$8,INDIRECT("'"&amp;MONTH($C10)&amp;"'!$4:$4"),0))),0,INDEX(INDIRECT("'"&amp;MONTH($C10)&amp;"'!$A$4:$AR$500"),MATCH("*"&amp;$A10&amp;"*",INDIRECT("'"&amp;MONTH($C10)&amp;"'!$A$4:$A$500"),0),MATCH(AP$8,INDIRECT("'"&amp;MONTH($C10)&amp;"'!$4:$4"),0))))</f>
        <v>0</v>
      </c>
    </row>
    <row r="11" spans="1:42" ht="23.25" customHeight="1" x14ac:dyDescent="0.3">
      <c r="A11" s="36" t="str">
        <f>IF(C10="итого",INDEX('список работников с датами приё'!$A$2:$B$282,COUNTIF(C$9:C10,"=итого")+1,1),A10)</f>
        <v>Иванов</v>
      </c>
      <c r="B11" s="41" t="str">
        <f>IF(OR(C10="итого",C10=$C$8),INDEX('список работников с датами приё'!$A$2:$B$282,COUNTIF(C$9:C10,"=итого")+1,2),B10)</f>
        <v>06.05.2014</v>
      </c>
      <c r="C11" s="42">
        <f>IF(AND(C10="итого",'Данные для расчета'!$B$2=EOMONTH('Данные для расчета'!$B$2,0)),EOMONTH(EDATE('Данные для расчета'!$B$2,-11),0),IF(C10="итого",EOMONTH(EDATE('Данные для расчета'!$B$2,-12),0),IF(EDATE(C10,1)&gt;=EDATE('Данные для расчета'!$B$2,0),"итого",EOMONTH(EDATE(C10,1),0))))</f>
        <v>42886</v>
      </c>
      <c r="D11" s="54">
        <f t="array" aca="1" ref="D11" ca="1">IF($C11="итого",SUM(OFFSET(D10,,,-12)),IFERROR(INDEX('список неявок'!$A$4:$I$500,MATCH($A11&amp;$C11,'список неявок'!$A$4:$A$500&amp;'список неявок'!$B$4:$B$500,0),COLUMN(C11)),))</f>
        <v>0</v>
      </c>
      <c r="E11" s="54">
        <f t="array" aca="1" ref="E11" ca="1">IF($C11="итого",SUM(OFFSET(E10,,,-12)),IFERROR(INDEX('список неявок'!$A$4:$I$500,MATCH($A11&amp;$C11,'список неявок'!$A$4:$A$500&amp;'список неявок'!$B$4:$B$500,0),COLUMN(D11)),))</f>
        <v>0</v>
      </c>
      <c r="F11" s="54">
        <f t="array" aca="1" ref="F11" ca="1">IF($C11="итого",SUM(OFFSET(F10,,,-12)),IFERROR(INDEX('список неявок'!$A$4:$I$500,MATCH($A11&amp;$C11,'список неявок'!$A$4:$A$500&amp;'список неявок'!$B$4:$B$500,0),COLUMN(E11)),))</f>
        <v>0</v>
      </c>
      <c r="G11" s="54">
        <f t="array" aca="1" ref="G11" ca="1">IF($C11="итого",SUM(OFFSET(G10,,,-12)),IFERROR(INDEX('список неявок'!$A$4:$I$500,MATCH($A11&amp;$C11,'список неявок'!$A$4:$A$500&amp;'список неявок'!$B$4:$B$500,0),COLUMN(F11)),))</f>
        <v>0</v>
      </c>
      <c r="H11" s="54">
        <f t="array" aca="1" ref="H11" ca="1">IF($C11="итого",SUM(OFFSET(H10,,,-12)),IFERROR(INDEX('список неявок'!$A$4:$I$500,MATCH($A11&amp;$C11,'список неявок'!$A$4:$A$500&amp;'список неявок'!$B$4:$B$500,0),COLUMN(G11)),))</f>
        <v>0</v>
      </c>
      <c r="I11" s="54">
        <f t="array" aca="1" ref="I11" ca="1">IF($C11="итого",SUM(OFFSET(I10,,,-12)),IFERROR(INDEX('список неявок'!$A$4:$I$500,MATCH($A11&amp;$C11,'список неявок'!$A$4:$A$500&amp;'список неявок'!$B$4:$B$500,0),COLUMN(H11)),))</f>
        <v>0</v>
      </c>
      <c r="J11" s="54">
        <f t="array" aca="1" ref="J11" ca="1">IF($C11="итого",SUM(OFFSET(J10,,,-12)),IFERROR(INDEX('список неявок'!$A$4:$I$500,MATCH($A11&amp;$C11,'список неявок'!$A$4:$A$500&amp;'список неявок'!$B$4:$B$500,0),COLUMN(I11)),))</f>
        <v>0</v>
      </c>
      <c r="K11" s="54">
        <f t="shared" ref="K11:K13" ca="1" si="8">IF(C11="итого",SUM(OFFSET(K10,,,-12)),IF(J11,J11,L11))</f>
        <v>21</v>
      </c>
      <c r="L11" s="55">
        <f t="array" aca="1" ref="L11" ca="1">IF(C11="итого",SUM(OFFSET(L10,,,-12)),NETWORKDAYS.INTL(DATE(YEAR(C11),MONTH(C11),1),C11,,'Данные для расчета'!$M$10:$V$24))</f>
        <v>21</v>
      </c>
      <c r="M11" s="39">
        <f t="array" aca="1" ref="M11" ca="1">IF(C11="итого",SUM(OFFSET(M10,,,-12)),(_xlfn.DAYS(C11,DATE(YEAR(C11),MONTH(C11),1)-1)-SUM(D11:I11))*29.3/(_xlfn.DAYS(C11,DATE(YEAR(C11),MONTH(C11),1)-1)))</f>
        <v>29.3</v>
      </c>
      <c r="N11" s="39"/>
      <c r="O11" s="40" t="str">
        <f>IF(AND(C11="итого",B11=0),0,IF(C11="итого",IF('Данные для расчета'!$B$2+1-DATE(YEAR('Данные для расчета'!$B$2),MONTH('Данные для расчета'!$B$2),DAY(B11+E11+F11+((D11-14)&gt;0)*(D11-14)))&gt;DAY(EOMONTH('Данные для расчета'!$B$2,0))/2,(((YEAR('Данные для расчета'!$B$2)-YEAR(B11+E11+F11+((D11-14)&gt;0)*(D11-14)))*12+MONTH('Данные для расчета'!$B$2)-MONTH(B11+E11+F11+((D11-14)&gt;0)*(D11-14))+1)),((YEAR('Данные для расчета'!$B$2)-YEAR(B11+E11+F11+((D11-14)&gt;0)*(D11-14)))*12+MONTH('Данные для расчета'!$B$2)-MONTH(B11+E11+F11+((D11-14)&gt;0)*(D11-14)))),""))</f>
        <v/>
      </c>
      <c r="P11" s="40" t="str">
        <f>IF(O11=11,12,IF(AND(O11&gt;=5.5,O11&lt;=11,'Данные для расчета'!$A$5=1),12,расчет!O11))</f>
        <v/>
      </c>
      <c r="Q11" s="40" t="str">
        <f t="shared" si="0"/>
        <v/>
      </c>
      <c r="R11" s="23">
        <f t="shared" si="1"/>
        <v>0</v>
      </c>
      <c r="S11" s="56">
        <f t="shared" si="2"/>
        <v>0</v>
      </c>
      <c r="T11" s="23">
        <f>IF(C11&lt;'Данные для расчета'!$B$3,1+'Данные для расчета'!$B$4,1)</f>
        <v>1</v>
      </c>
      <c r="U11" s="68">
        <f ca="1">IF($C11="итого",SUM(#REF!),IF(ISNA(INDEX(INDIRECT("'"&amp;MONTH($C11)&amp;"'!$A$4:$AR$500"),MATCH("*"&amp;$A11&amp;"*",INDIRECT("'"&amp;MONTH($C11)&amp;"'!$A$4:$A$500"),0),MATCH(U$8,INDIRECT("'"&amp;MONTH($C11)&amp;"'!$4:$4"),0))),0,INDEX(INDIRECT("'"&amp;MONTH($C11)&amp;"'!$A$4:$AR$500"),MATCH("*"&amp;$A11&amp;"*",INDIRECT("'"&amp;MONTH($C11)&amp;"'!$A$4:$A$500"),0),MATCH(U$8,INDIRECT("'"&amp;MONTH($C11)&amp;"'!$4:$4"),0))))</f>
        <v>61781.2</v>
      </c>
      <c r="V11" s="17">
        <f ca="1">IF($C11="итого",SUM(#REF!),U11-SUM(AC11:AO11))</f>
        <v>61781.2</v>
      </c>
      <c r="W11" s="17">
        <f ca="1">IF($C11="итого",SUM(#REF!),Y11*J11/L11+AB11*(12+1-MONTH('Данные для расчета'!$B$2))/12)</f>
        <v>0</v>
      </c>
      <c r="X11" s="17">
        <f ca="1">IF($C11="итого",SUM(#REF!),(V11+W11)*T11)</f>
        <v>61781.2</v>
      </c>
      <c r="Y11" s="17">
        <f t="array" aca="1" ref="Y11" ca="1">IF($C11="итого",SUM(OFFSET(Y10,,,-12)),IF(ISNA(INDEX(INDIRECT("'"&amp;MONTH($C11)&amp;"'!$A$4:$AR$500"),MATCH("*"&amp;$A11&amp;"*",INDIRECT("'"&amp;MONTH($C11)&amp;"'!$A$4:$A$500"),0),MATCH(Y$8,INDIRECT("'"&amp;MONTH($C11)&amp;"'!$4:$4"),0))),0,INDEX(INDIRECT("'"&amp;MONTH($C11)&amp;"'!$A$4:$AR$500"),MATCH("*"&amp;$A11&amp;"*",INDIRECT("'"&amp;MONTH($C11)&amp;"'!$A$4:$A$500"),0),MATCH(Y$8,INDIRECT("'"&amp;MONTH($C11)&amp;"'!$4:$4"),0))))</f>
        <v>1506.72</v>
      </c>
      <c r="Z11" s="17">
        <f t="shared" ca="1" si="4"/>
        <v>1506.72</v>
      </c>
      <c r="AA11" s="17">
        <f t="shared" ca="1" si="5"/>
        <v>0</v>
      </c>
      <c r="AB11" s="17">
        <f t="shared" ca="1" si="6"/>
        <v>0</v>
      </c>
      <c r="AC11" s="17">
        <f ca="1">IF($C11="итого",SUM(#REF!),IF(ISNA(INDEX(INDIRECT("'"&amp;MONTH($C11)&amp;"'!$A$4:$AR$500"),MATCH("*"&amp;$A11&amp;"*",INDIRECT("'"&amp;MONTH($C11)&amp;"'!$A$4:$A$500"),0),MATCH(AC$8,INDIRECT("'"&amp;MONTH($C11)&amp;"'!$4:$4"),0))),0,INDEX(INDIRECT("'"&amp;MONTH($C11)&amp;"'!$A$4:$AR$500"),MATCH("*"&amp;$A11&amp;"*",INDIRECT("'"&amp;MONTH($C11)&amp;"'!$A$4:$A$500"),0),MATCH(AC$8,INDIRECT("'"&amp;MONTH($C11)&amp;"'!$4:$4"),0))))</f>
        <v>0</v>
      </c>
      <c r="AD11" s="17">
        <f ca="1">IF($C11="итого",SUM(#REF!),IF(ISNA(INDEX(INDIRECT("'"&amp;MONTH($C11)&amp;"'!$A$4:$AR$500"),MATCH("*"&amp;$A11&amp;"*",INDIRECT("'"&amp;MONTH($C11)&amp;"'!$A$4:$A$500"),0),MATCH(AD$8,INDIRECT("'"&amp;MONTH($C11)&amp;"'!$4:$4"),0))),0,INDEX(INDIRECT("'"&amp;MONTH($C11)&amp;"'!$A$4:$AR$500"),MATCH("*"&amp;$A11&amp;"*",INDIRECT("'"&amp;MONTH($C11)&amp;"'!$A$4:$A$500"),0),MATCH(AD$8,INDIRECT("'"&amp;MONTH($C11)&amp;"'!$4:$4"),0))))</f>
        <v>0</v>
      </c>
      <c r="AE11" s="17">
        <f ca="1">IF($C11="итого",SUM(#REF!),IF(ISNA(INDEX(INDIRECT("'"&amp;MONTH($C11)&amp;"'!$A$4:$AR$500"),MATCH("*"&amp;$A11&amp;"*",INDIRECT("'"&amp;MONTH($C11)&amp;"'!$A$4:$A$500"),0),MATCH(AE$8,INDIRECT("'"&amp;MONTH($C11)&amp;"'!$4:$4"),0))),0,INDEX(INDIRECT("'"&amp;MONTH($C11)&amp;"'!$A$4:$AR$500"),MATCH("*"&amp;$A11&amp;"*",INDIRECT("'"&amp;MONTH($C11)&amp;"'!$A$4:$A$500"),0),MATCH(AE$8,INDIRECT("'"&amp;MONTH($C11)&amp;"'!$4:$4"),0))))</f>
        <v>0</v>
      </c>
      <c r="AF11" s="17">
        <f ca="1">IF($C11="итого",SUM(#REF!),IF(ISNA(INDEX(INDIRECT("'"&amp;MONTH($C11)&amp;"'!$A$4:$AR$500"),MATCH("*"&amp;$A11&amp;"*",INDIRECT("'"&amp;MONTH($C11)&amp;"'!$A$4:$A$500"),0),MATCH(AF$8,INDIRECT("'"&amp;MONTH($C11)&amp;"'!$4:$4"),0))),0,INDEX(INDIRECT("'"&amp;MONTH($C11)&amp;"'!$A$4:$AR$500"),MATCH("*"&amp;$A11&amp;"*",INDIRECT("'"&amp;MONTH($C11)&amp;"'!$A$4:$A$500"),0),MATCH(AF$8,INDIRECT("'"&amp;MONTH($C11)&amp;"'!$4:$4"),0))))</f>
        <v>0</v>
      </c>
      <c r="AG11" s="17">
        <f ca="1">IF($C11="итого",SUM(#REF!),IF(ISNA(INDEX(INDIRECT("'"&amp;MONTH($C11)&amp;"'!$A$4:$AR$500"),MATCH("*"&amp;$A11&amp;"*",INDIRECT("'"&amp;MONTH($C11)&amp;"'!$A$4:$A$500"),0),MATCH(AG$8,INDIRECT("'"&amp;MONTH($C11)&amp;"'!$4:$4"),0))),0,INDEX(INDIRECT("'"&amp;MONTH($C11)&amp;"'!$A$4:$AR$500"),MATCH("*"&amp;$A11&amp;"*",INDIRECT("'"&amp;MONTH($C11)&amp;"'!$A$4:$A$500"),0),MATCH(AG$8,INDIRECT("'"&amp;MONTH($C11)&amp;"'!$4:$4"),0))))</f>
        <v>0</v>
      </c>
      <c r="AH11" s="17">
        <f ca="1">IF($C11="итого",SUM(#REF!),IF(ISNA(INDEX(INDIRECT("'"&amp;MONTH($C11)&amp;"'!$A$4:$AR$500"),MATCH("*"&amp;$A11&amp;"*",INDIRECT("'"&amp;MONTH($C11)&amp;"'!$A$4:$A$500"),0),MATCH(AH$8,INDIRECT("'"&amp;MONTH($C11)&amp;"'!$4:$4"),0))),0,INDEX(INDIRECT("'"&amp;MONTH($C11)&amp;"'!$A$4:$AR$500"),MATCH("*"&amp;$A11&amp;"*",INDIRECT("'"&amp;MONTH($C11)&amp;"'!$A$4:$A$500"),0),MATCH(AH$8,INDIRECT("'"&amp;MONTH($C11)&amp;"'!$4:$4"),0))))</f>
        <v>0</v>
      </c>
      <c r="AI11" s="17">
        <f ca="1">IF($C11="итого",SUM(#REF!),IF(ISNA(INDEX(INDIRECT("'"&amp;MONTH($C11)&amp;"'!$A$4:$AR$500"),MATCH("*"&amp;$A11&amp;"*",INDIRECT("'"&amp;MONTH($C11)&amp;"'!$A$4:$A$500"),0),MATCH(AI$8,INDIRECT("'"&amp;MONTH($C11)&amp;"'!$4:$4"),0))),0,INDEX(INDIRECT("'"&amp;MONTH($C11)&amp;"'!$A$4:$AR$500"),MATCH("*"&amp;$A11&amp;"*",INDIRECT("'"&amp;MONTH($C11)&amp;"'!$A$4:$A$500"),0),MATCH(AI$8,INDIRECT("'"&amp;MONTH($C11)&amp;"'!$4:$4"),0))))</f>
        <v>0</v>
      </c>
      <c r="AJ11" s="17">
        <f ca="1">IF($C11="итого",SUM(#REF!),IF(ISNA(INDEX(INDIRECT("'"&amp;MONTH($C11)&amp;"'!$A$4:$AR$500"),MATCH("*"&amp;$A11&amp;"*",INDIRECT("'"&amp;MONTH($C11)&amp;"'!$A$4:$A$500"),0),MATCH(AJ$8,INDIRECT("'"&amp;MONTH($C11)&amp;"'!$4:$4"),0))),0,INDEX(INDIRECT("'"&amp;MONTH($C11)&amp;"'!$A$4:$AR$500"),MATCH("*"&amp;$A11&amp;"*",INDIRECT("'"&amp;MONTH($C11)&amp;"'!$A$4:$A$500"),0),MATCH(AJ$8,INDIRECT("'"&amp;MONTH($C11)&amp;"'!$4:$4"),0))))</f>
        <v>0</v>
      </c>
      <c r="AK11" s="17">
        <f ca="1">IF($C11="итого",SUM(#REF!),IF(ISNA(INDEX(INDIRECT("'"&amp;MONTH($C11)&amp;"'!$A$4:$AR$500"),MATCH("*"&amp;$A11&amp;"*",INDIRECT("'"&amp;MONTH($C11)&amp;"'!$A$4:$A$500"),0),MATCH(AK$8,INDIRECT("'"&amp;MONTH($C11)&amp;"'!$4:$4"),0))),0,INDEX(INDIRECT("'"&amp;MONTH($C11)&amp;"'!$A$4:$AR$500"),MATCH("*"&amp;$A11&amp;"*",INDIRECT("'"&amp;MONTH($C11)&amp;"'!$A$4:$A$500"),0),MATCH(AK$8,INDIRECT("'"&amp;MONTH($C11)&amp;"'!$4:$4"),0))))</f>
        <v>0</v>
      </c>
      <c r="AL11" s="17">
        <f ca="1">IF($C11="итого",SUM(#REF!),IF(ISNA(INDEX(INDIRECT("'"&amp;MONTH($C11)&amp;"'!$A$4:$AR$500"),MATCH("*"&amp;$A11&amp;"*",INDIRECT("'"&amp;MONTH($C11)&amp;"'!$A$4:$A$500"),0),MATCH(AL$8,INDIRECT("'"&amp;MONTH($C11)&amp;"'!$4:$4"),0))),0,INDEX(INDIRECT("'"&amp;MONTH($C11)&amp;"'!$A$4:$AR$500"),MATCH("*"&amp;$A11&amp;"*",INDIRECT("'"&amp;MONTH($C11)&amp;"'!$A$4:$A$500"),0),MATCH(AL$8,INDIRECT("'"&amp;MONTH($C11)&amp;"'!$4:$4"),0))))</f>
        <v>0</v>
      </c>
      <c r="AM11" s="17">
        <f ca="1">IF($C11="итого",SUM(#REF!),IF(ISNA(INDEX(INDIRECT("'"&amp;MONTH($C11)&amp;"'!$A$4:$AR$500"),MATCH("*"&amp;$A11&amp;"*",INDIRECT("'"&amp;MONTH($C11)&amp;"'!$A$4:$A$500"),0),MATCH(AM$8,INDIRECT("'"&amp;MONTH($C11)&amp;"'!$4:$4"),0))),0,INDEX(INDIRECT("'"&amp;MONTH($C11)&amp;"'!$A$4:$AR$500"),MATCH("*"&amp;$A11&amp;"*",INDIRECT("'"&amp;MONTH($C11)&amp;"'!$A$4:$A$500"),0),MATCH(AM$8,INDIRECT("'"&amp;MONTH($C11)&amp;"'!$4:$4"),0))))</f>
        <v>0</v>
      </c>
      <c r="AN11" s="17">
        <f ca="1">IF($C11="итого",SUM(#REF!),IF(ISNA(INDEX(INDIRECT("'"&amp;MONTH($C11)&amp;"'!$A$4:$AR$500"),MATCH("*"&amp;$A11&amp;"*",INDIRECT("'"&amp;MONTH($C11)&amp;"'!$A$4:$A$500"),0),MATCH(AN$8,INDIRECT("'"&amp;MONTH($C11)&amp;"'!$4:$4"),0))),0,INDEX(INDIRECT("'"&amp;MONTH($C11)&amp;"'!$A$4:$AR$500"),MATCH("*"&amp;$A11&amp;"*",INDIRECT("'"&amp;MONTH($C11)&amp;"'!$A$4:$A$500"),0),MATCH(AN$8,INDIRECT("'"&amp;MONTH($C11)&amp;"'!$4:$4"),0))))</f>
        <v>0</v>
      </c>
      <c r="AO11" s="17">
        <f ca="1">IF($C11="итого",SUM(#REF!),IF(ISNA(INDEX(INDIRECT("'"&amp;MONTH($C11)&amp;"'!$A$4:$AR$500"),MATCH("*"&amp;$A11&amp;"*",INDIRECT("'"&amp;MONTH($C11)&amp;"'!$A$4:$A$500"),0),MATCH(AO$8,INDIRECT("'"&amp;MONTH($C11)&amp;"'!$4:$4"),0))),0,INDEX(INDIRECT("'"&amp;MONTH($C11)&amp;"'!$A$4:$AR$500"),MATCH("*"&amp;$A11&amp;"*",INDIRECT("'"&amp;MONTH($C11)&amp;"'!$A$4:$A$500"),0),MATCH(AO$8,INDIRECT("'"&amp;MONTH($C11)&amp;"'!$4:$4"),0))))</f>
        <v>0</v>
      </c>
      <c r="AP11" s="17">
        <f t="shared" ref="AP11" ca="1" si="9">IF($C11="итого",SUM(#REF!),IF(ISNA(INDEX(INDIRECT("'"&amp;MONTH($C11)&amp;"'!$A$4:$AR$500"),MATCH("*"&amp;$A11&amp;"*",INDIRECT("'"&amp;MONTH($C11)&amp;"'!$A$4:$A$500"),0),MATCH(AP$8,INDIRECT("'"&amp;MONTH($C11)&amp;"'!$4:$4"),0))),0,INDEX(INDIRECT("'"&amp;MONTH($C11)&amp;"'!$A$4:$AR$500"),MATCH("*"&amp;$A11&amp;"*",INDIRECT("'"&amp;MONTH($C11)&amp;"'!$A$4:$A$500"),0),MATCH(AP$8,INDIRECT("'"&amp;MONTH($C11)&amp;"'!$4:$4"),0))))</f>
        <v>0</v>
      </c>
    </row>
    <row r="12" spans="1:42" ht="23.25" customHeight="1" x14ac:dyDescent="0.3">
      <c r="A12" s="36" t="str">
        <f>IF(C11="итого",INDEX('список работников с датами приё'!$A$2:$B$282,COUNTIF(C$9:C11,"=итого")+1,1),A11)</f>
        <v>Иванов</v>
      </c>
      <c r="B12" s="41" t="str">
        <f>IF(OR(C11="итого",C11=$C$8),INDEX('список работников с датами приё'!$A$2:$B$282,COUNTIF(C$9:C11,"=итого")+1,2),B11)</f>
        <v>06.05.2014</v>
      </c>
      <c r="C12" s="42">
        <f>IF(AND(C11="итого",'Данные для расчета'!$B$2=EOMONTH('Данные для расчета'!$B$2,0)),EOMONTH(EDATE('Данные для расчета'!$B$2,-11),0),IF(C11="итого",EOMONTH(EDATE('Данные для расчета'!$B$2,-12),0),IF(EDATE(C11,1)&gt;=EDATE('Данные для расчета'!$B$2,0),"итого",EOMONTH(EDATE(C11,1),0))))</f>
        <v>42916</v>
      </c>
      <c r="D12" s="54">
        <f t="array" aca="1" ref="D12" ca="1">IF($C12="итого",SUM(OFFSET(D11,,,-12)),IFERROR(INDEX('список неявок'!$A$4:$I$500,MATCH($A12&amp;$C12,'список неявок'!$A$4:$A$500&amp;'список неявок'!$B$4:$B$500,0),COLUMN(C12)),))</f>
        <v>0</v>
      </c>
      <c r="E12" s="54">
        <f t="array" aca="1" ref="E12" ca="1">IF($C12="итого",SUM(OFFSET(E11,,,-12)),IFERROR(INDEX('список неявок'!$A$4:$I$500,MATCH($A12&amp;$C12,'список неявок'!$A$4:$A$500&amp;'список неявок'!$B$4:$B$500,0),COLUMN(D12)),))</f>
        <v>0</v>
      </c>
      <c r="F12" s="54">
        <f t="array" aca="1" ref="F12" ca="1">IF($C12="итого",SUM(OFFSET(F11,,,-12)),IFERROR(INDEX('список неявок'!$A$4:$I$500,MATCH($A12&amp;$C12,'список неявок'!$A$4:$A$500&amp;'список неявок'!$B$4:$B$500,0),COLUMN(E12)),))</f>
        <v>0</v>
      </c>
      <c r="G12" s="54">
        <f t="array" aca="1" ref="G12" ca="1">IF($C12="итого",SUM(OFFSET(G11,,,-12)),IFERROR(INDEX('список неявок'!$A$4:$I$500,MATCH($A12&amp;$C12,'список неявок'!$A$4:$A$500&amp;'список неявок'!$B$4:$B$500,0),COLUMN(F12)),))</f>
        <v>0</v>
      </c>
      <c r="H12" s="54">
        <f t="array" aca="1" ref="H12" ca="1">IF($C12="итого",SUM(OFFSET(H11,,,-12)),IFERROR(INDEX('список неявок'!$A$4:$I$500,MATCH($A12&amp;$C12,'список неявок'!$A$4:$A$500&amp;'список неявок'!$B$4:$B$500,0),COLUMN(G12)),))</f>
        <v>0</v>
      </c>
      <c r="I12" s="54">
        <f t="array" aca="1" ref="I12" ca="1">IF($C12="итого",SUM(OFFSET(I11,,,-12)),IFERROR(INDEX('список неявок'!$A$4:$I$500,MATCH($A12&amp;$C12,'список неявок'!$A$4:$A$500&amp;'список неявок'!$B$4:$B$500,0),COLUMN(H12)),))</f>
        <v>0</v>
      </c>
      <c r="J12" s="54">
        <f t="array" aca="1" ref="J12" ca="1">IF($C12="итого",SUM(OFFSET(J11,,,-12)),IFERROR(INDEX('список неявок'!$A$4:$I$500,MATCH($A12&amp;$C12,'список неявок'!$A$4:$A$500&amp;'список неявок'!$B$4:$B$500,0),COLUMN(I12)),))</f>
        <v>0</v>
      </c>
      <c r="K12" s="54">
        <f t="shared" ca="1" si="8"/>
        <v>21</v>
      </c>
      <c r="L12" s="55">
        <f t="array" aca="1" ref="L12" ca="1">IF(C12="итого",SUM(OFFSET(L11,,,-12)),NETWORKDAYS.INTL(DATE(YEAR(C12),MONTH(C12),1),C12,,'Данные для расчета'!$M$10:$V$24))</f>
        <v>21</v>
      </c>
      <c r="M12" s="39">
        <f t="array" aca="1" ref="M12" ca="1">IF(C12="итого",SUM(OFFSET(M11,,,-12)),(_xlfn.DAYS(C12,DATE(YEAR(C12),MONTH(C12),1)-1)-SUM(D12:I12))*29.3/(_xlfn.DAYS(C12,DATE(YEAR(C12),MONTH(C12),1)-1)))</f>
        <v>29.3</v>
      </c>
      <c r="N12" s="39"/>
      <c r="O12" s="40" t="str">
        <f>IF(AND(C12="итого",B12=0),0,IF(C12="итого",IF('Данные для расчета'!$B$2+1-DATE(YEAR('Данные для расчета'!$B$2),MONTH('Данные для расчета'!$B$2),DAY(B12+E12+F12+((D12-14)&gt;0)*(D12-14)))&gt;DAY(EOMONTH('Данные для расчета'!$B$2,0))/2,(((YEAR('Данные для расчета'!$B$2)-YEAR(B12+E12+F12+((D12-14)&gt;0)*(D12-14)))*12+MONTH('Данные для расчета'!$B$2)-MONTH(B12+E12+F12+((D12-14)&gt;0)*(D12-14))+1)),((YEAR('Данные для расчета'!$B$2)-YEAR(B12+E12+F12+((D12-14)&gt;0)*(D12-14)))*12+MONTH('Данные для расчета'!$B$2)-MONTH(B12+E12+F12+((D12-14)&gt;0)*(D12-14)))),""))</f>
        <v/>
      </c>
      <c r="P12" s="40" t="str">
        <f>IF(O12=11,12,IF(AND(O12&gt;=5.5,O12&lt;=11,'Данные для расчета'!$A$5=1),12,расчет!O12))</f>
        <v/>
      </c>
      <c r="Q12" s="40" t="str">
        <f>IF(P12="","",P12*28/12-N12-G12)</f>
        <v/>
      </c>
      <c r="R12" s="23">
        <f t="shared" si="1"/>
        <v>0</v>
      </c>
      <c r="S12" s="56">
        <f t="shared" si="2"/>
        <v>0</v>
      </c>
      <c r="T12" s="23">
        <f>IF(C12&lt;'Данные для расчета'!$B$3,1+'Данные для расчета'!$B$4,1)</f>
        <v>1</v>
      </c>
      <c r="U12" s="68">
        <f ca="1">IF($C12="итого",SUM(#REF!),IF(ISNA(INDEX(INDIRECT("'"&amp;MONTH($C12)&amp;"'!$A$4:$AR$500"),MATCH("*"&amp;$A12&amp;"*",INDIRECT("'"&amp;MONTH($C12)&amp;"'!$A$4:$A$500"),0),MATCH(U$8,INDIRECT("'"&amp;MONTH($C12)&amp;"'!$4:$4"),0))),0,INDEX(INDIRECT("'"&amp;MONTH($C12)&amp;"'!$A$4:$AR$500"),MATCH("*"&amp;$A12&amp;"*",INDIRECT("'"&amp;MONTH($C12)&amp;"'!$A$4:$A$500"),0),MATCH(U$8,INDIRECT("'"&amp;MONTH($C12)&amp;"'!$4:$4"),0))))</f>
        <v>61781.2</v>
      </c>
      <c r="V12" s="17">
        <f ca="1">IF($C12="итого",SUM(#REF!),U12-SUM(AC12:AO12))</f>
        <v>61781.2</v>
      </c>
      <c r="W12" s="17">
        <f ca="1">IF($C12="итого",SUM(#REF!),Y12*J12/L12+AB12*(12+1-MONTH('Данные для расчета'!$B$2))/12)</f>
        <v>0</v>
      </c>
      <c r="X12" s="17">
        <f ca="1">IF($C12="итого",SUM(#REF!),(V12+W12)*T12)</f>
        <v>61781.2</v>
      </c>
      <c r="Y12" s="17">
        <f t="array" aca="1" ref="Y12" ca="1">IF($C12="итого",SUM(OFFSET(Y11,,,-12)),IF(ISNA(INDEX(INDIRECT("'"&amp;MONTH($C12)&amp;"'!$A$4:$AR$500"),MATCH("*"&amp;$A12&amp;"*",INDIRECT("'"&amp;MONTH($C12)&amp;"'!$A$4:$A$500"),0),MATCH(Y$8,INDIRECT("'"&amp;MONTH($C12)&amp;"'!$4:$4"),0))),0,INDEX(INDIRECT("'"&amp;MONTH($C12)&amp;"'!$A$4:$AR$500"),MATCH("*"&amp;$A12&amp;"*",INDIRECT("'"&amp;MONTH($C12)&amp;"'!$A$4:$A$500"),0),MATCH(Y$8,INDIRECT("'"&amp;MONTH($C12)&amp;"'!$4:$4"),0))))</f>
        <v>1506.72</v>
      </c>
      <c r="Z12" s="17">
        <f t="shared" ca="1" si="4"/>
        <v>1506.72</v>
      </c>
      <c r="AA12" s="17">
        <f t="shared" ca="1" si="5"/>
        <v>0</v>
      </c>
      <c r="AB12" s="17">
        <f t="shared" ca="1" si="6"/>
        <v>0</v>
      </c>
      <c r="AC12" s="17">
        <f ca="1">IF($C12="итого",SUM(#REF!),IF(ISNA(INDEX(INDIRECT("'"&amp;MONTH($C12)&amp;"'!$A$4:$AR$500"),MATCH("*"&amp;$A12&amp;"*",INDIRECT("'"&amp;MONTH($C12)&amp;"'!$A$4:$A$500"),0),MATCH(AC$8,INDIRECT("'"&amp;MONTH($C12)&amp;"'!$4:$4"),0))),0,INDEX(INDIRECT("'"&amp;MONTH($C12)&amp;"'!$A$4:$AR$500"),MATCH("*"&amp;$A12&amp;"*",INDIRECT("'"&amp;MONTH($C12)&amp;"'!$A$4:$A$500"),0),MATCH(AC$8,INDIRECT("'"&amp;MONTH($C12)&amp;"'!$4:$4"),0))))</f>
        <v>0</v>
      </c>
      <c r="AD12" s="17">
        <f ca="1">IF($C12="итого",SUM(#REF!),IF(ISNA(INDEX(INDIRECT("'"&amp;MONTH($C12)&amp;"'!$A$4:$AR$500"),MATCH("*"&amp;$A12&amp;"*",INDIRECT("'"&amp;MONTH($C12)&amp;"'!$A$4:$A$500"),0),MATCH(AD$8,INDIRECT("'"&amp;MONTH($C12)&amp;"'!$4:$4"),0))),0,INDEX(INDIRECT("'"&amp;MONTH($C12)&amp;"'!$A$4:$AR$500"),MATCH("*"&amp;$A12&amp;"*",INDIRECT("'"&amp;MONTH($C12)&amp;"'!$A$4:$A$500"),0),MATCH(AD$8,INDIRECT("'"&amp;MONTH($C12)&amp;"'!$4:$4"),0))))</f>
        <v>0</v>
      </c>
      <c r="AE12" s="17">
        <f ca="1">IF($C12="итого",SUM(#REF!),IF(ISNA(INDEX(INDIRECT("'"&amp;MONTH($C12)&amp;"'!$A$4:$AR$500"),MATCH("*"&amp;$A12&amp;"*",INDIRECT("'"&amp;MONTH($C12)&amp;"'!$A$4:$A$500"),0),MATCH(AE$8,INDIRECT("'"&amp;MONTH($C12)&amp;"'!$4:$4"),0))),0,INDEX(INDIRECT("'"&amp;MONTH($C12)&amp;"'!$A$4:$AR$500"),MATCH("*"&amp;$A12&amp;"*",INDIRECT("'"&amp;MONTH($C12)&amp;"'!$A$4:$A$500"),0),MATCH(AE$8,INDIRECT("'"&amp;MONTH($C12)&amp;"'!$4:$4"),0))))</f>
        <v>0</v>
      </c>
      <c r="AF12" s="17">
        <f ca="1">IF($C12="итого",SUM(#REF!),IF(ISNA(INDEX(INDIRECT("'"&amp;MONTH($C12)&amp;"'!$A$4:$AR$500"),MATCH("*"&amp;$A12&amp;"*",INDIRECT("'"&amp;MONTH($C12)&amp;"'!$A$4:$A$500"),0),MATCH(AF$8,INDIRECT("'"&amp;MONTH($C12)&amp;"'!$4:$4"),0))),0,INDEX(INDIRECT("'"&amp;MONTH($C12)&amp;"'!$A$4:$AR$500"),MATCH("*"&amp;$A12&amp;"*",INDIRECT("'"&amp;MONTH($C12)&amp;"'!$A$4:$A$500"),0),MATCH(AF$8,INDIRECT("'"&amp;MONTH($C12)&amp;"'!$4:$4"),0))))</f>
        <v>0</v>
      </c>
      <c r="AG12" s="17">
        <f ca="1">IF($C12="итого",SUM(#REF!),IF(ISNA(INDEX(INDIRECT("'"&amp;MONTH($C12)&amp;"'!$A$4:$AR$500"),MATCH("*"&amp;$A12&amp;"*",INDIRECT("'"&amp;MONTH($C12)&amp;"'!$A$4:$A$500"),0),MATCH(AG$8,INDIRECT("'"&amp;MONTH($C12)&amp;"'!$4:$4"),0))),0,INDEX(INDIRECT("'"&amp;MONTH($C12)&amp;"'!$A$4:$AR$500"),MATCH("*"&amp;$A12&amp;"*",INDIRECT("'"&amp;MONTH($C12)&amp;"'!$A$4:$A$500"),0),MATCH(AG$8,INDIRECT("'"&amp;MONTH($C12)&amp;"'!$4:$4"),0))))</f>
        <v>0</v>
      </c>
      <c r="AH12" s="17">
        <f ca="1">IF($C12="итого",SUM(#REF!),IF(ISNA(INDEX(INDIRECT("'"&amp;MONTH($C12)&amp;"'!$A$4:$AR$500"),MATCH("*"&amp;$A12&amp;"*",INDIRECT("'"&amp;MONTH($C12)&amp;"'!$A$4:$A$500"),0),MATCH(AH$8,INDIRECT("'"&amp;MONTH($C12)&amp;"'!$4:$4"),0))),0,INDEX(INDIRECT("'"&amp;MONTH($C12)&amp;"'!$A$4:$AR$500"),MATCH("*"&amp;$A12&amp;"*",INDIRECT("'"&amp;MONTH($C12)&amp;"'!$A$4:$A$500"),0),MATCH(AH$8,INDIRECT("'"&amp;MONTH($C12)&amp;"'!$4:$4"),0))))</f>
        <v>0</v>
      </c>
      <c r="AI12" s="17">
        <f ca="1">IF($C12="итого",SUM(#REF!),IF(ISNA(INDEX(INDIRECT("'"&amp;MONTH($C12)&amp;"'!$A$4:$AR$500"),MATCH("*"&amp;$A12&amp;"*",INDIRECT("'"&amp;MONTH($C12)&amp;"'!$A$4:$A$500"),0),MATCH(AI$8,INDIRECT("'"&amp;MONTH($C12)&amp;"'!$4:$4"),0))),0,INDEX(INDIRECT("'"&amp;MONTH($C12)&amp;"'!$A$4:$AR$500"),MATCH("*"&amp;$A12&amp;"*",INDIRECT("'"&amp;MONTH($C12)&amp;"'!$A$4:$A$500"),0),MATCH(AI$8,INDIRECT("'"&amp;MONTH($C12)&amp;"'!$4:$4"),0))))</f>
        <v>0</v>
      </c>
      <c r="AJ12" s="17">
        <f ca="1">IF($C12="итого",SUM(#REF!),IF(ISNA(INDEX(INDIRECT("'"&amp;MONTH($C12)&amp;"'!$A$4:$AR$500"),MATCH("*"&amp;$A12&amp;"*",INDIRECT("'"&amp;MONTH($C12)&amp;"'!$A$4:$A$500"),0),MATCH(AJ$8,INDIRECT("'"&amp;MONTH($C12)&amp;"'!$4:$4"),0))),0,INDEX(INDIRECT("'"&amp;MONTH($C12)&amp;"'!$A$4:$AR$500"),MATCH("*"&amp;$A12&amp;"*",INDIRECT("'"&amp;MONTH($C12)&amp;"'!$A$4:$A$500"),0),MATCH(AJ$8,INDIRECT("'"&amp;MONTH($C12)&amp;"'!$4:$4"),0))))</f>
        <v>0</v>
      </c>
      <c r="AK12" s="17">
        <f ca="1">IF($C12="итого",SUM(#REF!),IF(ISNA(INDEX(INDIRECT("'"&amp;MONTH($C12)&amp;"'!$A$4:$AR$500"),MATCH("*"&amp;$A12&amp;"*",INDIRECT("'"&amp;MONTH($C12)&amp;"'!$A$4:$A$500"),0),MATCH(AK$8,INDIRECT("'"&amp;MONTH($C12)&amp;"'!$4:$4"),0))),0,INDEX(INDIRECT("'"&amp;MONTH($C12)&amp;"'!$A$4:$AR$500"),MATCH("*"&amp;$A12&amp;"*",INDIRECT("'"&amp;MONTH($C12)&amp;"'!$A$4:$A$500"),0),MATCH(AK$8,INDIRECT("'"&amp;MONTH($C12)&amp;"'!$4:$4"),0))))</f>
        <v>0</v>
      </c>
      <c r="AL12" s="17">
        <f ca="1">IF($C12="итого",SUM(#REF!),IF(ISNA(INDEX(INDIRECT("'"&amp;MONTH($C12)&amp;"'!$A$4:$AR$500"),MATCH("*"&amp;$A12&amp;"*",INDIRECT("'"&amp;MONTH($C12)&amp;"'!$A$4:$A$500"),0),MATCH(AL$8,INDIRECT("'"&amp;MONTH($C12)&amp;"'!$4:$4"),0))),0,INDEX(INDIRECT("'"&amp;MONTH($C12)&amp;"'!$A$4:$AR$500"),MATCH("*"&amp;$A12&amp;"*",INDIRECT("'"&amp;MONTH($C12)&amp;"'!$A$4:$A$500"),0),MATCH(AL$8,INDIRECT("'"&amp;MONTH($C12)&amp;"'!$4:$4"),0))))</f>
        <v>0</v>
      </c>
      <c r="AM12" s="17">
        <f ca="1">IF($C12="итого",SUM(#REF!),IF(ISNA(INDEX(INDIRECT("'"&amp;MONTH($C12)&amp;"'!$A$4:$AR$500"),MATCH("*"&amp;$A12&amp;"*",INDIRECT("'"&amp;MONTH($C12)&amp;"'!$A$4:$A$500"),0),MATCH(AM$8,INDIRECT("'"&amp;MONTH($C12)&amp;"'!$4:$4"),0))),0,INDEX(INDIRECT("'"&amp;MONTH($C12)&amp;"'!$A$4:$AR$500"),MATCH("*"&amp;$A12&amp;"*",INDIRECT("'"&amp;MONTH($C12)&amp;"'!$A$4:$A$500"),0),MATCH(AM$8,INDIRECT("'"&amp;MONTH($C12)&amp;"'!$4:$4"),0))))</f>
        <v>0</v>
      </c>
      <c r="AN12" s="17">
        <f ca="1">IF($C12="итого",SUM(#REF!),IF(ISNA(INDEX(INDIRECT("'"&amp;MONTH($C12)&amp;"'!$A$4:$AR$500"),MATCH("*"&amp;$A12&amp;"*",INDIRECT("'"&amp;MONTH($C12)&amp;"'!$A$4:$A$500"),0),MATCH(AN$8,INDIRECT("'"&amp;MONTH($C12)&amp;"'!$4:$4"),0))),0,INDEX(INDIRECT("'"&amp;MONTH($C12)&amp;"'!$A$4:$AR$500"),MATCH("*"&amp;$A12&amp;"*",INDIRECT("'"&amp;MONTH($C12)&amp;"'!$A$4:$A$500"),0),MATCH(AN$8,INDIRECT("'"&amp;MONTH($C12)&amp;"'!$4:$4"),0))))</f>
        <v>0</v>
      </c>
      <c r="AO12" s="17">
        <f t="shared" ref="AC12:AO27" ca="1" si="10">IF($C12="итого",SUM(#REF!),IF(ISNA(INDEX(INDIRECT("'"&amp;MONTH($C12)&amp;"'!$A$4:$AR$500"),MATCH("*"&amp;$A12&amp;"*",INDIRECT("'"&amp;MONTH($C12)&amp;"'!$A$4:$A$500"),0),MATCH(AO$8,INDIRECT("'"&amp;MONTH($C12)&amp;"'!$4:$4"),0))),0,INDEX(INDIRECT("'"&amp;MONTH($C12)&amp;"'!$A$4:$AR$500"),MATCH("*"&amp;$A12&amp;"*",INDIRECT("'"&amp;MONTH($C12)&amp;"'!$A$4:$A$500"),0),MATCH(AO$8,INDIRECT("'"&amp;MONTH($C12)&amp;"'!$4:$4"),0))))</f>
        <v>0</v>
      </c>
      <c r="AP12" s="17">
        <f t="shared" ref="AP12:AP20" ca="1" si="11">IF($C12="итого",SUM(#REF!),IF(ISNA(INDEX(INDIRECT("'"&amp;MONTH($C12)&amp;"'!$A$4:$AR$500"),MATCH("*"&amp;$A12&amp;"*",INDIRECT("'"&amp;MONTH($C12)&amp;"'!$A$4:$A$500"),0),MATCH(AP$8,INDIRECT("'"&amp;MONTH($C12)&amp;"'!$4:$4"),0))),0,INDEX(INDIRECT("'"&amp;MONTH($C12)&amp;"'!$A$4:$AR$500"),MATCH("*"&amp;$A12&amp;"*",INDIRECT("'"&amp;MONTH($C12)&amp;"'!$A$4:$A$500"),0),MATCH(AP$8,INDIRECT("'"&amp;MONTH($C12)&amp;"'!$4:$4"),0))))</f>
        <v>0</v>
      </c>
    </row>
    <row r="13" spans="1:42" ht="23.25" customHeight="1" x14ac:dyDescent="0.3">
      <c r="A13" s="36" t="str">
        <f>IF(C12="итого",INDEX('список работников с датами приё'!$A$2:$B$282,COUNTIF(C$9:C12,"=итого")+1,1),A12)</f>
        <v>Иванов</v>
      </c>
      <c r="B13" s="41" t="str">
        <f>IF(OR(C12="итого",C12=$C$8),INDEX('список работников с датами приё'!$A$2:$B$282,COUNTIF(C$9:C12,"=итого")+1,2),B12)</f>
        <v>06.05.2014</v>
      </c>
      <c r="C13" s="42">
        <f>IF(AND(C12="итого",'Данные для расчета'!$B$2=EOMONTH('Данные для расчета'!$B$2,0)),EOMONTH(EDATE('Данные для расчета'!$B$2,-11),0),IF(C12="итого",EOMONTH(EDATE('Данные для расчета'!$B$2,-12),0),IF(EDATE(C12,1)&gt;=EDATE('Данные для расчета'!$B$2,0),"итого",EOMONTH(EDATE(C12,1),0))))</f>
        <v>42947</v>
      </c>
      <c r="D13" s="54">
        <f t="array" aca="1" ref="D13" ca="1">IF($C13="итого",SUM(OFFSET(D12,,,-12)),IFERROR(INDEX('список неявок'!$A$4:$I$500,MATCH($A13&amp;$C13,'список неявок'!$A$4:$A$500&amp;'список неявок'!$B$4:$B$500,0),COLUMN(C13)),))</f>
        <v>0</v>
      </c>
      <c r="E13" s="54">
        <f t="array" aca="1" ref="E13" ca="1">IF($C13="итого",SUM(OFFSET(E12,,,-12)),IFERROR(INDEX('список неявок'!$A$4:$I$500,MATCH($A13&amp;$C13,'список неявок'!$A$4:$A$500&amp;'список неявок'!$B$4:$B$500,0),COLUMN(D13)),))</f>
        <v>0</v>
      </c>
      <c r="F13" s="54">
        <f t="array" aca="1" ref="F13" ca="1">IF($C13="итого",SUM(OFFSET(F12,,,-12)),IFERROR(INDEX('список неявок'!$A$4:$I$500,MATCH($A13&amp;$C13,'список неявок'!$A$4:$A$500&amp;'список неявок'!$B$4:$B$500,0),COLUMN(E13)),))</f>
        <v>0</v>
      </c>
      <c r="G13" s="54">
        <f t="array" aca="1" ref="G13" ca="1">IF($C13="итого",SUM(OFFSET(G12,,,-12)),IFERROR(INDEX('список неявок'!$A$4:$I$500,MATCH($A13&amp;$C13,'список неявок'!$A$4:$A$500&amp;'список неявок'!$B$4:$B$500,0),COLUMN(F13)),))</f>
        <v>0</v>
      </c>
      <c r="H13" s="54">
        <f t="array" aca="1" ref="H13" ca="1">IF($C13="итого",SUM(OFFSET(H12,,,-12)),IFERROR(INDEX('список неявок'!$A$4:$I$500,MATCH($A13&amp;$C13,'список неявок'!$A$4:$A$500&amp;'список неявок'!$B$4:$B$500,0),COLUMN(G13)),))</f>
        <v>0</v>
      </c>
      <c r="I13" s="54">
        <f t="array" aca="1" ref="I13" ca="1">IF($C13="итого",SUM(OFFSET(I12,,,-12)),IFERROR(INDEX('список неявок'!$A$4:$I$500,MATCH($A13&amp;$C13,'список неявок'!$A$4:$A$500&amp;'список неявок'!$B$4:$B$500,0),COLUMN(H13)),))</f>
        <v>0</v>
      </c>
      <c r="J13" s="54">
        <f t="array" aca="1" ref="J13" ca="1">IF($C13="итого",SUM(OFFSET(J12,,,-12)),IFERROR(INDEX('список неявок'!$A$4:$I$500,MATCH($A13&amp;$C13,'список неявок'!$A$4:$A$500&amp;'список неявок'!$B$4:$B$500,0),COLUMN(I13)),))</f>
        <v>0</v>
      </c>
      <c r="K13" s="54">
        <f t="shared" ca="1" si="8"/>
        <v>21</v>
      </c>
      <c r="L13" s="55">
        <f t="array" aca="1" ref="L13" ca="1">IF(C13="итого",SUM(OFFSET(L12,,,-12)),NETWORKDAYS.INTL(DATE(YEAR(C13),MONTH(C13),1),C13,,'Данные для расчета'!$M$10:$V$24))</f>
        <v>21</v>
      </c>
      <c r="M13" s="39">
        <f t="array" aca="1" ref="M13" ca="1">IF(C13="итого",SUM(OFFSET(M12,,,-12)),(_xlfn.DAYS(C13,DATE(YEAR(C13),MONTH(C13),1)-1)-SUM(D13:I13))*29.3/(_xlfn.DAYS(C13,DATE(YEAR(C13),MONTH(C13),1)-1)))</f>
        <v>29.3</v>
      </c>
      <c r="N13" s="39"/>
      <c r="O13" s="40" t="str">
        <f>IF(AND(C13="итого",B13=0),0,IF(C13="итого",IF('Данные для расчета'!$B$2+1-DATE(YEAR('Данные для расчета'!$B$2),MONTH('Данные для расчета'!$B$2),DAY(B13+E13+F13+((D13-14)&gt;0)*(D13-14)))&gt;DAY(EOMONTH('Данные для расчета'!$B$2,0))/2,(((YEAR('Данные для расчета'!$B$2)-YEAR(B13+E13+F13+((D13-14)&gt;0)*(D13-14)))*12+MONTH('Данные для расчета'!$B$2)-MONTH(B13+E13+F13+((D13-14)&gt;0)*(D13-14))+1)),((YEAR('Данные для расчета'!$B$2)-YEAR(B13+E13+F13+((D13-14)&gt;0)*(D13-14)))*12+MONTH('Данные для расчета'!$B$2)-MONTH(B13+E13+F13+((D13-14)&gt;0)*(D13-14)))),""))</f>
        <v/>
      </c>
      <c r="P13" s="40" t="str">
        <f>IF(O13=11,12,IF(AND(O13&gt;=5.5,O13&lt;=11,'Данные для расчета'!$A$5=1),12,расчет!O13))</f>
        <v/>
      </c>
      <c r="Q13" s="40" t="str">
        <f t="shared" si="0"/>
        <v/>
      </c>
      <c r="R13" s="23">
        <f t="shared" si="1"/>
        <v>0</v>
      </c>
      <c r="S13" s="56">
        <f t="shared" si="2"/>
        <v>0</v>
      </c>
      <c r="T13" s="23">
        <f>IF(C13&lt;'Данные для расчета'!$B$3,1+'Данные для расчета'!$B$4,1)</f>
        <v>1</v>
      </c>
      <c r="U13" s="68">
        <f t="shared" ref="U13:U46" ca="1" si="12">IF($C13="итого",SUM(U1:U12),IF(ISNA(INDEX(INDIRECT("'"&amp;MONTH($C13)&amp;"'!$A$4:$AR$500"),MATCH("*"&amp;$A13&amp;"*",INDIRECT("'"&amp;MONTH($C13)&amp;"'!$A$4:$A$500"),0),MATCH(U$8,INDIRECT("'"&amp;MONTH($C13)&amp;"'!$4:$4"),0))),0,INDEX(INDIRECT("'"&amp;MONTH($C13)&amp;"'!$A$4:$AR$500"),MATCH("*"&amp;$A13&amp;"*",INDIRECT("'"&amp;MONTH($C13)&amp;"'!$A$4:$A$500"),0),MATCH(U$8,INDIRECT("'"&amp;MONTH($C13)&amp;"'!$4:$4"),0))))</f>
        <v>61781.2</v>
      </c>
      <c r="V13" s="17">
        <f t="shared" ref="V13:V47" ca="1" si="13">IF($C13="итого",SUM(V1:V12),U13-SUM(AC13:AO13))</f>
        <v>61781.2</v>
      </c>
      <c r="W13" s="17">
        <f ca="1">IF($C13="итого",SUM(W1:W12),Y13*J13/L13+AB13*(12+1-MONTH('Данные для расчета'!$B$2))/12)</f>
        <v>0</v>
      </c>
      <c r="X13" s="17">
        <f t="shared" ref="X13:X19" ca="1" si="14">IF($C13="итого",SUM(X1:X12),(V13+W13)*T13)</f>
        <v>61781.2</v>
      </c>
      <c r="Y13" s="17">
        <f t="array" aca="1" ref="Y13" ca="1">IF($C13="итого",SUM(OFFSET(Y12,,,-12)),IF(ISNA(INDEX(INDIRECT("'"&amp;MONTH($C13)&amp;"'!$A$4:$AR$500"),MATCH("*"&amp;$A13&amp;"*",INDIRECT("'"&amp;MONTH($C13)&amp;"'!$A$4:$A$500"),0),MATCH(Y$8,INDIRECT("'"&amp;MONTH($C13)&amp;"'!$4:$4"),0))),0,INDEX(INDIRECT("'"&amp;MONTH($C13)&amp;"'!$A$4:$AR$500"),MATCH("*"&amp;$A13&amp;"*",INDIRECT("'"&amp;MONTH($C13)&amp;"'!$A$4:$A$500"),0),MATCH(Y$8,INDIRECT("'"&amp;MONTH($C13)&amp;"'!$4:$4"),0))))</f>
        <v>1506.72</v>
      </c>
      <c r="Z13" s="17">
        <f t="shared" ca="1" si="4"/>
        <v>1506.72</v>
      </c>
      <c r="AA13" s="17">
        <f t="shared" ca="1" si="5"/>
        <v>0</v>
      </c>
      <c r="AB13" s="17">
        <f t="shared" ca="1" si="6"/>
        <v>0</v>
      </c>
      <c r="AC13" s="17">
        <f t="shared" ca="1" si="10"/>
        <v>0</v>
      </c>
      <c r="AD13" s="17">
        <f t="shared" ca="1" si="10"/>
        <v>0</v>
      </c>
      <c r="AE13" s="17">
        <f t="shared" ca="1" si="10"/>
        <v>0</v>
      </c>
      <c r="AF13" s="17">
        <f t="shared" ca="1" si="10"/>
        <v>0</v>
      </c>
      <c r="AG13" s="17">
        <f t="shared" ca="1" si="10"/>
        <v>0</v>
      </c>
      <c r="AH13" s="17">
        <f t="shared" ca="1" si="10"/>
        <v>0</v>
      </c>
      <c r="AI13" s="17">
        <f t="shared" ca="1" si="10"/>
        <v>0</v>
      </c>
      <c r="AJ13" s="17">
        <f t="shared" ca="1" si="10"/>
        <v>0</v>
      </c>
      <c r="AK13" s="17">
        <f t="shared" ca="1" si="10"/>
        <v>0</v>
      </c>
      <c r="AL13" s="17">
        <f t="shared" ca="1" si="10"/>
        <v>0</v>
      </c>
      <c r="AM13" s="17">
        <f t="shared" ca="1" si="10"/>
        <v>0</v>
      </c>
      <c r="AN13" s="17">
        <f t="shared" ca="1" si="10"/>
        <v>0</v>
      </c>
      <c r="AO13" s="17">
        <f t="shared" ca="1" si="10"/>
        <v>0</v>
      </c>
      <c r="AP13" s="17">
        <f t="shared" ca="1" si="11"/>
        <v>0</v>
      </c>
    </row>
    <row r="14" spans="1:42" ht="23.25" customHeight="1" x14ac:dyDescent="0.3">
      <c r="A14" s="36" t="str">
        <f>IF(C13="итого",INDEX('список работников с датами приё'!$A$2:$B$282,COUNTIF(C$9:C13,"=итого")+1,1),A13)</f>
        <v>Иванов</v>
      </c>
      <c r="B14" s="41" t="str">
        <f>IF(OR(C13="итого",C13=$C$8),INDEX('список работников с датами приё'!$A$2:$B$282,COUNTIF(C$9:C13,"=итого")+1,2),B13)</f>
        <v>06.05.2014</v>
      </c>
      <c r="C14" s="42">
        <f>IF(AND(C13="итого",'Данные для расчета'!$B$2=EOMONTH('Данные для расчета'!$B$2,0)),EOMONTH(EDATE('Данные для расчета'!$B$2,-11),0),IF(C13="итого",EOMONTH(EDATE('Данные для расчета'!$B$2,-12),0),IF(EDATE(C13,1)&gt;=EDATE('Данные для расчета'!$B$2,0),"итого",EOMONTH(EDATE(C13,1),0))))</f>
        <v>42978</v>
      </c>
      <c r="D14" s="54">
        <f t="array" aca="1" ref="D14" ca="1">IF($C14="итого",SUM(OFFSET(D13,,,-12)),IFERROR(INDEX('список неявок'!$A$4:$I$500,MATCH($A14&amp;$C14,'список неявок'!$A$4:$A$500&amp;'список неявок'!$B$4:$B$500,0),COLUMN(C14)),))</f>
        <v>0</v>
      </c>
      <c r="E14" s="54">
        <f t="array" aca="1" ref="E14" ca="1">IF($C14="итого",SUM(OFFSET(E13,,,-12)),IFERROR(INDEX('список неявок'!$A$4:$I$500,MATCH($A14&amp;$C14,'список неявок'!$A$4:$A$500&amp;'список неявок'!$B$4:$B$500,0),COLUMN(D14)),))</f>
        <v>0</v>
      </c>
      <c r="F14" s="54">
        <f t="array" aca="1" ref="F14" ca="1">IF($C14="итого",SUM(OFFSET(F13,,,-12)),IFERROR(INDEX('список неявок'!$A$4:$I$500,MATCH($A14&amp;$C14,'список неявок'!$A$4:$A$500&amp;'список неявок'!$B$4:$B$500,0),COLUMN(E14)),))</f>
        <v>0</v>
      </c>
      <c r="G14" s="54">
        <f t="array" aca="1" ref="G14" ca="1">IF($C14="итого",SUM(OFFSET(G13,,,-12)),IFERROR(INDEX('список неявок'!$A$4:$I$500,MATCH($A14&amp;$C14,'список неявок'!$A$4:$A$500&amp;'список неявок'!$B$4:$B$500,0),COLUMN(F14)),))</f>
        <v>0</v>
      </c>
      <c r="H14" s="54">
        <f t="array" aca="1" ref="H14" ca="1">IF($C14="итого",SUM(OFFSET(H13,,,-12)),IFERROR(INDEX('список неявок'!$A$4:$I$500,MATCH($A14&amp;$C14,'список неявок'!$A$4:$A$500&amp;'список неявок'!$B$4:$B$500,0),COLUMN(G14)),))</f>
        <v>0</v>
      </c>
      <c r="I14" s="54">
        <f t="array" aca="1" ref="I14" ca="1">IF($C14="итого",SUM(OFFSET(I13,,,-12)),IFERROR(INDEX('список неявок'!$A$4:$I$500,MATCH($A14&amp;$C14,'список неявок'!$A$4:$A$500&amp;'список неявок'!$B$4:$B$500,0),COLUMN(H14)),))</f>
        <v>0</v>
      </c>
      <c r="J14" s="54">
        <f t="array" aca="1" ref="J14" ca="1">IF($C14="итого",SUM(OFFSET(J13,,,-12)),IFERROR(INDEX('список неявок'!$A$4:$I$500,MATCH($A14&amp;$C14,'список неявок'!$A$4:$A$500&amp;'список неявок'!$B$4:$B$500,0),COLUMN(I14)),))</f>
        <v>0</v>
      </c>
      <c r="K14" s="54">
        <f ca="1">IF(C14="итого",SUM(OFFSET(K13,,,-12)),IF(J14,J14,L14))</f>
        <v>23</v>
      </c>
      <c r="L14" s="55">
        <f t="array" aca="1" ref="L14" ca="1">IF(C14="итого",SUM(OFFSET(L13,,,-12)),NETWORKDAYS.INTL(DATE(YEAR(C14),MONTH(C14),1),C14,,'Данные для расчета'!$M$10:$V$24))</f>
        <v>23</v>
      </c>
      <c r="M14" s="39">
        <f t="array" aca="1" ref="M14" ca="1">IF(C14="итого",SUM(OFFSET(M13,,,-12)),(_xlfn.DAYS(C14,DATE(YEAR(C14),MONTH(C14),1)-1)-SUM(D14:I14))*29.3/(_xlfn.DAYS(C14,DATE(YEAR(C14),MONTH(C14),1)-1)))</f>
        <v>29.3</v>
      </c>
      <c r="N14" s="39"/>
      <c r="O14" s="40" t="str">
        <f>IF(AND(C14="итого",B14=0),0,IF(C14="итого",IF('Данные для расчета'!$B$2+1-DATE(YEAR('Данные для расчета'!$B$2),MONTH('Данные для расчета'!$B$2),DAY(B14+E14+F14+((D14-14)&gt;0)*(D14-14)))&gt;DAY(EOMONTH('Данные для расчета'!$B$2,0))/2,(((YEAR('Данные для расчета'!$B$2)-YEAR(B14+E14+F14+((D14-14)&gt;0)*(D14-14)))*12+MONTH('Данные для расчета'!$B$2)-MONTH(B14+E14+F14+((D14-14)&gt;0)*(D14-14))+1)),((YEAR('Данные для расчета'!$B$2)-YEAR(B14+E14+F14+((D14-14)&gt;0)*(D14-14)))*12+MONTH('Данные для расчета'!$B$2)-MONTH(B14+E14+F14+((D14-14)&gt;0)*(D14-14)))),""))</f>
        <v/>
      </c>
      <c r="P14" s="40" t="str">
        <f>IF(O14=11,12,IF(AND(O14&gt;=5.5,O14&lt;=11,'Данные для расчета'!$A$5=1),12,расчет!O14))</f>
        <v/>
      </c>
      <c r="Q14" s="40" t="str">
        <f t="shared" si="0"/>
        <v/>
      </c>
      <c r="R14" s="23">
        <f t="shared" si="1"/>
        <v>0</v>
      </c>
      <c r="S14" s="56">
        <f t="shared" si="2"/>
        <v>0</v>
      </c>
      <c r="T14" s="23">
        <f>IF(C14&lt;'Данные для расчета'!$B$3,1+'Данные для расчета'!$B$4,1)</f>
        <v>1</v>
      </c>
      <c r="U14" s="68">
        <f t="shared" ca="1" si="12"/>
        <v>61781.2</v>
      </c>
      <c r="V14" s="17">
        <f t="shared" ca="1" si="13"/>
        <v>61781.2</v>
      </c>
      <c r="W14" s="17">
        <f ca="1">IF($C14="итого",SUM(W2:W13),Y14*J14/L14+AB14*(12+1-MONTH('Данные для расчета'!$B$2))/12)</f>
        <v>0</v>
      </c>
      <c r="X14" s="17">
        <f t="shared" ca="1" si="14"/>
        <v>61781.2</v>
      </c>
      <c r="Y14" s="17">
        <f t="array" aca="1" ref="Y14" ca="1">IF($C14="итого",SUM(OFFSET(Y13,,,-12)),IF(ISNA(INDEX(INDIRECT("'"&amp;MONTH($C14)&amp;"'!$A$4:$AR$500"),MATCH("*"&amp;$A14&amp;"*",INDIRECT("'"&amp;MONTH($C14)&amp;"'!$A$4:$A$500"),0),MATCH(Y$8,INDIRECT("'"&amp;MONTH($C14)&amp;"'!$4:$4"),0))),0,INDEX(INDIRECT("'"&amp;MONTH($C14)&amp;"'!$A$4:$AR$500"),MATCH("*"&amp;$A14&amp;"*",INDIRECT("'"&amp;MONTH($C14)&amp;"'!$A$4:$A$500"),0),MATCH(Y$8,INDIRECT("'"&amp;MONTH($C14)&amp;"'!$4:$4"),0))))</f>
        <v>1506.72</v>
      </c>
      <c r="Z14" s="17">
        <f t="shared" ca="1" si="4"/>
        <v>1506.72</v>
      </c>
      <c r="AA14" s="17">
        <f t="shared" ca="1" si="5"/>
        <v>0</v>
      </c>
      <c r="AB14" s="17">
        <f t="shared" ca="1" si="6"/>
        <v>0</v>
      </c>
      <c r="AC14" s="17">
        <f t="shared" ca="1" si="10"/>
        <v>0</v>
      </c>
      <c r="AD14" s="17">
        <f t="shared" ca="1" si="10"/>
        <v>0</v>
      </c>
      <c r="AE14" s="17">
        <f t="shared" ca="1" si="10"/>
        <v>0</v>
      </c>
      <c r="AF14" s="17">
        <f t="shared" ca="1" si="10"/>
        <v>0</v>
      </c>
      <c r="AG14" s="17">
        <f t="shared" ca="1" si="10"/>
        <v>0</v>
      </c>
      <c r="AH14" s="17">
        <f t="shared" ca="1" si="10"/>
        <v>0</v>
      </c>
      <c r="AI14" s="17">
        <f t="shared" ca="1" si="10"/>
        <v>0</v>
      </c>
      <c r="AJ14" s="17">
        <f t="shared" ca="1" si="10"/>
        <v>0</v>
      </c>
      <c r="AK14" s="17">
        <f t="shared" ca="1" si="10"/>
        <v>0</v>
      </c>
      <c r="AL14" s="17">
        <f t="shared" ca="1" si="10"/>
        <v>0</v>
      </c>
      <c r="AM14" s="17">
        <f t="shared" ca="1" si="10"/>
        <v>0</v>
      </c>
      <c r="AN14" s="17">
        <f t="shared" ca="1" si="10"/>
        <v>0</v>
      </c>
      <c r="AO14" s="17">
        <f t="shared" ca="1" si="10"/>
        <v>0</v>
      </c>
      <c r="AP14" s="17">
        <f t="shared" ca="1" si="11"/>
        <v>0</v>
      </c>
    </row>
    <row r="15" spans="1:42" ht="23.25" customHeight="1" x14ac:dyDescent="0.3">
      <c r="A15" s="36" t="str">
        <f>IF(C14="итого",INDEX('список работников с датами приё'!$A$2:$B$282,COUNTIF(C$9:C14,"=итого")+1,1),A14)</f>
        <v>Иванов</v>
      </c>
      <c r="B15" s="41" t="str">
        <f>IF(OR(C14="итого",C14=$C$8),INDEX('список работников с датами приё'!$A$2:$B$282,COUNTIF(C$9:C14,"=итого")+1,2),B14)</f>
        <v>06.05.2014</v>
      </c>
      <c r="C15" s="42">
        <f>IF(AND(C14="итого",'Данные для расчета'!$B$2=EOMONTH('Данные для расчета'!$B$2,0)),EOMONTH(EDATE('Данные для расчета'!$B$2,-11),0),IF(C14="итого",EOMONTH(EDATE('Данные для расчета'!$B$2,-12),0),IF(EDATE(C14,1)&gt;=EDATE('Данные для расчета'!$B$2,0),"итого",EOMONTH(EDATE(C14,1),0))))</f>
        <v>43008</v>
      </c>
      <c r="D15" s="54">
        <f t="array" aca="1" ref="D15" ca="1">IF($C15="итого",SUM(OFFSET(D14,,,-12)),IFERROR(INDEX('список неявок'!$A$4:$I$500,MATCH($A15&amp;$C15,'список неявок'!$A$4:$A$500&amp;'список неявок'!$B$4:$B$500,0),COLUMN(C15)),))</f>
        <v>3</v>
      </c>
      <c r="E15" s="54">
        <f t="array" aca="1" ref="E15" ca="1">IF($C15="итого",SUM(OFFSET(E14,,,-12)),IFERROR(INDEX('список неявок'!$A$4:$I$500,MATCH($A15&amp;$C15,'список неявок'!$A$4:$A$500&amp;'список неявок'!$B$4:$B$500,0),COLUMN(D15)),))</f>
        <v>4</v>
      </c>
      <c r="F15" s="54">
        <f t="array" aca="1" ref="F15" ca="1">IF($C15="итого",SUM(OFFSET(F14,,,-12)),IFERROR(INDEX('список неявок'!$A$4:$I$500,MATCH($A15&amp;$C15,'список неявок'!$A$4:$A$500&amp;'список неявок'!$B$4:$B$500,0),COLUMN(E15)),))</f>
        <v>5</v>
      </c>
      <c r="G15" s="54">
        <f t="array" aca="1" ref="G15" ca="1">IF($C15="итого",SUM(OFFSET(G14,,,-12)),IFERROR(INDEX('список неявок'!$A$4:$I$500,MATCH($A15&amp;$C15,'список неявок'!$A$4:$A$500&amp;'список неявок'!$B$4:$B$500,0),COLUMN(F15)),))</f>
        <v>6</v>
      </c>
      <c r="H15" s="54">
        <f t="array" aca="1" ref="H15" ca="1">IF($C15="итого",SUM(OFFSET(H14,,,-12)),IFERROR(INDEX('список неявок'!$A$4:$I$500,MATCH($A15&amp;$C15,'список неявок'!$A$4:$A$500&amp;'список неявок'!$B$4:$B$500,0),COLUMN(G15)),))</f>
        <v>7</v>
      </c>
      <c r="I15" s="54">
        <f t="array" aca="1" ref="I15" ca="1">IF($C15="итого",SUM(OFFSET(I14,,,-12)),IFERROR(INDEX('список неявок'!$A$4:$I$500,MATCH($A15&amp;$C15,'список неявок'!$A$4:$A$500&amp;'список неявок'!$B$4:$B$500,0),COLUMN(H15)),))</f>
        <v>8</v>
      </c>
      <c r="J15" s="54">
        <f t="array" aca="1" ref="J15" ca="1">IF($C15="итого",SUM(OFFSET(J14,,,-12)),IFERROR(INDEX('список неявок'!$A$4:$I$500,MATCH($A15&amp;$C15,'список неявок'!$A$4:$A$500&amp;'список неявок'!$B$4:$B$500,0),COLUMN(I15)),))</f>
        <v>9</v>
      </c>
      <c r="K15" s="54">
        <f ca="1">IF(C15="итого",SUM(OFFSET(K14,,,-12)),IF(J15,J15,L15))</f>
        <v>9</v>
      </c>
      <c r="L15" s="55">
        <f t="array" aca="1" ref="L15" ca="1">IF(C15="итого",SUM(OFFSET(L14,,,-12)),NETWORKDAYS.INTL(DATE(YEAR(C15),MONTH(C15),1),C15,,'Данные для расчета'!$M$10:$V$24))</f>
        <v>21</v>
      </c>
      <c r="M15" s="39">
        <f t="array" aca="1" ref="M15" ca="1">IF(C15="итого",SUM(OFFSET(M14,,,-12)),(_xlfn.DAYS(C15,DATE(YEAR(C15),MONTH(C15),1)-1)-SUM(D15:I15))*29.3/(_xlfn.DAYS(C15,DATE(YEAR(C15),MONTH(C15),1)-1)))</f>
        <v>-2.93</v>
      </c>
      <c r="N15" s="39"/>
      <c r="O15" s="40" t="str">
        <f>IF(AND(C15="итого",B15=0),0,IF(C15="итого",IF('Данные для расчета'!$B$2+1-DATE(YEAR('Данные для расчета'!$B$2),MONTH('Данные для расчета'!$B$2),DAY(B15+E15+F15+((D15-14)&gt;0)*(D15-14)))&gt;DAY(EOMONTH('Данные для расчета'!$B$2,0))/2,(((YEAR('Данные для расчета'!$B$2)-YEAR(B15+E15+F15+((D15-14)&gt;0)*(D15-14)))*12+MONTH('Данные для расчета'!$B$2)-MONTH(B15+E15+F15+((D15-14)&gt;0)*(D15-14))+1)),((YEAR('Данные для расчета'!$B$2)-YEAR(B15+E15+F15+((D15-14)&gt;0)*(D15-14)))*12+MONTH('Данные для расчета'!$B$2)-MONTH(B15+E15+F15+((D15-14)&gt;0)*(D15-14)))),""))</f>
        <v/>
      </c>
      <c r="P15" s="40" t="str">
        <f>IF(O15=11,12,IF(AND(O15&gt;=5.5,O15&lt;=11,'Данные для расчета'!$A$5=1),12,расчет!O15))</f>
        <v/>
      </c>
      <c r="Q15" s="40" t="str">
        <f t="shared" si="0"/>
        <v/>
      </c>
      <c r="R15" s="23">
        <f t="shared" si="1"/>
        <v>0</v>
      </c>
      <c r="S15" s="56">
        <f t="shared" si="2"/>
        <v>0</v>
      </c>
      <c r="T15" s="23">
        <f>IF(C15&lt;'Данные для расчета'!$B$3,1+'Данные для расчета'!$B$4,1)</f>
        <v>1</v>
      </c>
      <c r="U15" s="68">
        <f t="shared" ca="1" si="12"/>
        <v>61781.2</v>
      </c>
      <c r="V15" s="17">
        <f t="shared" ca="1" si="13"/>
        <v>61781.2</v>
      </c>
      <c r="W15" s="17">
        <f ca="1">IF($C15="итого",SUM(W3:W14),Y15*J15/L15+AB15*(12+1-MONTH('Данные для расчета'!$B$2))/12)</f>
        <v>645.73714285714289</v>
      </c>
      <c r="X15" s="17">
        <f t="shared" ca="1" si="14"/>
        <v>62426.937142857139</v>
      </c>
      <c r="Y15" s="17">
        <f t="array" aca="1" ref="Y15" ca="1">IF($C15="итого",SUM(OFFSET(Y14,,,-12)),IF(ISNA(INDEX(INDIRECT("'"&amp;MONTH($C15)&amp;"'!$A$4:$AR$500"),MATCH("*"&amp;$A15&amp;"*",INDIRECT("'"&amp;MONTH($C15)&amp;"'!$A$4:$A$500"),0),MATCH(Y$8,INDIRECT("'"&amp;MONTH($C15)&amp;"'!$4:$4"),0))),0,INDEX(INDIRECT("'"&amp;MONTH($C15)&amp;"'!$A$4:$AR$500"),MATCH("*"&amp;$A15&amp;"*",INDIRECT("'"&amp;MONTH($C15)&amp;"'!$A$4:$A$500"),0),MATCH(Y$8,INDIRECT("'"&amp;MONTH($C15)&amp;"'!$4:$4"),0))))</f>
        <v>1506.72</v>
      </c>
      <c r="Z15" s="17">
        <f t="shared" ca="1" si="4"/>
        <v>1506.72</v>
      </c>
      <c r="AA15" s="17">
        <f t="shared" ca="1" si="5"/>
        <v>0</v>
      </c>
      <c r="AB15" s="17">
        <f t="shared" ca="1" si="6"/>
        <v>0</v>
      </c>
      <c r="AC15" s="17">
        <f t="shared" ca="1" si="10"/>
        <v>0</v>
      </c>
      <c r="AD15" s="17">
        <f t="shared" ca="1" si="10"/>
        <v>0</v>
      </c>
      <c r="AE15" s="17">
        <f t="shared" ca="1" si="10"/>
        <v>0</v>
      </c>
      <c r="AF15" s="17">
        <f t="shared" ca="1" si="10"/>
        <v>0</v>
      </c>
      <c r="AG15" s="17">
        <f t="shared" ca="1" si="10"/>
        <v>0</v>
      </c>
      <c r="AH15" s="17">
        <f t="shared" ca="1" si="10"/>
        <v>0</v>
      </c>
      <c r="AI15" s="17">
        <f t="shared" ca="1" si="10"/>
        <v>0</v>
      </c>
      <c r="AJ15" s="17">
        <f t="shared" ca="1" si="10"/>
        <v>0</v>
      </c>
      <c r="AK15" s="17">
        <f t="shared" ca="1" si="10"/>
        <v>0</v>
      </c>
      <c r="AL15" s="17">
        <f t="shared" ca="1" si="10"/>
        <v>0</v>
      </c>
      <c r="AM15" s="17">
        <f t="shared" ca="1" si="10"/>
        <v>0</v>
      </c>
      <c r="AN15" s="17">
        <f t="shared" ca="1" si="10"/>
        <v>0</v>
      </c>
      <c r="AO15" s="17">
        <f t="shared" ca="1" si="10"/>
        <v>0</v>
      </c>
      <c r="AP15" s="17">
        <f t="shared" ca="1" si="11"/>
        <v>0</v>
      </c>
    </row>
    <row r="16" spans="1:42" ht="23.25" customHeight="1" x14ac:dyDescent="0.3">
      <c r="A16" s="36" t="str">
        <f>IF(C15="итого",INDEX('список работников с датами приё'!$A$2:$B$282,COUNTIF(C$9:C15,"=итого")+1,1),A15)</f>
        <v>Иванов</v>
      </c>
      <c r="B16" s="41" t="str">
        <f>IF(OR(C15="итого",C15=$C$8),INDEX('список работников с датами приё'!$A$2:$B$282,COUNTIF(C$9:C15,"=итого")+1,2),B15)</f>
        <v>06.05.2014</v>
      </c>
      <c r="C16" s="42">
        <f>IF(AND(C15="итого",'Данные для расчета'!$B$2=EOMONTH('Данные для расчета'!$B$2,0)),EOMONTH(EDATE('Данные для расчета'!$B$2,-11),0),IF(C15="итого",EOMONTH(EDATE('Данные для расчета'!$B$2,-12),0),IF(EDATE(C15,1)&gt;=EDATE('Данные для расчета'!$B$2,0),"итого",EOMONTH(EDATE(C15,1),0))))</f>
        <v>43039</v>
      </c>
      <c r="D16" s="54">
        <f t="array" aca="1" ref="D16" ca="1">IF($C16="итого",SUM(OFFSET(D15,,,-12)),IFERROR(INDEX('список неявок'!$A$4:$I$500,MATCH($A16&amp;$C16,'список неявок'!$A$4:$A$500&amp;'список неявок'!$B$4:$B$500,0),COLUMN(C16)),))</f>
        <v>0</v>
      </c>
      <c r="E16" s="54">
        <f t="array" aca="1" ref="E16" ca="1">IF($C16="итого",SUM(OFFSET(E15,,,-12)),IFERROR(INDEX('список неявок'!$A$4:$I$500,MATCH($A16&amp;$C16,'список неявок'!$A$4:$A$500&amp;'список неявок'!$B$4:$B$500,0),COLUMN(D16)),))</f>
        <v>0</v>
      </c>
      <c r="F16" s="54">
        <f t="array" aca="1" ref="F16" ca="1">IF($C16="итого",SUM(OFFSET(F15,,,-12)),IFERROR(INDEX('список неявок'!$A$4:$I$500,MATCH($A16&amp;$C16,'список неявок'!$A$4:$A$500&amp;'список неявок'!$B$4:$B$500,0),COLUMN(E16)),))</f>
        <v>0</v>
      </c>
      <c r="G16" s="54">
        <f t="array" aca="1" ref="G16" ca="1">IF($C16="итого",SUM(OFFSET(G15,,,-12)),IFERROR(INDEX('список неявок'!$A$4:$I$500,MATCH($A16&amp;$C16,'список неявок'!$A$4:$A$500&amp;'список неявок'!$B$4:$B$500,0),COLUMN(F16)),))</f>
        <v>0</v>
      </c>
      <c r="H16" s="54">
        <f t="array" aca="1" ref="H16" ca="1">IF($C16="итого",SUM(OFFSET(H15,,,-12)),IFERROR(INDEX('список неявок'!$A$4:$I$500,MATCH($A16&amp;$C16,'список неявок'!$A$4:$A$500&amp;'список неявок'!$B$4:$B$500,0),COLUMN(G16)),))</f>
        <v>0</v>
      </c>
      <c r="I16" s="54">
        <f t="array" aca="1" ref="I16" ca="1">IF($C16="итого",SUM(OFFSET(I15,,,-12)),IFERROR(INDEX('список неявок'!$A$4:$I$500,MATCH($A16&amp;$C16,'список неявок'!$A$4:$A$500&amp;'список неявок'!$B$4:$B$500,0),COLUMN(H16)),))</f>
        <v>0</v>
      </c>
      <c r="J16" s="54">
        <f t="array" aca="1" ref="J16" ca="1">IF($C16="итого",SUM(OFFSET(J15,,,-12)),IFERROR(INDEX('список неявок'!$A$4:$I$500,MATCH($A16&amp;$C16,'список неявок'!$A$4:$A$500&amp;'список неявок'!$B$4:$B$500,0),COLUMN(I16)),))</f>
        <v>0</v>
      </c>
      <c r="K16" s="54">
        <f t="shared" ref="K16:K17" ca="1" si="15">IF(C16="итого",SUM(OFFSET(K15,,,-12)),IF(J16,J16,L16))</f>
        <v>22</v>
      </c>
      <c r="L16" s="55">
        <f t="array" aca="1" ref="L16" ca="1">IF(C16="итого",SUM(OFFSET(L15,,,-12)),NETWORKDAYS.INTL(DATE(YEAR(C16),MONTH(C16),1),C16,,'Данные для расчета'!$M$10:$V$24))</f>
        <v>22</v>
      </c>
      <c r="M16" s="39">
        <f t="array" aca="1" ref="M16" ca="1">IF(C16="итого",SUM(OFFSET(M15,,,-12)),(_xlfn.DAYS(C16,DATE(YEAR(C16),MONTH(C16),1)-1)-SUM(D16:I16))*29.3/(_xlfn.DAYS(C16,DATE(YEAR(C16),MONTH(C16),1)-1)))</f>
        <v>29.3</v>
      </c>
      <c r="N16" s="39"/>
      <c r="O16" s="40" t="str">
        <f>IF(AND(C16="итого",B16=0),0,IF(C16="итого",IF('Данные для расчета'!$B$2+1-DATE(YEAR('Данные для расчета'!$B$2),MONTH('Данные для расчета'!$B$2),DAY(B16+E16+F16+((D16-14)&gt;0)*(D16-14)))&gt;DAY(EOMONTH('Данные для расчета'!$B$2,0))/2,(((YEAR('Данные для расчета'!$B$2)-YEAR(B16+E16+F16+((D16-14)&gt;0)*(D16-14)))*12+MONTH('Данные для расчета'!$B$2)-MONTH(B16+E16+F16+((D16-14)&gt;0)*(D16-14))+1)),((YEAR('Данные для расчета'!$B$2)-YEAR(B16+E16+F16+((D16-14)&gt;0)*(D16-14)))*12+MONTH('Данные для расчета'!$B$2)-MONTH(B16+E16+F16+((D16-14)&gt;0)*(D16-14)))),""))</f>
        <v/>
      </c>
      <c r="P16" s="40" t="str">
        <f>IF(O16=11,12,IF(AND(O16&gt;=5.5,O16&lt;=11,'Данные для расчета'!$A$5=1),12,расчет!O16))</f>
        <v/>
      </c>
      <c r="Q16" s="40" t="str">
        <f t="shared" si="0"/>
        <v/>
      </c>
      <c r="R16" s="23">
        <f t="shared" si="1"/>
        <v>0</v>
      </c>
      <c r="S16" s="56">
        <f t="shared" si="2"/>
        <v>0</v>
      </c>
      <c r="T16" s="23">
        <f>IF(C16&lt;'Данные для расчета'!$B$3,1+'Данные для расчета'!$B$4,1)</f>
        <v>1</v>
      </c>
      <c r="U16" s="68">
        <f t="shared" ca="1" si="12"/>
        <v>61781.2</v>
      </c>
      <c r="V16" s="17">
        <f t="shared" ca="1" si="13"/>
        <v>61781.2</v>
      </c>
      <c r="W16" s="17">
        <f ca="1">IF($C16="итого",SUM(W4:W15),Y16*J16/L16+AB16*(12+1-MONTH('Данные для расчета'!$B$2))/12)</f>
        <v>0</v>
      </c>
      <c r="X16" s="17">
        <f t="shared" ca="1" si="14"/>
        <v>61781.2</v>
      </c>
      <c r="Y16" s="17">
        <f t="array" aca="1" ref="Y16" ca="1">IF($C16="итого",SUM(OFFSET(Y15,,,-12)),IF(ISNA(INDEX(INDIRECT("'"&amp;MONTH($C16)&amp;"'!$A$4:$AR$500"),MATCH("*"&amp;$A16&amp;"*",INDIRECT("'"&amp;MONTH($C16)&amp;"'!$A$4:$A$500"),0),MATCH(Y$8,INDIRECT("'"&amp;MONTH($C16)&amp;"'!$4:$4"),0))),0,INDEX(INDIRECT("'"&amp;MONTH($C16)&amp;"'!$A$4:$AR$500"),MATCH("*"&amp;$A16&amp;"*",INDIRECT("'"&amp;MONTH($C16)&amp;"'!$A$4:$A$500"),0),MATCH(Y$8,INDIRECT("'"&amp;MONTH($C16)&amp;"'!$4:$4"),0))))</f>
        <v>1506.72</v>
      </c>
      <c r="Z16" s="17">
        <f t="shared" ca="1" si="4"/>
        <v>1506.72</v>
      </c>
      <c r="AA16" s="17">
        <f t="shared" ca="1" si="5"/>
        <v>0</v>
      </c>
      <c r="AB16" s="17">
        <f t="shared" ca="1" si="6"/>
        <v>0</v>
      </c>
      <c r="AC16" s="17">
        <f t="shared" ca="1" si="10"/>
        <v>0</v>
      </c>
      <c r="AD16" s="17">
        <f t="shared" ca="1" si="10"/>
        <v>0</v>
      </c>
      <c r="AE16" s="17">
        <f t="shared" ca="1" si="10"/>
        <v>0</v>
      </c>
      <c r="AF16" s="17">
        <f t="shared" ca="1" si="10"/>
        <v>0</v>
      </c>
      <c r="AG16" s="17">
        <f t="shared" ca="1" si="10"/>
        <v>0</v>
      </c>
      <c r="AH16" s="17">
        <f t="shared" ca="1" si="10"/>
        <v>0</v>
      </c>
      <c r="AI16" s="17">
        <f t="shared" ca="1" si="10"/>
        <v>0</v>
      </c>
      <c r="AJ16" s="17">
        <f t="shared" ca="1" si="10"/>
        <v>0</v>
      </c>
      <c r="AK16" s="17">
        <f t="shared" ca="1" si="10"/>
        <v>0</v>
      </c>
      <c r="AL16" s="17">
        <f t="shared" ca="1" si="10"/>
        <v>0</v>
      </c>
      <c r="AM16" s="17">
        <f t="shared" ca="1" si="10"/>
        <v>0</v>
      </c>
      <c r="AN16" s="17">
        <f t="shared" ca="1" si="10"/>
        <v>0</v>
      </c>
      <c r="AO16" s="17">
        <f t="shared" ca="1" si="10"/>
        <v>0</v>
      </c>
      <c r="AP16" s="17">
        <f t="shared" ca="1" si="11"/>
        <v>0</v>
      </c>
    </row>
    <row r="17" spans="1:42" ht="23.25" customHeight="1" x14ac:dyDescent="0.3">
      <c r="A17" s="36" t="str">
        <f>IF(C16="итого",INDEX('список работников с датами приё'!$A$2:$B$282,COUNTIF(C$9:C16,"=итого")+1,1),A16)</f>
        <v>Иванов</v>
      </c>
      <c r="B17" s="41" t="str">
        <f>IF(OR(C16="итого",C16=$C$8),INDEX('список работников с датами приё'!$A$2:$B$282,COUNTIF(C$9:C16,"=итого")+1,2),B16)</f>
        <v>06.05.2014</v>
      </c>
      <c r="C17" s="42">
        <f>IF(AND(C16="итого",'Данные для расчета'!$B$2=EOMONTH('Данные для расчета'!$B$2,0)),EOMONTH(EDATE('Данные для расчета'!$B$2,-11),0),IF(C16="итого",EOMONTH(EDATE('Данные для расчета'!$B$2,-12),0),IF(EDATE(C16,1)&gt;=EDATE('Данные для расчета'!$B$2,0),"итого",EOMONTH(EDATE(C16,1),0))))</f>
        <v>43069</v>
      </c>
      <c r="D17" s="54">
        <f t="array" aca="1" ref="D17" ca="1">IF($C17="итого",SUM(OFFSET(D16,,,-12)),IFERROR(INDEX('список неявок'!$A$4:$I$500,MATCH($A17&amp;$C17,'список неявок'!$A$4:$A$500&amp;'список неявок'!$B$4:$B$500,0),COLUMN(C17)),))</f>
        <v>0</v>
      </c>
      <c r="E17" s="54">
        <f t="array" aca="1" ref="E17" ca="1">IF($C17="итого",SUM(OFFSET(E16,,,-12)),IFERROR(INDEX('список неявок'!$A$4:$I$500,MATCH($A17&amp;$C17,'список неявок'!$A$4:$A$500&amp;'список неявок'!$B$4:$B$500,0),COLUMN(D17)),))</f>
        <v>0</v>
      </c>
      <c r="F17" s="54">
        <f t="array" aca="1" ref="F17" ca="1">IF($C17="итого",SUM(OFFSET(F16,,,-12)),IFERROR(INDEX('список неявок'!$A$4:$I$500,MATCH($A17&amp;$C17,'список неявок'!$A$4:$A$500&amp;'список неявок'!$B$4:$B$500,0),COLUMN(E17)),))</f>
        <v>0</v>
      </c>
      <c r="G17" s="54">
        <f t="array" aca="1" ref="G17" ca="1">IF($C17="итого",SUM(OFFSET(G16,,,-12)),IFERROR(INDEX('список неявок'!$A$4:$I$500,MATCH($A17&amp;$C17,'список неявок'!$A$4:$A$500&amp;'список неявок'!$B$4:$B$500,0),COLUMN(F17)),))</f>
        <v>0</v>
      </c>
      <c r="H17" s="54">
        <f t="array" aca="1" ref="H17" ca="1">IF($C17="итого",SUM(OFFSET(H16,,,-12)),IFERROR(INDEX('список неявок'!$A$4:$I$500,MATCH($A17&amp;$C17,'список неявок'!$A$4:$A$500&amp;'список неявок'!$B$4:$B$500,0),COLUMN(G17)),))</f>
        <v>0</v>
      </c>
      <c r="I17" s="54">
        <f t="array" aca="1" ref="I17" ca="1">IF($C17="итого",SUM(OFFSET(I16,,,-12)),IFERROR(INDEX('список неявок'!$A$4:$I$500,MATCH($A17&amp;$C17,'список неявок'!$A$4:$A$500&amp;'список неявок'!$B$4:$B$500,0),COLUMN(H17)),))</f>
        <v>0</v>
      </c>
      <c r="J17" s="54">
        <f t="array" aca="1" ref="J17" ca="1">IF($C17="итого",SUM(OFFSET(J16,,,-12)),IFERROR(INDEX('список неявок'!$A$4:$I$500,MATCH($A17&amp;$C17,'список неявок'!$A$4:$A$500&amp;'список неявок'!$B$4:$B$500,0),COLUMN(I17)),))</f>
        <v>0</v>
      </c>
      <c r="K17" s="54">
        <f t="shared" ca="1" si="15"/>
        <v>22</v>
      </c>
      <c r="L17" s="55">
        <f t="array" aca="1" ref="L17" ca="1">IF(C17="итого",SUM(OFFSET(L16,,,-12)),NETWORKDAYS.INTL(DATE(YEAR(C17),MONTH(C17),1),C17,,'Данные для расчета'!$M$10:$V$24))</f>
        <v>22</v>
      </c>
      <c r="M17" s="39">
        <f t="array" aca="1" ref="M17" ca="1">IF(C17="итого",SUM(OFFSET(M16,,,-12)),(_xlfn.DAYS(C17,DATE(YEAR(C17),MONTH(C17),1)-1)-SUM(D17:I17))*29.3/(_xlfn.DAYS(C17,DATE(YEAR(C17),MONTH(C17),1)-1)))</f>
        <v>29.3</v>
      </c>
      <c r="N17" s="39"/>
      <c r="O17" s="40" t="str">
        <f>IF(AND(C17="итого",B17=0),0,IF(C17="итого",IF('Данные для расчета'!$B$2+1-DATE(YEAR('Данные для расчета'!$B$2),MONTH('Данные для расчета'!$B$2),DAY(B17+E17+F17+((D17-14)&gt;0)*(D17-14)))&gt;DAY(EOMONTH('Данные для расчета'!$B$2,0))/2,(((YEAR('Данные для расчета'!$B$2)-YEAR(B17+E17+F17+((D17-14)&gt;0)*(D17-14)))*12+MONTH('Данные для расчета'!$B$2)-MONTH(B17+E17+F17+((D17-14)&gt;0)*(D17-14))+1)),((YEAR('Данные для расчета'!$B$2)-YEAR(B17+E17+F17+((D17-14)&gt;0)*(D17-14)))*12+MONTH('Данные для расчета'!$B$2)-MONTH(B17+E17+F17+((D17-14)&gt;0)*(D17-14)))),""))</f>
        <v/>
      </c>
      <c r="P17" s="40" t="str">
        <f>IF(O17=11,12,IF(AND(O17&gt;=5.5,O17&lt;=11,'Данные для расчета'!$A$5=1),12,расчет!O17))</f>
        <v/>
      </c>
      <c r="Q17" s="40" t="str">
        <f t="shared" si="0"/>
        <v/>
      </c>
      <c r="R17" s="23">
        <f t="shared" si="1"/>
        <v>0</v>
      </c>
      <c r="S17" s="56">
        <f t="shared" si="2"/>
        <v>0</v>
      </c>
      <c r="T17" s="23">
        <f>IF(C17&lt;'Данные для расчета'!$B$3,1+'Данные для расчета'!$B$4,1)</f>
        <v>1</v>
      </c>
      <c r="U17" s="68">
        <f t="shared" ca="1" si="12"/>
        <v>61781.2</v>
      </c>
      <c r="V17" s="17">
        <f t="shared" ca="1" si="13"/>
        <v>61781.2</v>
      </c>
      <c r="W17" s="17">
        <f ca="1">IF($C17="итого",SUM(W5:W16),Y17*J17/L17+AB17*(12+1-MONTH('Данные для расчета'!$B$2))/12)</f>
        <v>0</v>
      </c>
      <c r="X17" s="17">
        <f t="shared" ca="1" si="14"/>
        <v>61781.2</v>
      </c>
      <c r="Y17" s="17">
        <f t="array" aca="1" ref="Y17" ca="1">IF($C17="итого",SUM(OFFSET(Y16,,,-12)),IF(ISNA(INDEX(INDIRECT("'"&amp;MONTH($C17)&amp;"'!$A$4:$AR$500"),MATCH("*"&amp;$A17&amp;"*",INDIRECT("'"&amp;MONTH($C17)&amp;"'!$A$4:$A$500"),0),MATCH(Y$8,INDIRECT("'"&amp;MONTH($C17)&amp;"'!$4:$4"),0))),0,INDEX(INDIRECT("'"&amp;MONTH($C17)&amp;"'!$A$4:$AR$500"),MATCH("*"&amp;$A17&amp;"*",INDIRECT("'"&amp;MONTH($C17)&amp;"'!$A$4:$A$500"),0),MATCH(Y$8,INDIRECT("'"&amp;MONTH($C17)&amp;"'!$4:$4"),0))))</f>
        <v>1506.72</v>
      </c>
      <c r="Z17" s="17">
        <f t="shared" ca="1" si="4"/>
        <v>1506.72</v>
      </c>
      <c r="AA17" s="17">
        <f t="shared" ca="1" si="5"/>
        <v>0</v>
      </c>
      <c r="AB17" s="17">
        <f t="shared" ca="1" si="6"/>
        <v>0</v>
      </c>
      <c r="AC17" s="17">
        <f t="shared" ca="1" si="10"/>
        <v>0</v>
      </c>
      <c r="AD17" s="17">
        <f t="shared" ca="1" si="10"/>
        <v>0</v>
      </c>
      <c r="AE17" s="17">
        <f t="shared" ca="1" si="10"/>
        <v>0</v>
      </c>
      <c r="AF17" s="17">
        <f t="shared" ca="1" si="10"/>
        <v>0</v>
      </c>
      <c r="AG17" s="17">
        <f t="shared" ca="1" si="10"/>
        <v>0</v>
      </c>
      <c r="AH17" s="17">
        <f t="shared" ca="1" si="10"/>
        <v>0</v>
      </c>
      <c r="AI17" s="17">
        <f t="shared" ca="1" si="10"/>
        <v>0</v>
      </c>
      <c r="AJ17" s="17">
        <f t="shared" ca="1" si="10"/>
        <v>0</v>
      </c>
      <c r="AK17" s="17">
        <f t="shared" ca="1" si="10"/>
        <v>0</v>
      </c>
      <c r="AL17" s="17">
        <f t="shared" ca="1" si="10"/>
        <v>0</v>
      </c>
      <c r="AM17" s="17">
        <f t="shared" ca="1" si="10"/>
        <v>0</v>
      </c>
      <c r="AN17" s="17">
        <f t="shared" ca="1" si="10"/>
        <v>0</v>
      </c>
      <c r="AO17" s="17">
        <f t="shared" ca="1" si="10"/>
        <v>0</v>
      </c>
      <c r="AP17" s="17">
        <f t="shared" ca="1" si="11"/>
        <v>0</v>
      </c>
    </row>
    <row r="18" spans="1:42" ht="23.25" customHeight="1" x14ac:dyDescent="0.3">
      <c r="A18" s="36" t="str">
        <f>IF(C17="итого",INDEX('список работников с датами приё'!$A$2:$B$282,COUNTIF(C$9:C17,"=итого")+1,1),A17)</f>
        <v>Иванов</v>
      </c>
      <c r="B18" s="41" t="str">
        <f>IF(OR(C17="итого",C17=$C$8),INDEX('список работников с датами приё'!$A$2:$B$282,COUNTIF(C$9:C17,"=итого")+1,2),B17)</f>
        <v>06.05.2014</v>
      </c>
      <c r="C18" s="42">
        <f>IF(AND(C17="итого",'Данные для расчета'!$B$2=EOMONTH('Данные для расчета'!$B$2,0)),EOMONTH(EDATE('Данные для расчета'!$B$2,-11),0),IF(C17="итого",EOMONTH(EDATE('Данные для расчета'!$B$2,-12),0),IF(EDATE(C17,1)&gt;=EDATE('Данные для расчета'!$B$2,0),"итого",EOMONTH(EDATE(C17,1),0))))</f>
        <v>43100</v>
      </c>
      <c r="D18" s="54">
        <f t="array" aca="1" ref="D18" ca="1">IF($C18="итого",SUM(OFFSET(D17,,,-12)),IFERROR(INDEX('список неявок'!$A$4:$I$500,MATCH($A18&amp;$C18,'список неявок'!$A$4:$A$500&amp;'список неявок'!$B$4:$B$500,0),COLUMN(C18)),))</f>
        <v>0</v>
      </c>
      <c r="E18" s="54">
        <f t="array" aca="1" ref="E18" ca="1">IF($C18="итого",SUM(OFFSET(E17,,,-12)),IFERROR(INDEX('список неявок'!$A$4:$I$500,MATCH($A18&amp;$C18,'список неявок'!$A$4:$A$500&amp;'список неявок'!$B$4:$B$500,0),COLUMN(D18)),))</f>
        <v>0</v>
      </c>
      <c r="F18" s="54">
        <f t="array" aca="1" ref="F18" ca="1">IF($C18="итого",SUM(OFFSET(F17,,,-12)),IFERROR(INDEX('список неявок'!$A$4:$I$500,MATCH($A18&amp;$C18,'список неявок'!$A$4:$A$500&amp;'список неявок'!$B$4:$B$500,0),COLUMN(E18)),))</f>
        <v>0</v>
      </c>
      <c r="G18" s="54">
        <f t="array" aca="1" ref="G18" ca="1">IF($C18="итого",SUM(OFFSET(G17,,,-12)),IFERROR(INDEX('список неявок'!$A$4:$I$500,MATCH($A18&amp;$C18,'список неявок'!$A$4:$A$500&amp;'список неявок'!$B$4:$B$500,0),COLUMN(F18)),))</f>
        <v>0</v>
      </c>
      <c r="H18" s="54">
        <f t="array" aca="1" ref="H18" ca="1">IF($C18="итого",SUM(OFFSET(H17,,,-12)),IFERROR(INDEX('список неявок'!$A$4:$I$500,MATCH($A18&amp;$C18,'список неявок'!$A$4:$A$500&amp;'список неявок'!$B$4:$B$500,0),COLUMN(G18)),))</f>
        <v>0</v>
      </c>
      <c r="I18" s="54">
        <f t="array" aca="1" ref="I18" ca="1">IF($C18="итого",SUM(OFFSET(I17,,,-12)),IFERROR(INDEX('список неявок'!$A$4:$I$500,MATCH($A18&amp;$C18,'список неявок'!$A$4:$A$500&amp;'список неявок'!$B$4:$B$500,0),COLUMN(H18)),))</f>
        <v>0</v>
      </c>
      <c r="J18" s="54">
        <f t="array" aca="1" ref="J18" ca="1">IF($C18="итого",SUM(OFFSET(J17,,,-12)),IFERROR(INDEX('список неявок'!$A$4:$I$500,MATCH($A18&amp;$C18,'список неявок'!$A$4:$A$500&amp;'список неявок'!$B$4:$B$500,0),COLUMN(I18)),))</f>
        <v>0</v>
      </c>
      <c r="K18" s="54">
        <f ca="1">IF(C18="итого",SUM(OFFSET(K17,,,-12)),IF(J18,J18,L18))</f>
        <v>21</v>
      </c>
      <c r="L18" s="55">
        <f t="array" aca="1" ref="L18" ca="1">IF(C18="итого",SUM(OFFSET(L17,,,-12)),NETWORKDAYS.INTL(DATE(YEAR(C18),MONTH(C18),1),C18,,'Данные для расчета'!$M$10:$V$24))</f>
        <v>21</v>
      </c>
      <c r="M18" s="39">
        <f t="array" aca="1" ref="M18" ca="1">IF(C18="итого",SUM(OFFSET(M17,,,-12)),(_xlfn.DAYS(C18,DATE(YEAR(C18),MONTH(C18),1)-1)-SUM(D18:I18))*29.3/(_xlfn.DAYS(C18,DATE(YEAR(C18),MONTH(C18),1)-1)))</f>
        <v>29.3</v>
      </c>
      <c r="N18" s="39"/>
      <c r="O18" s="40" t="str">
        <f>IF(AND(C18="итого",B18=0),0,IF(C18="итого",IF('Данные для расчета'!$B$2+1-DATE(YEAR('Данные для расчета'!$B$2),MONTH('Данные для расчета'!$B$2),DAY(B18+E18+F18+((D18-14)&gt;0)*(D18-14)))&gt;DAY(EOMONTH('Данные для расчета'!$B$2,0))/2,(((YEAR('Данные для расчета'!$B$2)-YEAR(B18+E18+F18+((D18-14)&gt;0)*(D18-14)))*12+MONTH('Данные для расчета'!$B$2)-MONTH(B18+E18+F18+((D18-14)&gt;0)*(D18-14))+1)),((YEAR('Данные для расчета'!$B$2)-YEAR(B18+E18+F18+((D18-14)&gt;0)*(D18-14)))*12+MONTH('Данные для расчета'!$B$2)-MONTH(B18+E18+F18+((D18-14)&gt;0)*(D18-14)))),""))</f>
        <v/>
      </c>
      <c r="P18" s="40" t="str">
        <f>IF(O18=11,12,IF(AND(O18&gt;=5.5,O18&lt;=11,'Данные для расчета'!$A$5=1),12,расчет!O18))</f>
        <v/>
      </c>
      <c r="Q18" s="40" t="str">
        <f t="shared" si="0"/>
        <v/>
      </c>
      <c r="R18" s="23">
        <f t="shared" si="1"/>
        <v>0</v>
      </c>
      <c r="S18" s="56">
        <f t="shared" si="2"/>
        <v>0</v>
      </c>
      <c r="T18" s="23">
        <f>IF(C18&lt;'Данные для расчета'!$B$3,1+'Данные для расчета'!$B$4,1)</f>
        <v>1</v>
      </c>
      <c r="U18" s="68">
        <f t="shared" ca="1" si="12"/>
        <v>61781.2</v>
      </c>
      <c r="V18" s="17">
        <f t="shared" ca="1" si="13"/>
        <v>61781.2</v>
      </c>
      <c r="W18" s="17">
        <f ca="1">IF($C18="итого",SUM(W6:W17),Y18*J18/L18+AB18*(12+1-MONTH('Данные для расчета'!$B$2))/12)</f>
        <v>0</v>
      </c>
      <c r="X18" s="17">
        <f t="shared" ca="1" si="14"/>
        <v>61781.2</v>
      </c>
      <c r="Y18" s="17">
        <f t="array" aca="1" ref="Y18" ca="1">IF($C18="итого",SUM(OFFSET(Y17,,,-12)),IF(ISNA(INDEX(INDIRECT("'"&amp;MONTH($C18)&amp;"'!$A$4:$AR$500"),MATCH("*"&amp;$A18&amp;"*",INDIRECT("'"&amp;MONTH($C18)&amp;"'!$A$4:$A$500"),0),MATCH(Y$8,INDIRECT("'"&amp;MONTH($C18)&amp;"'!$4:$4"),0))),0,INDEX(INDIRECT("'"&amp;MONTH($C18)&amp;"'!$A$4:$AR$500"),MATCH("*"&amp;$A18&amp;"*",INDIRECT("'"&amp;MONTH($C18)&amp;"'!$A$4:$A$500"),0),MATCH(Y$8,INDIRECT("'"&amp;MONTH($C18)&amp;"'!$4:$4"),0))))</f>
        <v>1506.72</v>
      </c>
      <c r="Z18" s="17">
        <f t="shared" ca="1" si="4"/>
        <v>1506.72</v>
      </c>
      <c r="AA18" s="17">
        <f t="shared" ca="1" si="5"/>
        <v>0</v>
      </c>
      <c r="AB18" s="17">
        <f t="shared" ca="1" si="6"/>
        <v>0</v>
      </c>
      <c r="AC18" s="17">
        <f t="shared" ca="1" si="10"/>
        <v>0</v>
      </c>
      <c r="AD18" s="17">
        <f t="shared" ca="1" si="10"/>
        <v>0</v>
      </c>
      <c r="AE18" s="17">
        <f t="shared" ca="1" si="10"/>
        <v>0</v>
      </c>
      <c r="AF18" s="17">
        <f t="shared" ca="1" si="10"/>
        <v>0</v>
      </c>
      <c r="AG18" s="17">
        <f t="shared" ca="1" si="10"/>
        <v>0</v>
      </c>
      <c r="AH18" s="17">
        <f t="shared" ca="1" si="10"/>
        <v>0</v>
      </c>
      <c r="AI18" s="17">
        <f t="shared" ca="1" si="10"/>
        <v>0</v>
      </c>
      <c r="AJ18" s="17">
        <f t="shared" ca="1" si="10"/>
        <v>0</v>
      </c>
      <c r="AK18" s="17">
        <f t="shared" ca="1" si="10"/>
        <v>0</v>
      </c>
      <c r="AL18" s="17">
        <f t="shared" ca="1" si="10"/>
        <v>0</v>
      </c>
      <c r="AM18" s="17">
        <f t="shared" ca="1" si="10"/>
        <v>0</v>
      </c>
      <c r="AN18" s="17">
        <f t="shared" ca="1" si="10"/>
        <v>0</v>
      </c>
      <c r="AO18" s="17">
        <f t="shared" ca="1" si="10"/>
        <v>0</v>
      </c>
      <c r="AP18" s="17">
        <f t="shared" ca="1" si="11"/>
        <v>0</v>
      </c>
    </row>
    <row r="19" spans="1:42" ht="23.25" customHeight="1" x14ac:dyDescent="0.3">
      <c r="A19" s="36" t="str">
        <f>IF(C18="итого",INDEX('список работников с датами приё'!$A$2:$B$282,COUNTIF(C$9:C18,"=итого")+1,1),A18)</f>
        <v>Иванов</v>
      </c>
      <c r="B19" s="41" t="str">
        <f>IF(OR(C18="итого",C18=$C$8),INDEX('список работников с датами приё'!$A$2:$B$282,COUNTIF(C$9:C18,"=итого")+1,2),B18)</f>
        <v>06.05.2014</v>
      </c>
      <c r="C19" s="42">
        <f>IF(AND(C18="итого",'Данные для расчета'!$B$2=EOMONTH('Данные для расчета'!$B$2,0)),EOMONTH(EDATE('Данные для расчета'!$B$2,-11),0),IF(C18="итого",EOMONTH(EDATE('Данные для расчета'!$B$2,-12),0),IF(EDATE(C18,1)&gt;=EDATE('Данные для расчета'!$B$2,0),"итого",EOMONTH(EDATE(C18,1),0))))</f>
        <v>43131</v>
      </c>
      <c r="D19" s="54">
        <f t="array" aca="1" ref="D19" ca="1">IF($C19="итого",SUM(OFFSET(D18,,,-12)),IFERROR(INDEX('список неявок'!$A$4:$I$500,MATCH($A19&amp;$C19,'список неявок'!$A$4:$A$500&amp;'список неявок'!$B$4:$B$500,0),COLUMN(C19)),))</f>
        <v>0</v>
      </c>
      <c r="E19" s="54">
        <f t="array" aca="1" ref="E19" ca="1">IF($C19="итого",SUM(OFFSET(E18,,,-12)),IFERROR(INDEX('список неявок'!$A$4:$I$500,MATCH($A19&amp;$C19,'список неявок'!$A$4:$A$500&amp;'список неявок'!$B$4:$B$500,0),COLUMN(D19)),))</f>
        <v>0</v>
      </c>
      <c r="F19" s="54">
        <f t="array" aca="1" ref="F19" ca="1">IF($C19="итого",SUM(OFFSET(F18,,,-12)),IFERROR(INDEX('список неявок'!$A$4:$I$500,MATCH($A19&amp;$C19,'список неявок'!$A$4:$A$500&amp;'список неявок'!$B$4:$B$500,0),COLUMN(E19)),))</f>
        <v>0</v>
      </c>
      <c r="G19" s="54">
        <f t="array" aca="1" ref="G19" ca="1">IF($C19="итого",SUM(OFFSET(G18,,,-12)),IFERROR(INDEX('список неявок'!$A$4:$I$500,MATCH($A19&amp;$C19,'список неявок'!$A$4:$A$500&amp;'список неявок'!$B$4:$B$500,0),COLUMN(F19)),))</f>
        <v>0</v>
      </c>
      <c r="H19" s="54">
        <f t="array" aca="1" ref="H19" ca="1">IF($C19="итого",SUM(OFFSET(H18,,,-12)),IFERROR(INDEX('список неявок'!$A$4:$I$500,MATCH($A19&amp;$C19,'список неявок'!$A$4:$A$500&amp;'список неявок'!$B$4:$B$500,0),COLUMN(G19)),))</f>
        <v>0</v>
      </c>
      <c r="I19" s="54">
        <f t="array" aca="1" ref="I19" ca="1">IF($C19="итого",SUM(OFFSET(I18,,,-12)),IFERROR(INDEX('список неявок'!$A$4:$I$500,MATCH($A19&amp;$C19,'список неявок'!$A$4:$A$500&amp;'список неявок'!$B$4:$B$500,0),COLUMN(H19)),))</f>
        <v>0</v>
      </c>
      <c r="J19" s="54">
        <f t="array" aca="1" ref="J19" ca="1">IF($C19="итого",SUM(OFFSET(J18,,,-12)),IFERROR(INDEX('список неявок'!$A$4:$I$500,MATCH($A19&amp;$C19,'список неявок'!$A$4:$A$500&amp;'список неявок'!$B$4:$B$500,0),COLUMN(I19)),))</f>
        <v>0</v>
      </c>
      <c r="K19" s="54">
        <f ca="1">IF(C19="итого",SUM(OFFSET(K18,,,-12)),IF(J19,J19,L19))</f>
        <v>17</v>
      </c>
      <c r="L19" s="55">
        <f t="array" aca="1" ref="L19" ca="1">IF(C19="итого",SUM(OFFSET(L18,,,-12)),NETWORKDAYS.INTL(DATE(YEAR(C19),MONTH(C19),1),C19,,'Данные для расчета'!$M$10:$V$24))</f>
        <v>17</v>
      </c>
      <c r="M19" s="39">
        <f t="array" aca="1" ref="M19" ca="1">IF(C19="итого",SUM(OFFSET(M18,,,-12)),(_xlfn.DAYS(C19,DATE(YEAR(C19),MONTH(C19),1)-1)-SUM(D19:I19))*29.3/(_xlfn.DAYS(C19,DATE(YEAR(C19),MONTH(C19),1)-1)))</f>
        <v>29.3</v>
      </c>
      <c r="N19" s="39"/>
      <c r="O19" s="40" t="str">
        <f>IF(AND(C19="итого",B19=0),0,IF(C19="итого",IF('Данные для расчета'!$B$2+1-DATE(YEAR('Данные для расчета'!$B$2),MONTH('Данные для расчета'!$B$2),DAY(B19+E19+F19+((D19-14)&gt;0)*(D19-14)))&gt;DAY(EOMONTH('Данные для расчета'!$B$2,0))/2,(((YEAR('Данные для расчета'!$B$2)-YEAR(B19+E19+F19+((D19-14)&gt;0)*(D19-14)))*12+MONTH('Данные для расчета'!$B$2)-MONTH(B19+E19+F19+((D19-14)&gt;0)*(D19-14))+1)),((YEAR('Данные для расчета'!$B$2)-YEAR(B19+E19+F19+((D19-14)&gt;0)*(D19-14)))*12+MONTH('Данные для расчета'!$B$2)-MONTH(B19+E19+F19+((D19-14)&gt;0)*(D19-14)))),""))</f>
        <v/>
      </c>
      <c r="P19" s="40" t="str">
        <f>IF(O19=11,12,IF(AND(O19&gt;=5.5,O19&lt;=11,'Данные для расчета'!$A$5=1),12,расчет!O19))</f>
        <v/>
      </c>
      <c r="Q19" s="40" t="str">
        <f t="shared" si="0"/>
        <v/>
      </c>
      <c r="R19" s="23">
        <f t="shared" si="1"/>
        <v>0</v>
      </c>
      <c r="S19" s="56">
        <f t="shared" si="2"/>
        <v>0</v>
      </c>
      <c r="T19" s="23">
        <f>IF(C19&lt;'Данные для расчета'!$B$3,1+'Данные для расчета'!$B$4,1)</f>
        <v>1</v>
      </c>
      <c r="U19" s="68">
        <f t="shared" ca="1" si="12"/>
        <v>61781.2</v>
      </c>
      <c r="V19" s="17">
        <f t="shared" ca="1" si="13"/>
        <v>61781.2</v>
      </c>
      <c r="W19" s="17">
        <f ca="1">IF($C19="итого",SUM(W7:W18),Y19*J19/L19+AB19*(12+1-MONTH('Данные для расчета'!$B$2))/12)</f>
        <v>0</v>
      </c>
      <c r="X19" s="17">
        <f t="shared" ca="1" si="14"/>
        <v>61781.2</v>
      </c>
      <c r="Y19" s="17">
        <f t="array" aca="1" ref="Y19" ca="1">IF($C19="итого",SUM(OFFSET(Y18,,,-12)),IF(ISNA(INDEX(INDIRECT("'"&amp;MONTH($C19)&amp;"'!$A$4:$AR$500"),MATCH("*"&amp;$A19&amp;"*",INDIRECT("'"&amp;MONTH($C19)&amp;"'!$A$4:$A$500"),0),MATCH(Y$8,INDIRECT("'"&amp;MONTH($C19)&amp;"'!$4:$4"),0))),0,INDEX(INDIRECT("'"&amp;MONTH($C19)&amp;"'!$A$4:$AR$500"),MATCH("*"&amp;$A19&amp;"*",INDIRECT("'"&amp;MONTH($C19)&amp;"'!$A$4:$A$500"),0),MATCH(Y$8,INDIRECT("'"&amp;MONTH($C19)&amp;"'!$4:$4"),0))))</f>
        <v>1506.72</v>
      </c>
      <c r="Z19" s="17">
        <f t="shared" ca="1" si="4"/>
        <v>1506.72</v>
      </c>
      <c r="AA19" s="17">
        <f t="shared" ca="1" si="5"/>
        <v>0</v>
      </c>
      <c r="AB19" s="17">
        <f t="shared" ca="1" si="6"/>
        <v>0</v>
      </c>
      <c r="AC19" s="17">
        <f t="shared" ca="1" si="10"/>
        <v>0</v>
      </c>
      <c r="AD19" s="17">
        <f t="shared" ca="1" si="10"/>
        <v>0</v>
      </c>
      <c r="AE19" s="17">
        <f t="shared" ca="1" si="10"/>
        <v>0</v>
      </c>
      <c r="AF19" s="17">
        <f t="shared" ca="1" si="10"/>
        <v>0</v>
      </c>
      <c r="AG19" s="17">
        <f t="shared" ca="1" si="10"/>
        <v>0</v>
      </c>
      <c r="AH19" s="17">
        <f t="shared" ca="1" si="10"/>
        <v>0</v>
      </c>
      <c r="AI19" s="17">
        <f t="shared" ca="1" si="10"/>
        <v>0</v>
      </c>
      <c r="AJ19" s="17">
        <f t="shared" ca="1" si="10"/>
        <v>0</v>
      </c>
      <c r="AK19" s="17">
        <f t="shared" ca="1" si="10"/>
        <v>0</v>
      </c>
      <c r="AL19" s="17">
        <f t="shared" ca="1" si="10"/>
        <v>0</v>
      </c>
      <c r="AM19" s="17">
        <f t="shared" ca="1" si="10"/>
        <v>0</v>
      </c>
      <c r="AN19" s="17">
        <f t="shared" ca="1" si="10"/>
        <v>0</v>
      </c>
      <c r="AO19" s="17">
        <f t="shared" ca="1" si="10"/>
        <v>0</v>
      </c>
      <c r="AP19" s="17">
        <f t="shared" ca="1" si="11"/>
        <v>0</v>
      </c>
    </row>
    <row r="20" spans="1:42" ht="23.25" customHeight="1" x14ac:dyDescent="0.3">
      <c r="A20" s="36" t="str">
        <f>IF(C19="итого",INDEX('список работников с датами приё'!$A$2:$B$282,COUNTIF(C$9:C19,"=итого")+1,1),A19)</f>
        <v>Иванов</v>
      </c>
      <c r="B20" s="41" t="str">
        <f>IF(OR(C19="итого",C19=$C$8),INDEX('список работников с датами приё'!$A$2:$B$282,COUNTIF(C$9:C19,"=итого")+1,2),B19)</f>
        <v>06.05.2014</v>
      </c>
      <c r="C20" s="42">
        <f>IF(AND(C19="итого",'Данные для расчета'!$B$2=EOMONTH('Данные для расчета'!$B$2,0)),EOMONTH(EDATE('Данные для расчета'!$B$2,-11),0),IF(C19="итого",EOMONTH(EDATE('Данные для расчета'!$B$2,-12),0),IF(EDATE(C19,1)&gt;=EDATE('Данные для расчета'!$B$2,0),"итого",EOMONTH(EDATE(C19,1),0))))</f>
        <v>43159</v>
      </c>
      <c r="D20" s="54">
        <f t="array" aca="1" ref="D20" ca="1">IF($C20="итого",SUM(OFFSET(D19,,,-12)),IFERROR(INDEX('список неявок'!$A$4:$I$500,MATCH($A20&amp;$C20,'список неявок'!$A$4:$A$500&amp;'список неявок'!$B$4:$B$500,0),COLUMN(C20)),))</f>
        <v>0</v>
      </c>
      <c r="E20" s="54">
        <f t="array" aca="1" ref="E20" ca="1">IF($C20="итого",SUM(OFFSET(E19,,,-12)),IFERROR(INDEX('список неявок'!$A$4:$I$500,MATCH($A20&amp;$C20,'список неявок'!$A$4:$A$500&amp;'список неявок'!$B$4:$B$500,0),COLUMN(D20)),))</f>
        <v>0</v>
      </c>
      <c r="F20" s="54">
        <f t="array" aca="1" ref="F20" ca="1">IF($C20="итого",SUM(OFFSET(F19,,,-12)),IFERROR(INDEX('список неявок'!$A$4:$I$500,MATCH($A20&amp;$C20,'список неявок'!$A$4:$A$500&amp;'список неявок'!$B$4:$B$500,0),COLUMN(E20)),))</f>
        <v>0</v>
      </c>
      <c r="G20" s="54">
        <f t="array" aca="1" ref="G20" ca="1">IF($C20="итого",SUM(OFFSET(G19,,,-12)),IFERROR(INDEX('список неявок'!$A$4:$I$500,MATCH($A20&amp;$C20,'список неявок'!$A$4:$A$500&amp;'список неявок'!$B$4:$B$500,0),COLUMN(F20)),))</f>
        <v>0</v>
      </c>
      <c r="H20" s="54">
        <f t="array" aca="1" ref="H20" ca="1">IF($C20="итого",SUM(OFFSET(H19,,,-12)),IFERROR(INDEX('список неявок'!$A$4:$I$500,MATCH($A20&amp;$C20,'список неявок'!$A$4:$A$500&amp;'список неявок'!$B$4:$B$500,0),COLUMN(G20)),))</f>
        <v>0</v>
      </c>
      <c r="I20" s="54">
        <f t="array" aca="1" ref="I20" ca="1">IF($C20="итого",SUM(OFFSET(I19,,,-12)),IFERROR(INDEX('список неявок'!$A$4:$I$500,MATCH($A20&amp;$C20,'список неявок'!$A$4:$A$500&amp;'список неявок'!$B$4:$B$500,0),COLUMN(H20)),))</f>
        <v>0</v>
      </c>
      <c r="J20" s="54">
        <f t="array" aca="1" ref="J20" ca="1">IF($C20="итого",SUM(OFFSET(J19,,,-12)),IFERROR(INDEX('список неявок'!$A$4:$I$500,MATCH($A20&amp;$C20,'список неявок'!$A$4:$A$500&amp;'список неявок'!$B$4:$B$500,0),COLUMN(I20)),))</f>
        <v>0</v>
      </c>
      <c r="K20" s="54">
        <f t="shared" ref="K20" ca="1" si="16">IF(C20="итого",SUM(OFFSET(K19,,,-12)),IF(J20,J20,L20))</f>
        <v>19</v>
      </c>
      <c r="L20" s="55">
        <f t="array" aca="1" ref="L20" ca="1">IF(C20="итого",SUM(OFFSET(L19,,,-12)),NETWORKDAYS.INTL(DATE(YEAR(C20),MONTH(C20),1),C20,,'Данные для расчета'!$M$10:$V$24))</f>
        <v>19</v>
      </c>
      <c r="M20" s="39">
        <f t="array" aca="1" ref="M20" ca="1">IF(C20="итого",SUM(OFFSET(M19,,,-12)),(_xlfn.DAYS(C20,DATE(YEAR(C20),MONTH(C20),1)-1)-SUM(D20:I20))*29.3/(_xlfn.DAYS(C20,DATE(YEAR(C20),MONTH(C20),1)-1)))</f>
        <v>29.3</v>
      </c>
      <c r="N20" s="39"/>
      <c r="O20" s="40" t="str">
        <f>IF(AND(C20="итого",B20=0),0,IF(C20="итого",IF('Данные для расчета'!$B$2+1-DATE(YEAR('Данные для расчета'!$B$2),MONTH('Данные для расчета'!$B$2),DAY(B20+E20+F20+((D20-14)&gt;0)*(D20-14)))&gt;DAY(EOMONTH('Данные для расчета'!$B$2,0))/2,(((YEAR('Данные для расчета'!$B$2)-YEAR(B20+E20+F20+((D20-14)&gt;0)*(D20-14)))*12+MONTH('Данные для расчета'!$B$2)-MONTH(B20+E20+F20+((D20-14)&gt;0)*(D20-14))+1)),((YEAR('Данные для расчета'!$B$2)-YEAR(B20+E20+F20+((D20-14)&gt;0)*(D20-14)))*12+MONTH('Данные для расчета'!$B$2)-MONTH(B20+E20+F20+((D20-14)&gt;0)*(D20-14)))),""))</f>
        <v/>
      </c>
      <c r="P20" s="40" t="str">
        <f>IF(O20=11,12,IF(AND(O20&gt;=5.5,O20&lt;=11,'Данные для расчета'!$A$5=1),12,расчет!O20))</f>
        <v/>
      </c>
      <c r="Q20" s="40" t="str">
        <f t="shared" si="0"/>
        <v/>
      </c>
      <c r="R20" s="23">
        <f t="shared" si="1"/>
        <v>0</v>
      </c>
      <c r="S20" s="56">
        <f t="shared" si="2"/>
        <v>0</v>
      </c>
      <c r="T20" s="23">
        <f>IF(C20&lt;'Данные для расчета'!$B$3,1+'Данные для расчета'!$B$4,1)</f>
        <v>1</v>
      </c>
      <c r="U20" s="68">
        <f t="shared" ca="1" si="12"/>
        <v>61781.2</v>
      </c>
      <c r="V20" s="17">
        <f t="shared" ca="1" si="13"/>
        <v>61781.2</v>
      </c>
      <c r="W20" s="17">
        <f ca="1">IF($C20="итого",SUM(W8:W19),Y20*J20/L20+AB20*(12+1-MONTH('Данные для расчета'!$B$2))/12)</f>
        <v>0</v>
      </c>
      <c r="X20" s="17">
        <f ca="1">IF($C20="итого",SUM(X8:X19),(V20+W20)*T20)</f>
        <v>61781.2</v>
      </c>
      <c r="Y20" s="17">
        <f t="array" aca="1" ref="Y20" ca="1">IF($C20="итого",SUM(OFFSET(Y19,,,-12)),IF(ISNA(INDEX(INDIRECT("'"&amp;MONTH($C20)&amp;"'!$A$4:$AR$500"),MATCH("*"&amp;$A20&amp;"*",INDIRECT("'"&amp;MONTH($C20)&amp;"'!$A$4:$A$500"),0),MATCH(Y$8,INDIRECT("'"&amp;MONTH($C20)&amp;"'!$4:$4"),0))),0,INDEX(INDIRECT("'"&amp;MONTH($C20)&amp;"'!$A$4:$AR$500"),MATCH("*"&amp;$A20&amp;"*",INDIRECT("'"&amp;MONTH($C20)&amp;"'!$A$4:$A$500"),0),MATCH(Y$8,INDIRECT("'"&amp;MONTH($C20)&amp;"'!$4:$4"),0))))</f>
        <v>1506.72</v>
      </c>
      <c r="Z20" s="17">
        <f t="shared" ref="Z10:Z46" ca="1" si="17">IF($C20="итого",SUM(OFFSET(Z19,,,-12)),IF(ISNA(INDEX(INDIRECT("'"&amp;MONTH($C20)&amp;"'!$A$4:$AR$500"),MATCH("*"&amp;$A20&amp;"*",INDIRECT("'"&amp;MONTH($C20)&amp;"'!$A$4:$A$500"),0),MATCH(Z$8,INDIRECT("'"&amp;MONTH($C20)&amp;"'!$4:$4"),0))),0,INDEX(INDIRECT("'"&amp;MONTH($C20)&amp;"'!$A$4:$AR$500"),MATCH("*"&amp;$A20&amp;"*",INDIRECT("'"&amp;MONTH($C20)&amp;"'!$A$4:$A$500"),0),MATCH(Z$8,INDIRECT("'"&amp;MONTH($C20)&amp;"'!$4:$4"),0))))</f>
        <v>1506.72</v>
      </c>
      <c r="AA20" s="17">
        <f t="shared" ca="1" si="5"/>
        <v>0</v>
      </c>
      <c r="AB20" s="17">
        <f t="shared" ca="1" si="6"/>
        <v>0</v>
      </c>
      <c r="AC20" s="17">
        <f t="shared" ca="1" si="10"/>
        <v>0</v>
      </c>
      <c r="AD20" s="17">
        <f t="shared" ca="1" si="10"/>
        <v>0</v>
      </c>
      <c r="AE20" s="17">
        <f t="shared" ca="1" si="10"/>
        <v>0</v>
      </c>
      <c r="AF20" s="17">
        <f t="shared" ca="1" si="10"/>
        <v>0</v>
      </c>
      <c r="AG20" s="17">
        <f t="shared" ca="1" si="10"/>
        <v>0</v>
      </c>
      <c r="AH20" s="17">
        <f t="shared" ca="1" si="10"/>
        <v>0</v>
      </c>
      <c r="AI20" s="17">
        <f t="shared" ca="1" si="10"/>
        <v>0</v>
      </c>
      <c r="AJ20" s="17">
        <f t="shared" ca="1" si="10"/>
        <v>0</v>
      </c>
      <c r="AK20" s="17">
        <f t="shared" ca="1" si="10"/>
        <v>0</v>
      </c>
      <c r="AL20" s="17">
        <f t="shared" ca="1" si="10"/>
        <v>0</v>
      </c>
      <c r="AM20" s="17">
        <f t="shared" ca="1" si="10"/>
        <v>0</v>
      </c>
      <c r="AN20" s="17">
        <f t="shared" ca="1" si="10"/>
        <v>0</v>
      </c>
      <c r="AO20" s="17">
        <f t="shared" ca="1" si="10"/>
        <v>0</v>
      </c>
      <c r="AP20" s="17">
        <f t="shared" ca="1" si="11"/>
        <v>0</v>
      </c>
    </row>
    <row r="21" spans="1:42" ht="23.25" customHeight="1" x14ac:dyDescent="0.3">
      <c r="A21" s="36" t="str">
        <f>IF(C20="итого",INDEX('список работников с датами приё'!$A$2:$B$282,COUNTIF(C$9:C20,"=итого")+1,1),A20)</f>
        <v>Иванов</v>
      </c>
      <c r="B21" s="41" t="str">
        <f>IF(OR(C20="итого",C20=$C$8),INDEX('список работников с датами приё'!$A$2:$B$282,COUNTIF(C$9:C20,"=итого")+1,2),B20)</f>
        <v>06.05.2014</v>
      </c>
      <c r="C21" s="42" t="str">
        <f>IF(AND(C20="итого",'Данные для расчета'!$B$2=EOMONTH('Данные для расчета'!$B$2,0)),EOMONTH(EDATE('Данные для расчета'!$B$2,-11),0),IF(C20="итого",EOMONTH(EDATE('Данные для расчета'!$B$2,-12),0),IF(EDATE(C20,1)&gt;=EDATE('Данные для расчета'!$B$2,0),"итого",EOMONTH(EDATE(C20,1),0))))</f>
        <v>итого</v>
      </c>
      <c r="D21" s="54">
        <f t="array" aca="1" ref="D21" ca="1">IF($C21="итого",SUM(OFFSET(D20,,,-12)),IFERROR(INDEX('список неявок'!$A$4:$I$500,MATCH($A21&amp;$C21,'список неявок'!$A$4:$A$500&amp;'список неявок'!$B$4:$B$500,0),COLUMN(C21)),))</f>
        <v>3</v>
      </c>
      <c r="E21" s="54">
        <f t="array" aca="1" ref="E21" ca="1">IF($C21="итого",SUM(OFFSET(E20,,,-12)),IFERROR(INDEX('список неявок'!$A$4:$I$500,MATCH($A21&amp;$C21,'список неявок'!$A$4:$A$500&amp;'список неявок'!$B$4:$B$500,0),COLUMN(D21)),))</f>
        <v>4</v>
      </c>
      <c r="F21" s="54">
        <f t="array" aca="1" ref="F21" ca="1">IF($C21="итого",SUM(OFFSET(F20,,,-12)),IFERROR(INDEX('список неявок'!$A$4:$I$500,MATCH($A21&amp;$C21,'список неявок'!$A$4:$A$500&amp;'список неявок'!$B$4:$B$500,0),COLUMN(E21)),))</f>
        <v>5</v>
      </c>
      <c r="G21" s="54">
        <f t="array" aca="1" ref="G21" ca="1">IF($C21="итого",SUM(OFFSET(G20,,,-12)),IFERROR(INDEX('список неявок'!$A$4:$I$500,MATCH($A21&amp;$C21,'список неявок'!$A$4:$A$500&amp;'список неявок'!$B$4:$B$500,0),COLUMN(F21)),))</f>
        <v>6</v>
      </c>
      <c r="H21" s="54">
        <f t="array" aca="1" ref="H21" ca="1">IF($C21="итого",SUM(OFFSET(H20,,,-12)),IFERROR(INDEX('список неявок'!$A$4:$I$500,MATCH($A21&amp;$C21,'список неявок'!$A$4:$A$500&amp;'список неявок'!$B$4:$B$500,0),COLUMN(G21)),))</f>
        <v>7</v>
      </c>
      <c r="I21" s="54">
        <f t="array" aca="1" ref="I21" ca="1">IF($C21="итого",SUM(OFFSET(I20,,,-12)),IFERROR(INDEX('список неявок'!$A$4:$I$500,MATCH($A21&amp;$C21,'список неявок'!$A$4:$A$500&amp;'список неявок'!$B$4:$B$500,0),COLUMN(H21)),))</f>
        <v>8</v>
      </c>
      <c r="J21" s="54">
        <f t="array" aca="1" ref="J21" ca="1">IF($C21="итого",SUM(OFFSET(J20,,,-12)),IFERROR(INDEX('список неявок'!$A$4:$I$500,MATCH($A21&amp;$C21,'список неявок'!$A$4:$A$500&amp;'список неявок'!$B$4:$B$500,0),COLUMN(I21)),))</f>
        <v>9</v>
      </c>
      <c r="K21" s="54">
        <f ca="1">IF(C21="итого",SUM(OFFSET(K20,,,-12)),IF(J21,J21,L21))</f>
        <v>238</v>
      </c>
      <c r="L21" s="55">
        <f t="array" aca="1" ref="L21" ca="1">IF(C21="итого",SUM(OFFSET(L20,,,-12)),NETWORKDAYS.INTL(DATE(YEAR(C21),MONTH(C21),1),C21,,'Данные для расчета'!$M$10:$V$24))</f>
        <v>250</v>
      </c>
      <c r="M21" s="39">
        <f t="array" aca="1" ref="M21" ca="1">IF(C21="итого",SUM(OFFSET(M20,,,-12)),(_xlfn.DAYS(C21,DATE(YEAR(C21),MONTH(C21),1)-1)-SUM(D21:I21))*29.3/(_xlfn.DAYS(C21,DATE(YEAR(C21),MONTH(C21),1)-1)))</f>
        <v>319.37000000000006</v>
      </c>
      <c r="N21" s="39">
        <v>40</v>
      </c>
      <c r="O21" s="40">
        <f ca="1">IF(AND(C21="итого",B21=0),0,IF(C21="итого",IF('Данные для расчета'!$B$2+1-DATE(YEAR('Данные для расчета'!$B$2),MONTH('Данные для расчета'!$B$2),DAY(B21+E21+F21+((D21-14)&gt;0)*(D21-14)))&gt;DAY(EOMONTH('Данные для расчета'!$B$2,0))/2,(((YEAR('Данные для расчета'!$B$2)-YEAR(B21+E21+F21+((D21-14)&gt;0)*(D21-14)))*12+MONTH('Данные для расчета'!$B$2)-MONTH(B21+E21+F21+((D21-14)&gt;0)*(D21-14))+1)),((YEAR('Данные для расчета'!$B$2)-YEAR(B21+E21+F21+((D21-14)&gt;0)*(D21-14)))*12+MONTH('Данные для расчета'!$B$2)-MONTH(B21+E21+F21+((D21-14)&gt;0)*(D21-14)))),""))</f>
        <v>46</v>
      </c>
      <c r="P21" s="40">
        <f ca="1">IF(O21=11,12,IF(AND(O21&gt;=5.5,O21&lt;=11,'Данные для расчета'!$A$5=1),12,расчет!O21))</f>
        <v>46</v>
      </c>
      <c r="Q21" s="40">
        <f ca="1">IF(P21="","",P21*28/12-N21-G21)</f>
        <v>61.333333333333329</v>
      </c>
      <c r="R21" s="23">
        <f ca="1">IF($C21="итого",X21/M21,0)</f>
        <v>2313.9515206276633</v>
      </c>
      <c r="S21" s="56">
        <f t="shared" ca="1" si="2"/>
        <v>141922.35999999999</v>
      </c>
      <c r="T21" s="23">
        <f>IF(C21&lt;'Данные для расчета'!$B$3,1+'Данные для расчета'!$B$4,1)</f>
        <v>1</v>
      </c>
      <c r="U21" s="69">
        <f ca="1">IF($C21="итого",SUM(U9:U20),IF(ISNA(INDEX(INDIRECT("'"&amp;MONTH($C21)&amp;"'!$A$4:$AR$500"),MATCH("*"&amp;$A21&amp;"*",INDIRECT("'"&amp;MONTH($C21)&amp;"'!$A$4:$A$500"),0),MATCH(U$8,INDIRECT("'"&amp;MONTH($C21)&amp;"'!$4:$4"),0))),0,INDEX(INDIRECT("'"&amp;MONTH($C21)&amp;"'!$A$4:$AR$500"),MATCH("*"&amp;$A21&amp;"*",INDIRECT("'"&amp;MONTH($C21)&amp;"'!$A$4:$A$500"),0),MATCH(U$8,INDIRECT("'"&amp;MONTH($C21)&amp;"'!$4:$4"),0))))</f>
        <v>741374.39999999991</v>
      </c>
      <c r="V21" s="15">
        <f t="shared" ca="1" si="13"/>
        <v>738360.95999999985</v>
      </c>
      <c r="W21" s="15">
        <f ca="1">IF($C21="итого",SUM(W9:W20),Y21*K21/L21+AB21*(12+1-MONTH('Данные для расчета'!$B$2))/12)</f>
        <v>645.73714285714289</v>
      </c>
      <c r="X21" s="15">
        <f ca="1">IF($C21="итого",SUM(X9:X20),(V21+W21)*T21)</f>
        <v>739006.69714285701</v>
      </c>
      <c r="Y21" s="15">
        <f t="array" aca="1" ref="Y21" ca="1">IF($C21="итого",SUM(OFFSET(Y20,,,-12)),IF(ISNA(INDEX(INDIRECT("'"&amp;MONTH($C21)&amp;"'!$A$4:$AR$500"),MATCH("*"&amp;$A21&amp;"*",INDIRECT("'"&amp;MONTH($C21)&amp;"'!$A$4:$A$500"),0),MATCH(Y$8,INDIRECT("'"&amp;MONTH($C21)&amp;"'!$4:$4"),0))),0,INDEX(INDIRECT("'"&amp;MONTH($C21)&amp;"'!$A$4:$AR$500"),MATCH("*"&amp;$A21&amp;"*",INDIRECT("'"&amp;MONTH($C21)&amp;"'!$A$4:$A$500"),0),MATCH(Y$8,INDIRECT("'"&amp;MONTH($C21)&amp;"'!$4:$4"),0))))</f>
        <v>18080.64</v>
      </c>
      <c r="Z21" s="15">
        <f t="shared" ca="1" si="17"/>
        <v>18080.64</v>
      </c>
      <c r="AA21" s="15">
        <f t="shared" ca="1" si="5"/>
        <v>0</v>
      </c>
      <c r="AB21" s="15">
        <f t="shared" ca="1" si="6"/>
        <v>0</v>
      </c>
      <c r="AC21" s="15">
        <f t="shared" ref="AC21:AO21" ca="1" si="18">IF($C21="итого",SUM(AC9:AC20),IF(ISNA(INDEX(INDIRECT("'"&amp;MONTH($C21)&amp;"'!$A$4:$AR$500"),MATCH("*"&amp;$A21&amp;"*",INDIRECT("'"&amp;MONTH($C21)&amp;"'!$A$4:$A$500"),0),MATCH(AC$8,INDIRECT("'"&amp;MONTH($C21)&amp;"'!$4:$4"),0))),0,INDEX(INDIRECT("'"&amp;MONTH($C21)&amp;"'!$A$4:$AR$500"),MATCH("*"&amp;$A21&amp;"*",INDIRECT("'"&amp;MONTH($C21)&amp;"'!$A$4:$A$500"),0),MATCH(AC$8,INDIRECT("'"&amp;MONTH($C21)&amp;"'!$4:$4"),0))))</f>
        <v>0</v>
      </c>
      <c r="AD21" s="15">
        <f t="shared" ca="1" si="18"/>
        <v>0</v>
      </c>
      <c r="AE21" s="15">
        <f t="shared" ca="1" si="18"/>
        <v>0</v>
      </c>
      <c r="AF21" s="15">
        <f t="shared" ca="1" si="18"/>
        <v>0</v>
      </c>
      <c r="AG21" s="17">
        <f t="shared" ca="1" si="18"/>
        <v>0</v>
      </c>
      <c r="AH21" s="17">
        <f t="shared" ca="1" si="18"/>
        <v>0</v>
      </c>
      <c r="AI21" s="17">
        <f t="shared" ca="1" si="18"/>
        <v>0</v>
      </c>
      <c r="AJ21" s="17">
        <f t="shared" ca="1" si="18"/>
        <v>0</v>
      </c>
      <c r="AK21" s="17">
        <f t="shared" ca="1" si="18"/>
        <v>0</v>
      </c>
      <c r="AL21" s="17">
        <f t="shared" ca="1" si="18"/>
        <v>0</v>
      </c>
      <c r="AM21" s="17">
        <f t="shared" ca="1" si="18"/>
        <v>0</v>
      </c>
      <c r="AN21" s="17">
        <f ca="1">IF($C21="итого",SUM(AN9:AN20),IF(ISNA(INDEX(INDIRECT("'"&amp;MONTH($C21)&amp;"'!$A$4:$AR$500"),MATCH("*"&amp;$A21&amp;"*",INDIRECT("'"&amp;MONTH($C21)&amp;"'!$A$4:$A$500"),0),MATCH(AN$8,INDIRECT("'"&amp;MONTH($C21)&amp;"'!$4:$4"),0))),0,INDEX(INDIRECT("'"&amp;MONTH($C21)&amp;"'!$A$4:$AR$500"),MATCH("*"&amp;$A21&amp;"*",INDIRECT("'"&amp;MONTH($C21)&amp;"'!$A$4:$A$500"),0),MATCH(AN$8,INDIRECT("'"&amp;MONTH($C21)&amp;"'!$4:$4"),0))))</f>
        <v>0</v>
      </c>
      <c r="AO21" s="17">
        <f t="shared" ca="1" si="18"/>
        <v>0</v>
      </c>
      <c r="AP21" s="17">
        <f ca="1">IF($C21="итого",SUM(AP9:AP20),IF(ISNA(INDEX(INDIRECT("'"&amp;MONTH($C21)&amp;"'!$A$4:$AR$500"),MATCH("*"&amp;$A21&amp;"*",INDIRECT("'"&amp;MONTH($C21)&amp;"'!$A$4:$A$500"),0),MATCH(AP$8,INDIRECT("'"&amp;MONTH($C21)&amp;"'!$4:$4"),0))),0,INDEX(INDIRECT("'"&amp;MONTH($C21)&amp;"'!$A$4:$AR$500"),MATCH("*"&amp;$A21&amp;"*",INDIRECT("'"&amp;MONTH($C21)&amp;"'!$A$4:$A$500"),0),MATCH(AP$8,INDIRECT("'"&amp;MONTH($C21)&amp;"'!$4:$4"),0))))</f>
        <v>0</v>
      </c>
    </row>
    <row r="22" spans="1:42" ht="23.25" customHeight="1" x14ac:dyDescent="0.3">
      <c r="A22" s="36" t="str">
        <f>IF(C21="итого",INDEX('список работников с датами приё'!$A$2:$B$282,COUNTIF(C$9:C21,"=итого")+1,1),A21)</f>
        <v>Петров</v>
      </c>
      <c r="B22" s="41" t="str">
        <f>IF(OR(C21="итого",C21=$C$8),INDEX('список работников с датами приё'!$A$2:$B$282,COUNTIF(C$9:C21,"=итого")+1,2),B21)</f>
        <v>08.06.2015</v>
      </c>
      <c r="C22" s="42">
        <f>IF(AND(C21="итого",'Данные для расчета'!$B$2=EOMONTH('Данные для расчета'!$B$2,0)),EOMONTH(EDATE('Данные для расчета'!$B$2,-11),0),IF(C21="итого",EOMONTH(EDATE('Данные для расчета'!$B$2,-12),0),IF(EDATE(C21,1)&gt;=EDATE('Данные для расчета'!$B$2,0),"итого",EOMONTH(EDATE(C21,1),0))))</f>
        <v>42825</v>
      </c>
      <c r="D22" s="54">
        <f t="array" aca="1" ref="D22" ca="1">IF($C22="итого",SUM(OFFSET(D21,,,-12)),IFERROR(INDEX('список неявок'!$A$4:$I$500,MATCH($A22&amp;$C22,'список неявок'!$A$4:$A$500&amp;'список неявок'!$B$4:$B$500,0),COLUMN(C22)),))</f>
        <v>0</v>
      </c>
      <c r="E22" s="54">
        <f t="array" aca="1" ref="E22" ca="1">IF($C22="итого",SUM(OFFSET(E21,,,-12)),IFERROR(INDEX('список неявок'!$A$4:$I$500,MATCH($A22&amp;$C22,'список неявок'!$A$4:$A$500&amp;'список неявок'!$B$4:$B$500,0),COLUMN(D22)),))</f>
        <v>0</v>
      </c>
      <c r="F22" s="54">
        <f t="array" aca="1" ref="F22" ca="1">IF($C22="итого",SUM(OFFSET(F21,,,-12)),IFERROR(INDEX('список неявок'!$A$4:$I$500,MATCH($A22&amp;$C22,'список неявок'!$A$4:$A$500&amp;'список неявок'!$B$4:$B$500,0),COLUMN(E22)),))</f>
        <v>0</v>
      </c>
      <c r="G22" s="54">
        <f t="array" aca="1" ref="G22" ca="1">IF($C22="итого",SUM(OFFSET(G21,,,-12)),IFERROR(INDEX('список неявок'!$A$4:$I$500,MATCH($A22&amp;$C22,'список неявок'!$A$4:$A$500&amp;'список неявок'!$B$4:$B$500,0),COLUMN(F22)),))</f>
        <v>0</v>
      </c>
      <c r="H22" s="54">
        <f t="array" aca="1" ref="H22" ca="1">IF($C22="итого",SUM(OFFSET(H21,,,-12)),IFERROR(INDEX('список неявок'!$A$4:$I$500,MATCH($A22&amp;$C22,'список неявок'!$A$4:$A$500&amp;'список неявок'!$B$4:$B$500,0),COLUMN(G22)),))</f>
        <v>0</v>
      </c>
      <c r="I22" s="54">
        <f t="array" aca="1" ref="I22" ca="1">IF($C22="итого",SUM(OFFSET(I21,,,-12)),IFERROR(INDEX('список неявок'!$A$4:$I$500,MATCH($A22&amp;$C22,'список неявок'!$A$4:$A$500&amp;'список неявок'!$B$4:$B$500,0),COLUMN(H22)),))</f>
        <v>0</v>
      </c>
      <c r="J22" s="54">
        <f t="array" aca="1" ref="J22" ca="1">IF($C22="итого",SUM(OFFSET(J21,,,-12)),IFERROR(INDEX('список неявок'!$A$4:$I$500,MATCH($A22&amp;$C22,'список неявок'!$A$4:$A$500&amp;'список неявок'!$B$4:$B$500,0),COLUMN(I22)),))</f>
        <v>0</v>
      </c>
      <c r="K22" s="54">
        <f ca="1">IF(C22="итого",SUM(OFFSET(K21,,,-12)),IF(J22,J22,L22))</f>
        <v>22</v>
      </c>
      <c r="L22" s="55">
        <f t="array" aca="1" ref="L22" ca="1">IF(C22="итого",SUM(OFFSET(L21,,,-12)),NETWORKDAYS.INTL(DATE(YEAR(C22),MONTH(C22),1),C22,,'Данные для расчета'!$M$10:$V$24))</f>
        <v>22</v>
      </c>
      <c r="M22" s="39">
        <f t="array" aca="1" ref="M22" ca="1">IF(C22="итого",SUM(OFFSET(M21,,,-12)),(_xlfn.DAYS(C22,DATE(YEAR(C22),MONTH(C22),1)-1)-SUM(D22:I22))*29.3/(_xlfn.DAYS(C22,DATE(YEAR(C22),MONTH(C22),1)-1)))</f>
        <v>29.3</v>
      </c>
      <c r="N22" s="39"/>
      <c r="O22" s="40" t="str">
        <f>IF(AND(C22="итого",B22=0),0,IF(C22="итого",IF('Данные для расчета'!$B$2+1-DATE(YEAR('Данные для расчета'!$B$2),MONTH('Данные для расчета'!$B$2),DAY(B22+E22+F22+((D22-14)&gt;0)*(D22-14)))&gt;DAY(EOMONTH('Данные для расчета'!$B$2,0))/2,(((YEAR('Данные для расчета'!$B$2)-YEAR(B22+E22+F22+((D22-14)&gt;0)*(D22-14)))*12+MONTH('Данные для расчета'!$B$2)-MONTH(B22+E22+F22+((D22-14)&gt;0)*(D22-14))+1)),((YEAR('Данные для расчета'!$B$2)-YEAR(B22+E22+F22+((D22-14)&gt;0)*(D22-14)))*12+MONTH('Данные для расчета'!$B$2)-MONTH(B22+E22+F22+((D22-14)&gt;0)*(D22-14)))),""))</f>
        <v/>
      </c>
      <c r="P22" s="40" t="str">
        <f>IF(O22=11,12,IF(AND(O22&gt;=5.5,O22&lt;=11,'Данные для расчета'!$A$5=1),12,расчет!O22))</f>
        <v/>
      </c>
      <c r="Q22" s="40" t="str">
        <f t="shared" ref="Q22:Q47" si="19">IF(P22="","",P22*28/12-N22-G22)</f>
        <v/>
      </c>
      <c r="R22" s="23">
        <f t="shared" ref="R22:R47" si="20">IF($C22="итого",X22/M22,0)</f>
        <v>0</v>
      </c>
      <c r="S22" s="56">
        <f t="shared" si="2"/>
        <v>0</v>
      </c>
      <c r="T22" s="23">
        <f>IF(C22&lt;'Данные для расчета'!$B$3,1+'Данные для расчета'!$B$4,1)</f>
        <v>1</v>
      </c>
      <c r="U22" s="68">
        <f t="shared" ca="1" si="12"/>
        <v>36474.800000000003</v>
      </c>
      <c r="V22" s="17">
        <f t="shared" ca="1" si="13"/>
        <v>36474.800000000003</v>
      </c>
      <c r="W22" s="17">
        <f ca="1">IF($C22="итого",SUM(W10:W21),Y22*K22/L22+AB22*(12+1-MONTH('Данные для расчета'!$B$2))/12)</f>
        <v>1633.2</v>
      </c>
      <c r="X22" s="17">
        <f t="shared" ref="X22:X46" ca="1" si="21">IF($C22="итого",SUM(X10:X21),(V22+W22)*T22)</f>
        <v>38108</v>
      </c>
      <c r="Y22" s="17">
        <f t="array" aca="1" ref="Y22" ca="1">IF($C22="итого",SUM(OFFSET(Y21,,,-12)),IF(ISNA(INDEX(INDIRECT("'"&amp;MONTH($C22)&amp;"'!$A$4:$AR$500"),MATCH("*"&amp;$A22&amp;"*",INDIRECT("'"&amp;MONTH($C22)&amp;"'!$A$4:$A$500"),0),MATCH(Y$8,INDIRECT("'"&amp;MONTH($C22)&amp;"'!$4:$4"),0))),0,INDEX(INDIRECT("'"&amp;MONTH($C22)&amp;"'!$A$4:$AR$500"),MATCH("*"&amp;$A22&amp;"*",INDIRECT("'"&amp;MONTH($C22)&amp;"'!$A$4:$A$500"),0),MATCH(Y$8,INDIRECT("'"&amp;MONTH($C22)&amp;"'!$4:$4"),0))))</f>
        <v>1633.2</v>
      </c>
      <c r="Z22" s="17">
        <f t="shared" ca="1" si="17"/>
        <v>1633.2</v>
      </c>
      <c r="AA22" s="17">
        <f t="shared" ca="1" si="5"/>
        <v>0</v>
      </c>
      <c r="AB22" s="17">
        <f t="shared" ca="1" si="6"/>
        <v>0</v>
      </c>
      <c r="AC22" s="17">
        <f t="shared" ca="1" si="10"/>
        <v>0</v>
      </c>
      <c r="AD22" s="17">
        <f t="shared" ca="1" si="10"/>
        <v>0</v>
      </c>
      <c r="AE22" s="17">
        <f t="shared" ca="1" si="10"/>
        <v>0</v>
      </c>
      <c r="AF22" s="17">
        <f t="shared" ca="1" si="10"/>
        <v>0</v>
      </c>
      <c r="AG22" s="17">
        <f t="shared" ca="1" si="10"/>
        <v>0</v>
      </c>
      <c r="AH22" s="17">
        <f t="shared" ca="1" si="10"/>
        <v>0</v>
      </c>
      <c r="AI22" s="17">
        <f t="shared" ca="1" si="10"/>
        <v>0</v>
      </c>
      <c r="AJ22" s="17">
        <f t="shared" ca="1" si="10"/>
        <v>0</v>
      </c>
      <c r="AK22" s="17">
        <f t="shared" ca="1" si="10"/>
        <v>0</v>
      </c>
      <c r="AL22" s="17">
        <f t="shared" ca="1" si="10"/>
        <v>0</v>
      </c>
      <c r="AM22" s="17">
        <f t="shared" ca="1" si="10"/>
        <v>0</v>
      </c>
      <c r="AN22" s="17">
        <f t="shared" ca="1" si="10"/>
        <v>0</v>
      </c>
      <c r="AO22" s="17">
        <f t="shared" ca="1" si="10"/>
        <v>0</v>
      </c>
      <c r="AP22" s="17">
        <f t="shared" ref="AP22:AP47" ca="1" si="22">IF($C22="итого",SUM(AP10:AP21),IF(ISNA(INDEX(INDIRECT("'"&amp;MONTH($C22)&amp;"'!$A$4:$AR$500"),MATCH("*"&amp;$A22&amp;"*",INDIRECT("'"&amp;MONTH($C22)&amp;"'!$A$4:$A$500"),0),MATCH(AP$8,INDIRECT("'"&amp;MONTH($C22)&amp;"'!$4:$4"),0))),0,INDEX(INDIRECT("'"&amp;MONTH($C22)&amp;"'!$A$4:$AR$500"),MATCH("*"&amp;$A22&amp;"*",INDIRECT("'"&amp;MONTH($C22)&amp;"'!$A$4:$A$500"),0),MATCH(AP$8,INDIRECT("'"&amp;MONTH($C22)&amp;"'!$4:$4"),0))))</f>
        <v>0</v>
      </c>
    </row>
    <row r="23" spans="1:42" ht="23.25" customHeight="1" x14ac:dyDescent="0.3">
      <c r="A23" s="36" t="str">
        <f>IF(C22="итого",INDEX('список работников с датами приё'!$A$2:$B$282,COUNTIF(C$9:C22,"=итого")+1,1),A22)</f>
        <v>Петров</v>
      </c>
      <c r="B23" s="41" t="str">
        <f>IF(OR(C22="итого",C22=$C$8),INDEX('список работников с датами приё'!$A$2:$B$282,COUNTIF(C$9:C22,"=итого")+1,2),B22)</f>
        <v>08.06.2015</v>
      </c>
      <c r="C23" s="42">
        <f>IF(AND(C22="итого",'Данные для расчета'!$B$2=EOMONTH('Данные для расчета'!$B$2,0)),EOMONTH(EDATE('Данные для расчета'!$B$2,-11),0),IF(C22="итого",EOMONTH(EDATE('Данные для расчета'!$B$2,-12),0),IF(EDATE(C22,1)&gt;=EDATE('Данные для расчета'!$B$2,0),"итого",EOMONTH(EDATE(C22,1),0))))</f>
        <v>42855</v>
      </c>
      <c r="D23" s="54">
        <f t="array" aca="1" ref="D23" ca="1">IF($C23="итого",SUM(OFFSET(D22,,,-12)),IFERROR(INDEX('список неявок'!$A$4:$I$500,MATCH($A23&amp;$C23,'список неявок'!$A$4:$A$500&amp;'список неявок'!$B$4:$B$500,0),COLUMN(C23)),))</f>
        <v>0</v>
      </c>
      <c r="E23" s="54">
        <f t="array" aca="1" ref="E23" ca="1">IF($C23="итого",SUM(OFFSET(E22,,,-12)),IFERROR(INDEX('список неявок'!$A$4:$I$500,MATCH($A23&amp;$C23,'список неявок'!$A$4:$A$500&amp;'список неявок'!$B$4:$B$500,0),COLUMN(D23)),))</f>
        <v>0</v>
      </c>
      <c r="F23" s="54">
        <f t="array" aca="1" ref="F23" ca="1">IF($C23="итого",SUM(OFFSET(F22,,,-12)),IFERROR(INDEX('список неявок'!$A$4:$I$500,MATCH($A23&amp;$C23,'список неявок'!$A$4:$A$500&amp;'список неявок'!$B$4:$B$500,0),COLUMN(E23)),))</f>
        <v>0</v>
      </c>
      <c r="G23" s="54">
        <f t="array" aca="1" ref="G23" ca="1">IF($C23="итого",SUM(OFFSET(G22,,,-12)),IFERROR(INDEX('список неявок'!$A$4:$I$500,MATCH($A23&amp;$C23,'список неявок'!$A$4:$A$500&amp;'список неявок'!$B$4:$B$500,0),COLUMN(F23)),))</f>
        <v>0</v>
      </c>
      <c r="H23" s="54">
        <f t="array" aca="1" ref="H23" ca="1">IF($C23="итого",SUM(OFFSET(H22,,,-12)),IFERROR(INDEX('список неявок'!$A$4:$I$500,MATCH($A23&amp;$C23,'список неявок'!$A$4:$A$500&amp;'список неявок'!$B$4:$B$500,0),COLUMN(G23)),))</f>
        <v>0</v>
      </c>
      <c r="I23" s="54">
        <f t="array" aca="1" ref="I23" ca="1">IF($C23="итого",SUM(OFFSET(I22,,,-12)),IFERROR(INDEX('список неявок'!$A$4:$I$500,MATCH($A23&amp;$C23,'список неявок'!$A$4:$A$500&amp;'список неявок'!$B$4:$B$500,0),COLUMN(H23)),))</f>
        <v>0</v>
      </c>
      <c r="J23" s="54">
        <f t="array" aca="1" ref="J23" ca="1">IF($C23="итого",SUM(OFFSET(J22,,,-12)),IFERROR(INDEX('список неявок'!$A$4:$I$500,MATCH($A23&amp;$C23,'список неявок'!$A$4:$A$500&amp;'список неявок'!$B$4:$B$500,0),COLUMN(I23)),))</f>
        <v>0</v>
      </c>
      <c r="K23" s="54">
        <f ca="1">IF(C23="итого",SUM(OFFSET(K22,,,-12)),IF(J23,J23,L23))</f>
        <v>20</v>
      </c>
      <c r="L23" s="55">
        <f t="array" aca="1" ref="L23" ca="1">IF(C23="итого",SUM(OFFSET(L22,,,-12)),NETWORKDAYS.INTL(DATE(YEAR(C23),MONTH(C23),1),C23,,'Данные для расчета'!$M$10:$V$24))</f>
        <v>20</v>
      </c>
      <c r="M23" s="39">
        <f t="array" aca="1" ref="M23" ca="1">IF(C23="итого",SUM(OFFSET(M22,,,-12)),(_xlfn.DAYS(C23,DATE(YEAR(C23),MONTH(C23),1)-1)-SUM(D23:I23))*29.3/(_xlfn.DAYS(C23,DATE(YEAR(C23),MONTH(C23),1)-1)))</f>
        <v>29.3</v>
      </c>
      <c r="N23" s="39"/>
      <c r="O23" s="40" t="str">
        <f>IF(AND(C23="итого",B23=0),0,IF(C23="итого",IF('Данные для расчета'!$B$2+1-DATE(YEAR('Данные для расчета'!$B$2),MONTH('Данные для расчета'!$B$2),DAY(B23+E23+F23+((D23-14)&gt;0)*(D23-14)))&gt;DAY(EOMONTH('Данные для расчета'!$B$2,0))/2,(((YEAR('Данные для расчета'!$B$2)-YEAR(B23+E23+F23+((D23-14)&gt;0)*(D23-14)))*12+MONTH('Данные для расчета'!$B$2)-MONTH(B23+E23+F23+((D23-14)&gt;0)*(D23-14))+1)),((YEAR('Данные для расчета'!$B$2)-YEAR(B23+E23+F23+((D23-14)&gt;0)*(D23-14)))*12+MONTH('Данные для расчета'!$B$2)-MONTH(B23+E23+F23+((D23-14)&gt;0)*(D23-14)))),""))</f>
        <v/>
      </c>
      <c r="P23" s="40" t="str">
        <f>IF(O23=11,12,IF(AND(O23&gt;=5.5,O23&lt;=11,'Данные для расчета'!$A$5=1),12,расчет!O23))</f>
        <v/>
      </c>
      <c r="Q23" s="40" t="str">
        <f t="shared" si="19"/>
        <v/>
      </c>
      <c r="R23" s="23">
        <f t="shared" si="20"/>
        <v>0</v>
      </c>
      <c r="S23" s="56">
        <f t="shared" si="2"/>
        <v>0</v>
      </c>
      <c r="T23" s="23">
        <f>IF(C23&lt;'Данные для расчета'!$B$3,1+'Данные для расчета'!$B$4,1)</f>
        <v>1</v>
      </c>
      <c r="U23" s="68">
        <f t="shared" ca="1" si="12"/>
        <v>36474.800000000003</v>
      </c>
      <c r="V23" s="17">
        <f t="shared" ca="1" si="13"/>
        <v>36474.800000000003</v>
      </c>
      <c r="W23" s="17">
        <f ca="1">IF($C23="итого",SUM(W11:W22),Y23*K23/L23+AB23*(12+1-MONTH('Данные для расчета'!$B$2))/12)</f>
        <v>1633.2</v>
      </c>
      <c r="X23" s="17">
        <f t="shared" ca="1" si="21"/>
        <v>38108</v>
      </c>
      <c r="Y23" s="17">
        <f t="array" aca="1" ref="Y23" ca="1">IF($C23="итого",SUM(OFFSET(Y22,,,-12)),IF(ISNA(INDEX(INDIRECT("'"&amp;MONTH($C23)&amp;"'!$A$4:$AR$500"),MATCH("*"&amp;$A23&amp;"*",INDIRECT("'"&amp;MONTH($C23)&amp;"'!$A$4:$A$500"),0),MATCH(Y$8,INDIRECT("'"&amp;MONTH($C23)&amp;"'!$4:$4"),0))),0,INDEX(INDIRECT("'"&amp;MONTH($C23)&amp;"'!$A$4:$AR$500"),MATCH("*"&amp;$A23&amp;"*",INDIRECT("'"&amp;MONTH($C23)&amp;"'!$A$4:$A$500"),0),MATCH(Y$8,INDIRECT("'"&amp;MONTH($C23)&amp;"'!$4:$4"),0))))</f>
        <v>1633.2</v>
      </c>
      <c r="Z23" s="17">
        <f t="shared" ca="1" si="17"/>
        <v>1633.2</v>
      </c>
      <c r="AA23" s="17">
        <f t="shared" ca="1" si="5"/>
        <v>0</v>
      </c>
      <c r="AB23" s="17">
        <f t="shared" ca="1" si="6"/>
        <v>0</v>
      </c>
      <c r="AC23" s="17">
        <f t="shared" ca="1" si="10"/>
        <v>0</v>
      </c>
      <c r="AD23" s="17">
        <f t="shared" ca="1" si="10"/>
        <v>0</v>
      </c>
      <c r="AE23" s="17">
        <f t="shared" ca="1" si="10"/>
        <v>0</v>
      </c>
      <c r="AF23" s="17">
        <f t="shared" ca="1" si="10"/>
        <v>0</v>
      </c>
      <c r="AG23" s="17">
        <f t="shared" ca="1" si="10"/>
        <v>0</v>
      </c>
      <c r="AH23" s="17">
        <f t="shared" ca="1" si="10"/>
        <v>0</v>
      </c>
      <c r="AI23" s="17">
        <f t="shared" ca="1" si="10"/>
        <v>0</v>
      </c>
      <c r="AJ23" s="17">
        <f t="shared" ca="1" si="10"/>
        <v>0</v>
      </c>
      <c r="AK23" s="17">
        <f t="shared" ca="1" si="10"/>
        <v>0</v>
      </c>
      <c r="AL23" s="17">
        <f t="shared" ca="1" si="10"/>
        <v>0</v>
      </c>
      <c r="AM23" s="17">
        <f t="shared" ca="1" si="10"/>
        <v>0</v>
      </c>
      <c r="AN23" s="17">
        <f t="shared" ca="1" si="10"/>
        <v>0</v>
      </c>
      <c r="AO23" s="17">
        <f t="shared" ca="1" si="10"/>
        <v>0</v>
      </c>
      <c r="AP23" s="17">
        <f t="shared" ca="1" si="22"/>
        <v>0</v>
      </c>
    </row>
    <row r="24" spans="1:42" ht="23.25" customHeight="1" x14ac:dyDescent="0.3">
      <c r="A24" s="36" t="str">
        <f>IF(C23="итого",INDEX('список работников с датами приё'!$A$2:$B$282,COUNTIF(C$9:C23,"=итого")+1,1),A23)</f>
        <v>Петров</v>
      </c>
      <c r="B24" s="41" t="str">
        <f>IF(OR(C23="итого",C23=$C$8),INDEX('список работников с датами приё'!$A$2:$B$282,COUNTIF(C$9:C23,"=итого")+1,2),B23)</f>
        <v>08.06.2015</v>
      </c>
      <c r="C24" s="42">
        <f>IF(AND(C23="итого",'Данные для расчета'!$B$2=EOMONTH('Данные для расчета'!$B$2,0)),EOMONTH(EDATE('Данные для расчета'!$B$2,-11),0),IF(C23="итого",EOMONTH(EDATE('Данные для расчета'!$B$2,-12),0),IF(EDATE(C23,1)&gt;=EDATE('Данные для расчета'!$B$2,0),"итого",EOMONTH(EDATE(C23,1),0))))</f>
        <v>42886</v>
      </c>
      <c r="D24" s="54">
        <f t="array" aca="1" ref="D24" ca="1">IF($C24="итого",SUM(OFFSET(D23,,,-12)),IFERROR(INDEX('список неявок'!$A$4:$I$500,MATCH($A24&amp;$C24,'список неявок'!$A$4:$A$500&amp;'список неявок'!$B$4:$B$500,0),COLUMN(C24)),))</f>
        <v>0</v>
      </c>
      <c r="E24" s="54">
        <f t="array" aca="1" ref="E24" ca="1">IF($C24="итого",SUM(OFFSET(E23,,,-12)),IFERROR(INDEX('список неявок'!$A$4:$I$500,MATCH($A24&amp;$C24,'список неявок'!$A$4:$A$500&amp;'список неявок'!$B$4:$B$500,0),COLUMN(D24)),))</f>
        <v>0</v>
      </c>
      <c r="F24" s="54">
        <f t="array" aca="1" ref="F24" ca="1">IF($C24="итого",SUM(OFFSET(F23,,,-12)),IFERROR(INDEX('список неявок'!$A$4:$I$500,MATCH($A24&amp;$C24,'список неявок'!$A$4:$A$500&amp;'список неявок'!$B$4:$B$500,0),COLUMN(E24)),))</f>
        <v>0</v>
      </c>
      <c r="G24" s="54">
        <f t="array" aca="1" ref="G24" ca="1">IF($C24="итого",SUM(OFFSET(G23,,,-12)),IFERROR(INDEX('список неявок'!$A$4:$I$500,MATCH($A24&amp;$C24,'список неявок'!$A$4:$A$500&amp;'список неявок'!$B$4:$B$500,0),COLUMN(F24)),))</f>
        <v>0</v>
      </c>
      <c r="H24" s="54">
        <f t="array" aca="1" ref="H24" ca="1">IF($C24="итого",SUM(OFFSET(H23,,,-12)),IFERROR(INDEX('список неявок'!$A$4:$I$500,MATCH($A24&amp;$C24,'список неявок'!$A$4:$A$500&amp;'список неявок'!$B$4:$B$500,0),COLUMN(G24)),))</f>
        <v>0</v>
      </c>
      <c r="I24" s="54">
        <f t="array" aca="1" ref="I24" ca="1">IF($C24="итого",SUM(OFFSET(I23,,,-12)),IFERROR(INDEX('список неявок'!$A$4:$I$500,MATCH($A24&amp;$C24,'список неявок'!$A$4:$A$500&amp;'список неявок'!$B$4:$B$500,0),COLUMN(H24)),))</f>
        <v>0</v>
      </c>
      <c r="J24" s="54">
        <f t="array" aca="1" ref="J24" ca="1">IF($C24="итого",SUM(OFFSET(J23,,,-12)),IFERROR(INDEX('список неявок'!$A$4:$I$500,MATCH($A24&amp;$C24,'список неявок'!$A$4:$A$500&amp;'список неявок'!$B$4:$B$500,0),COLUMN(I24)),))</f>
        <v>0</v>
      </c>
      <c r="K24" s="54">
        <f ca="1">IF(C24="итого",SUM(OFFSET(K23,,,-12)),IF(J24,J24,L24))</f>
        <v>21</v>
      </c>
      <c r="L24" s="55">
        <f t="array" aca="1" ref="L24" ca="1">IF(C24="итого",SUM(OFFSET(L23,,,-12)),NETWORKDAYS.INTL(DATE(YEAR(C24),MONTH(C24),1),C24,,'Данные для расчета'!$M$10:$V$24))</f>
        <v>21</v>
      </c>
      <c r="M24" s="39">
        <f t="array" aca="1" ref="M24" ca="1">IF(C24="итого",SUM(OFFSET(M23,,,-12)),(_xlfn.DAYS(C24,DATE(YEAR(C24),MONTH(C24),1)-1)-SUM(D24:I24))*29.3/(_xlfn.DAYS(C24,DATE(YEAR(C24),MONTH(C24),1)-1)))</f>
        <v>29.3</v>
      </c>
      <c r="N24" s="39"/>
      <c r="O24" s="40" t="str">
        <f>IF(AND(C24="итого",B24=0),0,IF(C24="итого",IF('Данные для расчета'!$B$2+1-DATE(YEAR('Данные для расчета'!$B$2),MONTH('Данные для расчета'!$B$2),DAY(B24+E24+F24+((D24-14)&gt;0)*(D24-14)))&gt;DAY(EOMONTH('Данные для расчета'!$B$2,0))/2,(((YEAR('Данные для расчета'!$B$2)-YEAR(B24+E24+F24+((D24-14)&gt;0)*(D24-14)))*12+MONTH('Данные для расчета'!$B$2)-MONTH(B24+E24+F24+((D24-14)&gt;0)*(D24-14))+1)),((YEAR('Данные для расчета'!$B$2)-YEAR(B24+E24+F24+((D24-14)&gt;0)*(D24-14)))*12+MONTH('Данные для расчета'!$B$2)-MONTH(B24+E24+F24+((D24-14)&gt;0)*(D24-14)))),""))</f>
        <v/>
      </c>
      <c r="P24" s="40" t="str">
        <f>IF(O24=11,12,IF(AND(O24&gt;=5.5,O24&lt;=11,'Данные для расчета'!$A$5=1),12,расчет!O24))</f>
        <v/>
      </c>
      <c r="Q24" s="40" t="str">
        <f t="shared" si="19"/>
        <v/>
      </c>
      <c r="R24" s="23">
        <f t="shared" si="20"/>
        <v>0</v>
      </c>
      <c r="S24" s="56">
        <f t="shared" si="2"/>
        <v>0</v>
      </c>
      <c r="T24" s="23">
        <f>IF(C24&lt;'Данные для расчета'!$B$3,1+'Данные для расчета'!$B$4,1)</f>
        <v>1</v>
      </c>
      <c r="U24" s="68">
        <f t="array" aca="1" ref="U24" ca="1">IF($C24="итого",SUM(U12:U23),IF(ISNA(INDEX(INDIRECT("'"&amp;MONTH($C24)&amp;"'!$A$4:$AR$500"),MATCH("*"&amp;$A24&amp;"*",INDIRECT("'"&amp;MONTH($C24)&amp;"'!$A$4:$A$500"),0),MATCH(U$8,INDIRECT("'"&amp;MONTH($C24)&amp;"'!$4:$4"),0))),0,INDEX(INDIRECT("'"&amp;MONTH($C24)&amp;"'!$A$4:$AR$500"),MATCH("*"&amp;$A24&amp;"*",INDIRECT("'"&amp;MONTH($C24)&amp;"'!$A$4:$A$500"),0),MATCH(U$8,INDIRECT("'"&amp;MONTH($C24)&amp;"'!$4:$4"),0))))</f>
        <v>36474.800000000003</v>
      </c>
      <c r="V24" s="17">
        <f t="shared" ca="1" si="13"/>
        <v>36474.800000000003</v>
      </c>
      <c r="W24" s="17">
        <f ca="1">IF($C24="итого",SUM(W12:W23),Y24*K24/L24+AB24*(12+1-MONTH('Данные для расчета'!$B$2))/12)</f>
        <v>1633.2000000000003</v>
      </c>
      <c r="X24" s="17">
        <f t="shared" ca="1" si="21"/>
        <v>38108</v>
      </c>
      <c r="Y24" s="17">
        <f t="array" aca="1" ref="Y24" ca="1">IF($C24="итого",SUM(OFFSET(Y23,,,-12)),IF(ISNA(INDEX(INDIRECT("'"&amp;MONTH($C24)&amp;"'!$A$4:$AR$500"),MATCH("*"&amp;$A24&amp;"*",INDIRECT("'"&amp;MONTH($C24)&amp;"'!$A$4:$A$500"),0),MATCH(Y$8,INDIRECT("'"&amp;MONTH($C24)&amp;"'!$4:$4"),0))),0,INDEX(INDIRECT("'"&amp;MONTH($C24)&amp;"'!$A$4:$AR$500"),MATCH("*"&amp;$A24&amp;"*",INDIRECT("'"&amp;MONTH($C24)&amp;"'!$A$4:$A$500"),0),MATCH(Y$8,INDIRECT("'"&amp;MONTH($C24)&amp;"'!$4:$4"),0))))</f>
        <v>1633.2</v>
      </c>
      <c r="Z24" s="17">
        <f t="shared" ca="1" si="17"/>
        <v>1633.2</v>
      </c>
      <c r="AA24" s="17">
        <f t="shared" ca="1" si="5"/>
        <v>0</v>
      </c>
      <c r="AB24" s="17">
        <f t="shared" ca="1" si="6"/>
        <v>0</v>
      </c>
      <c r="AC24" s="17">
        <f t="shared" ca="1" si="10"/>
        <v>0</v>
      </c>
      <c r="AD24" s="17">
        <f t="shared" ca="1" si="10"/>
        <v>0</v>
      </c>
      <c r="AE24" s="17">
        <f t="shared" ca="1" si="10"/>
        <v>0</v>
      </c>
      <c r="AF24" s="17">
        <f t="shared" ca="1" si="10"/>
        <v>0</v>
      </c>
      <c r="AG24" s="17">
        <f t="shared" ca="1" si="10"/>
        <v>0</v>
      </c>
      <c r="AH24" s="17">
        <f t="shared" ca="1" si="10"/>
        <v>0</v>
      </c>
      <c r="AI24" s="17">
        <f t="shared" ca="1" si="10"/>
        <v>0</v>
      </c>
      <c r="AJ24" s="17">
        <f t="shared" ca="1" si="10"/>
        <v>0</v>
      </c>
      <c r="AK24" s="17">
        <f t="shared" ca="1" si="10"/>
        <v>0</v>
      </c>
      <c r="AL24" s="17">
        <f t="shared" ca="1" si="10"/>
        <v>0</v>
      </c>
      <c r="AM24" s="17">
        <f t="shared" ca="1" si="10"/>
        <v>0</v>
      </c>
      <c r="AN24" s="17">
        <f t="shared" ca="1" si="10"/>
        <v>0</v>
      </c>
      <c r="AO24" s="17">
        <f t="shared" ca="1" si="10"/>
        <v>0</v>
      </c>
      <c r="AP24" s="17">
        <f t="shared" ca="1" si="22"/>
        <v>0</v>
      </c>
    </row>
    <row r="25" spans="1:42" ht="23.25" customHeight="1" x14ac:dyDescent="0.3">
      <c r="A25" s="36" t="str">
        <f>IF(C24="итого",INDEX('список работников с датами приё'!$A$2:$B$282,COUNTIF(C$9:C24,"=итого")+1,1),A24)</f>
        <v>Петров</v>
      </c>
      <c r="B25" s="41" t="str">
        <f>IF(OR(C24="итого",C24=$C$8),INDEX('список работников с датами приё'!$A$2:$B$282,COUNTIF(C$9:C24,"=итого")+1,2),B24)</f>
        <v>08.06.2015</v>
      </c>
      <c r="C25" s="42">
        <f>IF(AND(C24="итого",'Данные для расчета'!$B$2=EOMONTH('Данные для расчета'!$B$2,0)),EOMONTH(EDATE('Данные для расчета'!$B$2,-11),0),IF(C24="итого",EOMONTH(EDATE('Данные для расчета'!$B$2,-12),0),IF(EDATE(C24,1)&gt;=EDATE('Данные для расчета'!$B$2,0),"итого",EOMONTH(EDATE(C24,1),0))))</f>
        <v>42916</v>
      </c>
      <c r="D25" s="54">
        <f t="array" aca="1" ref="D25" ca="1">IF($C25="итого",SUM(OFFSET(D24,,,-12)),IFERROR(INDEX('список неявок'!$A$4:$I$500,MATCH($A25&amp;$C25,'список неявок'!$A$4:$A$500&amp;'список неявок'!$B$4:$B$500,0),COLUMN(C25)),))</f>
        <v>0</v>
      </c>
      <c r="E25" s="54">
        <f t="array" aca="1" ref="E25" ca="1">IF($C25="итого",SUM(OFFSET(E24,,,-12)),IFERROR(INDEX('список неявок'!$A$4:$I$500,MATCH($A25&amp;$C25,'список неявок'!$A$4:$A$500&amp;'список неявок'!$B$4:$B$500,0),COLUMN(D25)),))</f>
        <v>0</v>
      </c>
      <c r="F25" s="54">
        <f t="array" aca="1" ref="F25" ca="1">IF($C25="итого",SUM(OFFSET(F24,,,-12)),IFERROR(INDEX('список неявок'!$A$4:$I$500,MATCH($A25&amp;$C25,'список неявок'!$A$4:$A$500&amp;'список неявок'!$B$4:$B$500,0),COLUMN(E25)),))</f>
        <v>0</v>
      </c>
      <c r="G25" s="54">
        <f t="array" aca="1" ref="G25" ca="1">IF($C25="итого",SUM(OFFSET(G24,,,-12)),IFERROR(INDEX('список неявок'!$A$4:$I$500,MATCH($A25&amp;$C25,'список неявок'!$A$4:$A$500&amp;'список неявок'!$B$4:$B$500,0),COLUMN(F25)),))</f>
        <v>0</v>
      </c>
      <c r="H25" s="54">
        <f t="array" aca="1" ref="H25" ca="1">IF($C25="итого",SUM(OFFSET(H24,,,-12)),IFERROR(INDEX('список неявок'!$A$4:$I$500,MATCH($A25&amp;$C25,'список неявок'!$A$4:$A$500&amp;'список неявок'!$B$4:$B$500,0),COLUMN(G25)),))</f>
        <v>0</v>
      </c>
      <c r="I25" s="54">
        <f t="array" aca="1" ref="I25" ca="1">IF($C25="итого",SUM(OFFSET(I24,,,-12)),IFERROR(INDEX('список неявок'!$A$4:$I$500,MATCH($A25&amp;$C25,'список неявок'!$A$4:$A$500&amp;'список неявок'!$B$4:$B$500,0),COLUMN(H25)),))</f>
        <v>0</v>
      </c>
      <c r="J25" s="54">
        <f t="array" aca="1" ref="J25" ca="1">IF($C25="итого",SUM(OFFSET(J24,,,-12)),IFERROR(INDEX('список неявок'!$A$4:$I$500,MATCH($A25&amp;$C25,'список неявок'!$A$4:$A$500&amp;'список неявок'!$B$4:$B$500,0),COLUMN(I25)),))</f>
        <v>0</v>
      </c>
      <c r="K25" s="54">
        <f t="shared" ref="K25:K46" ca="1" si="23">IF(C25="итого",SUM(OFFSET(K24,,,-12)),IF(J25,J25,L25))</f>
        <v>21</v>
      </c>
      <c r="L25" s="55">
        <f t="array" aca="1" ref="L25" ca="1">IF(C25="итого",SUM(OFFSET(L24,,,-12)),NETWORKDAYS.INTL(DATE(YEAR(C25),MONTH(C25),1),C25,,'Данные для расчета'!$M$10:$V$24))</f>
        <v>21</v>
      </c>
      <c r="M25" s="39">
        <f t="array" aca="1" ref="M25" ca="1">IF(C25="итого",SUM(OFFSET(M24,,,-12)),(_xlfn.DAYS(C25,DATE(YEAR(C25),MONTH(C25),1)-1)-SUM(D25:I25))*29.3/(_xlfn.DAYS(C25,DATE(YEAR(C25),MONTH(C25),1)-1)))</f>
        <v>29.3</v>
      </c>
      <c r="N25" s="39"/>
      <c r="O25" s="40" t="str">
        <f>IF(AND(C25="итого",B25=0),0,IF(C25="итого",IF('Данные для расчета'!$B$2+1-DATE(YEAR('Данные для расчета'!$B$2),MONTH('Данные для расчета'!$B$2),DAY(B25+E25+F25+((D25-14)&gt;0)*(D25-14)))&gt;DAY(EOMONTH('Данные для расчета'!$B$2,0))/2,(((YEAR('Данные для расчета'!$B$2)-YEAR(B25+E25+F25+((D25-14)&gt;0)*(D25-14)))*12+MONTH('Данные для расчета'!$B$2)-MONTH(B25+E25+F25+((D25-14)&gt;0)*(D25-14))+1)),((YEAR('Данные для расчета'!$B$2)-YEAR(B25+E25+F25+((D25-14)&gt;0)*(D25-14)))*12+MONTH('Данные для расчета'!$B$2)-MONTH(B25+E25+F25+((D25-14)&gt;0)*(D25-14)))),""))</f>
        <v/>
      </c>
      <c r="P25" s="40" t="str">
        <f>IF(O25=11,12,IF(AND(O25&gt;=5.5,O25&lt;=11,'Данные для расчета'!$A$5=1),12,расчет!O25))</f>
        <v/>
      </c>
      <c r="Q25" s="40" t="str">
        <f t="shared" si="19"/>
        <v/>
      </c>
      <c r="R25" s="23">
        <f t="shared" si="20"/>
        <v>0</v>
      </c>
      <c r="S25" s="56">
        <f t="shared" si="2"/>
        <v>0</v>
      </c>
      <c r="T25" s="23">
        <f>IF(C25&lt;'Данные для расчета'!$B$3,1+'Данные для расчета'!$B$4,1)</f>
        <v>1</v>
      </c>
      <c r="U25" s="68">
        <f t="shared" ca="1" si="12"/>
        <v>36474.800000000003</v>
      </c>
      <c r="V25" s="17">
        <f t="shared" ca="1" si="13"/>
        <v>36474.800000000003</v>
      </c>
      <c r="W25" s="17">
        <f ca="1">IF($C25="итого",SUM(W13:W24),Y25*K25/L25+AB25*(12+1-MONTH('Данные для расчета'!$B$2))/12)</f>
        <v>1633.2000000000003</v>
      </c>
      <c r="X25" s="17">
        <f t="shared" ca="1" si="21"/>
        <v>38108</v>
      </c>
      <c r="Y25" s="17">
        <f t="array" aca="1" ref="Y25" ca="1">IF($C25="итого",SUM(OFFSET(Y24,,,-12)),IF(ISNA(INDEX(INDIRECT("'"&amp;MONTH($C25)&amp;"'!$A$4:$AR$500"),MATCH("*"&amp;$A25&amp;"*",INDIRECT("'"&amp;MONTH($C25)&amp;"'!$A$4:$A$500"),0),MATCH(Y$8,INDIRECT("'"&amp;MONTH($C25)&amp;"'!$4:$4"),0))),0,INDEX(INDIRECT("'"&amp;MONTH($C25)&amp;"'!$A$4:$AR$500"),MATCH("*"&amp;$A25&amp;"*",INDIRECT("'"&amp;MONTH($C25)&amp;"'!$A$4:$A$500"),0),MATCH(Y$8,INDIRECT("'"&amp;MONTH($C25)&amp;"'!$4:$4"),0))))</f>
        <v>1633.2</v>
      </c>
      <c r="Z25" s="17">
        <f t="shared" ca="1" si="17"/>
        <v>1633.2</v>
      </c>
      <c r="AA25" s="17">
        <f t="shared" ca="1" si="5"/>
        <v>0</v>
      </c>
      <c r="AB25" s="17">
        <f t="shared" ca="1" si="6"/>
        <v>0</v>
      </c>
      <c r="AC25" s="17">
        <f t="shared" ca="1" si="10"/>
        <v>0</v>
      </c>
      <c r="AD25" s="17">
        <f t="shared" ca="1" si="10"/>
        <v>0</v>
      </c>
      <c r="AE25" s="17">
        <f t="shared" ca="1" si="10"/>
        <v>0</v>
      </c>
      <c r="AF25" s="17">
        <f t="shared" ca="1" si="10"/>
        <v>0</v>
      </c>
      <c r="AG25" s="17">
        <f t="shared" ca="1" si="10"/>
        <v>0</v>
      </c>
      <c r="AH25" s="17">
        <f t="shared" ca="1" si="10"/>
        <v>0</v>
      </c>
      <c r="AI25" s="17">
        <f t="shared" ca="1" si="10"/>
        <v>0</v>
      </c>
      <c r="AJ25" s="17">
        <f t="shared" ca="1" si="10"/>
        <v>0</v>
      </c>
      <c r="AK25" s="17">
        <f t="shared" ca="1" si="10"/>
        <v>0</v>
      </c>
      <c r="AL25" s="17">
        <f t="shared" ca="1" si="10"/>
        <v>0</v>
      </c>
      <c r="AM25" s="17">
        <f t="shared" ca="1" si="10"/>
        <v>0</v>
      </c>
      <c r="AN25" s="17">
        <f t="shared" ca="1" si="10"/>
        <v>0</v>
      </c>
      <c r="AO25" s="17">
        <f t="shared" ca="1" si="10"/>
        <v>0</v>
      </c>
      <c r="AP25" s="17">
        <f t="shared" ca="1" si="22"/>
        <v>0</v>
      </c>
    </row>
    <row r="26" spans="1:42" ht="23.25" customHeight="1" x14ac:dyDescent="0.3">
      <c r="A26" s="36" t="str">
        <f>IF(C25="итого",INDEX('список работников с датами приё'!$A$2:$B$282,COUNTIF(C$9:C25,"=итого")+1,1),A25)</f>
        <v>Петров</v>
      </c>
      <c r="B26" s="41" t="str">
        <f>IF(OR(C25="итого",C25=$C$8),INDEX('список работников с датами приё'!$A$2:$B$282,COUNTIF(C$9:C25,"=итого")+1,2),B25)</f>
        <v>08.06.2015</v>
      </c>
      <c r="C26" s="42">
        <f>IF(AND(C25="итого",'Данные для расчета'!$B$2=EOMONTH('Данные для расчета'!$B$2,0)),EOMONTH(EDATE('Данные для расчета'!$B$2,-11),0),IF(C25="итого",EOMONTH(EDATE('Данные для расчета'!$B$2,-12),0),IF(EDATE(C25,1)&gt;=EDATE('Данные для расчета'!$B$2,0),"итого",EOMONTH(EDATE(C25,1),0))))</f>
        <v>42947</v>
      </c>
      <c r="D26" s="54">
        <f t="array" aca="1" ref="D26" ca="1">IF($C26="итого",SUM(OFFSET(D25,,,-12)),IFERROR(INDEX('список неявок'!$A$4:$I$500,MATCH($A26&amp;$C26,'список неявок'!$A$4:$A$500&amp;'список неявок'!$B$4:$B$500,0),COLUMN(C26)),))</f>
        <v>0</v>
      </c>
      <c r="E26" s="54">
        <f t="array" aca="1" ref="E26" ca="1">IF($C26="итого",SUM(OFFSET(E25,,,-12)),IFERROR(INDEX('список неявок'!$A$4:$I$500,MATCH($A26&amp;$C26,'список неявок'!$A$4:$A$500&amp;'список неявок'!$B$4:$B$500,0),COLUMN(D26)),))</f>
        <v>0</v>
      </c>
      <c r="F26" s="54">
        <f t="array" aca="1" ref="F26" ca="1">IF($C26="итого",SUM(OFFSET(F25,,,-12)),IFERROR(INDEX('список неявок'!$A$4:$I$500,MATCH($A26&amp;$C26,'список неявок'!$A$4:$A$500&amp;'список неявок'!$B$4:$B$500,0),COLUMN(E26)),))</f>
        <v>0</v>
      </c>
      <c r="G26" s="54">
        <f t="array" aca="1" ref="G26" ca="1">IF($C26="итого",SUM(OFFSET(G25,,,-12)),IFERROR(INDEX('список неявок'!$A$4:$I$500,MATCH($A26&amp;$C26,'список неявок'!$A$4:$A$500&amp;'список неявок'!$B$4:$B$500,0),COLUMN(F26)),))</f>
        <v>0</v>
      </c>
      <c r="H26" s="54">
        <f t="array" aca="1" ref="H26" ca="1">IF($C26="итого",SUM(OFFSET(H25,,,-12)),IFERROR(INDEX('список неявок'!$A$4:$I$500,MATCH($A26&amp;$C26,'список неявок'!$A$4:$A$500&amp;'список неявок'!$B$4:$B$500,0),COLUMN(G26)),))</f>
        <v>0</v>
      </c>
      <c r="I26" s="54">
        <f t="array" aca="1" ref="I26" ca="1">IF($C26="итого",SUM(OFFSET(I25,,,-12)),IFERROR(INDEX('список неявок'!$A$4:$I$500,MATCH($A26&amp;$C26,'список неявок'!$A$4:$A$500&amp;'список неявок'!$B$4:$B$500,0),COLUMN(H26)),))</f>
        <v>0</v>
      </c>
      <c r="J26" s="54">
        <f t="array" aca="1" ref="J26" ca="1">IF($C26="итого",SUM(OFFSET(J25,,,-12)),IFERROR(INDEX('список неявок'!$A$4:$I$500,MATCH($A26&amp;$C26,'список неявок'!$A$4:$A$500&amp;'список неявок'!$B$4:$B$500,0),COLUMN(I26)),))</f>
        <v>0</v>
      </c>
      <c r="K26" s="54">
        <f t="shared" ca="1" si="23"/>
        <v>21</v>
      </c>
      <c r="L26" s="55">
        <f t="array" aca="1" ref="L26" ca="1">IF(C26="итого",SUM(OFFSET(L25,,,-12)),NETWORKDAYS.INTL(DATE(YEAR(C26),MONTH(C26),1),C26,,'Данные для расчета'!$M$10:$V$24))</f>
        <v>21</v>
      </c>
      <c r="M26" s="39">
        <f t="array" aca="1" ref="M26" ca="1">IF(C26="итого",SUM(OFFSET(M25,,,-12)),(_xlfn.DAYS(C26,DATE(YEAR(C26),MONTH(C26),1)-1)-SUM(D26:I26))*29.3/(_xlfn.DAYS(C26,DATE(YEAR(C26),MONTH(C26),1)-1)))</f>
        <v>29.3</v>
      </c>
      <c r="N26" s="39"/>
      <c r="O26" s="40" t="str">
        <f>IF(AND(C26="итого",B26=0),0,IF(C26="итого",IF('Данные для расчета'!$B$2+1-DATE(YEAR('Данные для расчета'!$B$2),MONTH('Данные для расчета'!$B$2),DAY(B26+E26+F26+((D26-14)&gt;0)*(D26-14)))&gt;DAY(EOMONTH('Данные для расчета'!$B$2,0))/2,(((YEAR('Данные для расчета'!$B$2)-YEAR(B26+E26+F26+((D26-14)&gt;0)*(D26-14)))*12+MONTH('Данные для расчета'!$B$2)-MONTH(B26+E26+F26+((D26-14)&gt;0)*(D26-14))+1)),((YEAR('Данные для расчета'!$B$2)-YEAR(B26+E26+F26+((D26-14)&gt;0)*(D26-14)))*12+MONTH('Данные для расчета'!$B$2)-MONTH(B26+E26+F26+((D26-14)&gt;0)*(D26-14)))),""))</f>
        <v/>
      </c>
      <c r="P26" s="40" t="str">
        <f>IF(O26=11,12,IF(AND(O26&gt;=5.5,O26&lt;=11,'Данные для расчета'!$A$5=1),12,расчет!O26))</f>
        <v/>
      </c>
      <c r="Q26" s="40" t="str">
        <f t="shared" si="19"/>
        <v/>
      </c>
      <c r="R26" s="23">
        <f t="shared" si="20"/>
        <v>0</v>
      </c>
      <c r="S26" s="56">
        <f t="shared" si="2"/>
        <v>0</v>
      </c>
      <c r="T26" s="23">
        <f>IF(C26&lt;'Данные для расчета'!$B$3,1+'Данные для расчета'!$B$4,1)</f>
        <v>1</v>
      </c>
      <c r="U26" s="68">
        <f t="shared" ca="1" si="12"/>
        <v>36474.800000000003</v>
      </c>
      <c r="V26" s="17">
        <f t="shared" ca="1" si="13"/>
        <v>36474.800000000003</v>
      </c>
      <c r="W26" s="17">
        <f ca="1">IF($C26="итого",SUM(W14:W25),Y26*K26/L26+AB26*(12+1-MONTH('Данные для расчета'!$B$2))/12)</f>
        <v>1633.2000000000003</v>
      </c>
      <c r="X26" s="17">
        <f t="shared" ca="1" si="21"/>
        <v>38108</v>
      </c>
      <c r="Y26" s="17">
        <f t="array" aca="1" ref="Y26" ca="1">IF($C26="итого",SUM(OFFSET(Y25,,,-12)),IF(ISNA(INDEX(INDIRECT("'"&amp;MONTH($C26)&amp;"'!$A$4:$AR$500"),MATCH("*"&amp;$A26&amp;"*",INDIRECT("'"&amp;MONTH($C26)&amp;"'!$A$4:$A$500"),0),MATCH(Y$8,INDIRECT("'"&amp;MONTH($C26)&amp;"'!$4:$4"),0))),0,INDEX(INDIRECT("'"&amp;MONTH($C26)&amp;"'!$A$4:$AR$500"),MATCH("*"&amp;$A26&amp;"*",INDIRECT("'"&amp;MONTH($C26)&amp;"'!$A$4:$A$500"),0),MATCH(Y$8,INDIRECT("'"&amp;MONTH($C26)&amp;"'!$4:$4"),0))))</f>
        <v>1633.2</v>
      </c>
      <c r="Z26" s="17">
        <f t="shared" ca="1" si="17"/>
        <v>1633.2</v>
      </c>
      <c r="AA26" s="17">
        <f t="shared" ca="1" si="5"/>
        <v>0</v>
      </c>
      <c r="AB26" s="17">
        <f t="shared" ca="1" si="6"/>
        <v>0</v>
      </c>
      <c r="AC26" s="17">
        <f t="shared" ca="1" si="10"/>
        <v>0</v>
      </c>
      <c r="AD26" s="17">
        <f t="shared" ca="1" si="10"/>
        <v>0</v>
      </c>
      <c r="AE26" s="17">
        <f t="shared" ca="1" si="10"/>
        <v>0</v>
      </c>
      <c r="AF26" s="17">
        <f t="shared" ca="1" si="10"/>
        <v>0</v>
      </c>
      <c r="AG26" s="17">
        <f t="shared" ca="1" si="10"/>
        <v>0</v>
      </c>
      <c r="AH26" s="17">
        <f t="shared" ca="1" si="10"/>
        <v>0</v>
      </c>
      <c r="AI26" s="17">
        <f t="shared" ca="1" si="10"/>
        <v>0</v>
      </c>
      <c r="AJ26" s="17">
        <f t="shared" ca="1" si="10"/>
        <v>0</v>
      </c>
      <c r="AK26" s="17">
        <f t="shared" ca="1" si="10"/>
        <v>0</v>
      </c>
      <c r="AL26" s="17">
        <f t="shared" ca="1" si="10"/>
        <v>0</v>
      </c>
      <c r="AM26" s="17">
        <f t="shared" ca="1" si="10"/>
        <v>0</v>
      </c>
      <c r="AN26" s="17">
        <f t="shared" ca="1" si="10"/>
        <v>0</v>
      </c>
      <c r="AO26" s="17">
        <f t="shared" ca="1" si="10"/>
        <v>0</v>
      </c>
      <c r="AP26" s="17">
        <f t="shared" ca="1" si="22"/>
        <v>0</v>
      </c>
    </row>
    <row r="27" spans="1:42" ht="23.25" customHeight="1" x14ac:dyDescent="0.3">
      <c r="A27" s="36" t="str">
        <f>IF(C26="итого",INDEX('список работников с датами приё'!$A$2:$B$282,COUNTIF(C$9:C26,"=итого")+1,1),A26)</f>
        <v>Петров</v>
      </c>
      <c r="B27" s="41" t="str">
        <f>IF(OR(C26="итого",C26=$C$8),INDEX('список работников с датами приё'!$A$2:$B$282,COUNTIF(C$9:C26,"=итого")+1,2),B26)</f>
        <v>08.06.2015</v>
      </c>
      <c r="C27" s="42">
        <f>IF(AND(C26="итого",'Данные для расчета'!$B$2=EOMONTH('Данные для расчета'!$B$2,0)),EOMONTH(EDATE('Данные для расчета'!$B$2,-11),0),IF(C26="итого",EOMONTH(EDATE('Данные для расчета'!$B$2,-12),0),IF(EDATE(C26,1)&gt;=EDATE('Данные для расчета'!$B$2,0),"итого",EOMONTH(EDATE(C26,1),0))))</f>
        <v>42978</v>
      </c>
      <c r="D27" s="54">
        <f t="array" aca="1" ref="D27" ca="1">IF($C27="итого",SUM(OFFSET(D26,,,-12)),IFERROR(INDEX('список неявок'!$A$4:$I$500,MATCH($A27&amp;$C27,'список неявок'!$A$4:$A$500&amp;'список неявок'!$B$4:$B$500,0),COLUMN(C27)),))</f>
        <v>0</v>
      </c>
      <c r="E27" s="54">
        <f t="array" aca="1" ref="E27" ca="1">IF($C27="итого",SUM(OFFSET(E26,,,-12)),IFERROR(INDEX('список неявок'!$A$4:$I$500,MATCH($A27&amp;$C27,'список неявок'!$A$4:$A$500&amp;'список неявок'!$B$4:$B$500,0),COLUMN(D27)),))</f>
        <v>0</v>
      </c>
      <c r="F27" s="54">
        <f t="array" aca="1" ref="F27" ca="1">IF($C27="итого",SUM(OFFSET(F26,,,-12)),IFERROR(INDEX('список неявок'!$A$4:$I$500,MATCH($A27&amp;$C27,'список неявок'!$A$4:$A$500&amp;'список неявок'!$B$4:$B$500,0),COLUMN(E27)),))</f>
        <v>0</v>
      </c>
      <c r="G27" s="54">
        <f t="array" aca="1" ref="G27" ca="1">IF($C27="итого",SUM(OFFSET(G26,,,-12)),IFERROR(INDEX('список неявок'!$A$4:$I$500,MATCH($A27&amp;$C27,'список неявок'!$A$4:$A$500&amp;'список неявок'!$B$4:$B$500,0),COLUMN(F27)),))</f>
        <v>0</v>
      </c>
      <c r="H27" s="54">
        <f t="array" aca="1" ref="H27" ca="1">IF($C27="итого",SUM(OFFSET(H26,,,-12)),IFERROR(INDEX('список неявок'!$A$4:$I$500,MATCH($A27&amp;$C27,'список неявок'!$A$4:$A$500&amp;'список неявок'!$B$4:$B$500,0),COLUMN(G27)),))</f>
        <v>0</v>
      </c>
      <c r="I27" s="54">
        <f t="array" aca="1" ref="I27" ca="1">IF($C27="итого",SUM(OFFSET(I26,,,-12)),IFERROR(INDEX('список неявок'!$A$4:$I$500,MATCH($A27&amp;$C27,'список неявок'!$A$4:$A$500&amp;'список неявок'!$B$4:$B$500,0),COLUMN(H27)),))</f>
        <v>0</v>
      </c>
      <c r="J27" s="54">
        <f t="array" aca="1" ref="J27" ca="1">IF($C27="итого",SUM(OFFSET(J26,,,-12)),IFERROR(INDEX('список неявок'!$A$4:$I$500,MATCH($A27&amp;$C27,'список неявок'!$A$4:$A$500&amp;'список неявок'!$B$4:$B$500,0),COLUMN(I27)),))</f>
        <v>0</v>
      </c>
      <c r="K27" s="54">
        <f t="shared" ca="1" si="23"/>
        <v>23</v>
      </c>
      <c r="L27" s="55">
        <f t="array" aca="1" ref="L27" ca="1">IF(C27="итого",SUM(OFFSET(L26,,,-12)),NETWORKDAYS.INTL(DATE(YEAR(C27),MONTH(C27),1),C27,,'Данные для расчета'!$M$10:$V$24))</f>
        <v>23</v>
      </c>
      <c r="M27" s="39">
        <f t="array" aca="1" ref="M27" ca="1">IF(C27="итого",SUM(OFFSET(M26,,,-12)),(_xlfn.DAYS(C27,DATE(YEAR(C27),MONTH(C27),1)-1)-SUM(D27:I27))*29.3/(_xlfn.DAYS(C27,DATE(YEAR(C27),MONTH(C27),1)-1)))</f>
        <v>29.3</v>
      </c>
      <c r="N27" s="39"/>
      <c r="O27" s="40" t="str">
        <f>IF(AND(C27="итого",B27=0),0,IF(C27="итого",IF('Данные для расчета'!$B$2+1-DATE(YEAR('Данные для расчета'!$B$2),MONTH('Данные для расчета'!$B$2),DAY(B27+E27+F27+((D27-14)&gt;0)*(D27-14)))&gt;DAY(EOMONTH('Данные для расчета'!$B$2,0))/2,(((YEAR('Данные для расчета'!$B$2)-YEAR(B27+E27+F27+((D27-14)&gt;0)*(D27-14)))*12+MONTH('Данные для расчета'!$B$2)-MONTH(B27+E27+F27+((D27-14)&gt;0)*(D27-14))+1)),((YEAR('Данные для расчета'!$B$2)-YEAR(B27+E27+F27+((D27-14)&gt;0)*(D27-14)))*12+MONTH('Данные для расчета'!$B$2)-MONTH(B27+E27+F27+((D27-14)&gt;0)*(D27-14)))),""))</f>
        <v/>
      </c>
      <c r="P27" s="40" t="str">
        <f>IF(O27=11,12,IF(AND(O27&gt;=5.5,O27&lt;=11,'Данные для расчета'!$A$5=1),12,расчет!O27))</f>
        <v/>
      </c>
      <c r="Q27" s="40" t="str">
        <f t="shared" si="19"/>
        <v/>
      </c>
      <c r="R27" s="23">
        <f t="shared" si="20"/>
        <v>0</v>
      </c>
      <c r="S27" s="56">
        <f t="shared" si="2"/>
        <v>0</v>
      </c>
      <c r="T27" s="23">
        <f>IF(C27&lt;'Данные для расчета'!$B$3,1+'Данные для расчета'!$B$4,1)</f>
        <v>1</v>
      </c>
      <c r="U27" s="68">
        <f t="shared" ca="1" si="12"/>
        <v>36474.800000000003</v>
      </c>
      <c r="V27" s="17">
        <f t="shared" ca="1" si="13"/>
        <v>36474.800000000003</v>
      </c>
      <c r="W27" s="17">
        <f ca="1">IF($C27="итого",SUM(W15:W26),Y27*K27/L27+AB27*(12+1-MONTH('Данные для расчета'!$B$2))/12)</f>
        <v>1633.2</v>
      </c>
      <c r="X27" s="17">
        <f t="shared" ca="1" si="21"/>
        <v>38108</v>
      </c>
      <c r="Y27" s="17">
        <f t="array" aca="1" ref="Y27" ca="1">IF($C27="итого",SUM(OFFSET(Y26,,,-12)),IF(ISNA(INDEX(INDIRECT("'"&amp;MONTH($C27)&amp;"'!$A$4:$AR$500"),MATCH("*"&amp;$A27&amp;"*",INDIRECT("'"&amp;MONTH($C27)&amp;"'!$A$4:$A$500"),0),MATCH(Y$8,INDIRECT("'"&amp;MONTH($C27)&amp;"'!$4:$4"),0))),0,INDEX(INDIRECT("'"&amp;MONTH($C27)&amp;"'!$A$4:$AR$500"),MATCH("*"&amp;$A27&amp;"*",INDIRECT("'"&amp;MONTH($C27)&amp;"'!$A$4:$A$500"),0),MATCH(Y$8,INDIRECT("'"&amp;MONTH($C27)&amp;"'!$4:$4"),0))))</f>
        <v>1633.2</v>
      </c>
      <c r="Z27" s="17">
        <f t="shared" ca="1" si="17"/>
        <v>1633.2</v>
      </c>
      <c r="AA27" s="17">
        <f t="shared" ca="1" si="5"/>
        <v>0</v>
      </c>
      <c r="AB27" s="17">
        <f t="shared" ca="1" si="6"/>
        <v>0</v>
      </c>
      <c r="AC27" s="17">
        <f t="shared" ca="1" si="10"/>
        <v>0</v>
      </c>
      <c r="AD27" s="17">
        <f t="shared" ca="1" si="10"/>
        <v>0</v>
      </c>
      <c r="AE27" s="17">
        <f t="shared" ca="1" si="10"/>
        <v>0</v>
      </c>
      <c r="AF27" s="17">
        <f t="shared" ca="1" si="10"/>
        <v>0</v>
      </c>
      <c r="AG27" s="17">
        <f t="shared" ca="1" si="10"/>
        <v>0</v>
      </c>
      <c r="AH27" s="17">
        <f t="shared" ca="1" si="10"/>
        <v>0</v>
      </c>
      <c r="AI27" s="17">
        <f t="shared" ca="1" si="10"/>
        <v>0</v>
      </c>
      <c r="AJ27" s="17">
        <f t="shared" ca="1" si="10"/>
        <v>0</v>
      </c>
      <c r="AK27" s="17">
        <f t="shared" ca="1" si="10"/>
        <v>0</v>
      </c>
      <c r="AL27" s="17">
        <f t="shared" ca="1" si="10"/>
        <v>0</v>
      </c>
      <c r="AM27" s="17">
        <f t="shared" ca="1" si="10"/>
        <v>0</v>
      </c>
      <c r="AN27" s="17">
        <f t="shared" ca="1" si="10"/>
        <v>0</v>
      </c>
      <c r="AO27" s="17">
        <f t="shared" ca="1" si="10"/>
        <v>0</v>
      </c>
      <c r="AP27" s="17">
        <f t="shared" ca="1" si="22"/>
        <v>0</v>
      </c>
    </row>
    <row r="28" spans="1:42" ht="23.25" customHeight="1" x14ac:dyDescent="0.3">
      <c r="A28" s="36" t="str">
        <f>IF(C27="итого",INDEX('список работников с датами приё'!$A$2:$B$282,COUNTIF(C$9:C27,"=итого")+1,1),A27)</f>
        <v>Петров</v>
      </c>
      <c r="B28" s="41" t="str">
        <f>IF(OR(C27="итого",C27=$C$8),INDEX('список работников с датами приё'!$A$2:$B$282,COUNTIF(C$9:C27,"=итого")+1,2),B27)</f>
        <v>08.06.2015</v>
      </c>
      <c r="C28" s="42">
        <f>IF(AND(C27="итого",'Данные для расчета'!$B$2=EOMONTH('Данные для расчета'!$B$2,0)),EOMONTH(EDATE('Данные для расчета'!$B$2,-11),0),IF(C27="итого",EOMONTH(EDATE('Данные для расчета'!$B$2,-12),0),IF(EDATE(C27,1)&gt;=EDATE('Данные для расчета'!$B$2,0),"итого",EOMONTH(EDATE(C27,1),0))))</f>
        <v>43008</v>
      </c>
      <c r="D28" s="54">
        <f t="array" aca="1" ref="D28" ca="1">IF($C28="итого",SUM(OFFSET(D27,,,-12)),IFERROR(INDEX('список неявок'!$A$4:$I$500,MATCH($A28&amp;$C28,'список неявок'!$A$4:$A$500&amp;'список неявок'!$B$4:$B$500,0),COLUMN(C28)),))</f>
        <v>0</v>
      </c>
      <c r="E28" s="54">
        <f t="array" aca="1" ref="E28" ca="1">IF($C28="итого",SUM(OFFSET(E27,,,-12)),IFERROR(INDEX('список неявок'!$A$4:$I$500,MATCH($A28&amp;$C28,'список неявок'!$A$4:$A$500&amp;'список неявок'!$B$4:$B$500,0),COLUMN(D28)),))</f>
        <v>0</v>
      </c>
      <c r="F28" s="54">
        <f t="array" aca="1" ref="F28" ca="1">IF($C28="итого",SUM(OFFSET(F27,,,-12)),IFERROR(INDEX('список неявок'!$A$4:$I$500,MATCH($A28&amp;$C28,'список неявок'!$A$4:$A$500&amp;'список неявок'!$B$4:$B$500,0),COLUMN(E28)),))</f>
        <v>0</v>
      </c>
      <c r="G28" s="54">
        <f t="array" aca="1" ref="G28" ca="1">IF($C28="итого",SUM(OFFSET(G27,,,-12)),IFERROR(INDEX('список неявок'!$A$4:$I$500,MATCH($A28&amp;$C28,'список неявок'!$A$4:$A$500&amp;'список неявок'!$B$4:$B$500,0),COLUMN(F28)),))</f>
        <v>0</v>
      </c>
      <c r="H28" s="54">
        <f t="array" aca="1" ref="H28" ca="1">IF($C28="итого",SUM(OFFSET(H27,,,-12)),IFERROR(INDEX('список неявок'!$A$4:$I$500,MATCH($A28&amp;$C28,'список неявок'!$A$4:$A$500&amp;'список неявок'!$B$4:$B$500,0),COLUMN(G28)),))</f>
        <v>0</v>
      </c>
      <c r="I28" s="54">
        <f t="array" aca="1" ref="I28" ca="1">IF($C28="итого",SUM(OFFSET(I27,,,-12)),IFERROR(INDEX('список неявок'!$A$4:$I$500,MATCH($A28&amp;$C28,'список неявок'!$A$4:$A$500&amp;'список неявок'!$B$4:$B$500,0),COLUMN(H28)),))</f>
        <v>0</v>
      </c>
      <c r="J28" s="54">
        <f t="array" aca="1" ref="J28" ca="1">IF($C28="итого",SUM(OFFSET(J27,,,-12)),IFERROR(INDEX('список неявок'!$A$4:$I$500,MATCH($A28&amp;$C28,'список неявок'!$A$4:$A$500&amp;'список неявок'!$B$4:$B$500,0),COLUMN(I28)),))</f>
        <v>0</v>
      </c>
      <c r="K28" s="54">
        <f t="shared" ca="1" si="23"/>
        <v>21</v>
      </c>
      <c r="L28" s="55">
        <f t="array" aca="1" ref="L28" ca="1">IF(C28="итого",SUM(OFFSET(L27,,,-12)),NETWORKDAYS.INTL(DATE(YEAR(C28),MONTH(C28),1),C28,,'Данные для расчета'!$M$10:$V$24))</f>
        <v>21</v>
      </c>
      <c r="M28" s="39">
        <f t="array" aca="1" ref="M28" ca="1">IF(C28="итого",SUM(OFFSET(M27,,,-12)),(_xlfn.DAYS(C28,DATE(YEAR(C28),MONTH(C28),1)-1)-SUM(D28:I28))*29.3/(_xlfn.DAYS(C28,DATE(YEAR(C28),MONTH(C28),1)-1)))</f>
        <v>29.3</v>
      </c>
      <c r="N28" s="39"/>
      <c r="O28" s="40" t="str">
        <f>IF(AND(C28="итого",B28=0),0,IF(C28="итого",IF('Данные для расчета'!$B$2+1-DATE(YEAR('Данные для расчета'!$B$2),MONTH('Данные для расчета'!$B$2),DAY(B28+E28+F28+((D28-14)&gt;0)*(D28-14)))&gt;DAY(EOMONTH('Данные для расчета'!$B$2,0))/2,(((YEAR('Данные для расчета'!$B$2)-YEAR(B28+E28+F28+((D28-14)&gt;0)*(D28-14)))*12+MONTH('Данные для расчета'!$B$2)-MONTH(B28+E28+F28+((D28-14)&gt;0)*(D28-14))+1)),((YEAR('Данные для расчета'!$B$2)-YEAR(B28+E28+F28+((D28-14)&gt;0)*(D28-14)))*12+MONTH('Данные для расчета'!$B$2)-MONTH(B28+E28+F28+((D28-14)&gt;0)*(D28-14)))),""))</f>
        <v/>
      </c>
      <c r="P28" s="40" t="str">
        <f>IF(O28=11,12,IF(AND(O28&gt;=5.5,O28&lt;=11,'Данные для расчета'!$A$5=1),12,расчет!O28))</f>
        <v/>
      </c>
      <c r="Q28" s="40" t="str">
        <f t="shared" si="19"/>
        <v/>
      </c>
      <c r="R28" s="23">
        <f t="shared" si="20"/>
        <v>0</v>
      </c>
      <c r="S28" s="56">
        <f t="shared" si="2"/>
        <v>0</v>
      </c>
      <c r="T28" s="23">
        <f>IF(C28&lt;'Данные для расчета'!$B$3,1+'Данные для расчета'!$B$4,1)</f>
        <v>1</v>
      </c>
      <c r="U28" s="68">
        <f ca="1">IF($C28="итого",SUM(U16:U27),IF(ISNA(INDEX(INDIRECT("'"&amp;MONTH($C28)&amp;"'!$A$4:$AR$500"),MATCH("*"&amp;$A28&amp;"*",INDIRECT("'"&amp;MONTH($C28)&amp;"'!$A$4:$A$500"),0),MATCH(U$8,INDIRECT("'"&amp;MONTH($C28)&amp;"'!$4:$4"),0))),0,INDEX(INDIRECT("'"&amp;MONTH($C28)&amp;"'!$A$4:$AR$500"),MATCH("*"&amp;$A28&amp;"*",INDIRECT("'"&amp;MONTH($C28)&amp;"'!$A$4:$A$500"),0),MATCH(U$8,INDIRECT("'"&amp;MONTH($C28)&amp;"'!$4:$4"),0))))</f>
        <v>36474.800000000003</v>
      </c>
      <c r="V28" s="17">
        <f t="shared" ca="1" si="13"/>
        <v>36474.800000000003</v>
      </c>
      <c r="W28" s="17">
        <f ca="1">IF($C28="итого",SUM(W16:W27),Y28*K28/L28+AB28*(12+1-MONTH('Данные для расчета'!$B$2))/12)</f>
        <v>1633.2000000000003</v>
      </c>
      <c r="X28" s="17">
        <f t="shared" ca="1" si="21"/>
        <v>38108</v>
      </c>
      <c r="Y28" s="17">
        <f t="array" aca="1" ref="Y28" ca="1">IF($C28="итого",SUM(OFFSET(Y27,,,-12)),IF(ISNA(INDEX(INDIRECT("'"&amp;MONTH($C28)&amp;"'!$A$4:$AR$500"),MATCH("*"&amp;$A28&amp;"*",INDIRECT("'"&amp;MONTH($C28)&amp;"'!$A$4:$A$500"),0),MATCH(Y$8,INDIRECT("'"&amp;MONTH($C28)&amp;"'!$4:$4"),0))),0,INDEX(INDIRECT("'"&amp;MONTH($C28)&amp;"'!$A$4:$AR$500"),MATCH("*"&amp;$A28&amp;"*",INDIRECT("'"&amp;MONTH($C28)&amp;"'!$A$4:$A$500"),0),MATCH(Y$8,INDIRECT("'"&amp;MONTH($C28)&amp;"'!$4:$4"),0))))</f>
        <v>1633.2</v>
      </c>
      <c r="Z28" s="17">
        <f t="shared" ca="1" si="17"/>
        <v>1633.2</v>
      </c>
      <c r="AA28" s="17">
        <f t="shared" ca="1" si="5"/>
        <v>0</v>
      </c>
      <c r="AB28" s="17">
        <f t="shared" ca="1" si="6"/>
        <v>0</v>
      </c>
      <c r="AC28" s="17">
        <f t="shared" ref="AC28:AO43" ca="1" si="24">IF($C28="итого",SUM(AC16:AC27),IF(ISNA(INDEX(INDIRECT("'"&amp;MONTH($C28)&amp;"'!$A$4:$AR$500"),MATCH("*"&amp;$A28&amp;"*",INDIRECT("'"&amp;MONTH($C28)&amp;"'!$A$4:$A$500"),0),MATCH(AC$8,INDIRECT("'"&amp;MONTH($C28)&amp;"'!$4:$4"),0))),0,INDEX(INDIRECT("'"&amp;MONTH($C28)&amp;"'!$A$4:$AR$500"),MATCH("*"&amp;$A28&amp;"*",INDIRECT("'"&amp;MONTH($C28)&amp;"'!$A$4:$A$500"),0),MATCH(AC$8,INDIRECT("'"&amp;MONTH($C28)&amp;"'!$4:$4"),0))))</f>
        <v>0</v>
      </c>
      <c r="AD28" s="17">
        <f t="shared" ca="1" si="24"/>
        <v>0</v>
      </c>
      <c r="AE28" s="17">
        <f t="shared" ca="1" si="24"/>
        <v>0</v>
      </c>
      <c r="AF28" s="17">
        <f t="shared" ca="1" si="24"/>
        <v>0</v>
      </c>
      <c r="AG28" s="17">
        <f t="shared" ca="1" si="24"/>
        <v>0</v>
      </c>
      <c r="AH28" s="17">
        <f t="shared" ca="1" si="24"/>
        <v>0</v>
      </c>
      <c r="AI28" s="17">
        <f t="shared" ca="1" si="24"/>
        <v>0</v>
      </c>
      <c r="AJ28" s="17">
        <f t="shared" ca="1" si="24"/>
        <v>0</v>
      </c>
      <c r="AK28" s="17">
        <f t="shared" ca="1" si="24"/>
        <v>0</v>
      </c>
      <c r="AL28" s="17">
        <f t="shared" ca="1" si="24"/>
        <v>0</v>
      </c>
      <c r="AM28" s="17">
        <f t="shared" ca="1" si="24"/>
        <v>0</v>
      </c>
      <c r="AN28" s="17">
        <f t="shared" ref="AN28:AN47" ca="1" si="25">IF($C28="итого",SUM(AN16:AN27),IF(ISNA(INDEX(INDIRECT("'"&amp;MONTH($C28)&amp;"'!$A$4:$AR$500"),MATCH("*"&amp;$A28&amp;"*",INDIRECT("'"&amp;MONTH($C28)&amp;"'!$A$4:$A$500"),0),MATCH(AN$8,INDIRECT("'"&amp;MONTH($C28)&amp;"'!$4:$4"),0))),0,INDEX(INDIRECT("'"&amp;MONTH($C28)&amp;"'!$A$4:$AR$500"),MATCH("*"&amp;$A28&amp;"*",INDIRECT("'"&amp;MONTH($C28)&amp;"'!$A$4:$A$500"),0),MATCH(AN$8,INDIRECT("'"&amp;MONTH($C28)&amp;"'!$4:$4"),0))))</f>
        <v>0</v>
      </c>
      <c r="AO28" s="17">
        <f t="shared" ca="1" si="24"/>
        <v>0</v>
      </c>
      <c r="AP28" s="17">
        <f t="shared" ca="1" si="22"/>
        <v>0</v>
      </c>
    </row>
    <row r="29" spans="1:42" ht="23.25" customHeight="1" x14ac:dyDescent="0.3">
      <c r="A29" s="36" t="str">
        <f>IF(C28="итого",INDEX('список работников с датами приё'!$A$2:$B$282,COUNTIF(C$9:C28,"=итого")+1,1),A28)</f>
        <v>Петров</v>
      </c>
      <c r="B29" s="41" t="str">
        <f>IF(OR(C28="итого",C28=$C$8),INDEX('список работников с датами приё'!$A$2:$B$282,COUNTIF(C$9:C28,"=итого")+1,2),B28)</f>
        <v>08.06.2015</v>
      </c>
      <c r="C29" s="42">
        <f>IF(AND(C28="итого",'Данные для расчета'!$B$2=EOMONTH('Данные для расчета'!$B$2,0)),EOMONTH(EDATE('Данные для расчета'!$B$2,-11),0),IF(C28="итого",EOMONTH(EDATE('Данные для расчета'!$B$2,-12),0),IF(EDATE(C28,1)&gt;=EDATE('Данные для расчета'!$B$2,0),"итого",EOMONTH(EDATE(C28,1),0))))</f>
        <v>43039</v>
      </c>
      <c r="D29" s="54">
        <f t="array" aca="1" ref="D29" ca="1">IF($C29="итого",SUM(OFFSET(D28,,,-12)),IFERROR(INDEX('список неявок'!$A$4:$I$500,MATCH($A29&amp;$C29,'список неявок'!$A$4:$A$500&amp;'список неявок'!$B$4:$B$500,0),COLUMN(C29)),))</f>
        <v>0</v>
      </c>
      <c r="E29" s="54">
        <f t="array" aca="1" ref="E29" ca="1">IF($C29="итого",SUM(OFFSET(E28,,,-12)),IFERROR(INDEX('список неявок'!$A$4:$I$500,MATCH($A29&amp;$C29,'список неявок'!$A$4:$A$500&amp;'список неявок'!$B$4:$B$500,0),COLUMN(D29)),))</f>
        <v>0</v>
      </c>
      <c r="F29" s="54">
        <f t="array" aca="1" ref="F29" ca="1">IF($C29="итого",SUM(OFFSET(F28,,,-12)),IFERROR(INDEX('список неявок'!$A$4:$I$500,MATCH($A29&amp;$C29,'список неявок'!$A$4:$A$500&amp;'список неявок'!$B$4:$B$500,0),COLUMN(E29)),))</f>
        <v>0</v>
      </c>
      <c r="G29" s="54">
        <f t="array" aca="1" ref="G29" ca="1">IF($C29="итого",SUM(OFFSET(G28,,,-12)),IFERROR(INDEX('список неявок'!$A$4:$I$500,MATCH($A29&amp;$C29,'список неявок'!$A$4:$A$500&amp;'список неявок'!$B$4:$B$500,0),COLUMN(F29)),))</f>
        <v>0</v>
      </c>
      <c r="H29" s="54">
        <f t="array" aca="1" ref="H29" ca="1">IF($C29="итого",SUM(OFFSET(H28,,,-12)),IFERROR(INDEX('список неявок'!$A$4:$I$500,MATCH($A29&amp;$C29,'список неявок'!$A$4:$A$500&amp;'список неявок'!$B$4:$B$500,0),COLUMN(G29)),))</f>
        <v>0</v>
      </c>
      <c r="I29" s="54">
        <f t="array" aca="1" ref="I29" ca="1">IF($C29="итого",SUM(OFFSET(I28,,,-12)),IFERROR(INDEX('список неявок'!$A$4:$I$500,MATCH($A29&amp;$C29,'список неявок'!$A$4:$A$500&amp;'список неявок'!$B$4:$B$500,0),COLUMN(H29)),))</f>
        <v>0</v>
      </c>
      <c r="J29" s="54">
        <f t="array" aca="1" ref="J29" ca="1">IF($C29="итого",SUM(OFFSET(J28,,,-12)),IFERROR(INDEX('список неявок'!$A$4:$I$500,MATCH($A29&amp;$C29,'список неявок'!$A$4:$A$500&amp;'список неявок'!$B$4:$B$500,0),COLUMN(I29)),))</f>
        <v>0</v>
      </c>
      <c r="K29" s="54">
        <f t="shared" ca="1" si="23"/>
        <v>22</v>
      </c>
      <c r="L29" s="55">
        <f t="array" aca="1" ref="L29" ca="1">IF(C29="итого",SUM(OFFSET(L28,,,-12)),NETWORKDAYS.INTL(DATE(YEAR(C29),MONTH(C29),1),C29,,'Данные для расчета'!$M$10:$V$24))</f>
        <v>22</v>
      </c>
      <c r="M29" s="39">
        <f t="array" aca="1" ref="M29" ca="1">IF(C29="итого",SUM(OFFSET(M28,,,-12)),(_xlfn.DAYS(C29,DATE(YEAR(C29),MONTH(C29),1)-1)-SUM(D29:I29))*29.3/(_xlfn.DAYS(C29,DATE(YEAR(C29),MONTH(C29),1)-1)))</f>
        <v>29.3</v>
      </c>
      <c r="N29" s="39"/>
      <c r="O29" s="40" t="str">
        <f>IF(AND(C29="итого",B29=0),0,IF(C29="итого",IF('Данные для расчета'!$B$2+1-DATE(YEAR('Данные для расчета'!$B$2),MONTH('Данные для расчета'!$B$2),DAY(B29+E29+F29+((D29-14)&gt;0)*(D29-14)))&gt;DAY(EOMONTH('Данные для расчета'!$B$2,0))/2,(((YEAR('Данные для расчета'!$B$2)-YEAR(B29+E29+F29+((D29-14)&gt;0)*(D29-14)))*12+MONTH('Данные для расчета'!$B$2)-MONTH(B29+E29+F29+((D29-14)&gt;0)*(D29-14))+1)),((YEAR('Данные для расчета'!$B$2)-YEAR(B29+E29+F29+((D29-14)&gt;0)*(D29-14)))*12+MONTH('Данные для расчета'!$B$2)-MONTH(B29+E29+F29+((D29-14)&gt;0)*(D29-14)))),""))</f>
        <v/>
      </c>
      <c r="P29" s="40" t="str">
        <f>IF(O29=11,12,IF(AND(O29&gt;=5.5,O29&lt;=11,'Данные для расчета'!$A$5=1),12,расчет!O29))</f>
        <v/>
      </c>
      <c r="Q29" s="40" t="str">
        <f t="shared" si="19"/>
        <v/>
      </c>
      <c r="R29" s="23">
        <f t="shared" si="20"/>
        <v>0</v>
      </c>
      <c r="S29" s="56">
        <f t="shared" si="2"/>
        <v>0</v>
      </c>
      <c r="T29" s="23">
        <f>IF(C29&lt;'Данные для расчета'!$B$3,1+'Данные для расчета'!$B$4,1)</f>
        <v>1</v>
      </c>
      <c r="U29" s="68">
        <f t="shared" ca="1" si="12"/>
        <v>36474.800000000003</v>
      </c>
      <c r="V29" s="17">
        <f t="shared" ca="1" si="13"/>
        <v>36474.800000000003</v>
      </c>
      <c r="W29" s="17">
        <f ca="1">IF($C29="итого",SUM(W17:W28),Y29*K29/L29+AB29*(12+1-MONTH('Данные для расчета'!$B$2))/12)</f>
        <v>1633.2</v>
      </c>
      <c r="X29" s="17">
        <f t="shared" ca="1" si="21"/>
        <v>38108</v>
      </c>
      <c r="Y29" s="17">
        <f t="array" aca="1" ref="Y29" ca="1">IF($C29="итого",SUM(OFFSET(Y28,,,-12)),IF(ISNA(INDEX(INDIRECT("'"&amp;MONTH($C29)&amp;"'!$A$4:$AR$500"),MATCH("*"&amp;$A29&amp;"*",INDIRECT("'"&amp;MONTH($C29)&amp;"'!$A$4:$A$500"),0),MATCH(Y$8,INDIRECT("'"&amp;MONTH($C29)&amp;"'!$4:$4"),0))),0,INDEX(INDIRECT("'"&amp;MONTH($C29)&amp;"'!$A$4:$AR$500"),MATCH("*"&amp;$A29&amp;"*",INDIRECT("'"&amp;MONTH($C29)&amp;"'!$A$4:$A$500"),0),MATCH(Y$8,INDIRECT("'"&amp;MONTH($C29)&amp;"'!$4:$4"),0))))</f>
        <v>1633.2</v>
      </c>
      <c r="Z29" s="17">
        <f t="shared" ca="1" si="17"/>
        <v>1633.2</v>
      </c>
      <c r="AA29" s="17">
        <f t="shared" ca="1" si="5"/>
        <v>0</v>
      </c>
      <c r="AB29" s="17">
        <f t="shared" ca="1" si="6"/>
        <v>0</v>
      </c>
      <c r="AC29" s="17">
        <f t="shared" ca="1" si="24"/>
        <v>0</v>
      </c>
      <c r="AD29" s="17">
        <f t="shared" ca="1" si="24"/>
        <v>0</v>
      </c>
      <c r="AE29" s="17">
        <f t="shared" ca="1" si="24"/>
        <v>0</v>
      </c>
      <c r="AF29" s="17">
        <f t="shared" ca="1" si="24"/>
        <v>0</v>
      </c>
      <c r="AG29" s="17">
        <f t="shared" ca="1" si="24"/>
        <v>0</v>
      </c>
      <c r="AH29" s="17">
        <f t="shared" ca="1" si="24"/>
        <v>0</v>
      </c>
      <c r="AI29" s="17">
        <f t="shared" ca="1" si="24"/>
        <v>0</v>
      </c>
      <c r="AJ29" s="17">
        <f t="shared" ca="1" si="24"/>
        <v>0</v>
      </c>
      <c r="AK29" s="17">
        <f t="shared" ca="1" si="24"/>
        <v>0</v>
      </c>
      <c r="AL29" s="17">
        <f t="shared" ca="1" si="24"/>
        <v>0</v>
      </c>
      <c r="AM29" s="17">
        <f t="shared" ca="1" si="24"/>
        <v>0</v>
      </c>
      <c r="AN29" s="17">
        <f t="shared" ca="1" si="25"/>
        <v>0</v>
      </c>
      <c r="AO29" s="17">
        <f t="shared" ca="1" si="24"/>
        <v>0</v>
      </c>
      <c r="AP29" s="17">
        <f t="shared" ca="1" si="22"/>
        <v>0</v>
      </c>
    </row>
    <row r="30" spans="1:42" ht="23.25" customHeight="1" x14ac:dyDescent="0.3">
      <c r="A30" s="36" t="str">
        <f>IF(C29="итого",INDEX('список работников с датами приё'!$A$2:$B$282,COUNTIF(C$9:C29,"=итого")+1,1),A29)</f>
        <v>Петров</v>
      </c>
      <c r="B30" s="41" t="str">
        <f>IF(OR(C29="итого",C29=$C$8),INDEX('список работников с датами приё'!$A$2:$B$282,COUNTIF(C$9:C29,"=итого")+1,2),B29)</f>
        <v>08.06.2015</v>
      </c>
      <c r="C30" s="42">
        <f>IF(AND(C29="итого",'Данные для расчета'!$B$2=EOMONTH('Данные для расчета'!$B$2,0)),EOMONTH(EDATE('Данные для расчета'!$B$2,-11),0),IF(C29="итого",EOMONTH(EDATE('Данные для расчета'!$B$2,-12),0),IF(EDATE(C29,1)&gt;=EDATE('Данные для расчета'!$B$2,0),"итого",EOMONTH(EDATE(C29,1),0))))</f>
        <v>43069</v>
      </c>
      <c r="D30" s="54">
        <f t="array" aca="1" ref="D30" ca="1">IF($C30="итого",SUM(OFFSET(D29,,,-12)),IFERROR(INDEX('список неявок'!$A$4:$I$500,MATCH($A30&amp;$C30,'список неявок'!$A$4:$A$500&amp;'список неявок'!$B$4:$B$500,0),COLUMN(C30)),))</f>
        <v>0</v>
      </c>
      <c r="E30" s="54">
        <f t="array" aca="1" ref="E30" ca="1">IF($C30="итого",SUM(OFFSET(E29,,,-12)),IFERROR(INDEX('список неявок'!$A$4:$I$500,MATCH($A30&amp;$C30,'список неявок'!$A$4:$A$500&amp;'список неявок'!$B$4:$B$500,0),COLUMN(D30)),))</f>
        <v>0</v>
      </c>
      <c r="F30" s="54">
        <f t="array" aca="1" ref="F30" ca="1">IF($C30="итого",SUM(OFFSET(F29,,,-12)),IFERROR(INDEX('список неявок'!$A$4:$I$500,MATCH($A30&amp;$C30,'список неявок'!$A$4:$A$500&amp;'список неявок'!$B$4:$B$500,0),COLUMN(E30)),))</f>
        <v>0</v>
      </c>
      <c r="G30" s="54">
        <f t="array" aca="1" ref="G30" ca="1">IF($C30="итого",SUM(OFFSET(G29,,,-12)),IFERROR(INDEX('список неявок'!$A$4:$I$500,MATCH($A30&amp;$C30,'список неявок'!$A$4:$A$500&amp;'список неявок'!$B$4:$B$500,0),COLUMN(F30)),))</f>
        <v>0</v>
      </c>
      <c r="H30" s="54">
        <f t="array" aca="1" ref="H30" ca="1">IF($C30="итого",SUM(OFFSET(H29,,,-12)),IFERROR(INDEX('список неявок'!$A$4:$I$500,MATCH($A30&amp;$C30,'список неявок'!$A$4:$A$500&amp;'список неявок'!$B$4:$B$500,0),COLUMN(G30)),))</f>
        <v>0</v>
      </c>
      <c r="I30" s="54">
        <f t="array" aca="1" ref="I30" ca="1">IF($C30="итого",SUM(OFFSET(I29,,,-12)),IFERROR(INDEX('список неявок'!$A$4:$I$500,MATCH($A30&amp;$C30,'список неявок'!$A$4:$A$500&amp;'список неявок'!$B$4:$B$500,0),COLUMN(H30)),))</f>
        <v>0</v>
      </c>
      <c r="J30" s="54">
        <f t="array" aca="1" ref="J30" ca="1">IF($C30="итого",SUM(OFFSET(J29,,,-12)),IFERROR(INDEX('список неявок'!$A$4:$I$500,MATCH($A30&amp;$C30,'список неявок'!$A$4:$A$500&amp;'список неявок'!$B$4:$B$500,0),COLUMN(I30)),))</f>
        <v>0</v>
      </c>
      <c r="K30" s="54">
        <f t="shared" ca="1" si="23"/>
        <v>22</v>
      </c>
      <c r="L30" s="55">
        <f t="array" aca="1" ref="L30" ca="1">IF(C30="итого",SUM(OFFSET(L29,,,-12)),NETWORKDAYS.INTL(DATE(YEAR(C30),MONTH(C30),1),C30,,'Данные для расчета'!$M$10:$V$24))</f>
        <v>22</v>
      </c>
      <c r="M30" s="39">
        <f t="array" aca="1" ref="M30" ca="1">IF(C30="итого",SUM(OFFSET(M29,,,-12)),(_xlfn.DAYS(C30,DATE(YEAR(C30),MONTH(C30),1)-1)-SUM(D30:I30))*29.3/(_xlfn.DAYS(C30,DATE(YEAR(C30),MONTH(C30),1)-1)))</f>
        <v>29.3</v>
      </c>
      <c r="N30" s="39"/>
      <c r="O30" s="40" t="str">
        <f>IF(AND(C30="итого",B30=0),0,IF(C30="итого",IF('Данные для расчета'!$B$2+1-DATE(YEAR('Данные для расчета'!$B$2),MONTH('Данные для расчета'!$B$2),DAY(B30+E30+F30+((D30-14)&gt;0)*(D30-14)))&gt;DAY(EOMONTH('Данные для расчета'!$B$2,0))/2,(((YEAR('Данные для расчета'!$B$2)-YEAR(B30+E30+F30+((D30-14)&gt;0)*(D30-14)))*12+MONTH('Данные для расчета'!$B$2)-MONTH(B30+E30+F30+((D30-14)&gt;0)*(D30-14))+1)),((YEAR('Данные для расчета'!$B$2)-YEAR(B30+E30+F30+((D30-14)&gt;0)*(D30-14)))*12+MONTH('Данные для расчета'!$B$2)-MONTH(B30+E30+F30+((D30-14)&gt;0)*(D30-14)))),""))</f>
        <v/>
      </c>
      <c r="P30" s="40" t="str">
        <f>IF(O30=11,12,IF(AND(O30&gt;=5.5,O30&lt;=11,'Данные для расчета'!$A$5=1),12,расчет!O30))</f>
        <v/>
      </c>
      <c r="Q30" s="40" t="str">
        <f t="shared" si="19"/>
        <v/>
      </c>
      <c r="R30" s="23">
        <f t="shared" si="20"/>
        <v>0</v>
      </c>
      <c r="S30" s="56">
        <f t="shared" si="2"/>
        <v>0</v>
      </c>
      <c r="T30" s="23">
        <f>IF(C30&lt;'Данные для расчета'!$B$3,1+'Данные для расчета'!$B$4,1)</f>
        <v>1</v>
      </c>
      <c r="U30" s="68">
        <f t="shared" ca="1" si="12"/>
        <v>36474.800000000003</v>
      </c>
      <c r="V30" s="17">
        <f t="shared" ca="1" si="13"/>
        <v>36474.800000000003</v>
      </c>
      <c r="W30" s="17">
        <f ca="1">IF($C30="итого",SUM(W18:W29),Y30*K30/L30+AB30*(12+1-MONTH('Данные для расчета'!$B$2))/12)</f>
        <v>1633.2</v>
      </c>
      <c r="X30" s="17">
        <f t="shared" ca="1" si="21"/>
        <v>38108</v>
      </c>
      <c r="Y30" s="17">
        <f t="array" aca="1" ref="Y30" ca="1">IF($C30="итого",SUM(OFFSET(Y29,,,-12)),IF(ISNA(INDEX(INDIRECT("'"&amp;MONTH($C30)&amp;"'!$A$4:$AR$500"),MATCH("*"&amp;$A30&amp;"*",INDIRECT("'"&amp;MONTH($C30)&amp;"'!$A$4:$A$500"),0),MATCH(Y$8,INDIRECT("'"&amp;MONTH($C30)&amp;"'!$4:$4"),0))),0,INDEX(INDIRECT("'"&amp;MONTH($C30)&amp;"'!$A$4:$AR$500"),MATCH("*"&amp;$A30&amp;"*",INDIRECT("'"&amp;MONTH($C30)&amp;"'!$A$4:$A$500"),0),MATCH(Y$8,INDIRECT("'"&amp;MONTH($C30)&amp;"'!$4:$4"),0))))</f>
        <v>1633.2</v>
      </c>
      <c r="Z30" s="17">
        <f t="shared" ca="1" si="17"/>
        <v>1633.2</v>
      </c>
      <c r="AA30" s="17">
        <f t="shared" ca="1" si="5"/>
        <v>0</v>
      </c>
      <c r="AB30" s="17">
        <f t="shared" ca="1" si="6"/>
        <v>0</v>
      </c>
      <c r="AC30" s="17">
        <f t="shared" ca="1" si="24"/>
        <v>0</v>
      </c>
      <c r="AD30" s="17">
        <f t="shared" ca="1" si="24"/>
        <v>0</v>
      </c>
      <c r="AE30" s="17">
        <f t="shared" ca="1" si="24"/>
        <v>0</v>
      </c>
      <c r="AF30" s="17">
        <f t="shared" ca="1" si="24"/>
        <v>0</v>
      </c>
      <c r="AG30" s="17">
        <f t="shared" ca="1" si="24"/>
        <v>0</v>
      </c>
      <c r="AH30" s="17">
        <f t="shared" ca="1" si="24"/>
        <v>0</v>
      </c>
      <c r="AI30" s="17">
        <f t="shared" ca="1" si="24"/>
        <v>0</v>
      </c>
      <c r="AJ30" s="17">
        <f t="shared" ca="1" si="24"/>
        <v>0</v>
      </c>
      <c r="AK30" s="17">
        <f t="shared" ca="1" si="24"/>
        <v>0</v>
      </c>
      <c r="AL30" s="17">
        <f t="shared" ca="1" si="24"/>
        <v>0</v>
      </c>
      <c r="AM30" s="17">
        <f t="shared" ca="1" si="24"/>
        <v>0</v>
      </c>
      <c r="AN30" s="17">
        <f t="shared" ca="1" si="25"/>
        <v>0</v>
      </c>
      <c r="AO30" s="17">
        <f t="shared" ca="1" si="24"/>
        <v>0</v>
      </c>
      <c r="AP30" s="17">
        <f t="shared" ca="1" si="22"/>
        <v>0</v>
      </c>
    </row>
    <row r="31" spans="1:42" ht="23.25" customHeight="1" x14ac:dyDescent="0.3">
      <c r="A31" s="36" t="str">
        <f>IF(C30="итого",INDEX('список работников с датами приё'!$A$2:$B$282,COUNTIF(C$9:C30,"=итого")+1,1),A30)</f>
        <v>Петров</v>
      </c>
      <c r="B31" s="41" t="str">
        <f>IF(OR(C30="итого",C30=$C$8),INDEX('список работников с датами приё'!$A$2:$B$282,COUNTIF(C$9:C30,"=итого")+1,2),B30)</f>
        <v>08.06.2015</v>
      </c>
      <c r="C31" s="42">
        <f>IF(AND(C30="итого",'Данные для расчета'!$B$2=EOMONTH('Данные для расчета'!$B$2,0)),EOMONTH(EDATE('Данные для расчета'!$B$2,-11),0),IF(C30="итого",EOMONTH(EDATE('Данные для расчета'!$B$2,-12),0),IF(EDATE(C30,1)&gt;=EDATE('Данные для расчета'!$B$2,0),"итого",EOMONTH(EDATE(C30,1),0))))</f>
        <v>43100</v>
      </c>
      <c r="D31" s="54">
        <f t="array" aca="1" ref="D31" ca="1">IF($C31="итого",SUM(OFFSET(D30,,,-12)),IFERROR(INDEX('список неявок'!$A$4:$I$500,MATCH($A31&amp;$C31,'список неявок'!$A$4:$A$500&amp;'список неявок'!$B$4:$B$500,0),COLUMN(C31)),))</f>
        <v>0</v>
      </c>
      <c r="E31" s="54">
        <f t="array" aca="1" ref="E31" ca="1">IF($C31="итого",SUM(OFFSET(E30,,,-12)),IFERROR(INDEX('список неявок'!$A$4:$I$500,MATCH($A31&amp;$C31,'список неявок'!$A$4:$A$500&amp;'список неявок'!$B$4:$B$500,0),COLUMN(D31)),))</f>
        <v>0</v>
      </c>
      <c r="F31" s="54">
        <f t="array" aca="1" ref="F31" ca="1">IF($C31="итого",SUM(OFFSET(F30,,,-12)),IFERROR(INDEX('список неявок'!$A$4:$I$500,MATCH($A31&amp;$C31,'список неявок'!$A$4:$A$500&amp;'список неявок'!$B$4:$B$500,0),COLUMN(E31)),))</f>
        <v>0</v>
      </c>
      <c r="G31" s="54">
        <f t="array" aca="1" ref="G31" ca="1">IF($C31="итого",SUM(OFFSET(G30,,,-12)),IFERROR(INDEX('список неявок'!$A$4:$I$500,MATCH($A31&amp;$C31,'список неявок'!$A$4:$A$500&amp;'список неявок'!$B$4:$B$500,0),COLUMN(F31)),))</f>
        <v>2</v>
      </c>
      <c r="H31" s="54">
        <f t="array" aca="1" ref="H31" ca="1">IF($C31="итого",SUM(OFFSET(H30,,,-12)),IFERROR(INDEX('список неявок'!$A$4:$I$500,MATCH($A31&amp;$C31,'список неявок'!$A$4:$A$500&amp;'список неявок'!$B$4:$B$500,0),COLUMN(G31)),))</f>
        <v>0</v>
      </c>
      <c r="I31" s="54">
        <f t="array" aca="1" ref="I31" ca="1">IF($C31="итого",SUM(OFFSET(I30,,,-12)),IFERROR(INDEX('список неявок'!$A$4:$I$500,MATCH($A31&amp;$C31,'список неявок'!$A$4:$A$500&amp;'список неявок'!$B$4:$B$500,0),COLUMN(H31)),))</f>
        <v>0</v>
      </c>
      <c r="J31" s="54">
        <f t="array" aca="1" ref="J31" ca="1">IF($C31="итого",SUM(OFFSET(J30,,,-12)),IFERROR(INDEX('список неявок'!$A$4:$I$500,MATCH($A31&amp;$C31,'список неявок'!$A$4:$A$500&amp;'список неявок'!$B$4:$B$500,0),COLUMN(I31)),))</f>
        <v>21</v>
      </c>
      <c r="K31" s="54">
        <f t="shared" ca="1" si="23"/>
        <v>21</v>
      </c>
      <c r="L31" s="55">
        <f t="array" aca="1" ref="L31" ca="1">IF(C31="итого",SUM(OFFSET(L30,,,-12)),NETWORKDAYS.INTL(DATE(YEAR(C31),MONTH(C31),1),C31,,'Данные для расчета'!$M$10:$V$24))</f>
        <v>21</v>
      </c>
      <c r="M31" s="39">
        <f t="array" aca="1" ref="M31" ca="1">IF(C31="итого",SUM(OFFSET(M30,,,-12)),(_xlfn.DAYS(C31,DATE(YEAR(C31),MONTH(C31),1)-1)-SUM(D31:I31))*29.3/(_xlfn.DAYS(C31,DATE(YEAR(C31),MONTH(C31),1)-1)))</f>
        <v>27.409677419354839</v>
      </c>
      <c r="N31" s="39"/>
      <c r="O31" s="40" t="str">
        <f>IF(AND(C31="итого",B31=0),0,IF(C31="итого",IF('Данные для расчета'!$B$2+1-DATE(YEAR('Данные для расчета'!$B$2),MONTH('Данные для расчета'!$B$2),DAY(B31+E31+F31+((D31-14)&gt;0)*(D31-14)))&gt;DAY(EOMONTH('Данные для расчета'!$B$2,0))/2,(((YEAR('Данные для расчета'!$B$2)-YEAR(B31+E31+F31+((D31-14)&gt;0)*(D31-14)))*12+MONTH('Данные для расчета'!$B$2)-MONTH(B31+E31+F31+((D31-14)&gt;0)*(D31-14))+1)),((YEAR('Данные для расчета'!$B$2)-YEAR(B31+E31+F31+((D31-14)&gt;0)*(D31-14)))*12+MONTH('Данные для расчета'!$B$2)-MONTH(B31+E31+F31+((D31-14)&gt;0)*(D31-14)))),""))</f>
        <v/>
      </c>
      <c r="P31" s="40" t="str">
        <f>IF(O31=11,12,IF(AND(O31&gt;=5.5,O31&lt;=11,'Данные для расчета'!$A$5=1),12,расчет!O31))</f>
        <v/>
      </c>
      <c r="Q31" s="40" t="str">
        <f t="shared" si="19"/>
        <v/>
      </c>
      <c r="R31" s="23">
        <f t="shared" si="20"/>
        <v>0</v>
      </c>
      <c r="S31" s="56">
        <f t="shared" si="2"/>
        <v>0</v>
      </c>
      <c r="T31" s="23">
        <f>IF(C31&lt;'Данные для расчета'!$B$3,1+'Данные для расчета'!$B$4,1)</f>
        <v>1</v>
      </c>
      <c r="U31" s="68">
        <f t="shared" ca="1" si="12"/>
        <v>36474.800000000003</v>
      </c>
      <c r="V31" s="17">
        <f t="shared" ca="1" si="13"/>
        <v>36474.800000000003</v>
      </c>
      <c r="W31" s="17">
        <f ca="1">IF($C31="итого",SUM(W19:W30),Y31*K31/L31+AB31*(12+1-MONTH('Данные для расчета'!$B$2))/12)</f>
        <v>1633.2000000000003</v>
      </c>
      <c r="X31" s="17">
        <f t="shared" ca="1" si="21"/>
        <v>38108</v>
      </c>
      <c r="Y31" s="17">
        <f t="array" aca="1" ref="Y31" ca="1">IF($C31="итого",SUM(OFFSET(Y30,,,-12)),IF(ISNA(INDEX(INDIRECT("'"&amp;MONTH($C31)&amp;"'!$A$4:$AR$500"),MATCH("*"&amp;$A31&amp;"*",INDIRECT("'"&amp;MONTH($C31)&amp;"'!$A$4:$A$500"),0),MATCH(Y$8,INDIRECT("'"&amp;MONTH($C31)&amp;"'!$4:$4"),0))),0,INDEX(INDIRECT("'"&amp;MONTH($C31)&amp;"'!$A$4:$AR$500"),MATCH("*"&amp;$A31&amp;"*",INDIRECT("'"&amp;MONTH($C31)&amp;"'!$A$4:$A$500"),0),MATCH(Y$8,INDIRECT("'"&amp;MONTH($C31)&amp;"'!$4:$4"),0))))</f>
        <v>1633.2</v>
      </c>
      <c r="Z31" s="17">
        <f t="shared" ca="1" si="17"/>
        <v>1633.2</v>
      </c>
      <c r="AA31" s="17">
        <f t="shared" ca="1" si="5"/>
        <v>0</v>
      </c>
      <c r="AB31" s="17">
        <f t="shared" ca="1" si="6"/>
        <v>0</v>
      </c>
      <c r="AC31" s="17">
        <f t="shared" ca="1" si="24"/>
        <v>0</v>
      </c>
      <c r="AD31" s="17">
        <f t="shared" ca="1" si="24"/>
        <v>0</v>
      </c>
      <c r="AE31" s="17">
        <f t="shared" ca="1" si="24"/>
        <v>0</v>
      </c>
      <c r="AF31" s="17">
        <f t="shared" ca="1" si="24"/>
        <v>0</v>
      </c>
      <c r="AG31" s="17">
        <f t="shared" ca="1" si="24"/>
        <v>0</v>
      </c>
      <c r="AH31" s="17">
        <f t="shared" ca="1" si="24"/>
        <v>0</v>
      </c>
      <c r="AI31" s="17">
        <f t="shared" ca="1" si="24"/>
        <v>0</v>
      </c>
      <c r="AJ31" s="17">
        <f t="shared" ca="1" si="24"/>
        <v>0</v>
      </c>
      <c r="AK31" s="17">
        <f t="shared" ca="1" si="24"/>
        <v>0</v>
      </c>
      <c r="AL31" s="17">
        <f t="shared" ca="1" si="24"/>
        <v>0</v>
      </c>
      <c r="AM31" s="17">
        <f t="shared" ca="1" si="24"/>
        <v>0</v>
      </c>
      <c r="AN31" s="17">
        <f t="shared" ca="1" si="25"/>
        <v>0</v>
      </c>
      <c r="AO31" s="17">
        <f t="shared" ca="1" si="24"/>
        <v>0</v>
      </c>
      <c r="AP31" s="17">
        <f t="shared" ca="1" si="22"/>
        <v>0</v>
      </c>
    </row>
    <row r="32" spans="1:42" ht="23.25" customHeight="1" x14ac:dyDescent="0.3">
      <c r="A32" s="36" t="str">
        <f>IF(C31="итого",INDEX('список работников с датами приё'!$A$2:$B$282,COUNTIF(C$9:C31,"=итого")+1,1),A31)</f>
        <v>Петров</v>
      </c>
      <c r="B32" s="41" t="str">
        <f>IF(OR(C31="итого",C31=$C$8),INDEX('список работников с датами приё'!$A$2:$B$282,COUNTIF(C$9:C31,"=итого")+1,2),B31)</f>
        <v>08.06.2015</v>
      </c>
      <c r="C32" s="42">
        <f>IF(AND(C31="итого",'Данные для расчета'!$B$2=EOMONTH('Данные для расчета'!$B$2,0)),EOMONTH(EDATE('Данные для расчета'!$B$2,-11),0),IF(C31="итого",EOMONTH(EDATE('Данные для расчета'!$B$2,-12),0),IF(EDATE(C31,1)&gt;=EDATE('Данные для расчета'!$B$2,0),"итого",EOMONTH(EDATE(C31,1),0))))</f>
        <v>43131</v>
      </c>
      <c r="D32" s="54">
        <f t="array" aca="1" ref="D32" ca="1">IF($C32="итого",SUM(OFFSET(D31,,,-12)),IFERROR(INDEX('список неявок'!$A$4:$I$500,MATCH($A32&amp;$C32,'список неявок'!$A$4:$A$500&amp;'список неявок'!$B$4:$B$500,0),COLUMN(C32)),))</f>
        <v>0</v>
      </c>
      <c r="E32" s="54">
        <f t="array" aca="1" ref="E32" ca="1">IF($C32="итого",SUM(OFFSET(E31,,,-12)),IFERROR(INDEX('список неявок'!$A$4:$I$500,MATCH($A32&amp;$C32,'список неявок'!$A$4:$A$500&amp;'список неявок'!$B$4:$B$500,0),COLUMN(D32)),))</f>
        <v>0</v>
      </c>
      <c r="F32" s="54">
        <f t="array" aca="1" ref="F32" ca="1">IF($C32="итого",SUM(OFFSET(F31,,,-12)),IFERROR(INDEX('список неявок'!$A$4:$I$500,MATCH($A32&amp;$C32,'список неявок'!$A$4:$A$500&amp;'список неявок'!$B$4:$B$500,0),COLUMN(E32)),))</f>
        <v>0</v>
      </c>
      <c r="G32" s="54">
        <f t="array" aca="1" ref="G32" ca="1">IF($C32="итого",SUM(OFFSET(G31,,,-12)),IFERROR(INDEX('список неявок'!$A$4:$I$500,MATCH($A32&amp;$C32,'список неявок'!$A$4:$A$500&amp;'список неявок'!$B$4:$B$500,0),COLUMN(F32)),))</f>
        <v>0</v>
      </c>
      <c r="H32" s="54">
        <f t="array" aca="1" ref="H32" ca="1">IF($C32="итого",SUM(OFFSET(H31,,,-12)),IFERROR(INDEX('список неявок'!$A$4:$I$500,MATCH($A32&amp;$C32,'список неявок'!$A$4:$A$500&amp;'список неявок'!$B$4:$B$500,0),COLUMN(G32)),))</f>
        <v>0</v>
      </c>
      <c r="I32" s="54">
        <f t="array" aca="1" ref="I32" ca="1">IF($C32="итого",SUM(OFFSET(I31,,,-12)),IFERROR(INDEX('список неявок'!$A$4:$I$500,MATCH($A32&amp;$C32,'список неявок'!$A$4:$A$500&amp;'список неявок'!$B$4:$B$500,0),COLUMN(H32)),))</f>
        <v>0</v>
      </c>
      <c r="J32" s="54">
        <f t="array" aca="1" ref="J32" ca="1">IF($C32="итого",SUM(OFFSET(J31,,,-12)),IFERROR(INDEX('список неявок'!$A$4:$I$500,MATCH($A32&amp;$C32,'список неявок'!$A$4:$A$500&amp;'список неявок'!$B$4:$B$500,0),COLUMN(I32)),))</f>
        <v>0</v>
      </c>
      <c r="K32" s="54">
        <f t="shared" ca="1" si="23"/>
        <v>17</v>
      </c>
      <c r="L32" s="55">
        <f t="array" aca="1" ref="L32" ca="1">IF(C32="итого",SUM(OFFSET(L31,,,-12)),NETWORKDAYS.INTL(DATE(YEAR(C32),MONTH(C32),1),C32,,'Данные для расчета'!$M$10:$V$24))</f>
        <v>17</v>
      </c>
      <c r="M32" s="39">
        <f t="array" aca="1" ref="M32" ca="1">IF(C32="итого",SUM(OFFSET(M31,,,-12)),(_xlfn.DAYS(C32,DATE(YEAR(C32),MONTH(C32),1)-1)-SUM(D32:I32))*29.3/(_xlfn.DAYS(C32,DATE(YEAR(C32),MONTH(C32),1)-1)))</f>
        <v>29.3</v>
      </c>
      <c r="N32" s="39"/>
      <c r="O32" s="40" t="str">
        <f>IF(AND(C32="итого",B32=0),0,IF(C32="итого",IF('Данные для расчета'!$B$2+1-DATE(YEAR('Данные для расчета'!$B$2),MONTH('Данные для расчета'!$B$2),DAY(B32+E32+F32+((D32-14)&gt;0)*(D32-14)))&gt;DAY(EOMONTH('Данные для расчета'!$B$2,0))/2,(((YEAR('Данные для расчета'!$B$2)-YEAR(B32+E32+F32+((D32-14)&gt;0)*(D32-14)))*12+MONTH('Данные для расчета'!$B$2)-MONTH(B32+E32+F32+((D32-14)&gt;0)*(D32-14))+1)),((YEAR('Данные для расчета'!$B$2)-YEAR(B32+E32+F32+((D32-14)&gt;0)*(D32-14)))*12+MONTH('Данные для расчета'!$B$2)-MONTH(B32+E32+F32+((D32-14)&gt;0)*(D32-14)))),""))</f>
        <v/>
      </c>
      <c r="P32" s="40" t="str">
        <f>IF(O32=11,12,IF(AND(O32&gt;=5.5,O32&lt;=11,'Данные для расчета'!$A$5=1),12,расчет!O32))</f>
        <v/>
      </c>
      <c r="Q32" s="40" t="str">
        <f t="shared" si="19"/>
        <v/>
      </c>
      <c r="R32" s="23">
        <f t="shared" si="20"/>
        <v>0</v>
      </c>
      <c r="S32" s="56">
        <f t="shared" si="2"/>
        <v>0</v>
      </c>
      <c r="T32" s="23">
        <f>IF(C32&lt;'Данные для расчета'!$B$3,1+'Данные для расчета'!$B$4,1)</f>
        <v>1</v>
      </c>
      <c r="U32" s="68">
        <f t="shared" ca="1" si="12"/>
        <v>36474.800000000003</v>
      </c>
      <c r="V32" s="17">
        <f t="shared" ca="1" si="13"/>
        <v>36474.800000000003</v>
      </c>
      <c r="W32" s="17">
        <f ca="1">IF($C32="итого",SUM(W20:W31),Y32*K32/L32+AB32*(12+1-MONTH('Данные для расчета'!$B$2))/12)</f>
        <v>1633.2</v>
      </c>
      <c r="X32" s="17">
        <f t="shared" ca="1" si="21"/>
        <v>38108</v>
      </c>
      <c r="Y32" s="17">
        <f t="array" aca="1" ref="Y32" ca="1">IF($C32="итого",SUM(OFFSET(Y31,,,-12)),IF(ISNA(INDEX(INDIRECT("'"&amp;MONTH($C32)&amp;"'!$A$4:$AR$500"),MATCH("*"&amp;$A32&amp;"*",INDIRECT("'"&amp;MONTH($C32)&amp;"'!$A$4:$A$500"),0),MATCH(Y$8,INDIRECT("'"&amp;MONTH($C32)&amp;"'!$4:$4"),0))),0,INDEX(INDIRECT("'"&amp;MONTH($C32)&amp;"'!$A$4:$AR$500"),MATCH("*"&amp;$A32&amp;"*",INDIRECT("'"&amp;MONTH($C32)&amp;"'!$A$4:$A$500"),0),MATCH(Y$8,INDIRECT("'"&amp;MONTH($C32)&amp;"'!$4:$4"),0))))</f>
        <v>1633.2</v>
      </c>
      <c r="Z32" s="17">
        <f t="shared" ca="1" si="17"/>
        <v>1633.2</v>
      </c>
      <c r="AA32" s="17">
        <f t="shared" ca="1" si="5"/>
        <v>0</v>
      </c>
      <c r="AB32" s="17">
        <f t="shared" ca="1" si="6"/>
        <v>0</v>
      </c>
      <c r="AC32" s="17">
        <f t="shared" ca="1" si="24"/>
        <v>0</v>
      </c>
      <c r="AD32" s="17">
        <f t="shared" ca="1" si="24"/>
        <v>0</v>
      </c>
      <c r="AE32" s="17">
        <f t="shared" ca="1" si="24"/>
        <v>0</v>
      </c>
      <c r="AF32" s="17">
        <f t="shared" ca="1" si="24"/>
        <v>0</v>
      </c>
      <c r="AG32" s="17">
        <f t="shared" ca="1" si="24"/>
        <v>0</v>
      </c>
      <c r="AH32" s="17">
        <f t="shared" ca="1" si="24"/>
        <v>0</v>
      </c>
      <c r="AI32" s="17">
        <f t="shared" ca="1" si="24"/>
        <v>0</v>
      </c>
      <c r="AJ32" s="17">
        <f t="shared" ca="1" si="24"/>
        <v>0</v>
      </c>
      <c r="AK32" s="17">
        <f t="shared" ca="1" si="24"/>
        <v>0</v>
      </c>
      <c r="AL32" s="17">
        <f t="shared" ca="1" si="24"/>
        <v>0</v>
      </c>
      <c r="AM32" s="17">
        <f t="shared" ca="1" si="24"/>
        <v>0</v>
      </c>
      <c r="AN32" s="17">
        <f t="shared" ca="1" si="25"/>
        <v>0</v>
      </c>
      <c r="AO32" s="17">
        <f t="shared" ca="1" si="24"/>
        <v>0</v>
      </c>
      <c r="AP32" s="17">
        <f t="shared" ca="1" si="22"/>
        <v>0</v>
      </c>
    </row>
    <row r="33" spans="1:42" ht="23.25" customHeight="1" x14ac:dyDescent="0.3">
      <c r="A33" s="36" t="str">
        <f>IF(C32="итого",INDEX('список работников с датами приё'!$A$2:$B$282,COUNTIF(C$9:C32,"=итого")+1,1),A32)</f>
        <v>Петров</v>
      </c>
      <c r="B33" s="41" t="str">
        <f>IF(OR(C32="итого",C32=$C$8),INDEX('список работников с датами приё'!$A$2:$B$282,COUNTIF(C$9:C32,"=итого")+1,2),B32)</f>
        <v>08.06.2015</v>
      </c>
      <c r="C33" s="42">
        <f>IF(AND(C32="итого",'Данные для расчета'!$B$2=EOMONTH('Данные для расчета'!$B$2,0)),EOMONTH(EDATE('Данные для расчета'!$B$2,-11),0),IF(C32="итого",EOMONTH(EDATE('Данные для расчета'!$B$2,-12),0),IF(EDATE(C32,1)&gt;=EDATE('Данные для расчета'!$B$2,0),"итого",EOMONTH(EDATE(C32,1),0))))</f>
        <v>43159</v>
      </c>
      <c r="D33" s="54">
        <f t="array" aca="1" ref="D33" ca="1">IF($C33="итого",SUM(OFFSET(D32,,,-12)),IFERROR(INDEX('список неявок'!$A$4:$I$500,MATCH($A33&amp;$C33,'список неявок'!$A$4:$A$500&amp;'список неявок'!$B$4:$B$500,0),COLUMN(C33)),))</f>
        <v>0</v>
      </c>
      <c r="E33" s="54">
        <f t="array" aca="1" ref="E33" ca="1">IF($C33="итого",SUM(OFFSET(E32,,,-12)),IFERROR(INDEX('список неявок'!$A$4:$I$500,MATCH($A33&amp;$C33,'список неявок'!$A$4:$A$500&amp;'список неявок'!$B$4:$B$500,0),COLUMN(D33)),))</f>
        <v>0</v>
      </c>
      <c r="F33" s="54">
        <f t="array" aca="1" ref="F33" ca="1">IF($C33="итого",SUM(OFFSET(F32,,,-12)),IFERROR(INDEX('список неявок'!$A$4:$I$500,MATCH($A33&amp;$C33,'список неявок'!$A$4:$A$500&amp;'список неявок'!$B$4:$B$500,0),COLUMN(E33)),))</f>
        <v>0</v>
      </c>
      <c r="G33" s="54">
        <f t="array" aca="1" ref="G33" ca="1">IF($C33="итого",SUM(OFFSET(G32,,,-12)),IFERROR(INDEX('список неявок'!$A$4:$I$500,MATCH($A33&amp;$C33,'список неявок'!$A$4:$A$500&amp;'список неявок'!$B$4:$B$500,0),COLUMN(F33)),))</f>
        <v>0</v>
      </c>
      <c r="H33" s="54">
        <f t="array" aca="1" ref="H33" ca="1">IF($C33="итого",SUM(OFFSET(H32,,,-12)),IFERROR(INDEX('список неявок'!$A$4:$I$500,MATCH($A33&amp;$C33,'список неявок'!$A$4:$A$500&amp;'список неявок'!$B$4:$B$500,0),COLUMN(G33)),))</f>
        <v>0</v>
      </c>
      <c r="I33" s="54">
        <f t="array" aca="1" ref="I33" ca="1">IF($C33="итого",SUM(OFFSET(I32,,,-12)),IFERROR(INDEX('список неявок'!$A$4:$I$500,MATCH($A33&amp;$C33,'список неявок'!$A$4:$A$500&amp;'список неявок'!$B$4:$B$500,0),COLUMN(H33)),))</f>
        <v>0</v>
      </c>
      <c r="J33" s="54">
        <f t="array" aca="1" ref="J33" ca="1">IF($C33="итого",SUM(OFFSET(J32,,,-12)),IFERROR(INDEX('список неявок'!$A$4:$I$500,MATCH($A33&amp;$C33,'список неявок'!$A$4:$A$500&amp;'список неявок'!$B$4:$B$500,0),COLUMN(I33)),))</f>
        <v>0</v>
      </c>
      <c r="K33" s="54">
        <f t="shared" ca="1" si="23"/>
        <v>19</v>
      </c>
      <c r="L33" s="55">
        <f t="array" aca="1" ref="L33" ca="1">IF(C33="итого",SUM(OFFSET(L32,,,-12)),NETWORKDAYS.INTL(DATE(YEAR(C33),MONTH(C33),1),C33,,'Данные для расчета'!$M$10:$V$24))</f>
        <v>19</v>
      </c>
      <c r="M33" s="39">
        <f t="array" aca="1" ref="M33" ca="1">IF(C33="итого",SUM(OFFSET(M32,,,-12)),(_xlfn.DAYS(C33,DATE(YEAR(C33),MONTH(C33),1)-1)-SUM(D33:I33))*29.3/(_xlfn.DAYS(C33,DATE(YEAR(C33),MONTH(C33),1)-1)))</f>
        <v>29.3</v>
      </c>
      <c r="N33" s="39"/>
      <c r="O33" s="40" t="str">
        <f>IF(AND(C33="итого",B33=0),0,IF(C33="итого",IF('Данные для расчета'!$B$2+1-DATE(YEAR('Данные для расчета'!$B$2),MONTH('Данные для расчета'!$B$2),DAY(B33+E33+F33+((D33-14)&gt;0)*(D33-14)))&gt;DAY(EOMONTH('Данные для расчета'!$B$2,0))/2,(((YEAR('Данные для расчета'!$B$2)-YEAR(B33+E33+F33+((D33-14)&gt;0)*(D33-14)))*12+MONTH('Данные для расчета'!$B$2)-MONTH(B33+E33+F33+((D33-14)&gt;0)*(D33-14))+1)),((YEAR('Данные для расчета'!$B$2)-YEAR(B33+E33+F33+((D33-14)&gt;0)*(D33-14)))*12+MONTH('Данные для расчета'!$B$2)-MONTH(B33+E33+F33+((D33-14)&gt;0)*(D33-14)))),""))</f>
        <v/>
      </c>
      <c r="P33" s="40" t="str">
        <f>IF(O33=11,12,IF(AND(O33&gt;=5.5,O33&lt;=11,'Данные для расчета'!$A$5=1),12,расчет!O33))</f>
        <v/>
      </c>
      <c r="Q33" s="40" t="str">
        <f t="shared" si="19"/>
        <v/>
      </c>
      <c r="R33" s="23">
        <f t="shared" si="20"/>
        <v>0</v>
      </c>
      <c r="S33" s="56">
        <f t="shared" si="2"/>
        <v>0</v>
      </c>
      <c r="T33" s="23">
        <f>IF(C33&lt;'Данные для расчета'!$B$3,1+'Данные для расчета'!$B$4,1)</f>
        <v>1</v>
      </c>
      <c r="U33" s="68">
        <f t="shared" ca="1" si="12"/>
        <v>36474.800000000003</v>
      </c>
      <c r="V33" s="17">
        <f t="shared" ca="1" si="13"/>
        <v>36474.800000000003</v>
      </c>
      <c r="W33" s="17">
        <f ca="1">IF($C33="итого",SUM(W21:W32),Y33*K33/L33+AB33*(12+1-MONTH('Данные для расчета'!$B$2))/12)</f>
        <v>1633.2</v>
      </c>
      <c r="X33" s="17">
        <f t="shared" ca="1" si="21"/>
        <v>38108</v>
      </c>
      <c r="Y33" s="17">
        <f t="array" aca="1" ref="Y33" ca="1">IF($C33="итого",SUM(OFFSET(Y32,,,-12)),IF(ISNA(INDEX(INDIRECT("'"&amp;MONTH($C33)&amp;"'!$A$4:$AR$500"),MATCH("*"&amp;$A33&amp;"*",INDIRECT("'"&amp;MONTH($C33)&amp;"'!$A$4:$A$500"),0),MATCH(Y$8,INDIRECT("'"&amp;MONTH($C33)&amp;"'!$4:$4"),0))),0,INDEX(INDIRECT("'"&amp;MONTH($C33)&amp;"'!$A$4:$AR$500"),MATCH("*"&amp;$A33&amp;"*",INDIRECT("'"&amp;MONTH($C33)&amp;"'!$A$4:$A$500"),0),MATCH(Y$8,INDIRECT("'"&amp;MONTH($C33)&amp;"'!$4:$4"),0))))</f>
        <v>1633.2</v>
      </c>
      <c r="Z33" s="17">
        <f t="shared" ca="1" si="17"/>
        <v>1633.2</v>
      </c>
      <c r="AA33" s="17">
        <f t="shared" ca="1" si="5"/>
        <v>0</v>
      </c>
      <c r="AB33" s="17">
        <f t="shared" ca="1" si="6"/>
        <v>0</v>
      </c>
      <c r="AC33" s="17">
        <f t="shared" ca="1" si="24"/>
        <v>0</v>
      </c>
      <c r="AD33" s="17">
        <f t="shared" ca="1" si="24"/>
        <v>0</v>
      </c>
      <c r="AE33" s="17">
        <f t="shared" ca="1" si="24"/>
        <v>0</v>
      </c>
      <c r="AF33" s="17">
        <f t="shared" ca="1" si="24"/>
        <v>0</v>
      </c>
      <c r="AG33" s="17">
        <f t="shared" ca="1" si="24"/>
        <v>0</v>
      </c>
      <c r="AH33" s="17">
        <f t="shared" ca="1" si="24"/>
        <v>0</v>
      </c>
      <c r="AI33" s="17">
        <f t="shared" ca="1" si="24"/>
        <v>0</v>
      </c>
      <c r="AJ33" s="17">
        <f t="shared" ca="1" si="24"/>
        <v>0</v>
      </c>
      <c r="AK33" s="17">
        <f t="shared" ca="1" si="24"/>
        <v>0</v>
      </c>
      <c r="AL33" s="17">
        <f t="shared" ca="1" si="24"/>
        <v>0</v>
      </c>
      <c r="AM33" s="17">
        <f t="shared" ca="1" si="24"/>
        <v>0</v>
      </c>
      <c r="AN33" s="17">
        <f t="shared" ca="1" si="25"/>
        <v>0</v>
      </c>
      <c r="AO33" s="17">
        <f t="shared" ca="1" si="24"/>
        <v>0</v>
      </c>
      <c r="AP33" s="17">
        <f t="shared" ca="1" si="22"/>
        <v>0</v>
      </c>
    </row>
    <row r="34" spans="1:42" ht="23.25" customHeight="1" x14ac:dyDescent="0.3">
      <c r="A34" s="36" t="str">
        <f>IF(C33="итого",INDEX('список работников с датами приё'!$A$2:$B$282,COUNTIF(C$9:C33,"=итого")+1,1),A33)</f>
        <v>Петров</v>
      </c>
      <c r="B34" s="41" t="str">
        <f>IF(OR(C33="итого",C33=$C$8),INDEX('список работников с датами приё'!$A$2:$B$282,COUNTIF(C$9:C33,"=итого")+1,2),B33)</f>
        <v>08.06.2015</v>
      </c>
      <c r="C34" s="42" t="str">
        <f>IF(AND(C33="итого",'Данные для расчета'!$B$2=EOMONTH('Данные для расчета'!$B$2,0)),EOMONTH(EDATE('Данные для расчета'!$B$2,-11),0),IF(C33="итого",EOMONTH(EDATE('Данные для расчета'!$B$2,-12),0),IF(EDATE(C33,1)&gt;=EDATE('Данные для расчета'!$B$2,0),"итого",EOMONTH(EDATE(C33,1),0))))</f>
        <v>итого</v>
      </c>
      <c r="D34" s="54">
        <f t="array" aca="1" ref="D34" ca="1">IF($C34="итого",SUM(OFFSET(D33,,,-12)),IFERROR(INDEX('список неявок'!$A$4:$I$500,MATCH($A34&amp;$C34,'список неявок'!$A$4:$A$500&amp;'список неявок'!$B$4:$B$500,0),COLUMN(C34)),))</f>
        <v>0</v>
      </c>
      <c r="E34" s="54">
        <f t="array" aca="1" ref="E34" ca="1">IF($C34="итого",SUM(OFFSET(E33,,,-12)),IFERROR(INDEX('список неявок'!$A$4:$I$500,MATCH($A34&amp;$C34,'список неявок'!$A$4:$A$500&amp;'список неявок'!$B$4:$B$500,0),COLUMN(D34)),))</f>
        <v>0</v>
      </c>
      <c r="F34" s="54">
        <f t="array" aca="1" ref="F34" ca="1">IF($C34="итого",SUM(OFFSET(F33,,,-12)),IFERROR(INDEX('список неявок'!$A$4:$I$500,MATCH($A34&amp;$C34,'список неявок'!$A$4:$A$500&amp;'список неявок'!$B$4:$B$500,0),COLUMN(E34)),))</f>
        <v>0</v>
      </c>
      <c r="G34" s="54">
        <f t="array" aca="1" ref="G34" ca="1">IF($C34="итого",SUM(OFFSET(G33,,,-12)),IFERROR(INDEX('список неявок'!$A$4:$I$500,MATCH($A34&amp;$C34,'список неявок'!$A$4:$A$500&amp;'список неявок'!$B$4:$B$500,0),COLUMN(F34)),))</f>
        <v>2</v>
      </c>
      <c r="H34" s="54">
        <f t="array" aca="1" ref="H34" ca="1">IF($C34="итого",SUM(OFFSET(H33,,,-12)),IFERROR(INDEX('список неявок'!$A$4:$I$500,MATCH($A34&amp;$C34,'список неявок'!$A$4:$A$500&amp;'список неявок'!$B$4:$B$500,0),COLUMN(G34)),))</f>
        <v>0</v>
      </c>
      <c r="I34" s="54">
        <f t="array" aca="1" ref="I34" ca="1">IF($C34="итого",SUM(OFFSET(I33,,,-12)),IFERROR(INDEX('список неявок'!$A$4:$I$500,MATCH($A34&amp;$C34,'список неявок'!$A$4:$A$500&amp;'список неявок'!$B$4:$B$500,0),COLUMN(H34)),))</f>
        <v>0</v>
      </c>
      <c r="J34" s="54">
        <f t="array" aca="1" ref="J34" ca="1">IF($C34="итого",SUM(OFFSET(J33,,,-12)),IFERROR(INDEX('список неявок'!$A$4:$I$500,MATCH($A34&amp;$C34,'список неявок'!$A$4:$A$500&amp;'список неявок'!$B$4:$B$500,0),COLUMN(I34)),))</f>
        <v>21</v>
      </c>
      <c r="K34" s="54">
        <f t="shared" ca="1" si="23"/>
        <v>250</v>
      </c>
      <c r="L34" s="55">
        <f t="array" aca="1" ref="L34" ca="1">IF(C34="итого",SUM(OFFSET(L33,,,-12)),NETWORKDAYS.INTL(DATE(YEAR(C34),MONTH(C34),1),C34,,'Данные для расчета'!$M$10:$V$24))</f>
        <v>250</v>
      </c>
      <c r="M34" s="39">
        <f t="array" aca="1" ref="M34" ca="1">IF(C34="итого",SUM(OFFSET(M33,,,-12)),(_xlfn.DAYS(C34,DATE(YEAR(C34),MONTH(C34),1)-1)-SUM(D34:I34))*29.3/(_xlfn.DAYS(C34,DATE(YEAR(C34),MONTH(C34),1)-1)))</f>
        <v>349.70967741935493</v>
      </c>
      <c r="N34" s="39"/>
      <c r="O34" s="40">
        <f ca="1">IF(AND(C34="итого",B34=0),0,IF(C34="итого",IF('Данные для расчета'!$B$2+1-DATE(YEAR('Данные для расчета'!$B$2),MONTH('Данные для расчета'!$B$2),DAY(B34+E34+F34+((D34-14)&gt;0)*(D34-14)))&gt;DAY(EOMONTH('Данные для расчета'!$B$2,0))/2,(((YEAR('Данные для расчета'!$B$2)-YEAR(B34+E34+F34+((D34-14)&gt;0)*(D34-14)))*12+MONTH('Данные для расчета'!$B$2)-MONTH(B34+E34+F34+((D34-14)&gt;0)*(D34-14))+1)),((YEAR('Данные для расчета'!$B$2)-YEAR(B34+E34+F34+((D34-14)&gt;0)*(D34-14)))*12+MONTH('Данные для расчета'!$B$2)-MONTH(B34+E34+F34+((D34-14)&gt;0)*(D34-14)))),""))</f>
        <v>33</v>
      </c>
      <c r="P34" s="40">
        <f ca="1">IF(O34=11,12,IF(AND(O34&gt;=5.5,O34&lt;=11,'Данные для расчета'!$A$5=1),12,расчет!O34))</f>
        <v>33</v>
      </c>
      <c r="Q34" s="40">
        <f t="shared" ca="1" si="19"/>
        <v>75</v>
      </c>
      <c r="R34" s="23">
        <f t="shared" ca="1" si="20"/>
        <v>1307.6446822248868</v>
      </c>
      <c r="S34" s="56">
        <f t="shared" ca="1" si="2"/>
        <v>98073.35</v>
      </c>
      <c r="T34" s="23">
        <f>IF(C34&lt;'Данные для расчета'!$B$3,1+'Данные для расчета'!$B$4,1)</f>
        <v>1</v>
      </c>
      <c r="U34" s="68">
        <f ca="1">IF($C34="итого",SUM(U22:U33),IF(ISNA(INDEX(INDIRECT("'"&amp;MONTH($C34)&amp;"'!$A$4:$AR$500"),MATCH("*"&amp;$A34&amp;"*",INDIRECT("'"&amp;MONTH($C34)&amp;"'!$A$4:$A$500"),0),MATCH(U$8,INDIRECT("'"&amp;MONTH($C34)&amp;"'!$4:$4"),0))),0,INDEX(INDIRECT("'"&amp;MONTH($C34)&amp;"'!$A$4:$AR$500"),MATCH("*"&amp;$A34&amp;"*",INDIRECT("'"&amp;MONTH($C34)&amp;"'!$A$4:$A$500"),0),MATCH(U$8,INDIRECT("'"&amp;MONTH($C34)&amp;"'!$4:$4"),0))))</f>
        <v>437697.59999999992</v>
      </c>
      <c r="V34" s="17">
        <f t="shared" ca="1" si="13"/>
        <v>437697.59999999992</v>
      </c>
      <c r="W34" s="17">
        <f ca="1">IF($C34="итого",SUM(W22:W33),Y34*K34/L34+AB34*(12+1-MONTH('Данные для расчета'!$B$2))/12)</f>
        <v>19598.400000000005</v>
      </c>
      <c r="X34" s="17">
        <f t="shared" ca="1" si="21"/>
        <v>457296</v>
      </c>
      <c r="Y34" s="17">
        <f t="array" aca="1" ref="Y34" ca="1">IF($C34="итого",SUM(OFFSET(Y33,,,-12)),IF(ISNA(INDEX(INDIRECT("'"&amp;MONTH($C34)&amp;"'!$A$4:$AR$500"),MATCH("*"&amp;$A34&amp;"*",INDIRECT("'"&amp;MONTH($C34)&amp;"'!$A$4:$A$500"),0),MATCH(Y$8,INDIRECT("'"&amp;MONTH($C34)&amp;"'!$4:$4"),0))),0,INDEX(INDIRECT("'"&amp;MONTH($C34)&amp;"'!$A$4:$AR$500"),MATCH("*"&amp;$A34&amp;"*",INDIRECT("'"&amp;MONTH($C34)&amp;"'!$A$4:$A$500"),0),MATCH(Y$8,INDIRECT("'"&amp;MONTH($C34)&amp;"'!$4:$4"),0))))</f>
        <v>19598.400000000005</v>
      </c>
      <c r="Z34" s="17">
        <f t="shared" ca="1" si="17"/>
        <v>19598.400000000005</v>
      </c>
      <c r="AA34" s="17">
        <f t="shared" ca="1" si="5"/>
        <v>0</v>
      </c>
      <c r="AB34" s="17">
        <f t="shared" ca="1" si="6"/>
        <v>0</v>
      </c>
      <c r="AC34" s="17">
        <f t="shared" ca="1" si="24"/>
        <v>0</v>
      </c>
      <c r="AD34" s="17">
        <f t="shared" ca="1" si="24"/>
        <v>0</v>
      </c>
      <c r="AE34" s="17">
        <f t="shared" ca="1" si="24"/>
        <v>0</v>
      </c>
      <c r="AF34" s="17">
        <f t="shared" ca="1" si="24"/>
        <v>0</v>
      </c>
      <c r="AG34" s="17">
        <f t="shared" ca="1" si="24"/>
        <v>0</v>
      </c>
      <c r="AH34" s="17">
        <f t="shared" ca="1" si="24"/>
        <v>0</v>
      </c>
      <c r="AI34" s="17">
        <f t="shared" ca="1" si="24"/>
        <v>0</v>
      </c>
      <c r="AJ34" s="17">
        <f t="shared" ca="1" si="24"/>
        <v>0</v>
      </c>
      <c r="AK34" s="17">
        <f t="shared" ca="1" si="24"/>
        <v>0</v>
      </c>
      <c r="AL34" s="17">
        <f t="shared" ca="1" si="24"/>
        <v>0</v>
      </c>
      <c r="AM34" s="17">
        <f t="shared" ca="1" si="24"/>
        <v>0</v>
      </c>
      <c r="AN34" s="17">
        <f t="shared" ca="1" si="25"/>
        <v>0</v>
      </c>
      <c r="AO34" s="17">
        <f t="shared" ca="1" si="24"/>
        <v>0</v>
      </c>
      <c r="AP34" s="17">
        <f t="shared" ca="1" si="22"/>
        <v>0</v>
      </c>
    </row>
    <row r="35" spans="1:42" ht="23.25" customHeight="1" x14ac:dyDescent="0.3">
      <c r="A35" s="36" t="str">
        <f>IF(C34="итого",INDEX('список работников с датами приё'!$A$2:$B$282,COUNTIF(C$9:C34,"=итого")+1,1),A34)</f>
        <v>Сидоров</v>
      </c>
      <c r="B35" s="41" t="str">
        <f>IF(OR(C34="итого",C34=$C$8),INDEX('список работников с датами приё'!$A$2:$B$282,COUNTIF(C$9:C34,"=итого")+1,2),B34)</f>
        <v>06.10.2016</v>
      </c>
      <c r="C35" s="42">
        <f>IF(AND(C34="итого",'Данные для расчета'!$B$2=EOMONTH('Данные для расчета'!$B$2,0)),EOMONTH(EDATE('Данные для расчета'!$B$2,-11),0),IF(C34="итого",EOMONTH(EDATE('Данные для расчета'!$B$2,-12),0),IF(EDATE(C34,1)&gt;=EDATE('Данные для расчета'!$B$2,0),"итого",EOMONTH(EDATE(C34,1),0))))</f>
        <v>42825</v>
      </c>
      <c r="D35" s="54">
        <f t="array" aca="1" ref="D35" ca="1">IF($C35="итого",SUM(OFFSET(D34,,,-12)),IFERROR(INDEX('список неявок'!$A$4:$I$500,MATCH($A35&amp;$C35,'список неявок'!$A$4:$A$500&amp;'список неявок'!$B$4:$B$500,0),COLUMN(C35)),))</f>
        <v>0</v>
      </c>
      <c r="E35" s="54">
        <f t="array" aca="1" ref="E35" ca="1">IF($C35="итого",SUM(OFFSET(E34,,,-12)),IFERROR(INDEX('список неявок'!$A$4:$I$500,MATCH($A35&amp;$C35,'список неявок'!$A$4:$A$500&amp;'список неявок'!$B$4:$B$500,0),COLUMN(D35)),))</f>
        <v>0</v>
      </c>
      <c r="F35" s="54">
        <f t="array" aca="1" ref="F35" ca="1">IF($C35="итого",SUM(OFFSET(F34,,,-12)),IFERROR(INDEX('список неявок'!$A$4:$I$500,MATCH($A35&amp;$C35,'список неявок'!$A$4:$A$500&amp;'список неявок'!$B$4:$B$500,0),COLUMN(E35)),))</f>
        <v>0</v>
      </c>
      <c r="G35" s="54">
        <f t="array" aca="1" ref="G35" ca="1">IF($C35="итого",SUM(OFFSET(G34,,,-12)),IFERROR(INDEX('список неявок'!$A$4:$I$500,MATCH($A35&amp;$C35,'список неявок'!$A$4:$A$500&amp;'список неявок'!$B$4:$B$500,0),COLUMN(F35)),))</f>
        <v>0</v>
      </c>
      <c r="H35" s="54">
        <f t="array" aca="1" ref="H35" ca="1">IF($C35="итого",SUM(OFFSET(H34,,,-12)),IFERROR(INDEX('список неявок'!$A$4:$I$500,MATCH($A35&amp;$C35,'список неявок'!$A$4:$A$500&amp;'список неявок'!$B$4:$B$500,0),COLUMN(G35)),))</f>
        <v>0</v>
      </c>
      <c r="I35" s="54">
        <f t="array" aca="1" ref="I35" ca="1">IF($C35="итого",SUM(OFFSET(I34,,,-12)),IFERROR(INDEX('список неявок'!$A$4:$I$500,MATCH($A35&amp;$C35,'список неявок'!$A$4:$A$500&amp;'список неявок'!$B$4:$B$500,0),COLUMN(H35)),))</f>
        <v>0</v>
      </c>
      <c r="J35" s="54">
        <f t="array" aca="1" ref="J35" ca="1">IF($C35="итого",SUM(OFFSET(J34,,,-12)),IFERROR(INDEX('список неявок'!$A$4:$I$500,MATCH($A35&amp;$C35,'список неявок'!$A$4:$A$500&amp;'список неявок'!$B$4:$B$500,0),COLUMN(I35)),))</f>
        <v>0</v>
      </c>
      <c r="K35" s="54">
        <f t="shared" ca="1" si="23"/>
        <v>22</v>
      </c>
      <c r="L35" s="55">
        <f t="array" aca="1" ref="L35" ca="1">IF(C35="итого",SUM(OFFSET(L34,,,-12)),NETWORKDAYS.INTL(DATE(YEAR(C35),MONTH(C35),1),C35,,'Данные для расчета'!$M$10:$V$24))</f>
        <v>22</v>
      </c>
      <c r="M35" s="39">
        <f t="array" aca="1" ref="M35" ca="1">IF(C35="итого",SUM(OFFSET(M34,,,-12)),(_xlfn.DAYS(C35,DATE(YEAR(C35),MONTH(C35),1)-1)-SUM(D35:I35))*29.3/(_xlfn.DAYS(C35,DATE(YEAR(C35),MONTH(C35),1)-1)))</f>
        <v>29.3</v>
      </c>
      <c r="N35" s="39"/>
      <c r="O35" s="40" t="str">
        <f>IF(AND(C35="итого",B35=0),0,IF(C35="итого",IF('Данные для расчета'!$B$2+1-DATE(YEAR('Данные для расчета'!$B$2),MONTH('Данные для расчета'!$B$2),DAY(B35+E35+F35+((D35-14)&gt;0)*(D35-14)))&gt;DAY(EOMONTH('Данные для расчета'!$B$2,0))/2,(((YEAR('Данные для расчета'!$B$2)-YEAR(B35+E35+F35+((D35-14)&gt;0)*(D35-14)))*12+MONTH('Данные для расчета'!$B$2)-MONTH(B35+E35+F35+((D35-14)&gt;0)*(D35-14))+1)),((YEAR('Данные для расчета'!$B$2)-YEAR(B35+E35+F35+((D35-14)&gt;0)*(D35-14)))*12+MONTH('Данные для расчета'!$B$2)-MONTH(B35+E35+F35+((D35-14)&gt;0)*(D35-14)))),""))</f>
        <v/>
      </c>
      <c r="P35" s="40" t="str">
        <f>IF(O35=11,12,IF(AND(O35&gt;=5.5,O35&lt;=11,'Данные для расчета'!$A$5=1),12,расчет!O35))</f>
        <v/>
      </c>
      <c r="Q35" s="40" t="str">
        <f t="shared" si="19"/>
        <v/>
      </c>
      <c r="R35" s="23">
        <f t="shared" si="20"/>
        <v>0</v>
      </c>
      <c r="S35" s="56">
        <f t="shared" si="2"/>
        <v>0</v>
      </c>
      <c r="T35" s="23">
        <f>IF(C35&lt;'Данные для расчета'!$B$3,1+'Данные для расчета'!$B$4,1)</f>
        <v>1</v>
      </c>
      <c r="U35" s="68">
        <f t="shared" ca="1" si="12"/>
        <v>404009.65</v>
      </c>
      <c r="V35" s="17">
        <f t="shared" ca="1" si="13"/>
        <v>404009.65</v>
      </c>
      <c r="W35" s="17">
        <f ca="1">IF($C35="итого",SUM(W23:W34),Y35*K35/L35+AB35*(12+1-MONTH('Данные для расчета'!$B$2))/12)</f>
        <v>27373.55</v>
      </c>
      <c r="X35" s="17">
        <f t="shared" ca="1" si="21"/>
        <v>431383.2</v>
      </c>
      <c r="Y35" s="17">
        <f t="array" aca="1" ref="Y35" ca="1">IF($C35="итого",SUM(OFFSET(Y34,,,-12)),IF(ISNA(INDEX(INDIRECT("'"&amp;MONTH($C35)&amp;"'!$A$4:$AR$500"),MATCH("*"&amp;$A35&amp;"*",INDIRECT("'"&amp;MONTH($C35)&amp;"'!$A$4:$A$500"),0),MATCH(Y$8,INDIRECT("'"&amp;MONTH($C35)&amp;"'!$4:$4"),0))),0,INDEX(INDIRECT("'"&amp;MONTH($C35)&amp;"'!$A$4:$AR$500"),MATCH("*"&amp;$A35&amp;"*",INDIRECT("'"&amp;MONTH($C35)&amp;"'!$A$4:$A$500"),0),MATCH(Y$8,INDIRECT("'"&amp;MONTH($C35)&amp;"'!$4:$4"),0))))</f>
        <v>27373.55</v>
      </c>
      <c r="Z35" s="17">
        <f t="shared" ca="1" si="17"/>
        <v>5772.3</v>
      </c>
      <c r="AA35" s="17">
        <f t="shared" ca="1" si="5"/>
        <v>0</v>
      </c>
      <c r="AB35" s="17">
        <f t="shared" ca="1" si="6"/>
        <v>0</v>
      </c>
      <c r="AC35" s="17">
        <f t="shared" ca="1" si="24"/>
        <v>0</v>
      </c>
      <c r="AD35" s="17">
        <f t="shared" ca="1" si="24"/>
        <v>0</v>
      </c>
      <c r="AE35" s="17">
        <f t="shared" ca="1" si="24"/>
        <v>0</v>
      </c>
      <c r="AF35" s="17">
        <f t="shared" ca="1" si="24"/>
        <v>0</v>
      </c>
      <c r="AG35" s="17">
        <f t="shared" ca="1" si="24"/>
        <v>0</v>
      </c>
      <c r="AH35" s="17">
        <f t="shared" ca="1" si="24"/>
        <v>0</v>
      </c>
      <c r="AI35" s="17">
        <f t="shared" ca="1" si="24"/>
        <v>0</v>
      </c>
      <c r="AJ35" s="17">
        <f t="shared" ca="1" si="24"/>
        <v>0</v>
      </c>
      <c r="AK35" s="17">
        <f t="shared" ca="1" si="24"/>
        <v>0</v>
      </c>
      <c r="AL35" s="17">
        <f t="shared" ca="1" si="24"/>
        <v>0</v>
      </c>
      <c r="AM35" s="17">
        <f t="shared" ca="1" si="24"/>
        <v>0</v>
      </c>
      <c r="AN35" s="17">
        <f t="shared" ca="1" si="25"/>
        <v>0</v>
      </c>
      <c r="AO35" s="17">
        <f t="shared" ca="1" si="24"/>
        <v>0</v>
      </c>
      <c r="AP35" s="17">
        <f t="shared" ca="1" si="22"/>
        <v>0</v>
      </c>
    </row>
    <row r="36" spans="1:42" ht="23.25" customHeight="1" x14ac:dyDescent="0.3">
      <c r="A36" s="36" t="str">
        <f>IF(C35="итого",INDEX('список работников с датами приё'!$A$2:$B$282,COUNTIF(C$9:C35,"=итого")+1,1),A35)</f>
        <v>Сидоров</v>
      </c>
      <c r="B36" s="41" t="str">
        <f>IF(OR(C35="итого",C35=$C$8),INDEX('список работников с датами приё'!$A$2:$B$282,COUNTIF(C$9:C35,"=итого")+1,2),B35)</f>
        <v>06.10.2016</v>
      </c>
      <c r="C36" s="42">
        <f>IF(AND(C35="итого",'Данные для расчета'!$B$2=EOMONTH('Данные для расчета'!$B$2,0)),EOMONTH(EDATE('Данные для расчета'!$B$2,-11),0),IF(C35="итого",EOMONTH(EDATE('Данные для расчета'!$B$2,-12),0),IF(EDATE(C35,1)&gt;=EDATE('Данные для расчета'!$B$2,0),"итого",EOMONTH(EDATE(C35,1),0))))</f>
        <v>42855</v>
      </c>
      <c r="D36" s="54">
        <f t="array" aca="1" ref="D36" ca="1">IF($C36="итого",SUM(OFFSET(D35,,,-12)),IFERROR(INDEX('список неявок'!$A$4:$I$500,MATCH($A36&amp;$C36,'список неявок'!$A$4:$A$500&amp;'список неявок'!$B$4:$B$500,0),COLUMN(C36)),))</f>
        <v>0</v>
      </c>
      <c r="E36" s="54">
        <f t="array" aca="1" ref="E36" ca="1">IF($C36="итого",SUM(OFFSET(E35,,,-12)),IFERROR(INDEX('список неявок'!$A$4:$I$500,MATCH($A36&amp;$C36,'список неявок'!$A$4:$A$500&amp;'список неявок'!$B$4:$B$500,0),COLUMN(D36)),))</f>
        <v>0</v>
      </c>
      <c r="F36" s="54">
        <f t="array" aca="1" ref="F36" ca="1">IF($C36="итого",SUM(OFFSET(F35,,,-12)),IFERROR(INDEX('список неявок'!$A$4:$I$500,MATCH($A36&amp;$C36,'список неявок'!$A$4:$A$500&amp;'список неявок'!$B$4:$B$500,0),COLUMN(E36)),))</f>
        <v>0</v>
      </c>
      <c r="G36" s="54">
        <f t="array" aca="1" ref="G36" ca="1">IF($C36="итого",SUM(OFFSET(G35,,,-12)),IFERROR(INDEX('список неявок'!$A$4:$I$500,MATCH($A36&amp;$C36,'список неявок'!$A$4:$A$500&amp;'список неявок'!$B$4:$B$500,0),COLUMN(F36)),))</f>
        <v>0</v>
      </c>
      <c r="H36" s="54">
        <f t="array" aca="1" ref="H36" ca="1">IF($C36="итого",SUM(OFFSET(H35,,,-12)),IFERROR(INDEX('список неявок'!$A$4:$I$500,MATCH($A36&amp;$C36,'список неявок'!$A$4:$A$500&amp;'список неявок'!$B$4:$B$500,0),COLUMN(G36)),))</f>
        <v>0</v>
      </c>
      <c r="I36" s="54">
        <f t="array" aca="1" ref="I36" ca="1">IF($C36="итого",SUM(OFFSET(I35,,,-12)),IFERROR(INDEX('список неявок'!$A$4:$I$500,MATCH($A36&amp;$C36,'список неявок'!$A$4:$A$500&amp;'список неявок'!$B$4:$B$500,0),COLUMN(H36)),))</f>
        <v>0</v>
      </c>
      <c r="J36" s="54">
        <f t="array" aca="1" ref="J36" ca="1">IF($C36="итого",SUM(OFFSET(J35,,,-12)),IFERROR(INDEX('список неявок'!$A$4:$I$500,MATCH($A36&amp;$C36,'список неявок'!$A$4:$A$500&amp;'список неявок'!$B$4:$B$500,0),COLUMN(I36)),))</f>
        <v>0</v>
      </c>
      <c r="K36" s="54">
        <f t="shared" ca="1" si="23"/>
        <v>20</v>
      </c>
      <c r="L36" s="55">
        <f t="array" aca="1" ref="L36" ca="1">IF(C36="итого",SUM(OFFSET(L35,,,-12)),NETWORKDAYS.INTL(DATE(YEAR(C36),MONTH(C36),1),C36,,'Данные для расчета'!$M$10:$V$24))</f>
        <v>20</v>
      </c>
      <c r="M36" s="39">
        <f t="array" aca="1" ref="M36" ca="1">IF(C36="итого",SUM(OFFSET(M35,,,-12)),(_xlfn.DAYS(C36,DATE(YEAR(C36),MONTH(C36),1)-1)-SUM(D36:I36))*29.3/(_xlfn.DAYS(C36,DATE(YEAR(C36),MONTH(C36),1)-1)))</f>
        <v>29.3</v>
      </c>
      <c r="N36" s="39"/>
      <c r="O36" s="40" t="str">
        <f>IF(AND(C36="итого",B36=0),0,IF(C36="итого",IF('Данные для расчета'!$B$2+1-DATE(YEAR('Данные для расчета'!$B$2),MONTH('Данные для расчета'!$B$2),DAY(B36+E36+F36+((D36-14)&gt;0)*(D36-14)))&gt;DAY(EOMONTH('Данные для расчета'!$B$2,0))/2,(((YEAR('Данные для расчета'!$B$2)-YEAR(B36+E36+F36+((D36-14)&gt;0)*(D36-14)))*12+MONTH('Данные для расчета'!$B$2)-MONTH(B36+E36+F36+((D36-14)&gt;0)*(D36-14))+1)),((YEAR('Данные для расчета'!$B$2)-YEAR(B36+E36+F36+((D36-14)&gt;0)*(D36-14)))*12+MONTH('Данные для расчета'!$B$2)-MONTH(B36+E36+F36+((D36-14)&gt;0)*(D36-14)))),""))</f>
        <v/>
      </c>
      <c r="P36" s="40" t="str">
        <f>IF(O36=11,12,IF(AND(O36&gt;=5.5,O36&lt;=11,'Данные для расчета'!$A$5=1),12,расчет!O36))</f>
        <v/>
      </c>
      <c r="Q36" s="40" t="str">
        <f t="shared" si="19"/>
        <v/>
      </c>
      <c r="R36" s="23">
        <f t="shared" si="20"/>
        <v>0</v>
      </c>
      <c r="S36" s="56">
        <f t="shared" si="2"/>
        <v>0</v>
      </c>
      <c r="T36" s="23">
        <f>IF(C36&lt;'Данные для расчета'!$B$3,1+'Данные для расчета'!$B$4,1)</f>
        <v>1</v>
      </c>
      <c r="U36" s="68">
        <f t="shared" ca="1" si="12"/>
        <v>404009.65</v>
      </c>
      <c r="V36" s="17">
        <f t="shared" ca="1" si="13"/>
        <v>404009.65</v>
      </c>
      <c r="W36" s="17">
        <f ca="1">IF($C36="итого",SUM(W24:W35),Y36*K36/L36+AB36*(12+1-MONTH('Данные для расчета'!$B$2))/12)</f>
        <v>27373.55</v>
      </c>
      <c r="X36" s="17">
        <f t="shared" ca="1" si="21"/>
        <v>431383.2</v>
      </c>
      <c r="Y36" s="17">
        <f t="array" aca="1" ref="Y36" ca="1">IF($C36="итого",SUM(OFFSET(Y35,,,-12)),IF(ISNA(INDEX(INDIRECT("'"&amp;MONTH($C36)&amp;"'!$A$4:$AR$500"),MATCH("*"&amp;$A36&amp;"*",INDIRECT("'"&amp;MONTH($C36)&amp;"'!$A$4:$A$500"),0),MATCH(Y$8,INDIRECT("'"&amp;MONTH($C36)&amp;"'!$4:$4"),0))),0,INDEX(INDIRECT("'"&amp;MONTH($C36)&amp;"'!$A$4:$AR$500"),MATCH("*"&amp;$A36&amp;"*",INDIRECT("'"&amp;MONTH($C36)&amp;"'!$A$4:$A$500"),0),MATCH(Y$8,INDIRECT("'"&amp;MONTH($C36)&amp;"'!$4:$4"),0))))</f>
        <v>27373.55</v>
      </c>
      <c r="Z36" s="17">
        <f t="shared" ca="1" si="17"/>
        <v>5772.3</v>
      </c>
      <c r="AA36" s="17">
        <f t="shared" ca="1" si="5"/>
        <v>0</v>
      </c>
      <c r="AB36" s="17">
        <f t="shared" ca="1" si="6"/>
        <v>0</v>
      </c>
      <c r="AC36" s="17">
        <f t="shared" ca="1" si="24"/>
        <v>0</v>
      </c>
      <c r="AD36" s="17">
        <f t="shared" ca="1" si="24"/>
        <v>0</v>
      </c>
      <c r="AE36" s="17">
        <f t="shared" ca="1" si="24"/>
        <v>0</v>
      </c>
      <c r="AF36" s="17">
        <f t="shared" ca="1" si="24"/>
        <v>0</v>
      </c>
      <c r="AG36" s="17">
        <f t="shared" ca="1" si="24"/>
        <v>0</v>
      </c>
      <c r="AH36" s="17">
        <f t="shared" ca="1" si="24"/>
        <v>0</v>
      </c>
      <c r="AI36" s="17">
        <f t="shared" ca="1" si="24"/>
        <v>0</v>
      </c>
      <c r="AJ36" s="17">
        <f t="shared" ca="1" si="24"/>
        <v>0</v>
      </c>
      <c r="AK36" s="17">
        <f t="shared" ca="1" si="24"/>
        <v>0</v>
      </c>
      <c r="AL36" s="17">
        <f t="shared" ca="1" si="24"/>
        <v>0</v>
      </c>
      <c r="AM36" s="17">
        <f t="shared" ca="1" si="24"/>
        <v>0</v>
      </c>
      <c r="AN36" s="17">
        <f t="shared" ca="1" si="25"/>
        <v>0</v>
      </c>
      <c r="AO36" s="17">
        <f t="shared" ca="1" si="24"/>
        <v>0</v>
      </c>
      <c r="AP36" s="17">
        <f t="shared" ca="1" si="22"/>
        <v>0</v>
      </c>
    </row>
    <row r="37" spans="1:42" ht="23.25" customHeight="1" x14ac:dyDescent="0.3">
      <c r="A37" s="36" t="str">
        <f>IF(C36="итого",INDEX('список работников с датами приё'!$A$2:$B$282,COUNTIF(C$9:C36,"=итого")+1,1),A36)</f>
        <v>Сидоров</v>
      </c>
      <c r="B37" s="41" t="str">
        <f>IF(OR(C36="итого",C36=$C$8),INDEX('список работников с датами приё'!$A$2:$B$282,COUNTIF(C$9:C36,"=итого")+1,2),B36)</f>
        <v>06.10.2016</v>
      </c>
      <c r="C37" s="42">
        <f>IF(AND(C36="итого",'Данные для расчета'!$B$2=EOMONTH('Данные для расчета'!$B$2,0)),EOMONTH(EDATE('Данные для расчета'!$B$2,-11),0),IF(C36="итого",EOMONTH(EDATE('Данные для расчета'!$B$2,-12),0),IF(EDATE(C36,1)&gt;=EDATE('Данные для расчета'!$B$2,0),"итого",EOMONTH(EDATE(C36,1),0))))</f>
        <v>42886</v>
      </c>
      <c r="D37" s="54">
        <f t="array" aca="1" ref="D37" ca="1">IF($C37="итого",SUM(OFFSET(D36,,,-12)),IFERROR(INDEX('список неявок'!$A$4:$I$500,MATCH($A37&amp;$C37,'список неявок'!$A$4:$A$500&amp;'список неявок'!$B$4:$B$500,0),COLUMN(C37)),))</f>
        <v>0</v>
      </c>
      <c r="E37" s="54">
        <f t="array" aca="1" ref="E37" ca="1">IF($C37="итого",SUM(OFFSET(E36,,,-12)),IFERROR(INDEX('список неявок'!$A$4:$I$500,MATCH($A37&amp;$C37,'список неявок'!$A$4:$A$500&amp;'список неявок'!$B$4:$B$500,0),COLUMN(D37)),))</f>
        <v>0</v>
      </c>
      <c r="F37" s="54">
        <f t="array" aca="1" ref="F37" ca="1">IF($C37="итого",SUM(OFFSET(F36,,,-12)),IFERROR(INDEX('список неявок'!$A$4:$I$500,MATCH($A37&amp;$C37,'список неявок'!$A$4:$A$500&amp;'список неявок'!$B$4:$B$500,0),COLUMN(E37)),))</f>
        <v>0</v>
      </c>
      <c r="G37" s="54">
        <f t="array" aca="1" ref="G37" ca="1">IF($C37="итого",SUM(OFFSET(G36,,,-12)),IFERROR(INDEX('список неявок'!$A$4:$I$500,MATCH($A37&amp;$C37,'список неявок'!$A$4:$A$500&amp;'список неявок'!$B$4:$B$500,0),COLUMN(F37)),))</f>
        <v>0</v>
      </c>
      <c r="H37" s="54">
        <f t="array" aca="1" ref="H37" ca="1">IF($C37="итого",SUM(OFFSET(H36,,,-12)),IFERROR(INDEX('список неявок'!$A$4:$I$500,MATCH($A37&amp;$C37,'список неявок'!$A$4:$A$500&amp;'список неявок'!$B$4:$B$500,0),COLUMN(G37)),))</f>
        <v>0</v>
      </c>
      <c r="I37" s="54">
        <f t="array" aca="1" ref="I37" ca="1">IF($C37="итого",SUM(OFFSET(I36,,,-12)),IFERROR(INDEX('список неявок'!$A$4:$I$500,MATCH($A37&amp;$C37,'список неявок'!$A$4:$A$500&amp;'список неявок'!$B$4:$B$500,0),COLUMN(H37)),))</f>
        <v>0</v>
      </c>
      <c r="J37" s="54">
        <f t="array" aca="1" ref="J37" ca="1">IF($C37="итого",SUM(OFFSET(J36,,,-12)),IFERROR(INDEX('список неявок'!$A$4:$I$500,MATCH($A37&amp;$C37,'список неявок'!$A$4:$A$500&amp;'список неявок'!$B$4:$B$500,0),COLUMN(I37)),))</f>
        <v>0</v>
      </c>
      <c r="K37" s="54">
        <f t="shared" ca="1" si="23"/>
        <v>21</v>
      </c>
      <c r="L37" s="55">
        <f t="array" aca="1" ref="L37" ca="1">IF(C37="итого",SUM(OFFSET(L36,,,-12)),NETWORKDAYS.INTL(DATE(YEAR(C37),MONTH(C37),1),C37,,'Данные для расчета'!$M$10:$V$24))</f>
        <v>21</v>
      </c>
      <c r="M37" s="39">
        <f t="array" aca="1" ref="M37" ca="1">IF(C37="итого",SUM(OFFSET(M36,,,-12)),(_xlfn.DAYS(C37,DATE(YEAR(C37),MONTH(C37),1)-1)-SUM(D37:I37))*29.3/(_xlfn.DAYS(C37,DATE(YEAR(C37),MONTH(C37),1)-1)))</f>
        <v>29.3</v>
      </c>
      <c r="N37" s="39"/>
      <c r="O37" s="40" t="str">
        <f>IF(AND(C37="итого",B37=0),0,IF(C37="итого",IF('Данные для расчета'!$B$2+1-DATE(YEAR('Данные для расчета'!$B$2),MONTH('Данные для расчета'!$B$2),DAY(B37+E37+F37+((D37-14)&gt;0)*(D37-14)))&gt;DAY(EOMONTH('Данные для расчета'!$B$2,0))/2,(((YEAR('Данные для расчета'!$B$2)-YEAR(B37+E37+F37+((D37-14)&gt;0)*(D37-14)))*12+MONTH('Данные для расчета'!$B$2)-MONTH(B37+E37+F37+((D37-14)&gt;0)*(D37-14))+1)),((YEAR('Данные для расчета'!$B$2)-YEAR(B37+E37+F37+((D37-14)&gt;0)*(D37-14)))*12+MONTH('Данные для расчета'!$B$2)-MONTH(B37+E37+F37+((D37-14)&gt;0)*(D37-14)))),""))</f>
        <v/>
      </c>
      <c r="P37" s="40" t="str">
        <f>IF(O37=11,12,IF(AND(O37&gt;=5.5,O37&lt;=11,'Данные для расчета'!$A$5=1),12,расчет!O37))</f>
        <v/>
      </c>
      <c r="Q37" s="40" t="str">
        <f t="shared" si="19"/>
        <v/>
      </c>
      <c r="R37" s="23">
        <f t="shared" si="20"/>
        <v>0</v>
      </c>
      <c r="S37" s="56">
        <f t="shared" si="2"/>
        <v>0</v>
      </c>
      <c r="T37" s="23">
        <f>IF(C37&lt;'Данные для расчета'!$B$3,1+'Данные для расчета'!$B$4,1)</f>
        <v>1</v>
      </c>
      <c r="U37" s="68">
        <f t="shared" ca="1" si="12"/>
        <v>404009.65</v>
      </c>
      <c r="V37" s="17">
        <f t="shared" ca="1" si="13"/>
        <v>404009.65</v>
      </c>
      <c r="W37" s="17">
        <f ca="1">IF($C37="итого",SUM(W25:W36),Y37*K37/L37+AB37*(12+1-MONTH('Данные для расчета'!$B$2))/12)</f>
        <v>27373.549999999996</v>
      </c>
      <c r="X37" s="17">
        <f t="shared" ca="1" si="21"/>
        <v>431383.2</v>
      </c>
      <c r="Y37" s="17">
        <f t="array" aca="1" ref="Y37" ca="1">IF($C37="итого",SUM(OFFSET(Y36,,,-12)),IF(ISNA(INDEX(INDIRECT("'"&amp;MONTH($C37)&amp;"'!$A$4:$AR$500"),MATCH("*"&amp;$A37&amp;"*",INDIRECT("'"&amp;MONTH($C37)&amp;"'!$A$4:$A$500"),0),MATCH(Y$8,INDIRECT("'"&amp;MONTH($C37)&amp;"'!$4:$4"),0))),0,INDEX(INDIRECT("'"&amp;MONTH($C37)&amp;"'!$A$4:$AR$500"),MATCH("*"&amp;$A37&amp;"*",INDIRECT("'"&amp;MONTH($C37)&amp;"'!$A$4:$A$500"),0),MATCH(Y$8,INDIRECT("'"&amp;MONTH($C37)&amp;"'!$4:$4"),0))))</f>
        <v>27373.55</v>
      </c>
      <c r="Z37" s="17">
        <f t="shared" ca="1" si="17"/>
        <v>5772.3</v>
      </c>
      <c r="AA37" s="17">
        <f t="shared" ca="1" si="5"/>
        <v>0</v>
      </c>
      <c r="AB37" s="17">
        <f t="shared" ca="1" si="6"/>
        <v>0</v>
      </c>
      <c r="AC37" s="17">
        <f t="shared" ca="1" si="24"/>
        <v>0</v>
      </c>
      <c r="AD37" s="17">
        <f t="shared" ca="1" si="24"/>
        <v>0</v>
      </c>
      <c r="AE37" s="17">
        <f t="shared" ca="1" si="24"/>
        <v>0</v>
      </c>
      <c r="AF37" s="17">
        <f t="shared" ca="1" si="24"/>
        <v>0</v>
      </c>
      <c r="AG37" s="17">
        <f t="shared" ca="1" si="24"/>
        <v>0</v>
      </c>
      <c r="AH37" s="17">
        <f t="shared" ca="1" si="24"/>
        <v>0</v>
      </c>
      <c r="AI37" s="17">
        <f t="shared" ca="1" si="24"/>
        <v>0</v>
      </c>
      <c r="AJ37" s="17">
        <f t="shared" ca="1" si="24"/>
        <v>0</v>
      </c>
      <c r="AK37" s="17">
        <f t="shared" ca="1" si="24"/>
        <v>0</v>
      </c>
      <c r="AL37" s="17">
        <f t="shared" ca="1" si="24"/>
        <v>0</v>
      </c>
      <c r="AM37" s="17">
        <f t="shared" ca="1" si="24"/>
        <v>0</v>
      </c>
      <c r="AN37" s="17">
        <f t="shared" ca="1" si="25"/>
        <v>0</v>
      </c>
      <c r="AO37" s="17">
        <f t="shared" ca="1" si="24"/>
        <v>0</v>
      </c>
      <c r="AP37" s="17">
        <f t="shared" ca="1" si="22"/>
        <v>0</v>
      </c>
    </row>
    <row r="38" spans="1:42" ht="23.25" customHeight="1" x14ac:dyDescent="0.3">
      <c r="A38" s="36" t="str">
        <f>IF(C37="итого",INDEX('список работников с датами приё'!$A$2:$B$282,COUNTIF(C$9:C37,"=итого")+1,1),A37)</f>
        <v>Сидоров</v>
      </c>
      <c r="B38" s="41" t="str">
        <f>IF(OR(C37="итого",C37=$C$8),INDEX('список работников с датами приё'!$A$2:$B$282,COUNTIF(C$9:C37,"=итого")+1,2),B37)</f>
        <v>06.10.2016</v>
      </c>
      <c r="C38" s="42">
        <f>IF(AND(C37="итого",'Данные для расчета'!$B$2=EOMONTH('Данные для расчета'!$B$2,0)),EOMONTH(EDATE('Данные для расчета'!$B$2,-11),0),IF(C37="итого",EOMONTH(EDATE('Данные для расчета'!$B$2,-12),0),IF(EDATE(C37,1)&gt;=EDATE('Данные для расчета'!$B$2,0),"итого",EOMONTH(EDATE(C37,1),0))))</f>
        <v>42916</v>
      </c>
      <c r="D38" s="54">
        <f t="array" aca="1" ref="D38" ca="1">IF($C38="итого",SUM(OFFSET(D37,,,-12)),IFERROR(INDEX('список неявок'!$A$4:$I$500,MATCH($A38&amp;$C38,'список неявок'!$A$4:$A$500&amp;'список неявок'!$B$4:$B$500,0),COLUMN(C38)),))</f>
        <v>0</v>
      </c>
      <c r="E38" s="54">
        <f t="array" aca="1" ref="E38" ca="1">IF($C38="итого",SUM(OFFSET(E37,,,-12)),IFERROR(INDEX('список неявок'!$A$4:$I$500,MATCH($A38&amp;$C38,'список неявок'!$A$4:$A$500&amp;'список неявок'!$B$4:$B$500,0),COLUMN(D38)),))</f>
        <v>0</v>
      </c>
      <c r="F38" s="54">
        <f t="array" aca="1" ref="F38" ca="1">IF($C38="итого",SUM(OFFSET(F37,,,-12)),IFERROR(INDEX('список неявок'!$A$4:$I$500,MATCH($A38&amp;$C38,'список неявок'!$A$4:$A$500&amp;'список неявок'!$B$4:$B$500,0),COLUMN(E38)),))</f>
        <v>0</v>
      </c>
      <c r="G38" s="54">
        <f t="array" aca="1" ref="G38" ca="1">IF($C38="итого",SUM(OFFSET(G37,,,-12)),IFERROR(INDEX('список неявок'!$A$4:$I$500,MATCH($A38&amp;$C38,'список неявок'!$A$4:$A$500&amp;'список неявок'!$B$4:$B$500,0),COLUMN(F38)),))</f>
        <v>0</v>
      </c>
      <c r="H38" s="54">
        <f t="array" aca="1" ref="H38" ca="1">IF($C38="итого",SUM(OFFSET(H37,,,-12)),IFERROR(INDEX('список неявок'!$A$4:$I$500,MATCH($A38&amp;$C38,'список неявок'!$A$4:$A$500&amp;'список неявок'!$B$4:$B$500,0),COLUMN(G38)),))</f>
        <v>0</v>
      </c>
      <c r="I38" s="54">
        <f t="array" aca="1" ref="I38" ca="1">IF($C38="итого",SUM(OFFSET(I37,,,-12)),IFERROR(INDEX('список неявок'!$A$4:$I$500,MATCH($A38&amp;$C38,'список неявок'!$A$4:$A$500&amp;'список неявок'!$B$4:$B$500,0),COLUMN(H38)),))</f>
        <v>0</v>
      </c>
      <c r="J38" s="54">
        <f t="array" aca="1" ref="J38" ca="1">IF($C38="итого",SUM(OFFSET(J37,,,-12)),IFERROR(INDEX('список неявок'!$A$4:$I$500,MATCH($A38&amp;$C38,'список неявок'!$A$4:$A$500&amp;'список неявок'!$B$4:$B$500,0),COLUMN(I38)),))</f>
        <v>0</v>
      </c>
      <c r="K38" s="54">
        <f t="shared" ca="1" si="23"/>
        <v>21</v>
      </c>
      <c r="L38" s="55">
        <f t="array" aca="1" ref="L38" ca="1">IF(C38="итого",SUM(OFFSET(L37,,,-12)),NETWORKDAYS.INTL(DATE(YEAR(C38),MONTH(C38),1),C38,,'Данные для расчета'!$M$10:$V$24))</f>
        <v>21</v>
      </c>
      <c r="M38" s="39">
        <f t="array" aca="1" ref="M38" ca="1">IF(C38="итого",SUM(OFFSET(M37,,,-12)),(_xlfn.DAYS(C38,DATE(YEAR(C38),MONTH(C38),1)-1)-SUM(D38:I38))*29.3/(_xlfn.DAYS(C38,DATE(YEAR(C38),MONTH(C38),1)-1)))</f>
        <v>29.3</v>
      </c>
      <c r="N38" s="39"/>
      <c r="O38" s="40" t="str">
        <f>IF(AND(C38="итого",B38=0),0,IF(C38="итого",IF('Данные для расчета'!$B$2+1-DATE(YEAR('Данные для расчета'!$B$2),MONTH('Данные для расчета'!$B$2),DAY(B38+E38+F38+((D38-14)&gt;0)*(D38-14)))&gt;DAY(EOMONTH('Данные для расчета'!$B$2,0))/2,(((YEAR('Данные для расчета'!$B$2)-YEAR(B38+E38+F38+((D38-14)&gt;0)*(D38-14)))*12+MONTH('Данные для расчета'!$B$2)-MONTH(B38+E38+F38+((D38-14)&gt;0)*(D38-14))+1)),((YEAR('Данные для расчета'!$B$2)-YEAR(B38+E38+F38+((D38-14)&gt;0)*(D38-14)))*12+MONTH('Данные для расчета'!$B$2)-MONTH(B38+E38+F38+((D38-14)&gt;0)*(D38-14)))),""))</f>
        <v/>
      </c>
      <c r="P38" s="40" t="str">
        <f>IF(O38=11,12,IF(AND(O38&gt;=5.5,O38&lt;=11,'Данные для расчета'!$A$5=1),12,расчет!O38))</f>
        <v/>
      </c>
      <c r="Q38" s="40" t="str">
        <f t="shared" si="19"/>
        <v/>
      </c>
      <c r="R38" s="23">
        <f t="shared" si="20"/>
        <v>0</v>
      </c>
      <c r="S38" s="56">
        <f t="shared" si="2"/>
        <v>0</v>
      </c>
      <c r="T38" s="23">
        <f>IF(C38&lt;'Данные для расчета'!$B$3,1+'Данные для расчета'!$B$4,1)</f>
        <v>1</v>
      </c>
      <c r="U38" s="68">
        <f t="shared" ca="1" si="12"/>
        <v>404009.65</v>
      </c>
      <c r="V38" s="17">
        <f t="shared" ca="1" si="13"/>
        <v>404009.65</v>
      </c>
      <c r="W38" s="17">
        <f ca="1">IF($C38="итого",SUM(W26:W37),Y38*K38/L38+AB38*(12+1-MONTH('Данные для расчета'!$B$2))/12)</f>
        <v>27373.549999999996</v>
      </c>
      <c r="X38" s="17">
        <f t="shared" ca="1" si="21"/>
        <v>431383.2</v>
      </c>
      <c r="Y38" s="17">
        <f t="array" aca="1" ref="Y38" ca="1">IF($C38="итого",SUM(OFFSET(Y37,,,-12)),IF(ISNA(INDEX(INDIRECT("'"&amp;MONTH($C38)&amp;"'!$A$4:$AR$500"),MATCH("*"&amp;$A38&amp;"*",INDIRECT("'"&amp;MONTH($C38)&amp;"'!$A$4:$A$500"),0),MATCH(Y$8,INDIRECT("'"&amp;MONTH($C38)&amp;"'!$4:$4"),0))),0,INDEX(INDIRECT("'"&amp;MONTH($C38)&amp;"'!$A$4:$AR$500"),MATCH("*"&amp;$A38&amp;"*",INDIRECT("'"&amp;MONTH($C38)&amp;"'!$A$4:$A$500"),0),MATCH(Y$8,INDIRECT("'"&amp;MONTH($C38)&amp;"'!$4:$4"),0))))</f>
        <v>27373.55</v>
      </c>
      <c r="Z38" s="17">
        <f t="shared" ca="1" si="17"/>
        <v>5772.3</v>
      </c>
      <c r="AA38" s="17">
        <f t="shared" ca="1" si="5"/>
        <v>0</v>
      </c>
      <c r="AB38" s="17">
        <f t="shared" ca="1" si="6"/>
        <v>0</v>
      </c>
      <c r="AC38" s="17">
        <f t="shared" ca="1" si="24"/>
        <v>0</v>
      </c>
      <c r="AD38" s="17">
        <f t="shared" ca="1" si="24"/>
        <v>0</v>
      </c>
      <c r="AE38" s="17">
        <f t="shared" ca="1" si="24"/>
        <v>0</v>
      </c>
      <c r="AF38" s="17">
        <f t="shared" ca="1" si="24"/>
        <v>0</v>
      </c>
      <c r="AG38" s="17">
        <f t="shared" ca="1" si="24"/>
        <v>0</v>
      </c>
      <c r="AH38" s="17">
        <f t="shared" ca="1" si="24"/>
        <v>0</v>
      </c>
      <c r="AI38" s="17">
        <f t="shared" ca="1" si="24"/>
        <v>0</v>
      </c>
      <c r="AJ38" s="17">
        <f t="shared" ca="1" si="24"/>
        <v>0</v>
      </c>
      <c r="AK38" s="17">
        <f t="shared" ca="1" si="24"/>
        <v>0</v>
      </c>
      <c r="AL38" s="17">
        <f t="shared" ca="1" si="24"/>
        <v>0</v>
      </c>
      <c r="AM38" s="17">
        <f t="shared" ca="1" si="24"/>
        <v>0</v>
      </c>
      <c r="AN38" s="17">
        <f t="shared" ca="1" si="25"/>
        <v>0</v>
      </c>
      <c r="AO38" s="17">
        <f t="shared" ca="1" si="24"/>
        <v>0</v>
      </c>
      <c r="AP38" s="17">
        <f t="shared" ca="1" si="22"/>
        <v>0</v>
      </c>
    </row>
    <row r="39" spans="1:42" ht="23.25" customHeight="1" x14ac:dyDescent="0.3">
      <c r="A39" s="36" t="str">
        <f>IF(C38="итого",INDEX('список работников с датами приё'!$A$2:$B$282,COUNTIF(C$9:C38,"=итого")+1,1),A38)</f>
        <v>Сидоров</v>
      </c>
      <c r="B39" s="41" t="str">
        <f>IF(OR(C38="итого",C38=$C$8),INDEX('список работников с датами приё'!$A$2:$B$282,COUNTIF(C$9:C38,"=итого")+1,2),B38)</f>
        <v>06.10.2016</v>
      </c>
      <c r="C39" s="42">
        <f>IF(AND(C38="итого",'Данные для расчета'!$B$2=EOMONTH('Данные для расчета'!$B$2,0)),EOMONTH(EDATE('Данные для расчета'!$B$2,-11),0),IF(C38="итого",EOMONTH(EDATE('Данные для расчета'!$B$2,-12),0),IF(EDATE(C38,1)&gt;=EDATE('Данные для расчета'!$B$2,0),"итого",EOMONTH(EDATE(C38,1),0))))</f>
        <v>42947</v>
      </c>
      <c r="D39" s="54">
        <f t="array" aca="1" ref="D39" ca="1">IF($C39="итого",SUM(OFFSET(D38,,,-12)),IFERROR(INDEX('список неявок'!$A$4:$I$500,MATCH($A39&amp;$C39,'список неявок'!$A$4:$A$500&amp;'список неявок'!$B$4:$B$500,0),COLUMN(C39)),))</f>
        <v>0</v>
      </c>
      <c r="E39" s="54">
        <f t="array" aca="1" ref="E39" ca="1">IF($C39="итого",SUM(OFFSET(E38,,,-12)),IFERROR(INDEX('список неявок'!$A$4:$I$500,MATCH($A39&amp;$C39,'список неявок'!$A$4:$A$500&amp;'список неявок'!$B$4:$B$500,0),COLUMN(D39)),))</f>
        <v>0</v>
      </c>
      <c r="F39" s="54">
        <f t="array" aca="1" ref="F39" ca="1">IF($C39="итого",SUM(OFFSET(F38,,,-12)),IFERROR(INDEX('список неявок'!$A$4:$I$500,MATCH($A39&amp;$C39,'список неявок'!$A$4:$A$500&amp;'список неявок'!$B$4:$B$500,0),COLUMN(E39)),))</f>
        <v>0</v>
      </c>
      <c r="G39" s="54">
        <f t="array" aca="1" ref="G39" ca="1">IF($C39="итого",SUM(OFFSET(G38,,,-12)),IFERROR(INDEX('список неявок'!$A$4:$I$500,MATCH($A39&amp;$C39,'список неявок'!$A$4:$A$500&amp;'список неявок'!$B$4:$B$500,0),COLUMN(F39)),))</f>
        <v>0</v>
      </c>
      <c r="H39" s="54">
        <f t="array" aca="1" ref="H39" ca="1">IF($C39="итого",SUM(OFFSET(H38,,,-12)),IFERROR(INDEX('список неявок'!$A$4:$I$500,MATCH($A39&amp;$C39,'список неявок'!$A$4:$A$500&amp;'список неявок'!$B$4:$B$500,0),COLUMN(G39)),))</f>
        <v>0</v>
      </c>
      <c r="I39" s="54">
        <f t="array" aca="1" ref="I39" ca="1">IF($C39="итого",SUM(OFFSET(I38,,,-12)),IFERROR(INDEX('список неявок'!$A$4:$I$500,MATCH($A39&amp;$C39,'список неявок'!$A$4:$A$500&amp;'список неявок'!$B$4:$B$500,0),COLUMN(H39)),))</f>
        <v>0</v>
      </c>
      <c r="J39" s="54">
        <f t="array" aca="1" ref="J39" ca="1">IF($C39="итого",SUM(OFFSET(J38,,,-12)),IFERROR(INDEX('список неявок'!$A$4:$I$500,MATCH($A39&amp;$C39,'список неявок'!$A$4:$A$500&amp;'список неявок'!$B$4:$B$500,0),COLUMN(I39)),))</f>
        <v>0</v>
      </c>
      <c r="K39" s="54">
        <f t="shared" ca="1" si="23"/>
        <v>21</v>
      </c>
      <c r="L39" s="55">
        <f t="array" aca="1" ref="L39" ca="1">IF(C39="итого",SUM(OFFSET(L38,,,-12)),NETWORKDAYS.INTL(DATE(YEAR(C39),MONTH(C39),1),C39,,'Данные для расчета'!$M$10:$V$24))</f>
        <v>21</v>
      </c>
      <c r="M39" s="39">
        <f t="array" aca="1" ref="M39" ca="1">IF(C39="итого",SUM(OFFSET(M38,,,-12)),(_xlfn.DAYS(C39,DATE(YEAR(C39),MONTH(C39),1)-1)-SUM(D39:I39))*29.3/(_xlfn.DAYS(C39,DATE(YEAR(C39),MONTH(C39),1)-1)))</f>
        <v>29.3</v>
      </c>
      <c r="N39" s="39"/>
      <c r="O39" s="40" t="str">
        <f>IF(AND(C39="итого",B39=0),0,IF(C39="итого",IF('Данные для расчета'!$B$2+1-DATE(YEAR('Данные для расчета'!$B$2),MONTH('Данные для расчета'!$B$2),DAY(B39+E39+F39+((D39-14)&gt;0)*(D39-14)))&gt;DAY(EOMONTH('Данные для расчета'!$B$2,0))/2,(((YEAR('Данные для расчета'!$B$2)-YEAR(B39+E39+F39+((D39-14)&gt;0)*(D39-14)))*12+MONTH('Данные для расчета'!$B$2)-MONTH(B39+E39+F39+((D39-14)&gt;0)*(D39-14))+1)),((YEAR('Данные для расчета'!$B$2)-YEAR(B39+E39+F39+((D39-14)&gt;0)*(D39-14)))*12+MONTH('Данные для расчета'!$B$2)-MONTH(B39+E39+F39+((D39-14)&gt;0)*(D39-14)))),""))</f>
        <v/>
      </c>
      <c r="P39" s="40" t="str">
        <f>IF(O39=11,12,IF(AND(O39&gt;=5.5,O39&lt;=11,'Данные для расчета'!$A$5=1),12,расчет!O39))</f>
        <v/>
      </c>
      <c r="Q39" s="40" t="str">
        <f t="shared" si="19"/>
        <v/>
      </c>
      <c r="R39" s="23">
        <f t="shared" si="20"/>
        <v>0</v>
      </c>
      <c r="S39" s="56">
        <f t="shared" si="2"/>
        <v>0</v>
      </c>
      <c r="T39" s="23">
        <f>IF(C39&lt;'Данные для расчета'!$B$3,1+'Данные для расчета'!$B$4,1)</f>
        <v>1</v>
      </c>
      <c r="U39" s="68">
        <f t="shared" ca="1" si="12"/>
        <v>404009.65</v>
      </c>
      <c r="V39" s="17">
        <f t="shared" ca="1" si="13"/>
        <v>404009.65</v>
      </c>
      <c r="W39" s="17">
        <f ca="1">IF($C39="итого",SUM(W27:W38),Y39*K39/L39+AB39*(12+1-MONTH('Данные для расчета'!$B$2))/12)</f>
        <v>27373.549999999996</v>
      </c>
      <c r="X39" s="17">
        <f t="shared" ca="1" si="21"/>
        <v>431383.2</v>
      </c>
      <c r="Y39" s="17">
        <f t="array" aca="1" ref="Y39" ca="1">IF($C39="итого",SUM(OFFSET(Y38,,,-12)),IF(ISNA(INDEX(INDIRECT("'"&amp;MONTH($C39)&amp;"'!$A$4:$AR$500"),MATCH("*"&amp;$A39&amp;"*",INDIRECT("'"&amp;MONTH($C39)&amp;"'!$A$4:$A$500"),0),MATCH(Y$8,INDIRECT("'"&amp;MONTH($C39)&amp;"'!$4:$4"),0))),0,INDEX(INDIRECT("'"&amp;MONTH($C39)&amp;"'!$A$4:$AR$500"),MATCH("*"&amp;$A39&amp;"*",INDIRECT("'"&amp;MONTH($C39)&amp;"'!$A$4:$A$500"),0),MATCH(Y$8,INDIRECT("'"&amp;MONTH($C39)&amp;"'!$4:$4"),0))))</f>
        <v>27373.55</v>
      </c>
      <c r="Z39" s="17">
        <f t="shared" ca="1" si="17"/>
        <v>5772.3</v>
      </c>
      <c r="AA39" s="17">
        <f t="shared" ca="1" si="5"/>
        <v>0</v>
      </c>
      <c r="AB39" s="17">
        <f t="shared" ca="1" si="6"/>
        <v>0</v>
      </c>
      <c r="AC39" s="17">
        <f t="shared" ca="1" si="24"/>
        <v>0</v>
      </c>
      <c r="AD39" s="17">
        <f t="shared" ca="1" si="24"/>
        <v>0</v>
      </c>
      <c r="AE39" s="17">
        <f t="shared" ca="1" si="24"/>
        <v>0</v>
      </c>
      <c r="AF39" s="17">
        <f t="shared" ca="1" si="24"/>
        <v>0</v>
      </c>
      <c r="AG39" s="17">
        <f t="shared" ca="1" si="24"/>
        <v>0</v>
      </c>
      <c r="AH39" s="17">
        <f t="shared" ca="1" si="24"/>
        <v>0</v>
      </c>
      <c r="AI39" s="17">
        <f t="shared" ca="1" si="24"/>
        <v>0</v>
      </c>
      <c r="AJ39" s="17">
        <f t="shared" ca="1" si="24"/>
        <v>0</v>
      </c>
      <c r="AK39" s="17">
        <f t="shared" ca="1" si="24"/>
        <v>0</v>
      </c>
      <c r="AL39" s="17">
        <f t="shared" ca="1" si="24"/>
        <v>0</v>
      </c>
      <c r="AM39" s="17">
        <f t="shared" ca="1" si="24"/>
        <v>0</v>
      </c>
      <c r="AN39" s="17">
        <f t="shared" ca="1" si="25"/>
        <v>0</v>
      </c>
      <c r="AO39" s="17">
        <f t="shared" ca="1" si="24"/>
        <v>0</v>
      </c>
      <c r="AP39" s="17">
        <f t="shared" ca="1" si="22"/>
        <v>0</v>
      </c>
    </row>
    <row r="40" spans="1:42" ht="23.25" customHeight="1" x14ac:dyDescent="0.3">
      <c r="A40" s="36" t="str">
        <f>IF(C39="итого",INDEX('список работников с датами приё'!$A$2:$B$282,COUNTIF(C$9:C39,"=итого")+1,1),A39)</f>
        <v>Сидоров</v>
      </c>
      <c r="B40" s="41" t="str">
        <f>IF(OR(C39="итого",C39=$C$8),INDEX('список работников с датами приё'!$A$2:$B$282,COUNTIF(C$9:C39,"=итого")+1,2),B39)</f>
        <v>06.10.2016</v>
      </c>
      <c r="C40" s="42">
        <f>IF(AND(C39="итого",'Данные для расчета'!$B$2=EOMONTH('Данные для расчета'!$B$2,0)),EOMONTH(EDATE('Данные для расчета'!$B$2,-11),0),IF(C39="итого",EOMONTH(EDATE('Данные для расчета'!$B$2,-12),0),IF(EDATE(C39,1)&gt;=EDATE('Данные для расчета'!$B$2,0),"итого",EOMONTH(EDATE(C39,1),0))))</f>
        <v>42978</v>
      </c>
      <c r="D40" s="54">
        <f t="array" aca="1" ref="D40" ca="1">IF($C40="итого",SUM(OFFSET(D39,,,-12)),IFERROR(INDEX('список неявок'!$A$4:$I$500,MATCH($A40&amp;$C40,'список неявок'!$A$4:$A$500&amp;'список неявок'!$B$4:$B$500,0),COLUMN(C40)),))</f>
        <v>0</v>
      </c>
      <c r="E40" s="54">
        <f t="array" aca="1" ref="E40" ca="1">IF($C40="итого",SUM(OFFSET(E39,,,-12)),IFERROR(INDEX('список неявок'!$A$4:$I$500,MATCH($A40&amp;$C40,'список неявок'!$A$4:$A$500&amp;'список неявок'!$B$4:$B$500,0),COLUMN(D40)),))</f>
        <v>0</v>
      </c>
      <c r="F40" s="54">
        <f t="array" aca="1" ref="F40" ca="1">IF($C40="итого",SUM(OFFSET(F39,,,-12)),IFERROR(INDEX('список неявок'!$A$4:$I$500,MATCH($A40&amp;$C40,'список неявок'!$A$4:$A$500&amp;'список неявок'!$B$4:$B$500,0),COLUMN(E40)),))</f>
        <v>0</v>
      </c>
      <c r="G40" s="54">
        <f t="array" aca="1" ref="G40" ca="1">IF($C40="итого",SUM(OFFSET(G39,,,-12)),IFERROR(INDEX('список неявок'!$A$4:$I$500,MATCH($A40&amp;$C40,'список неявок'!$A$4:$A$500&amp;'список неявок'!$B$4:$B$500,0),COLUMN(F40)),))</f>
        <v>0</v>
      </c>
      <c r="H40" s="54">
        <f t="array" aca="1" ref="H40" ca="1">IF($C40="итого",SUM(OFFSET(H39,,,-12)),IFERROR(INDEX('список неявок'!$A$4:$I$500,MATCH($A40&amp;$C40,'список неявок'!$A$4:$A$500&amp;'список неявок'!$B$4:$B$500,0),COLUMN(G40)),))</f>
        <v>0</v>
      </c>
      <c r="I40" s="54">
        <f t="array" aca="1" ref="I40" ca="1">IF($C40="итого",SUM(OFFSET(I39,,,-12)),IFERROR(INDEX('список неявок'!$A$4:$I$500,MATCH($A40&amp;$C40,'список неявок'!$A$4:$A$500&amp;'список неявок'!$B$4:$B$500,0),COLUMN(H40)),))</f>
        <v>0</v>
      </c>
      <c r="J40" s="54">
        <f t="array" aca="1" ref="J40" ca="1">IF($C40="итого",SUM(OFFSET(J39,,,-12)),IFERROR(INDEX('список неявок'!$A$4:$I$500,MATCH($A40&amp;$C40,'список неявок'!$A$4:$A$500&amp;'список неявок'!$B$4:$B$500,0),COLUMN(I40)),))</f>
        <v>0</v>
      </c>
      <c r="K40" s="54">
        <f t="shared" ca="1" si="23"/>
        <v>23</v>
      </c>
      <c r="L40" s="55">
        <f t="array" aca="1" ref="L40" ca="1">IF(C40="итого",SUM(OFFSET(L39,,,-12)),NETWORKDAYS.INTL(DATE(YEAR(C40),MONTH(C40),1),C40,,'Данные для расчета'!$M$10:$V$24))</f>
        <v>23</v>
      </c>
      <c r="M40" s="39">
        <f t="array" aca="1" ref="M40" ca="1">IF(C40="итого",SUM(OFFSET(M39,,,-12)),(_xlfn.DAYS(C40,DATE(YEAR(C40),MONTH(C40),1)-1)-SUM(D40:I40))*29.3/(_xlfn.DAYS(C40,DATE(YEAR(C40),MONTH(C40),1)-1)))</f>
        <v>29.3</v>
      </c>
      <c r="N40" s="39"/>
      <c r="O40" s="40" t="str">
        <f>IF(AND(C40="итого",B40=0),0,IF(C40="итого",IF('Данные для расчета'!$B$2+1-DATE(YEAR('Данные для расчета'!$B$2),MONTH('Данные для расчета'!$B$2),DAY(B40+E40+F40+((D40-14)&gt;0)*(D40-14)))&gt;DAY(EOMONTH('Данные для расчета'!$B$2,0))/2,(((YEAR('Данные для расчета'!$B$2)-YEAR(B40+E40+F40+((D40-14)&gt;0)*(D40-14)))*12+MONTH('Данные для расчета'!$B$2)-MONTH(B40+E40+F40+((D40-14)&gt;0)*(D40-14))+1)),((YEAR('Данные для расчета'!$B$2)-YEAR(B40+E40+F40+((D40-14)&gt;0)*(D40-14)))*12+MONTH('Данные для расчета'!$B$2)-MONTH(B40+E40+F40+((D40-14)&gt;0)*(D40-14)))),""))</f>
        <v/>
      </c>
      <c r="P40" s="40" t="str">
        <f>IF(O40=11,12,IF(AND(O40&gt;=5.5,O40&lt;=11,'Данные для расчета'!$A$5=1),12,расчет!O40))</f>
        <v/>
      </c>
      <c r="Q40" s="40" t="str">
        <f t="shared" si="19"/>
        <v/>
      </c>
      <c r="R40" s="23">
        <f t="shared" si="20"/>
        <v>0</v>
      </c>
      <c r="S40" s="56">
        <f t="shared" si="2"/>
        <v>0</v>
      </c>
      <c r="T40" s="23">
        <f>IF(C40&lt;'Данные для расчета'!$B$3,1+'Данные для расчета'!$B$4,1)</f>
        <v>1</v>
      </c>
      <c r="U40" s="68">
        <f t="shared" ca="1" si="12"/>
        <v>404009.65</v>
      </c>
      <c r="V40" s="17">
        <f t="shared" ca="1" si="13"/>
        <v>404009.65</v>
      </c>
      <c r="W40" s="17">
        <f ca="1">IF($C40="итого",SUM(W28:W39),Y40*K40/L40+AB40*(12+1-MONTH('Данные для расчета'!$B$2))/12)</f>
        <v>27373.55</v>
      </c>
      <c r="X40" s="17">
        <f t="shared" ca="1" si="21"/>
        <v>431383.2</v>
      </c>
      <c r="Y40" s="17">
        <f t="array" aca="1" ref="Y40" ca="1">IF($C40="итого",SUM(OFFSET(Y39,,,-12)),IF(ISNA(INDEX(INDIRECT("'"&amp;MONTH($C40)&amp;"'!$A$4:$AR$500"),MATCH("*"&amp;$A40&amp;"*",INDIRECT("'"&amp;MONTH($C40)&amp;"'!$A$4:$A$500"),0),MATCH(Y$8,INDIRECT("'"&amp;MONTH($C40)&amp;"'!$4:$4"),0))),0,INDEX(INDIRECT("'"&amp;MONTH($C40)&amp;"'!$A$4:$AR$500"),MATCH("*"&amp;$A40&amp;"*",INDIRECT("'"&amp;MONTH($C40)&amp;"'!$A$4:$A$500"),0),MATCH(Y$8,INDIRECT("'"&amp;MONTH($C40)&amp;"'!$4:$4"),0))))</f>
        <v>27373.55</v>
      </c>
      <c r="Z40" s="17">
        <f t="shared" ca="1" si="17"/>
        <v>5772.3</v>
      </c>
      <c r="AA40" s="17">
        <f t="shared" ca="1" si="5"/>
        <v>0</v>
      </c>
      <c r="AB40" s="17">
        <f t="shared" ca="1" si="6"/>
        <v>0</v>
      </c>
      <c r="AC40" s="17">
        <f t="shared" ca="1" si="24"/>
        <v>0</v>
      </c>
      <c r="AD40" s="17">
        <f t="shared" ca="1" si="24"/>
        <v>0</v>
      </c>
      <c r="AE40" s="17">
        <f t="shared" ca="1" si="24"/>
        <v>0</v>
      </c>
      <c r="AF40" s="17">
        <f t="shared" ca="1" si="24"/>
        <v>0</v>
      </c>
      <c r="AG40" s="17">
        <f t="shared" ca="1" si="24"/>
        <v>0</v>
      </c>
      <c r="AH40" s="17">
        <f t="shared" ca="1" si="24"/>
        <v>0</v>
      </c>
      <c r="AI40" s="17">
        <f t="shared" ca="1" si="24"/>
        <v>0</v>
      </c>
      <c r="AJ40" s="17">
        <f t="shared" ca="1" si="24"/>
        <v>0</v>
      </c>
      <c r="AK40" s="17">
        <f t="shared" ca="1" si="24"/>
        <v>0</v>
      </c>
      <c r="AL40" s="17">
        <f t="shared" ca="1" si="24"/>
        <v>0</v>
      </c>
      <c r="AM40" s="17">
        <f t="shared" ca="1" si="24"/>
        <v>0</v>
      </c>
      <c r="AN40" s="17">
        <f t="shared" ca="1" si="25"/>
        <v>0</v>
      </c>
      <c r="AO40" s="17">
        <f t="shared" ca="1" si="24"/>
        <v>0</v>
      </c>
      <c r="AP40" s="17">
        <f t="shared" ca="1" si="22"/>
        <v>0</v>
      </c>
    </row>
    <row r="41" spans="1:42" ht="23.25" customHeight="1" x14ac:dyDescent="0.3">
      <c r="A41" s="36" t="str">
        <f>IF(C40="итого",INDEX('список работников с датами приё'!$A$2:$B$282,COUNTIF(C$9:C40,"=итого")+1,1),A40)</f>
        <v>Сидоров</v>
      </c>
      <c r="B41" s="41" t="str">
        <f>IF(OR(C40="итого",C40=$C$8),INDEX('список работников с датами приё'!$A$2:$B$282,COUNTIF(C$9:C40,"=итого")+1,2),B40)</f>
        <v>06.10.2016</v>
      </c>
      <c r="C41" s="42">
        <f>IF(AND(C40="итого",'Данные для расчета'!$B$2=EOMONTH('Данные для расчета'!$B$2,0)),EOMONTH(EDATE('Данные для расчета'!$B$2,-11),0),IF(C40="итого",EOMONTH(EDATE('Данные для расчета'!$B$2,-12),0),IF(EDATE(C40,1)&gt;=EDATE('Данные для расчета'!$B$2,0),"итого",EOMONTH(EDATE(C40,1),0))))</f>
        <v>43008</v>
      </c>
      <c r="D41" s="54">
        <f t="array" aca="1" ref="D41" ca="1">IF($C41="итого",SUM(OFFSET(D40,,,-12)),IFERROR(INDEX('список неявок'!$A$4:$I$500,MATCH($A41&amp;$C41,'список неявок'!$A$4:$A$500&amp;'список неявок'!$B$4:$B$500,0),COLUMN(C41)),))</f>
        <v>0</v>
      </c>
      <c r="E41" s="54">
        <f t="array" aca="1" ref="E41" ca="1">IF($C41="итого",SUM(OFFSET(E40,,,-12)),IFERROR(INDEX('список неявок'!$A$4:$I$500,MATCH($A41&amp;$C41,'список неявок'!$A$4:$A$500&amp;'список неявок'!$B$4:$B$500,0),COLUMN(D41)),))</f>
        <v>0</v>
      </c>
      <c r="F41" s="54">
        <f t="array" aca="1" ref="F41" ca="1">IF($C41="итого",SUM(OFFSET(F40,,,-12)),IFERROR(INDEX('список неявок'!$A$4:$I$500,MATCH($A41&amp;$C41,'список неявок'!$A$4:$A$500&amp;'список неявок'!$B$4:$B$500,0),COLUMN(E41)),))</f>
        <v>0</v>
      </c>
      <c r="G41" s="54">
        <f t="array" aca="1" ref="G41" ca="1">IF($C41="итого",SUM(OFFSET(G40,,,-12)),IFERROR(INDEX('список неявок'!$A$4:$I$500,MATCH($A41&amp;$C41,'список неявок'!$A$4:$A$500&amp;'список неявок'!$B$4:$B$500,0),COLUMN(F41)),))</f>
        <v>0</v>
      </c>
      <c r="H41" s="54">
        <f t="array" aca="1" ref="H41" ca="1">IF($C41="итого",SUM(OFFSET(H40,,,-12)),IFERROR(INDEX('список неявок'!$A$4:$I$500,MATCH($A41&amp;$C41,'список неявок'!$A$4:$A$500&amp;'список неявок'!$B$4:$B$500,0),COLUMN(G41)),))</f>
        <v>0</v>
      </c>
      <c r="I41" s="54">
        <f t="array" aca="1" ref="I41" ca="1">IF($C41="итого",SUM(OFFSET(I40,,,-12)),IFERROR(INDEX('список неявок'!$A$4:$I$500,MATCH($A41&amp;$C41,'список неявок'!$A$4:$A$500&amp;'список неявок'!$B$4:$B$500,0),COLUMN(H41)),))</f>
        <v>0</v>
      </c>
      <c r="J41" s="54">
        <f t="array" aca="1" ref="J41" ca="1">IF($C41="итого",SUM(OFFSET(J40,,,-12)),IFERROR(INDEX('список неявок'!$A$4:$I$500,MATCH($A41&amp;$C41,'список неявок'!$A$4:$A$500&amp;'список неявок'!$B$4:$B$500,0),COLUMN(I41)),))</f>
        <v>0</v>
      </c>
      <c r="K41" s="54">
        <f t="shared" ca="1" si="23"/>
        <v>21</v>
      </c>
      <c r="L41" s="55">
        <f t="array" aca="1" ref="L41" ca="1">IF(C41="итого",SUM(OFFSET(L40,,,-12)),NETWORKDAYS.INTL(DATE(YEAR(C41),MONTH(C41),1),C41,,'Данные для расчета'!$M$10:$V$24))</f>
        <v>21</v>
      </c>
      <c r="M41" s="39">
        <f t="array" aca="1" ref="M41" ca="1">IF(C41="итого",SUM(OFFSET(M40,,,-12)),(_xlfn.DAYS(C41,DATE(YEAR(C41),MONTH(C41),1)-1)-SUM(D41:I41))*29.3/(_xlfn.DAYS(C41,DATE(YEAR(C41),MONTH(C41),1)-1)))</f>
        <v>29.3</v>
      </c>
      <c r="N41" s="39"/>
      <c r="O41" s="40" t="str">
        <f>IF(AND(C41="итого",B41=0),0,IF(C41="итого",IF('Данные для расчета'!$B$2+1-DATE(YEAR('Данные для расчета'!$B$2),MONTH('Данные для расчета'!$B$2),DAY(B41+E41+F41+((D41-14)&gt;0)*(D41-14)))&gt;DAY(EOMONTH('Данные для расчета'!$B$2,0))/2,(((YEAR('Данные для расчета'!$B$2)-YEAR(B41+E41+F41+((D41-14)&gt;0)*(D41-14)))*12+MONTH('Данные для расчета'!$B$2)-MONTH(B41+E41+F41+((D41-14)&gt;0)*(D41-14))+1)),((YEAR('Данные для расчета'!$B$2)-YEAR(B41+E41+F41+((D41-14)&gt;0)*(D41-14)))*12+MONTH('Данные для расчета'!$B$2)-MONTH(B41+E41+F41+((D41-14)&gt;0)*(D41-14)))),""))</f>
        <v/>
      </c>
      <c r="P41" s="40" t="str">
        <f>IF(O41=11,12,IF(AND(O41&gt;=5.5,O41&lt;=11,'Данные для расчета'!$A$5=1),12,расчет!O41))</f>
        <v/>
      </c>
      <c r="Q41" s="40" t="str">
        <f t="shared" si="19"/>
        <v/>
      </c>
      <c r="R41" s="23">
        <f t="shared" si="20"/>
        <v>0</v>
      </c>
      <c r="S41" s="56">
        <f t="shared" si="2"/>
        <v>0</v>
      </c>
      <c r="T41" s="23">
        <f>IF(C41&lt;'Данные для расчета'!$B$3,1+'Данные для расчета'!$B$4,1)</f>
        <v>1</v>
      </c>
      <c r="U41" s="68">
        <f t="shared" ca="1" si="12"/>
        <v>404009.65</v>
      </c>
      <c r="V41" s="17">
        <f t="shared" ca="1" si="13"/>
        <v>404009.65</v>
      </c>
      <c r="W41" s="17">
        <f ca="1">IF($C41="итого",SUM(W29:W40),Y41*K41/L41+AB41*(12+1-MONTH('Данные для расчета'!$B$2))/12)</f>
        <v>27373.549999999996</v>
      </c>
      <c r="X41" s="17">
        <f t="shared" ca="1" si="21"/>
        <v>431383.2</v>
      </c>
      <c r="Y41" s="17">
        <f t="array" aca="1" ref="Y41" ca="1">IF($C41="итого",SUM(OFFSET(Y40,,,-12)),IF(ISNA(INDEX(INDIRECT("'"&amp;MONTH($C41)&amp;"'!$A$4:$AR$500"),MATCH("*"&amp;$A41&amp;"*",INDIRECT("'"&amp;MONTH($C41)&amp;"'!$A$4:$A$500"),0),MATCH(Y$8,INDIRECT("'"&amp;MONTH($C41)&amp;"'!$4:$4"),0))),0,INDEX(INDIRECT("'"&amp;MONTH($C41)&amp;"'!$A$4:$AR$500"),MATCH("*"&amp;$A41&amp;"*",INDIRECT("'"&amp;MONTH($C41)&amp;"'!$A$4:$A$500"),0),MATCH(Y$8,INDIRECT("'"&amp;MONTH($C41)&amp;"'!$4:$4"),0))))</f>
        <v>27373.55</v>
      </c>
      <c r="Z41" s="17">
        <f t="shared" ca="1" si="17"/>
        <v>5772.3</v>
      </c>
      <c r="AA41" s="17">
        <f t="shared" ca="1" si="5"/>
        <v>0</v>
      </c>
      <c r="AB41" s="17">
        <f t="shared" ca="1" si="6"/>
        <v>0</v>
      </c>
      <c r="AC41" s="17">
        <f t="shared" ca="1" si="24"/>
        <v>0</v>
      </c>
      <c r="AD41" s="17">
        <f t="shared" ca="1" si="24"/>
        <v>0</v>
      </c>
      <c r="AE41" s="17">
        <f t="shared" ca="1" si="24"/>
        <v>0</v>
      </c>
      <c r="AF41" s="17">
        <f t="shared" ca="1" si="24"/>
        <v>0</v>
      </c>
      <c r="AG41" s="17">
        <f t="shared" ca="1" si="24"/>
        <v>0</v>
      </c>
      <c r="AH41" s="17">
        <f t="shared" ca="1" si="24"/>
        <v>0</v>
      </c>
      <c r="AI41" s="17">
        <f t="shared" ca="1" si="24"/>
        <v>0</v>
      </c>
      <c r="AJ41" s="17">
        <f t="shared" ca="1" si="24"/>
        <v>0</v>
      </c>
      <c r="AK41" s="17">
        <f t="shared" ca="1" si="24"/>
        <v>0</v>
      </c>
      <c r="AL41" s="17">
        <f t="shared" ca="1" si="24"/>
        <v>0</v>
      </c>
      <c r="AM41" s="17">
        <f t="shared" ca="1" si="24"/>
        <v>0</v>
      </c>
      <c r="AN41" s="17">
        <f t="shared" ca="1" si="25"/>
        <v>0</v>
      </c>
      <c r="AO41" s="17">
        <f t="shared" ca="1" si="24"/>
        <v>0</v>
      </c>
      <c r="AP41" s="17">
        <f t="shared" ca="1" si="22"/>
        <v>0</v>
      </c>
    </row>
    <row r="42" spans="1:42" ht="23.25" customHeight="1" x14ac:dyDescent="0.3">
      <c r="A42" s="36" t="str">
        <f>IF(C41="итого",INDEX('список работников с датами приё'!$A$2:$B$282,COUNTIF(C$9:C41,"=итого")+1,1),A41)</f>
        <v>Сидоров</v>
      </c>
      <c r="B42" s="41" t="str">
        <f>IF(OR(C41="итого",C41=$C$8),INDEX('список работников с датами приё'!$A$2:$B$282,COUNTIF(C$9:C41,"=итого")+1,2),B41)</f>
        <v>06.10.2016</v>
      </c>
      <c r="C42" s="42">
        <f>IF(AND(C41="итого",'Данные для расчета'!$B$2=EOMONTH('Данные для расчета'!$B$2,0)),EOMONTH(EDATE('Данные для расчета'!$B$2,-11),0),IF(C41="итого",EOMONTH(EDATE('Данные для расчета'!$B$2,-12),0),IF(EDATE(C41,1)&gt;=EDATE('Данные для расчета'!$B$2,0),"итого",EOMONTH(EDATE(C41,1),0))))</f>
        <v>43039</v>
      </c>
      <c r="D42" s="54">
        <f t="array" aca="1" ref="D42" ca="1">IF($C42="итого",SUM(OFFSET(D41,,,-12)),IFERROR(INDEX('список неявок'!$A$4:$I$500,MATCH($A42&amp;$C42,'список неявок'!$A$4:$A$500&amp;'список неявок'!$B$4:$B$500,0),COLUMN(C42)),))</f>
        <v>0</v>
      </c>
      <c r="E42" s="54">
        <f t="array" aca="1" ref="E42" ca="1">IF($C42="итого",SUM(OFFSET(E41,,,-12)),IFERROR(INDEX('список неявок'!$A$4:$I$500,MATCH($A42&amp;$C42,'список неявок'!$A$4:$A$500&amp;'список неявок'!$B$4:$B$500,0),COLUMN(D42)),))</f>
        <v>0</v>
      </c>
      <c r="F42" s="54">
        <f t="array" aca="1" ref="F42" ca="1">IF($C42="итого",SUM(OFFSET(F41,,,-12)),IFERROR(INDEX('список неявок'!$A$4:$I$500,MATCH($A42&amp;$C42,'список неявок'!$A$4:$A$500&amp;'список неявок'!$B$4:$B$500,0),COLUMN(E42)),))</f>
        <v>0</v>
      </c>
      <c r="G42" s="54">
        <f t="array" aca="1" ref="G42" ca="1">IF($C42="итого",SUM(OFFSET(G41,,,-12)),IFERROR(INDEX('список неявок'!$A$4:$I$500,MATCH($A42&amp;$C42,'список неявок'!$A$4:$A$500&amp;'список неявок'!$B$4:$B$500,0),COLUMN(F42)),))</f>
        <v>0</v>
      </c>
      <c r="H42" s="54">
        <f t="array" aca="1" ref="H42" ca="1">IF($C42="итого",SUM(OFFSET(H41,,,-12)),IFERROR(INDEX('список неявок'!$A$4:$I$500,MATCH($A42&amp;$C42,'список неявок'!$A$4:$A$500&amp;'список неявок'!$B$4:$B$500,0),COLUMN(G42)),))</f>
        <v>0</v>
      </c>
      <c r="I42" s="54">
        <f t="array" aca="1" ref="I42" ca="1">IF($C42="итого",SUM(OFFSET(I41,,,-12)),IFERROR(INDEX('список неявок'!$A$4:$I$500,MATCH($A42&amp;$C42,'список неявок'!$A$4:$A$500&amp;'список неявок'!$B$4:$B$500,0),COLUMN(H42)),))</f>
        <v>0</v>
      </c>
      <c r="J42" s="54">
        <f t="array" aca="1" ref="J42" ca="1">IF($C42="итого",SUM(OFFSET(J41,,,-12)),IFERROR(INDEX('список неявок'!$A$4:$I$500,MATCH($A42&amp;$C42,'список неявок'!$A$4:$A$500&amp;'список неявок'!$B$4:$B$500,0),COLUMN(I42)),))</f>
        <v>0</v>
      </c>
      <c r="K42" s="54">
        <f t="shared" ca="1" si="23"/>
        <v>22</v>
      </c>
      <c r="L42" s="55">
        <f t="array" aca="1" ref="L42" ca="1">IF(C42="итого",SUM(OFFSET(L41,,,-12)),NETWORKDAYS.INTL(DATE(YEAR(C42),MONTH(C42),1),C42,,'Данные для расчета'!$M$10:$V$24))</f>
        <v>22</v>
      </c>
      <c r="M42" s="39">
        <f t="array" aca="1" ref="M42" ca="1">IF(C42="итого",SUM(OFFSET(M41,,,-12)),(_xlfn.DAYS(C42,DATE(YEAR(C42),MONTH(C42),1)-1)-SUM(D42:I42))*29.3/(_xlfn.DAYS(C42,DATE(YEAR(C42),MONTH(C42),1)-1)))</f>
        <v>29.3</v>
      </c>
      <c r="N42" s="39"/>
      <c r="O42" s="40" t="str">
        <f>IF(AND(C42="итого",B42=0),0,IF(C42="итого",IF('Данные для расчета'!$B$2+1-DATE(YEAR('Данные для расчета'!$B$2),MONTH('Данные для расчета'!$B$2),DAY(B42+E42+F42+((D42-14)&gt;0)*(D42-14)))&gt;DAY(EOMONTH('Данные для расчета'!$B$2,0))/2,(((YEAR('Данные для расчета'!$B$2)-YEAR(B42+E42+F42+((D42-14)&gt;0)*(D42-14)))*12+MONTH('Данные для расчета'!$B$2)-MONTH(B42+E42+F42+((D42-14)&gt;0)*(D42-14))+1)),((YEAR('Данные для расчета'!$B$2)-YEAR(B42+E42+F42+((D42-14)&gt;0)*(D42-14)))*12+MONTH('Данные для расчета'!$B$2)-MONTH(B42+E42+F42+((D42-14)&gt;0)*(D42-14)))),""))</f>
        <v/>
      </c>
      <c r="P42" s="40" t="str">
        <f>IF(O42=11,12,IF(AND(O42&gt;=5.5,O42&lt;=11,'Данные для расчета'!$A$5=1),12,расчет!O42))</f>
        <v/>
      </c>
      <c r="Q42" s="40" t="str">
        <f t="shared" si="19"/>
        <v/>
      </c>
      <c r="R42" s="23">
        <f t="shared" si="20"/>
        <v>0</v>
      </c>
      <c r="S42" s="56">
        <f t="shared" si="2"/>
        <v>0</v>
      </c>
      <c r="T42" s="23">
        <f>IF(C42&lt;'Данные для расчета'!$B$3,1+'Данные для расчета'!$B$4,1)</f>
        <v>1</v>
      </c>
      <c r="U42" s="68">
        <f t="shared" ca="1" si="12"/>
        <v>404009.65</v>
      </c>
      <c r="V42" s="17">
        <f t="shared" ca="1" si="13"/>
        <v>404009.65</v>
      </c>
      <c r="W42" s="17">
        <f ca="1">IF($C42="итого",SUM(W30:W41),Y42*K42/L42+AB42*(12+1-MONTH('Данные для расчета'!$B$2))/12)</f>
        <v>27373.55</v>
      </c>
      <c r="X42" s="17">
        <f t="shared" ca="1" si="21"/>
        <v>431383.2</v>
      </c>
      <c r="Y42" s="17">
        <f t="array" aca="1" ref="Y42" ca="1">IF($C42="итого",SUM(OFFSET(Y41,,,-12)),IF(ISNA(INDEX(INDIRECT("'"&amp;MONTH($C42)&amp;"'!$A$4:$AR$500"),MATCH("*"&amp;$A42&amp;"*",INDIRECT("'"&amp;MONTH($C42)&amp;"'!$A$4:$A$500"),0),MATCH(Y$8,INDIRECT("'"&amp;MONTH($C42)&amp;"'!$4:$4"),0))),0,INDEX(INDIRECT("'"&amp;MONTH($C42)&amp;"'!$A$4:$AR$500"),MATCH("*"&amp;$A42&amp;"*",INDIRECT("'"&amp;MONTH($C42)&amp;"'!$A$4:$A$500"),0),MATCH(Y$8,INDIRECT("'"&amp;MONTH($C42)&amp;"'!$4:$4"),0))))</f>
        <v>27373.55</v>
      </c>
      <c r="Z42" s="17">
        <f t="shared" ca="1" si="17"/>
        <v>5772.3</v>
      </c>
      <c r="AA42" s="17">
        <f t="shared" ca="1" si="5"/>
        <v>0</v>
      </c>
      <c r="AB42" s="17">
        <f t="shared" ca="1" si="6"/>
        <v>0</v>
      </c>
      <c r="AC42" s="17">
        <f t="shared" ca="1" si="24"/>
        <v>0</v>
      </c>
      <c r="AD42" s="17">
        <f t="shared" ca="1" si="24"/>
        <v>0</v>
      </c>
      <c r="AE42" s="17">
        <f t="shared" ca="1" si="24"/>
        <v>0</v>
      </c>
      <c r="AF42" s="17">
        <f t="shared" ca="1" si="24"/>
        <v>0</v>
      </c>
      <c r="AG42" s="17">
        <f t="shared" ca="1" si="24"/>
        <v>0</v>
      </c>
      <c r="AH42" s="17">
        <f t="shared" ca="1" si="24"/>
        <v>0</v>
      </c>
      <c r="AI42" s="17">
        <f t="shared" ca="1" si="24"/>
        <v>0</v>
      </c>
      <c r="AJ42" s="17">
        <f t="shared" ca="1" si="24"/>
        <v>0</v>
      </c>
      <c r="AK42" s="17">
        <f t="shared" ca="1" si="24"/>
        <v>0</v>
      </c>
      <c r="AL42" s="17">
        <f t="shared" ca="1" si="24"/>
        <v>0</v>
      </c>
      <c r="AM42" s="17">
        <f t="shared" ca="1" si="24"/>
        <v>0</v>
      </c>
      <c r="AN42" s="17">
        <f t="shared" ca="1" si="25"/>
        <v>0</v>
      </c>
      <c r="AO42" s="17">
        <f t="shared" ca="1" si="24"/>
        <v>0</v>
      </c>
      <c r="AP42" s="17">
        <f t="shared" ca="1" si="22"/>
        <v>0</v>
      </c>
    </row>
    <row r="43" spans="1:42" ht="23.25" customHeight="1" x14ac:dyDescent="0.3">
      <c r="A43" s="36" t="str">
        <f>IF(C42="итого",INDEX('список работников с датами приё'!$A$2:$B$282,COUNTIF(C$9:C42,"=итого")+1,1),A42)</f>
        <v>Сидоров</v>
      </c>
      <c r="B43" s="41" t="str">
        <f>IF(OR(C42="итого",C42=$C$8),INDEX('список работников с датами приё'!$A$2:$B$282,COUNTIF(C$9:C42,"=итого")+1,2),B42)</f>
        <v>06.10.2016</v>
      </c>
      <c r="C43" s="42">
        <f>IF(AND(C42="итого",'Данные для расчета'!$B$2=EOMONTH('Данные для расчета'!$B$2,0)),EOMONTH(EDATE('Данные для расчета'!$B$2,-11),0),IF(C42="итого",EOMONTH(EDATE('Данные для расчета'!$B$2,-12),0),IF(EDATE(C42,1)&gt;=EDATE('Данные для расчета'!$B$2,0),"итого",EOMONTH(EDATE(C42,1),0))))</f>
        <v>43069</v>
      </c>
      <c r="D43" s="54">
        <f t="array" aca="1" ref="D43" ca="1">IF($C43="итого",SUM(OFFSET(D42,,,-12)),IFERROR(INDEX('список неявок'!$A$4:$I$500,MATCH($A43&amp;$C43,'список неявок'!$A$4:$A$500&amp;'список неявок'!$B$4:$B$500,0),COLUMN(C43)),))</f>
        <v>0</v>
      </c>
      <c r="E43" s="54">
        <f t="array" aca="1" ref="E43" ca="1">IF($C43="итого",SUM(OFFSET(E42,,,-12)),IFERROR(INDEX('список неявок'!$A$4:$I$500,MATCH($A43&amp;$C43,'список неявок'!$A$4:$A$500&amp;'список неявок'!$B$4:$B$500,0),COLUMN(D43)),))</f>
        <v>0</v>
      </c>
      <c r="F43" s="54">
        <f t="array" aca="1" ref="F43" ca="1">IF($C43="итого",SUM(OFFSET(F42,,,-12)),IFERROR(INDEX('список неявок'!$A$4:$I$500,MATCH($A43&amp;$C43,'список неявок'!$A$4:$A$500&amp;'список неявок'!$B$4:$B$500,0),COLUMN(E43)),))</f>
        <v>0</v>
      </c>
      <c r="G43" s="54">
        <f t="array" aca="1" ref="G43" ca="1">IF($C43="итого",SUM(OFFSET(G42,,,-12)),IFERROR(INDEX('список неявок'!$A$4:$I$500,MATCH($A43&amp;$C43,'список неявок'!$A$4:$A$500&amp;'список неявок'!$B$4:$B$500,0),COLUMN(F43)),))</f>
        <v>0</v>
      </c>
      <c r="H43" s="54">
        <f t="array" aca="1" ref="H43" ca="1">IF($C43="итого",SUM(OFFSET(H42,,,-12)),IFERROR(INDEX('список неявок'!$A$4:$I$500,MATCH($A43&amp;$C43,'список неявок'!$A$4:$A$500&amp;'список неявок'!$B$4:$B$500,0),COLUMN(G43)),))</f>
        <v>0</v>
      </c>
      <c r="I43" s="54">
        <f t="array" aca="1" ref="I43" ca="1">IF($C43="итого",SUM(OFFSET(I42,,,-12)),IFERROR(INDEX('список неявок'!$A$4:$I$500,MATCH($A43&amp;$C43,'список неявок'!$A$4:$A$500&amp;'список неявок'!$B$4:$B$500,0),COLUMN(H43)),))</f>
        <v>5</v>
      </c>
      <c r="J43" s="54">
        <f t="array" aca="1" ref="J43" ca="1">IF($C43="итого",SUM(OFFSET(J42,,,-12)),IFERROR(INDEX('список неявок'!$A$4:$I$500,MATCH($A43&amp;$C43,'список неявок'!$A$4:$A$500&amp;'список неявок'!$B$4:$B$500,0),COLUMN(I43)),))</f>
        <v>0</v>
      </c>
      <c r="K43" s="54">
        <f t="shared" ca="1" si="23"/>
        <v>22</v>
      </c>
      <c r="L43" s="55">
        <f t="array" aca="1" ref="L43" ca="1">IF(C43="итого",SUM(OFFSET(L42,,,-12)),NETWORKDAYS.INTL(DATE(YEAR(C43),MONTH(C43),1),C43,,'Данные для расчета'!$M$10:$V$24))</f>
        <v>22</v>
      </c>
      <c r="M43" s="39">
        <f t="array" aca="1" ref="M43" ca="1">IF(C43="итого",SUM(OFFSET(M42,,,-12)),(_xlfn.DAYS(C43,DATE(YEAR(C43),MONTH(C43),1)-1)-SUM(D43:I43))*29.3/(_xlfn.DAYS(C43,DATE(YEAR(C43),MONTH(C43),1)-1)))</f>
        <v>24.416666666666668</v>
      </c>
      <c r="N43" s="39"/>
      <c r="O43" s="40" t="str">
        <f>IF(AND(C43="итого",B43=0),0,IF(C43="итого",IF('Данные для расчета'!$B$2+1-DATE(YEAR('Данные для расчета'!$B$2),MONTH('Данные для расчета'!$B$2),DAY(B43+E43+F43+((D43-14)&gt;0)*(D43-14)))&gt;DAY(EOMONTH('Данные для расчета'!$B$2,0))/2,(((YEAR('Данные для расчета'!$B$2)-YEAR(B43+E43+F43+((D43-14)&gt;0)*(D43-14)))*12+MONTH('Данные для расчета'!$B$2)-MONTH(B43+E43+F43+((D43-14)&gt;0)*(D43-14))+1)),((YEAR('Данные для расчета'!$B$2)-YEAR(B43+E43+F43+((D43-14)&gt;0)*(D43-14)))*12+MONTH('Данные для расчета'!$B$2)-MONTH(B43+E43+F43+((D43-14)&gt;0)*(D43-14)))),""))</f>
        <v/>
      </c>
      <c r="P43" s="40" t="str">
        <f>IF(O43=11,12,IF(AND(O43&gt;=5.5,O43&lt;=11,'Данные для расчета'!$A$5=1),12,расчет!O43))</f>
        <v/>
      </c>
      <c r="Q43" s="40" t="str">
        <f t="shared" si="19"/>
        <v/>
      </c>
      <c r="R43" s="23">
        <f t="shared" si="20"/>
        <v>0</v>
      </c>
      <c r="S43" s="56">
        <f t="shared" si="2"/>
        <v>0</v>
      </c>
      <c r="T43" s="23">
        <f>IF(C43&lt;'Данные для расчета'!$B$3,1+'Данные для расчета'!$B$4,1)</f>
        <v>1</v>
      </c>
      <c r="U43" s="68">
        <f t="shared" ca="1" si="12"/>
        <v>404009.65</v>
      </c>
      <c r="V43" s="17">
        <f t="shared" ca="1" si="13"/>
        <v>404009.65</v>
      </c>
      <c r="W43" s="17">
        <f ca="1">IF($C43="итого",SUM(W31:W42),Y43*K43/L43+AB43*(12+1-MONTH('Данные для расчета'!$B$2))/12)</f>
        <v>27373.55</v>
      </c>
      <c r="X43" s="17">
        <f t="shared" ca="1" si="21"/>
        <v>431383.2</v>
      </c>
      <c r="Y43" s="17">
        <f t="array" aca="1" ref="Y43" ca="1">IF($C43="итого",SUM(OFFSET(Y42,,,-12)),IF(ISNA(INDEX(INDIRECT("'"&amp;MONTH($C43)&amp;"'!$A$4:$AR$500"),MATCH("*"&amp;$A43&amp;"*",INDIRECT("'"&amp;MONTH($C43)&amp;"'!$A$4:$A$500"),0),MATCH(Y$8,INDIRECT("'"&amp;MONTH($C43)&amp;"'!$4:$4"),0))),0,INDEX(INDIRECT("'"&amp;MONTH($C43)&amp;"'!$A$4:$AR$500"),MATCH("*"&amp;$A43&amp;"*",INDIRECT("'"&amp;MONTH($C43)&amp;"'!$A$4:$A$500"),0),MATCH(Y$8,INDIRECT("'"&amp;MONTH($C43)&amp;"'!$4:$4"),0))))</f>
        <v>27373.55</v>
      </c>
      <c r="Z43" s="17">
        <f t="shared" ca="1" si="17"/>
        <v>5772.3</v>
      </c>
      <c r="AA43" s="17">
        <f t="shared" ca="1" si="5"/>
        <v>0</v>
      </c>
      <c r="AB43" s="17">
        <f t="shared" ca="1" si="6"/>
        <v>0</v>
      </c>
      <c r="AC43" s="17">
        <f t="shared" ca="1" si="24"/>
        <v>0</v>
      </c>
      <c r="AD43" s="17">
        <f t="shared" ca="1" si="24"/>
        <v>0</v>
      </c>
      <c r="AE43" s="17">
        <f t="shared" ca="1" si="24"/>
        <v>0</v>
      </c>
      <c r="AF43" s="17">
        <f t="shared" ca="1" si="24"/>
        <v>0</v>
      </c>
      <c r="AG43" s="17">
        <f t="shared" ca="1" si="24"/>
        <v>0</v>
      </c>
      <c r="AH43" s="17">
        <f t="shared" ca="1" si="24"/>
        <v>0</v>
      </c>
      <c r="AI43" s="17">
        <f t="shared" ca="1" si="24"/>
        <v>0</v>
      </c>
      <c r="AJ43" s="17">
        <f t="shared" ca="1" si="24"/>
        <v>0</v>
      </c>
      <c r="AK43" s="17">
        <f t="shared" ca="1" si="24"/>
        <v>0</v>
      </c>
      <c r="AL43" s="17">
        <f t="shared" ca="1" si="24"/>
        <v>0</v>
      </c>
      <c r="AM43" s="17">
        <f t="shared" ca="1" si="24"/>
        <v>0</v>
      </c>
      <c r="AN43" s="17">
        <f t="shared" ca="1" si="25"/>
        <v>0</v>
      </c>
      <c r="AO43" s="17">
        <f t="shared" ca="1" si="24"/>
        <v>0</v>
      </c>
      <c r="AP43" s="17">
        <f t="shared" ca="1" si="22"/>
        <v>0</v>
      </c>
    </row>
    <row r="44" spans="1:42" ht="23.25" customHeight="1" x14ac:dyDescent="0.3">
      <c r="A44" s="36" t="str">
        <f>IF(C43="итого",INDEX('список работников с датами приё'!$A$2:$B$282,COUNTIF(C$9:C43,"=итого")+1,1),A43)</f>
        <v>Сидоров</v>
      </c>
      <c r="B44" s="41" t="str">
        <f>IF(OR(C43="итого",C43=$C$8),INDEX('список работников с датами приё'!$A$2:$B$282,COUNTIF(C$9:C43,"=итого")+1,2),B43)</f>
        <v>06.10.2016</v>
      </c>
      <c r="C44" s="42">
        <f>IF(AND(C43="итого",'Данные для расчета'!$B$2=EOMONTH('Данные для расчета'!$B$2,0)),EOMONTH(EDATE('Данные для расчета'!$B$2,-11),0),IF(C43="итого",EOMONTH(EDATE('Данные для расчета'!$B$2,-12),0),IF(EDATE(C43,1)&gt;=EDATE('Данные для расчета'!$B$2,0),"итого",EOMONTH(EDATE(C43,1),0))))</f>
        <v>43100</v>
      </c>
      <c r="D44" s="54">
        <f t="array" aca="1" ref="D44" ca="1">IF($C44="итого",SUM(OFFSET(D43,,,-12)),IFERROR(INDEX('список неявок'!$A$4:$I$500,MATCH($A44&amp;$C44,'список неявок'!$A$4:$A$500&amp;'список неявок'!$B$4:$B$500,0),COLUMN(C44)),))</f>
        <v>0</v>
      </c>
      <c r="E44" s="54">
        <f t="array" aca="1" ref="E44" ca="1">IF($C44="итого",SUM(OFFSET(E43,,,-12)),IFERROR(INDEX('список неявок'!$A$4:$I$500,MATCH($A44&amp;$C44,'список неявок'!$A$4:$A$500&amp;'список неявок'!$B$4:$B$500,0),COLUMN(D44)),))</f>
        <v>0</v>
      </c>
      <c r="F44" s="54">
        <f t="array" aca="1" ref="F44" ca="1">IF($C44="итого",SUM(OFFSET(F43,,,-12)),IFERROR(INDEX('список неявок'!$A$4:$I$500,MATCH($A44&amp;$C44,'список неявок'!$A$4:$A$500&amp;'список неявок'!$B$4:$B$500,0),COLUMN(E44)),))</f>
        <v>0</v>
      </c>
      <c r="G44" s="54">
        <f t="array" aca="1" ref="G44" ca="1">IF($C44="итого",SUM(OFFSET(G43,,,-12)),IFERROR(INDEX('список неявок'!$A$4:$I$500,MATCH($A44&amp;$C44,'список неявок'!$A$4:$A$500&amp;'список неявок'!$B$4:$B$500,0),COLUMN(F44)),))</f>
        <v>0</v>
      </c>
      <c r="H44" s="54">
        <f t="array" aca="1" ref="H44" ca="1">IF($C44="итого",SUM(OFFSET(H43,,,-12)),IFERROR(INDEX('список неявок'!$A$4:$I$500,MATCH($A44&amp;$C44,'список неявок'!$A$4:$A$500&amp;'список неявок'!$B$4:$B$500,0),COLUMN(G44)),))</f>
        <v>0</v>
      </c>
      <c r="I44" s="54">
        <f t="array" aca="1" ref="I44" ca="1">IF($C44="итого",SUM(OFFSET(I43,,,-12)),IFERROR(INDEX('список неявок'!$A$4:$I$500,MATCH($A44&amp;$C44,'список неявок'!$A$4:$A$500&amp;'список неявок'!$B$4:$B$500,0),COLUMN(H44)),))</f>
        <v>0</v>
      </c>
      <c r="J44" s="54">
        <f t="array" aca="1" ref="J44" ca="1">IF($C44="итого",SUM(OFFSET(J43,,,-12)),IFERROR(INDEX('список неявок'!$A$4:$I$500,MATCH($A44&amp;$C44,'список неявок'!$A$4:$A$500&amp;'список неявок'!$B$4:$B$500,0),COLUMN(I44)),))</f>
        <v>0</v>
      </c>
      <c r="K44" s="54">
        <f t="shared" ca="1" si="23"/>
        <v>21</v>
      </c>
      <c r="L44" s="55">
        <f t="array" aca="1" ref="L44" ca="1">IF(C44="итого",SUM(OFFSET(L43,,,-12)),NETWORKDAYS.INTL(DATE(YEAR(C44),MONTH(C44),1),C44,,'Данные для расчета'!$M$10:$V$24))</f>
        <v>21</v>
      </c>
      <c r="M44" s="39">
        <f t="array" aca="1" ref="M44" ca="1">IF(C44="итого",SUM(OFFSET(M43,,,-12)),(_xlfn.DAYS(C44,DATE(YEAR(C44),MONTH(C44),1)-1)-SUM(D44:I44))*29.3/(_xlfn.DAYS(C44,DATE(YEAR(C44),MONTH(C44),1)-1)))</f>
        <v>29.3</v>
      </c>
      <c r="N44" s="39"/>
      <c r="O44" s="40" t="str">
        <f>IF(AND(C44="итого",B44=0),0,IF(C44="итого",IF('Данные для расчета'!$B$2+1-DATE(YEAR('Данные для расчета'!$B$2),MONTH('Данные для расчета'!$B$2),DAY(B44+E44+F44+((D44-14)&gt;0)*(D44-14)))&gt;DAY(EOMONTH('Данные для расчета'!$B$2,0))/2,(((YEAR('Данные для расчета'!$B$2)-YEAR(B44+E44+F44+((D44-14)&gt;0)*(D44-14)))*12+MONTH('Данные для расчета'!$B$2)-MONTH(B44+E44+F44+((D44-14)&gt;0)*(D44-14))+1)),((YEAR('Данные для расчета'!$B$2)-YEAR(B44+E44+F44+((D44-14)&gt;0)*(D44-14)))*12+MONTH('Данные для расчета'!$B$2)-MONTH(B44+E44+F44+((D44-14)&gt;0)*(D44-14)))),""))</f>
        <v/>
      </c>
      <c r="P44" s="40" t="str">
        <f>IF(O44=11,12,IF(AND(O44&gt;=5.5,O44&lt;=11,'Данные для расчета'!$A$5=1),12,расчет!O44))</f>
        <v/>
      </c>
      <c r="Q44" s="40" t="str">
        <f t="shared" si="19"/>
        <v/>
      </c>
      <c r="R44" s="23">
        <f t="shared" si="20"/>
        <v>0</v>
      </c>
      <c r="S44" s="56">
        <f t="shared" si="2"/>
        <v>0</v>
      </c>
      <c r="T44" s="23">
        <f>IF(C44&lt;'Данные для расчета'!$B$3,1+'Данные для расчета'!$B$4,1)</f>
        <v>1</v>
      </c>
      <c r="U44" s="68">
        <f t="shared" ca="1" si="12"/>
        <v>404009.65</v>
      </c>
      <c r="V44" s="17">
        <f t="shared" ca="1" si="13"/>
        <v>404009.65</v>
      </c>
      <c r="W44" s="17">
        <f ca="1">IF($C44="итого",SUM(W32:W43),Y44*K44/L44+AB44*(12+1-MONTH('Данные для расчета'!$B$2))/12)</f>
        <v>27373.549999999996</v>
      </c>
      <c r="X44" s="17">
        <f t="shared" ca="1" si="21"/>
        <v>431383.2</v>
      </c>
      <c r="Y44" s="17">
        <f t="array" aca="1" ref="Y44" ca="1">IF($C44="итого",SUM(OFFSET(Y43,,,-12)),IF(ISNA(INDEX(INDIRECT("'"&amp;MONTH($C44)&amp;"'!$A$4:$AR$500"),MATCH("*"&amp;$A44&amp;"*",INDIRECT("'"&amp;MONTH($C44)&amp;"'!$A$4:$A$500"),0),MATCH(Y$8,INDIRECT("'"&amp;MONTH($C44)&amp;"'!$4:$4"),0))),0,INDEX(INDIRECT("'"&amp;MONTH($C44)&amp;"'!$A$4:$AR$500"),MATCH("*"&amp;$A44&amp;"*",INDIRECT("'"&amp;MONTH($C44)&amp;"'!$A$4:$A$500"),0),MATCH(Y$8,INDIRECT("'"&amp;MONTH($C44)&amp;"'!$4:$4"),0))))</f>
        <v>27373.55</v>
      </c>
      <c r="Z44" s="17">
        <f t="shared" ca="1" si="17"/>
        <v>5772.3</v>
      </c>
      <c r="AA44" s="17">
        <f t="shared" ca="1" si="5"/>
        <v>0</v>
      </c>
      <c r="AB44" s="17">
        <f t="shared" ca="1" si="6"/>
        <v>0</v>
      </c>
      <c r="AC44" s="17">
        <f t="shared" ref="AC44:AO47" ca="1" si="26">IF($C44="итого",SUM(AC32:AC43),IF(ISNA(INDEX(INDIRECT("'"&amp;MONTH($C44)&amp;"'!$A$4:$AR$500"),MATCH("*"&amp;$A44&amp;"*",INDIRECT("'"&amp;MONTH($C44)&amp;"'!$A$4:$A$500"),0),MATCH(AC$8,INDIRECT("'"&amp;MONTH($C44)&amp;"'!$4:$4"),0))),0,INDEX(INDIRECT("'"&amp;MONTH($C44)&amp;"'!$A$4:$AR$500"),MATCH("*"&amp;$A44&amp;"*",INDIRECT("'"&amp;MONTH($C44)&amp;"'!$A$4:$A$500"),0),MATCH(AC$8,INDIRECT("'"&amp;MONTH($C44)&amp;"'!$4:$4"),0))))</f>
        <v>0</v>
      </c>
      <c r="AD44" s="17">
        <f t="shared" ca="1" si="26"/>
        <v>0</v>
      </c>
      <c r="AE44" s="17">
        <f t="shared" ca="1" si="26"/>
        <v>0</v>
      </c>
      <c r="AF44" s="17">
        <f t="shared" ca="1" si="26"/>
        <v>0</v>
      </c>
      <c r="AG44" s="17">
        <f t="shared" ca="1" si="26"/>
        <v>0</v>
      </c>
      <c r="AH44" s="17">
        <f t="shared" ca="1" si="26"/>
        <v>0</v>
      </c>
      <c r="AI44" s="17">
        <f t="shared" ca="1" si="26"/>
        <v>0</v>
      </c>
      <c r="AJ44" s="17">
        <f t="shared" ca="1" si="26"/>
        <v>0</v>
      </c>
      <c r="AK44" s="17">
        <f t="shared" ca="1" si="26"/>
        <v>0</v>
      </c>
      <c r="AL44" s="17">
        <f t="shared" ca="1" si="26"/>
        <v>0</v>
      </c>
      <c r="AM44" s="17">
        <f t="shared" ca="1" si="26"/>
        <v>0</v>
      </c>
      <c r="AN44" s="17">
        <f t="shared" ca="1" si="25"/>
        <v>0</v>
      </c>
      <c r="AO44" s="17">
        <f t="shared" ca="1" si="26"/>
        <v>0</v>
      </c>
      <c r="AP44" s="17">
        <f t="shared" ca="1" si="22"/>
        <v>0</v>
      </c>
    </row>
    <row r="45" spans="1:42" ht="23.25" customHeight="1" x14ac:dyDescent="0.3">
      <c r="A45" s="36" t="str">
        <f>IF(C44="итого",INDEX('список работников с датами приё'!$A$2:$B$282,COUNTIF(C$9:C44,"=итого")+1,1),A44)</f>
        <v>Сидоров</v>
      </c>
      <c r="B45" s="41" t="str">
        <f>IF(OR(C44="итого",C44=$C$8),INDEX('список работников с датами приё'!$A$2:$B$282,COUNTIF(C$9:C44,"=итого")+1,2),B44)</f>
        <v>06.10.2016</v>
      </c>
      <c r="C45" s="42">
        <f>IF(AND(C44="итого",'Данные для расчета'!$B$2=EOMONTH('Данные для расчета'!$B$2,0)),EOMONTH(EDATE('Данные для расчета'!$B$2,-11),0),IF(C44="итого",EOMONTH(EDATE('Данные для расчета'!$B$2,-12),0),IF(EDATE(C44,1)&gt;=EDATE('Данные для расчета'!$B$2,0),"итого",EOMONTH(EDATE(C44,1),0))))</f>
        <v>43131</v>
      </c>
      <c r="D45" s="54">
        <f t="array" aca="1" ref="D45" ca="1">IF($C45="итого",SUM(OFFSET(D44,,,-12)),IFERROR(INDEX('список неявок'!$A$4:$I$500,MATCH($A45&amp;$C45,'список неявок'!$A$4:$A$500&amp;'список неявок'!$B$4:$B$500,0),COLUMN(C45)),))</f>
        <v>0</v>
      </c>
      <c r="E45" s="54">
        <f t="array" aca="1" ref="E45" ca="1">IF($C45="итого",SUM(OFFSET(E44,,,-12)),IFERROR(INDEX('список неявок'!$A$4:$I$500,MATCH($A45&amp;$C45,'список неявок'!$A$4:$A$500&amp;'список неявок'!$B$4:$B$500,0),COLUMN(D45)),))</f>
        <v>0</v>
      </c>
      <c r="F45" s="54">
        <f t="array" aca="1" ref="F45" ca="1">IF($C45="итого",SUM(OFFSET(F44,,,-12)),IFERROR(INDEX('список неявок'!$A$4:$I$500,MATCH($A45&amp;$C45,'список неявок'!$A$4:$A$500&amp;'список неявок'!$B$4:$B$500,0),COLUMN(E45)),))</f>
        <v>0</v>
      </c>
      <c r="G45" s="54">
        <f t="array" aca="1" ref="G45" ca="1">IF($C45="итого",SUM(OFFSET(G44,,,-12)),IFERROR(INDEX('список неявок'!$A$4:$I$500,MATCH($A45&amp;$C45,'список неявок'!$A$4:$A$500&amp;'список неявок'!$B$4:$B$500,0),COLUMN(F45)),))</f>
        <v>0</v>
      </c>
      <c r="H45" s="54">
        <f t="array" aca="1" ref="H45" ca="1">IF($C45="итого",SUM(OFFSET(H44,,,-12)),IFERROR(INDEX('список неявок'!$A$4:$I$500,MATCH($A45&amp;$C45,'список неявок'!$A$4:$A$500&amp;'список неявок'!$B$4:$B$500,0),COLUMN(G45)),))</f>
        <v>0</v>
      </c>
      <c r="I45" s="54">
        <f t="array" aca="1" ref="I45" ca="1">IF($C45="итого",SUM(OFFSET(I44,,,-12)),IFERROR(INDEX('список неявок'!$A$4:$I$500,MATCH($A45&amp;$C45,'список неявок'!$A$4:$A$500&amp;'список неявок'!$B$4:$B$500,0),COLUMN(H45)),))</f>
        <v>0</v>
      </c>
      <c r="J45" s="54">
        <f t="array" aca="1" ref="J45" ca="1">IF($C45="итого",SUM(OFFSET(J44,,,-12)),IFERROR(INDEX('список неявок'!$A$4:$I$500,MATCH($A45&amp;$C45,'список неявок'!$A$4:$A$500&amp;'список неявок'!$B$4:$B$500,0),COLUMN(I45)),))</f>
        <v>0</v>
      </c>
      <c r="K45" s="54">
        <f t="shared" ca="1" si="23"/>
        <v>17</v>
      </c>
      <c r="L45" s="55">
        <f t="array" aca="1" ref="L45" ca="1">IF(C45="итого",SUM(OFFSET(L44,,,-12)),NETWORKDAYS.INTL(DATE(YEAR(C45),MONTH(C45),1),C45,,'Данные для расчета'!$M$10:$V$24))</f>
        <v>17</v>
      </c>
      <c r="M45" s="39">
        <f t="array" aca="1" ref="M45" ca="1">IF(C45="итого",SUM(OFFSET(M44,,,-12)),(_xlfn.DAYS(C45,DATE(YEAR(C45),MONTH(C45),1)-1)-SUM(D45:I45))*29.3/(_xlfn.DAYS(C45,DATE(YEAR(C45),MONTH(C45),1)-1)))</f>
        <v>29.3</v>
      </c>
      <c r="N45" s="39"/>
      <c r="O45" s="40" t="str">
        <f>IF(AND(C45="итого",B45=0),0,IF(C45="итого",IF('Данные для расчета'!$B$2+1-DATE(YEAR('Данные для расчета'!$B$2),MONTH('Данные для расчета'!$B$2),DAY(B45+E45+F45+((D45-14)&gt;0)*(D45-14)))&gt;DAY(EOMONTH('Данные для расчета'!$B$2,0))/2,(((YEAR('Данные для расчета'!$B$2)-YEAR(B45+E45+F45+((D45-14)&gt;0)*(D45-14)))*12+MONTH('Данные для расчета'!$B$2)-MONTH(B45+E45+F45+((D45-14)&gt;0)*(D45-14))+1)),((YEAR('Данные для расчета'!$B$2)-YEAR(B45+E45+F45+((D45-14)&gt;0)*(D45-14)))*12+MONTH('Данные для расчета'!$B$2)-MONTH(B45+E45+F45+((D45-14)&gt;0)*(D45-14)))),""))</f>
        <v/>
      </c>
      <c r="P45" s="40" t="str">
        <f>IF(O45=11,12,IF(AND(O45&gt;=5.5,O45&lt;=11,'Данные для расчета'!$A$5=1),12,расчет!O45))</f>
        <v/>
      </c>
      <c r="Q45" s="40" t="str">
        <f t="shared" si="19"/>
        <v/>
      </c>
      <c r="R45" s="23">
        <f t="shared" si="20"/>
        <v>0</v>
      </c>
      <c r="S45" s="56">
        <f t="shared" si="2"/>
        <v>0</v>
      </c>
      <c r="T45" s="23">
        <f>IF(C45&lt;'Данные для расчета'!$B$3,1+'Данные для расчета'!$B$4,1)</f>
        <v>1</v>
      </c>
      <c r="U45" s="68">
        <f t="shared" ca="1" si="12"/>
        <v>404009.65</v>
      </c>
      <c r="V45" s="17">
        <f t="shared" ca="1" si="13"/>
        <v>404009.65</v>
      </c>
      <c r="W45" s="17">
        <f ca="1">IF($C45="итого",SUM(W33:W44),Y45*K45/L45+AB45*(12+1-MONTH('Данные для расчета'!$B$2))/12)</f>
        <v>27373.55</v>
      </c>
      <c r="X45" s="17">
        <f t="shared" ca="1" si="21"/>
        <v>431383.2</v>
      </c>
      <c r="Y45" s="17">
        <f t="array" aca="1" ref="Y45" ca="1">IF($C45="итого",SUM(OFFSET(Y44,,,-12)),IF(ISNA(INDEX(INDIRECT("'"&amp;MONTH($C45)&amp;"'!$A$4:$AR$500"),MATCH("*"&amp;$A45&amp;"*",INDIRECT("'"&amp;MONTH($C45)&amp;"'!$A$4:$A$500"),0),MATCH(Y$8,INDIRECT("'"&amp;MONTH($C45)&amp;"'!$4:$4"),0))),0,INDEX(INDIRECT("'"&amp;MONTH($C45)&amp;"'!$A$4:$AR$500"),MATCH("*"&amp;$A45&amp;"*",INDIRECT("'"&amp;MONTH($C45)&amp;"'!$A$4:$A$500"),0),MATCH(Y$8,INDIRECT("'"&amp;MONTH($C45)&amp;"'!$4:$4"),0))))</f>
        <v>27373.55</v>
      </c>
      <c r="Z45" s="17">
        <f t="shared" ca="1" si="17"/>
        <v>5772.3</v>
      </c>
      <c r="AA45" s="17">
        <f t="shared" ca="1" si="5"/>
        <v>0</v>
      </c>
      <c r="AB45" s="17">
        <f t="shared" ca="1" si="6"/>
        <v>0</v>
      </c>
      <c r="AC45" s="17">
        <f t="shared" ca="1" si="26"/>
        <v>0</v>
      </c>
      <c r="AD45" s="17">
        <f t="shared" ca="1" si="26"/>
        <v>0</v>
      </c>
      <c r="AE45" s="17">
        <f t="shared" ca="1" si="26"/>
        <v>0</v>
      </c>
      <c r="AF45" s="17">
        <f t="shared" ca="1" si="26"/>
        <v>0</v>
      </c>
      <c r="AG45" s="17">
        <f t="shared" ca="1" si="26"/>
        <v>0</v>
      </c>
      <c r="AH45" s="17">
        <f t="shared" ca="1" si="26"/>
        <v>0</v>
      </c>
      <c r="AI45" s="17">
        <f t="shared" ca="1" si="26"/>
        <v>0</v>
      </c>
      <c r="AJ45" s="17">
        <f t="shared" ca="1" si="26"/>
        <v>0</v>
      </c>
      <c r="AK45" s="17">
        <f t="shared" ca="1" si="26"/>
        <v>0</v>
      </c>
      <c r="AL45" s="17">
        <f t="shared" ca="1" si="26"/>
        <v>0</v>
      </c>
      <c r="AM45" s="17">
        <f t="shared" ca="1" si="26"/>
        <v>0</v>
      </c>
      <c r="AN45" s="17">
        <f t="shared" ca="1" si="25"/>
        <v>0</v>
      </c>
      <c r="AO45" s="17">
        <f t="shared" ca="1" si="26"/>
        <v>0</v>
      </c>
      <c r="AP45" s="17">
        <f t="shared" ca="1" si="22"/>
        <v>0</v>
      </c>
    </row>
    <row r="46" spans="1:42" ht="23.25" customHeight="1" x14ac:dyDescent="0.3">
      <c r="A46" s="36" t="str">
        <f>IF(C45="итого",INDEX('список работников с датами приё'!$A$2:$B$282,COUNTIF(C$9:C45,"=итого")+1,1),A45)</f>
        <v>Сидоров</v>
      </c>
      <c r="B46" s="41" t="str">
        <f>IF(OR(C45="итого",C45=$C$8),INDEX('список работников с датами приё'!$A$2:$B$282,COUNTIF(C$9:C45,"=итого")+1,2),B45)</f>
        <v>06.10.2016</v>
      </c>
      <c r="C46" s="42">
        <f>IF(AND(C45="итого",'Данные для расчета'!$B$2=EOMONTH('Данные для расчета'!$B$2,0)),EOMONTH(EDATE('Данные для расчета'!$B$2,-11),0),IF(C45="итого",EOMONTH(EDATE('Данные для расчета'!$B$2,-12),0),IF(EDATE(C45,1)&gt;=EDATE('Данные для расчета'!$B$2,0),"итого",EOMONTH(EDATE(C45,1),0))))</f>
        <v>43159</v>
      </c>
      <c r="D46" s="54">
        <f t="array" aca="1" ref="D46" ca="1">IF($C46="итого",SUM(OFFSET(D45,,,-12)),IFERROR(INDEX('список неявок'!$A$4:$I$500,MATCH($A46&amp;$C46,'список неявок'!$A$4:$A$500&amp;'список неявок'!$B$4:$B$500,0),COLUMN(C46)),))</f>
        <v>0</v>
      </c>
      <c r="E46" s="54">
        <f t="array" aca="1" ref="E46" ca="1">IF($C46="итого",SUM(OFFSET(E45,,,-12)),IFERROR(INDEX('список неявок'!$A$4:$I$500,MATCH($A46&amp;$C46,'список неявок'!$A$4:$A$500&amp;'список неявок'!$B$4:$B$500,0),COLUMN(D46)),))</f>
        <v>0</v>
      </c>
      <c r="F46" s="54">
        <f t="array" aca="1" ref="F46" ca="1">IF($C46="итого",SUM(OFFSET(F45,,,-12)),IFERROR(INDEX('список неявок'!$A$4:$I$500,MATCH($A46&amp;$C46,'список неявок'!$A$4:$A$500&amp;'список неявок'!$B$4:$B$500,0),COLUMN(E46)),))</f>
        <v>0</v>
      </c>
      <c r="G46" s="54">
        <f t="array" aca="1" ref="G46" ca="1">IF($C46="итого",SUM(OFFSET(G45,,,-12)),IFERROR(INDEX('список неявок'!$A$4:$I$500,MATCH($A46&amp;$C46,'список неявок'!$A$4:$A$500&amp;'список неявок'!$B$4:$B$500,0),COLUMN(F46)),))</f>
        <v>0</v>
      </c>
      <c r="H46" s="54">
        <f t="array" aca="1" ref="H46" ca="1">IF($C46="итого",SUM(OFFSET(H45,,,-12)),IFERROR(INDEX('список неявок'!$A$4:$I$500,MATCH($A46&amp;$C46,'список неявок'!$A$4:$A$500&amp;'список неявок'!$B$4:$B$500,0),COLUMN(G46)),))</f>
        <v>0</v>
      </c>
      <c r="I46" s="54">
        <f t="array" aca="1" ref="I46" ca="1">IF($C46="итого",SUM(OFFSET(I45,,,-12)),IFERROR(INDEX('список неявок'!$A$4:$I$500,MATCH($A46&amp;$C46,'список неявок'!$A$4:$A$500&amp;'список неявок'!$B$4:$B$500,0),COLUMN(H46)),))</f>
        <v>0</v>
      </c>
      <c r="J46" s="54">
        <f t="array" aca="1" ref="J46" ca="1">IF($C46="итого",SUM(OFFSET(J45,,,-12)),IFERROR(INDEX('список неявок'!$A$4:$I$500,MATCH($A46&amp;$C46,'список неявок'!$A$4:$A$500&amp;'список неявок'!$B$4:$B$500,0),COLUMN(I46)),))</f>
        <v>0</v>
      </c>
      <c r="K46" s="54">
        <f t="shared" ca="1" si="23"/>
        <v>19</v>
      </c>
      <c r="L46" s="55">
        <f t="array" aca="1" ref="L46" ca="1">IF(C46="итого",SUM(OFFSET(L45,,,-12)),NETWORKDAYS.INTL(DATE(YEAR(C46),MONTH(C46),1),C46,,'Данные для расчета'!$M$10:$V$24))</f>
        <v>19</v>
      </c>
      <c r="M46" s="39">
        <f t="array" aca="1" ref="M46" ca="1">IF(C46="итого",SUM(OFFSET(M45,,,-12)),(_xlfn.DAYS(C46,DATE(YEAR(C46),MONTH(C46),1)-1)-SUM(D46:I46))*29.3/(_xlfn.DAYS(C46,DATE(YEAR(C46),MONTH(C46),1)-1)))</f>
        <v>29.3</v>
      </c>
      <c r="N46" s="39"/>
      <c r="O46" s="40" t="str">
        <f>IF(AND(C46="итого",B46=0),0,IF(C46="итого",IF('Данные для расчета'!$B$2+1-DATE(YEAR('Данные для расчета'!$B$2),MONTH('Данные для расчета'!$B$2),DAY(B46+E46+F46+((D46-14)&gt;0)*(D46-14)))&gt;DAY(EOMONTH('Данные для расчета'!$B$2,0))/2,(((YEAR('Данные для расчета'!$B$2)-YEAR(B46+E46+F46+((D46-14)&gt;0)*(D46-14)))*12+MONTH('Данные для расчета'!$B$2)-MONTH(B46+E46+F46+((D46-14)&gt;0)*(D46-14))+1)),((YEAR('Данные для расчета'!$B$2)-YEAR(B46+E46+F46+((D46-14)&gt;0)*(D46-14)))*12+MONTH('Данные для расчета'!$B$2)-MONTH(B46+E46+F46+((D46-14)&gt;0)*(D46-14)))),""))</f>
        <v/>
      </c>
      <c r="P46" s="40" t="str">
        <f>IF(O46=11,12,IF(AND(O46&gt;=5.5,O46&lt;=11,'Данные для расчета'!$A$5=1),12,расчет!O46))</f>
        <v/>
      </c>
      <c r="Q46" s="40" t="str">
        <f t="shared" si="19"/>
        <v/>
      </c>
      <c r="R46" s="23">
        <f t="shared" si="20"/>
        <v>0</v>
      </c>
      <c r="S46" s="56">
        <f t="shared" si="2"/>
        <v>0</v>
      </c>
      <c r="T46" s="23">
        <f>IF(C46&lt;'Данные для расчета'!$B$3,1+'Данные для расчета'!$B$4,1)</f>
        <v>1</v>
      </c>
      <c r="U46" s="68">
        <f t="shared" ca="1" si="12"/>
        <v>404009.65</v>
      </c>
      <c r="V46" s="17">
        <f t="shared" ca="1" si="13"/>
        <v>404009.65</v>
      </c>
      <c r="W46" s="17">
        <f ca="1">IF($C46="итого",SUM(W34:W45),Y46*K46/L46+AB46*(12+1-MONTH('Данные для расчета'!$B$2))/12)</f>
        <v>27373.55</v>
      </c>
      <c r="X46" s="17">
        <f t="shared" ca="1" si="21"/>
        <v>431383.2</v>
      </c>
      <c r="Y46" s="17">
        <f t="array" aca="1" ref="Y46" ca="1">IF($C46="итого",SUM(OFFSET(Y45,,,-12)),IF(ISNA(INDEX(INDIRECT("'"&amp;MONTH($C46)&amp;"'!$A$4:$AR$500"),MATCH("*"&amp;$A46&amp;"*",INDIRECT("'"&amp;MONTH($C46)&amp;"'!$A$4:$A$500"),0),MATCH(Y$8,INDIRECT("'"&amp;MONTH($C46)&amp;"'!$4:$4"),0))),0,INDEX(INDIRECT("'"&amp;MONTH($C46)&amp;"'!$A$4:$AR$500"),MATCH("*"&amp;$A46&amp;"*",INDIRECT("'"&amp;MONTH($C46)&amp;"'!$A$4:$A$500"),0),MATCH(Y$8,INDIRECT("'"&amp;MONTH($C46)&amp;"'!$4:$4"),0))))</f>
        <v>27373.55</v>
      </c>
      <c r="Z46" s="17">
        <f t="shared" ca="1" si="17"/>
        <v>5772.3</v>
      </c>
      <c r="AA46" s="17">
        <f t="shared" ca="1" si="5"/>
        <v>0</v>
      </c>
      <c r="AB46" s="17">
        <f t="shared" ca="1" si="6"/>
        <v>0</v>
      </c>
      <c r="AC46" s="17">
        <f t="shared" ca="1" si="26"/>
        <v>0</v>
      </c>
      <c r="AD46" s="17">
        <f t="shared" ca="1" si="26"/>
        <v>0</v>
      </c>
      <c r="AE46" s="17">
        <f t="shared" ca="1" si="26"/>
        <v>0</v>
      </c>
      <c r="AF46" s="17">
        <f t="shared" ca="1" si="26"/>
        <v>0</v>
      </c>
      <c r="AG46" s="17">
        <f t="shared" ca="1" si="26"/>
        <v>0</v>
      </c>
      <c r="AH46" s="17">
        <f t="shared" ca="1" si="26"/>
        <v>0</v>
      </c>
      <c r="AI46" s="17">
        <f t="shared" ca="1" si="26"/>
        <v>0</v>
      </c>
      <c r="AJ46" s="17">
        <f t="shared" ca="1" si="26"/>
        <v>0</v>
      </c>
      <c r="AK46" s="17">
        <f t="shared" ca="1" si="26"/>
        <v>0</v>
      </c>
      <c r="AL46" s="17">
        <f t="shared" ca="1" si="26"/>
        <v>0</v>
      </c>
      <c r="AM46" s="17">
        <f t="shared" ca="1" si="26"/>
        <v>0</v>
      </c>
      <c r="AN46" s="17">
        <f t="shared" ca="1" si="25"/>
        <v>0</v>
      </c>
      <c r="AO46" s="17">
        <f t="shared" ca="1" si="26"/>
        <v>0</v>
      </c>
      <c r="AP46" s="17">
        <f t="shared" ca="1" si="22"/>
        <v>0</v>
      </c>
    </row>
    <row r="47" spans="1:42" ht="23.25" customHeight="1" x14ac:dyDescent="0.3">
      <c r="A47" s="36" t="str">
        <f>IF(C46="итого",INDEX('список работников с датами приё'!$A$2:$B$282,COUNTIF(C$9:C46,"=итого")+1,1),A46)</f>
        <v>Сидоров</v>
      </c>
      <c r="B47" s="41" t="str">
        <f>IF(OR(C46="итого",C46=$C$8),INDEX('список работников с датами приё'!$A$2:$B$282,COUNTIF(C$9:C46,"=итого")+1,2),B46)</f>
        <v>06.10.2016</v>
      </c>
      <c r="C47" s="42" t="str">
        <f>IF(AND(C46="итого",'Данные для расчета'!$B$2=EOMONTH('Данные для расчета'!$B$2,0)),EOMONTH(EDATE('Данные для расчета'!$B$2,-11),0),IF(C46="итого",EOMONTH(EDATE('Данные для расчета'!$B$2,-12),0),IF(EDATE(C46,1)&gt;=EDATE('Данные для расчета'!$B$2,0),"итого",EOMONTH(EDATE(C46,1),0))))</f>
        <v>итого</v>
      </c>
      <c r="D47" s="54">
        <f t="array" aca="1" ref="D47" ca="1">IF($C47="итого",SUM(OFFSET(D46,,,-12)),IFERROR(INDEX('список неявок'!$A$4:$I$500,MATCH($A47&amp;$C47,'список неявок'!$A$4:$A$500&amp;'список неявок'!$B$4:$B$500,0),COLUMN(C47)),))</f>
        <v>0</v>
      </c>
      <c r="E47" s="54">
        <f t="array" aca="1" ref="E47" ca="1">IF($C47="итого",SUM(OFFSET(E46,,,-12)),IFERROR(INDEX('список неявок'!$A$4:$I$500,MATCH($A47&amp;$C47,'список неявок'!$A$4:$A$500&amp;'список неявок'!$B$4:$B$500,0),COLUMN(D47)),))</f>
        <v>0</v>
      </c>
      <c r="F47" s="54">
        <f t="array" aca="1" ref="F47" ca="1">IF($C47="итого",SUM(OFFSET(F46,,,-12)),IFERROR(INDEX('список неявок'!$A$4:$I$500,MATCH($A47&amp;$C47,'список неявок'!$A$4:$A$500&amp;'список неявок'!$B$4:$B$500,0),COLUMN(E47)),))</f>
        <v>0</v>
      </c>
      <c r="G47" s="54">
        <f t="array" aca="1" ref="G47" ca="1">IF($C47="итого",SUM(OFFSET(G46,,,-12)),IFERROR(INDEX('список неявок'!$A$4:$I$500,MATCH($A47&amp;$C47,'список неявок'!$A$4:$A$500&amp;'список неявок'!$B$4:$B$500,0),COLUMN(F47)),))</f>
        <v>0</v>
      </c>
      <c r="H47" s="54">
        <f t="array" aca="1" ref="H47" ca="1">IF($C47="итого",SUM(OFFSET(H46,,,-12)),IFERROR(INDEX('список неявок'!$A$4:$I$500,MATCH($A47&amp;$C47,'список неявок'!$A$4:$A$500&amp;'список неявок'!$B$4:$B$500,0),COLUMN(G47)),))</f>
        <v>0</v>
      </c>
      <c r="I47" s="54">
        <f t="array" aca="1" ref="I47" ca="1">IF($C47="итого",SUM(OFFSET(I46,,,-12)),IFERROR(INDEX('список неявок'!$A$4:$I$500,MATCH($A47&amp;$C47,'список неявок'!$A$4:$A$500&amp;'список неявок'!$B$4:$B$500,0),COLUMN(H47)),))</f>
        <v>5</v>
      </c>
      <c r="J47" s="54">
        <f t="array" aca="1" ref="J47" ca="1">IF($C47="итого",SUM(OFFSET(J46,,,-12)),IFERROR(INDEX('список неявок'!$A$4:$I$500,MATCH($A47&amp;$C47,'список неявок'!$A$4:$A$500&amp;'список неявок'!$B$4:$B$500,0),COLUMN(I47)),))</f>
        <v>0</v>
      </c>
      <c r="K47" s="54">
        <f ca="1">IF(C47="итого",SUM(OFFSET(K46,,,-12)),IF(J47,J47,L47))</f>
        <v>250</v>
      </c>
      <c r="L47" s="55">
        <f t="array" aca="1" ref="L47" ca="1">IF(C47="итого",SUM(OFFSET(L46,,,-12)),NETWORKDAYS.INTL(DATE(YEAR(C47),MONTH(C47),1),C47,,'Данные для расчета'!$M$10:$V$24))</f>
        <v>250</v>
      </c>
      <c r="M47" s="39">
        <f t="array" aca="1" ref="M47" ca="1">IF(C47="итого",SUM(OFFSET(M46,,,-12)),(_xlfn.DAYS(C47,DATE(YEAR(C47),MONTH(C47),1)-1)-SUM(D47:I47))*29.3/(_xlfn.DAYS(C47,DATE(YEAR(C47),MONTH(C47),1)-1)))</f>
        <v>346.71666666666675</v>
      </c>
      <c r="N47" s="39"/>
      <c r="O47" s="40">
        <f ca="1">IF(AND(C47="итого",B47=0),0,IF(C47="итого",IF('Данные для расчета'!$B$2+1-DATE(YEAR('Данные для расчета'!$B$2),MONTH('Данные для расчета'!$B$2),DAY(B47+E47+F47+((D47-14)&gt;0)*(D47-14)))&gt;DAY(EOMONTH('Данные для расчета'!$B$2,0))/2,(((YEAR('Данные для расчета'!$B$2)-YEAR(B47+E47+F47+((D47-14)&gt;0)*(D47-14)))*12+MONTH('Данные для расчета'!$B$2)-MONTH(B47+E47+F47+((D47-14)&gt;0)*(D47-14))+1)),((YEAR('Данные для расчета'!$B$2)-YEAR(B47+E47+F47+((D47-14)&gt;0)*(D47-14)))*12+MONTH('Данные для расчета'!$B$2)-MONTH(B47+E47+F47+((D47-14)&gt;0)*(D47-14)))),""))</f>
        <v>17</v>
      </c>
      <c r="P47" s="40">
        <f ca="1">IF(O47=11,12,IF(AND(O47&gt;=5.5,O47&lt;=11,'Данные для расчета'!$A$5=1),12,расчет!O47))</f>
        <v>17</v>
      </c>
      <c r="Q47" s="40">
        <f t="shared" ca="1" si="19"/>
        <v>39.666666666666664</v>
      </c>
      <c r="R47" s="23">
        <f t="shared" ca="1" si="20"/>
        <v>14930.341969908186</v>
      </c>
      <c r="S47" s="56">
        <f t="shared" ca="1" si="2"/>
        <v>592236.9</v>
      </c>
      <c r="T47" s="23">
        <f>IF(C47&lt;'Данные для расчета'!$B$3,1+'Данные для расчета'!$B$4,1)</f>
        <v>1</v>
      </c>
      <c r="U47" s="68">
        <f ca="1">IF($C47="итого",SUM(U35:U46),IF(ISNA(INDEX(INDIRECT("'"&amp;MONTH($C47)&amp;"'!$A$4:$AR$500"),MATCH("*"&amp;$A47&amp;"*",INDIRECT("'"&amp;MONTH($C47)&amp;"'!$A$4:$A$500"),0),MATCH(U$8,INDIRECT("'"&amp;MONTH($C47)&amp;"'!$4:$4"),0))),0,INDEX(INDIRECT("'"&amp;MONTH($C47)&amp;"'!$A$4:$AR$500"),MATCH("*"&amp;$A47&amp;"*",INDIRECT("'"&amp;MONTH($C47)&amp;"'!$A$4:$A$500"),0),MATCH(U$8,INDIRECT("'"&amp;MONTH($C47)&amp;"'!$4:$4"),0))))</f>
        <v>4848115.8</v>
      </c>
      <c r="V47" s="17">
        <f t="shared" ca="1" si="13"/>
        <v>4848115.8</v>
      </c>
      <c r="W47" s="17">
        <f ca="1">IF($C47="итого",SUM(W35:W46),Y47*K47/L47+AB47*(12+1-MONTH('Данные для расчета'!$B$2))/12)</f>
        <v>328482.59999999992</v>
      </c>
      <c r="X47" s="17">
        <f ca="1">IF($C47="итого",SUM(X35:X46),(V47+W47)*T47)</f>
        <v>5176598.4000000013</v>
      </c>
      <c r="Y47" s="17">
        <f t="array" aca="1" ref="Y47" ca="1">IF($C47="итого",SUM(OFFSET(Y46,,,-12)),IF(ISNA(INDEX(INDIRECT("'"&amp;MONTH($C47)&amp;"'!$A$4:$AR$500"),MATCH("*"&amp;$A47&amp;"*",INDIRECT("'"&amp;MONTH($C47)&amp;"'!$A$4:$A$500"),0),MATCH(Y$8,INDIRECT("'"&amp;MONTH($C47)&amp;"'!$4:$4"),0))),0,INDEX(INDIRECT("'"&amp;MONTH($C47)&amp;"'!$A$4:$AR$500"),MATCH("*"&amp;$A47&amp;"*",INDIRECT("'"&amp;MONTH($C47)&amp;"'!$A$4:$A$500"),0),MATCH(Y$8,INDIRECT("'"&amp;MONTH($C47)&amp;"'!$4:$4"),0))))</f>
        <v>328482.59999999992</v>
      </c>
      <c r="Z47" s="17">
        <f ca="1">IF($C47="итого",SUM(OFFSET(Z46,,,-12)),IF(ISNA(INDEX(INDIRECT("'"&amp;MONTH($C47)&amp;"'!$A$4:$AR$500"),MATCH("*"&amp;$A47&amp;"*",INDIRECT("'"&amp;MONTH($C47)&amp;"'!$A$4:$A$500"),0),MATCH(Z$8,INDIRECT("'"&amp;MONTH($C47)&amp;"'!$4:$4"),0))),0,INDEX(INDIRECT("'"&amp;MONTH($C47)&amp;"'!$A$4:$AR$500"),MATCH("*"&amp;$A47&amp;"*",INDIRECT("'"&amp;MONTH($C47)&amp;"'!$A$4:$A$500"),0),MATCH(Z$8,INDIRECT("'"&amp;MONTH($C47)&amp;"'!$4:$4"),0))))</f>
        <v>69267.60000000002</v>
      </c>
      <c r="AA47" s="17">
        <f ca="1">IF($C47="итого",SUM(OFFSET(AA46,,,-12)),IF(ISNA(INDEX(INDIRECT("'"&amp;MONTH($C47)&amp;"'!$A$4:$AR$500"),MATCH("*"&amp;$A47&amp;"*",INDIRECT("'"&amp;MONTH($C47)&amp;"'!$A$4:$A$500"),0),MATCH(AA$8,INDIRECT("'"&amp;MONTH($C47)&amp;"'!$4:$4"),0))),0,INDEX(INDIRECT("'"&amp;MONTH($C47)&amp;"'!$A$4:$AR$500"),MATCH("*"&amp;$A47&amp;"*",INDIRECT("'"&amp;MONTH($C47)&amp;"'!$A$4:$A$500"),0),MATCH(AA$8,INDIRECT("'"&amp;MONTH($C47)&amp;"'!$4:$4"),0))))</f>
        <v>0</v>
      </c>
      <c r="AB47" s="17">
        <f ca="1">IF($C47="итого",SUM(OFFSET(AB46,,,-12)),IF(ISNA(INDEX(INDIRECT("'"&amp;MONTH($C47)&amp;"'!$A$4:$AR$500"),MATCH("*"&amp;$A47&amp;"*",INDIRECT("'"&amp;MONTH($C47)&amp;"'!$A$4:$A$500"),0),MATCH(AB$8,INDIRECT("'"&amp;MONTH($C47)&amp;"'!$4:$4"),0))),0,INDEX(INDIRECT("'"&amp;MONTH($C47)&amp;"'!$A$4:$AR$500"),MATCH("*"&amp;$A47&amp;"*",INDIRECT("'"&amp;MONTH($C47)&amp;"'!$A$4:$A$500"),0),MATCH(AB$8,INDIRECT("'"&amp;MONTH($C47)&amp;"'!$4:$4"),0))))</f>
        <v>0</v>
      </c>
      <c r="AC47" s="17">
        <f t="shared" ca="1" si="26"/>
        <v>0</v>
      </c>
      <c r="AD47" s="17">
        <f t="shared" ca="1" si="26"/>
        <v>0</v>
      </c>
      <c r="AE47" s="17">
        <f t="shared" ca="1" si="26"/>
        <v>0</v>
      </c>
      <c r="AF47" s="17">
        <f t="shared" ca="1" si="26"/>
        <v>0</v>
      </c>
      <c r="AG47" s="17">
        <f t="shared" ca="1" si="26"/>
        <v>0</v>
      </c>
      <c r="AH47" s="17">
        <f t="shared" ca="1" si="26"/>
        <v>0</v>
      </c>
      <c r="AI47" s="17">
        <f t="shared" ca="1" si="26"/>
        <v>0</v>
      </c>
      <c r="AJ47" s="17">
        <f t="shared" ca="1" si="26"/>
        <v>0</v>
      </c>
      <c r="AK47" s="17">
        <f t="shared" ca="1" si="26"/>
        <v>0</v>
      </c>
      <c r="AL47" s="17">
        <f t="shared" ca="1" si="26"/>
        <v>0</v>
      </c>
      <c r="AM47" s="17">
        <f t="shared" ca="1" si="26"/>
        <v>0</v>
      </c>
      <c r="AN47" s="17">
        <f t="shared" ca="1" si="25"/>
        <v>0</v>
      </c>
      <c r="AO47" s="17">
        <f t="shared" ca="1" si="26"/>
        <v>0</v>
      </c>
      <c r="AP47" s="17">
        <f t="shared" ca="1" si="22"/>
        <v>0</v>
      </c>
    </row>
  </sheetData>
  <autoFilter ref="A8:AW47"/>
  <customSheetViews>
    <customSheetView guid="{E2BF1834-0034-45BA-8357-3A303E968B4D}" scale="70" showAutoFilter="1" topLeftCell="D7">
      <selection activeCell="V18" sqref="V18"/>
      <pageMargins left="0.7" right="0.7" top="0.75" bottom="0.75" header="0.3" footer="0.3"/>
      <pageSetup paperSize="9" orientation="portrait" r:id="rId1"/>
      <autoFilter ref="A8:AU1724"/>
    </customSheetView>
    <customSheetView guid="{A1CF561E-B2E6-47DF-9774-926217537206}" scale="70" showPageBreaks="1" printArea="1" filter="1" showAutoFilter="1" hiddenColumns="1" topLeftCell="A34">
      <selection activeCell="N7" sqref="N7"/>
      <pageMargins left="0.7" right="0.7" top="0.75" bottom="0.75" header="0.3" footer="0.3"/>
      <pageSetup paperSize="9" orientation="landscape" r:id="rId2"/>
      <autoFilter ref="A8:AU1724">
        <filterColumn colId="2">
          <filters>
            <filter val="итого"/>
          </filters>
        </filterColumn>
      </autoFilter>
    </customSheetView>
  </customSheetViews>
  <mergeCells count="4">
    <mergeCell ref="D7:F7"/>
    <mergeCell ref="Y6:AB6"/>
    <mergeCell ref="B4:C4"/>
    <mergeCell ref="AC7:AP7"/>
  </mergeCells>
  <pageMargins left="0.7" right="0.7" top="0.75" bottom="0.75" header="0.3" footer="0.3"/>
  <pageSetup paperSize="9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V24"/>
  <sheetViews>
    <sheetView zoomScaleNormal="100" zoomScaleSheetLayoutView="115" workbookViewId="0">
      <selection activeCell="C19" sqref="C19"/>
    </sheetView>
  </sheetViews>
  <sheetFormatPr defaultRowHeight="18.75" x14ac:dyDescent="0.3"/>
  <cols>
    <col min="1" max="1" width="19.6640625" bestFit="1" customWidth="1"/>
    <col min="2" max="2" width="11" customWidth="1"/>
    <col min="3" max="10" width="5.109375" customWidth="1"/>
  </cols>
  <sheetData>
    <row r="1" spans="1:22" x14ac:dyDescent="0.3">
      <c r="A1" s="15" t="s">
        <v>83</v>
      </c>
    </row>
    <row r="2" spans="1:22" x14ac:dyDescent="0.3">
      <c r="A2" s="8" t="s">
        <v>69</v>
      </c>
      <c r="B2" s="6">
        <v>43161</v>
      </c>
    </row>
    <row r="3" spans="1:22" x14ac:dyDescent="0.3">
      <c r="A3" s="8" t="s">
        <v>59</v>
      </c>
      <c r="B3" s="6">
        <v>42736</v>
      </c>
    </row>
    <row r="4" spans="1:22" x14ac:dyDescent="0.3">
      <c r="A4" s="8" t="s">
        <v>58</v>
      </c>
      <c r="B4" s="11">
        <v>0</v>
      </c>
    </row>
    <row r="5" spans="1:22" x14ac:dyDescent="0.3">
      <c r="A5" s="14">
        <v>0</v>
      </c>
      <c r="B5" s="13" t="s">
        <v>82</v>
      </c>
    </row>
    <row r="6" spans="1:22" x14ac:dyDescent="0.3">
      <c r="A6" s="12" t="s">
        <v>70</v>
      </c>
    </row>
    <row r="8" spans="1:22" x14ac:dyDescent="0.3">
      <c r="A8" s="9" t="s">
        <v>78</v>
      </c>
      <c r="B8" s="76">
        <f>YEAR($B$2)-1</f>
        <v>2017</v>
      </c>
      <c r="C8" s="77"/>
      <c r="D8" s="77"/>
      <c r="E8" s="77"/>
      <c r="F8" s="77"/>
      <c r="G8" s="77"/>
      <c r="H8" s="77"/>
      <c r="I8" s="77"/>
      <c r="J8" s="78"/>
    </row>
    <row r="9" spans="1:22" x14ac:dyDescent="0.3">
      <c r="A9" s="9" t="s">
        <v>79</v>
      </c>
      <c r="B9" s="75" t="s">
        <v>80</v>
      </c>
      <c r="C9" s="75"/>
      <c r="D9" s="75"/>
      <c r="E9" s="75"/>
      <c r="F9" s="75"/>
      <c r="G9" s="75"/>
      <c r="H9" s="75"/>
      <c r="I9" s="75"/>
      <c r="J9" s="75"/>
    </row>
    <row r="10" spans="1:22" x14ac:dyDescent="0.3">
      <c r="A10" s="9">
        <v>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 s="9">
        <v>8</v>
      </c>
      <c r="J10" s="9"/>
      <c r="M10" s="47">
        <f t="shared" ref="M10:M15" si="0">IF($A10=0,0,IF(B10=0,0,DATE($B$8,$A10,B10)))</f>
        <v>42736</v>
      </c>
      <c r="N10" s="47">
        <f t="shared" ref="N10:V10" si="1">IF($A10=0,0,IF(C10=0,0,DATE($B$8,$A10,C10)))</f>
        <v>42737</v>
      </c>
      <c r="O10" s="47">
        <f t="shared" si="1"/>
        <v>42738</v>
      </c>
      <c r="P10" s="47">
        <f t="shared" si="1"/>
        <v>42739</v>
      </c>
      <c r="Q10" s="47">
        <f t="shared" si="1"/>
        <v>42740</v>
      </c>
      <c r="R10" s="47">
        <f t="shared" si="1"/>
        <v>42741</v>
      </c>
      <c r="S10" s="47">
        <f t="shared" si="1"/>
        <v>42742</v>
      </c>
      <c r="T10" s="47">
        <f t="shared" si="1"/>
        <v>42743</v>
      </c>
      <c r="U10" s="47">
        <f t="shared" si="1"/>
        <v>0</v>
      </c>
      <c r="V10" s="47">
        <f t="shared" si="1"/>
        <v>0</v>
      </c>
    </row>
    <row r="11" spans="1:22" x14ac:dyDescent="0.3">
      <c r="A11" s="9">
        <v>2</v>
      </c>
      <c r="B11" s="9">
        <v>23</v>
      </c>
      <c r="C11" s="9"/>
      <c r="D11" s="9"/>
      <c r="E11" s="9"/>
      <c r="F11" s="9"/>
      <c r="G11" s="9"/>
      <c r="H11" s="9"/>
      <c r="I11" s="9"/>
      <c r="J11" s="9"/>
      <c r="M11" s="47">
        <f t="shared" si="0"/>
        <v>42789</v>
      </c>
      <c r="N11" s="47">
        <f t="shared" ref="N11:V15" si="2">IF($A11=0,0,IF(C11=0,0,DATE($B$8,$A11,C11)))</f>
        <v>0</v>
      </c>
      <c r="O11" s="47">
        <f t="shared" si="2"/>
        <v>0</v>
      </c>
      <c r="P11" s="47">
        <f t="shared" si="2"/>
        <v>0</v>
      </c>
      <c r="Q11" s="47">
        <f t="shared" si="2"/>
        <v>0</v>
      </c>
      <c r="R11" s="47">
        <f t="shared" si="2"/>
        <v>0</v>
      </c>
      <c r="S11" s="47">
        <f t="shared" si="2"/>
        <v>0</v>
      </c>
      <c r="T11" s="47">
        <f t="shared" si="2"/>
        <v>0</v>
      </c>
      <c r="U11" s="47">
        <f t="shared" si="2"/>
        <v>0</v>
      </c>
      <c r="V11" s="47">
        <f t="shared" si="2"/>
        <v>0</v>
      </c>
    </row>
    <row r="12" spans="1:22" x14ac:dyDescent="0.3">
      <c r="A12" s="9">
        <v>3</v>
      </c>
      <c r="B12" s="9">
        <v>8</v>
      </c>
      <c r="C12" s="9"/>
      <c r="D12" s="9"/>
      <c r="E12" s="9"/>
      <c r="F12" s="9"/>
      <c r="G12" s="9"/>
      <c r="H12" s="9"/>
      <c r="I12" s="9"/>
      <c r="J12" s="9"/>
      <c r="M12" s="47">
        <f t="shared" si="0"/>
        <v>42802</v>
      </c>
      <c r="N12" s="47">
        <f t="shared" si="2"/>
        <v>0</v>
      </c>
      <c r="O12" s="47">
        <f t="shared" si="2"/>
        <v>0</v>
      </c>
      <c r="P12" s="47">
        <f t="shared" si="2"/>
        <v>0</v>
      </c>
      <c r="Q12" s="47">
        <f t="shared" si="2"/>
        <v>0</v>
      </c>
      <c r="R12" s="47">
        <f t="shared" si="2"/>
        <v>0</v>
      </c>
      <c r="S12" s="47">
        <f t="shared" si="2"/>
        <v>0</v>
      </c>
      <c r="T12" s="47">
        <f t="shared" si="2"/>
        <v>0</v>
      </c>
      <c r="U12" s="47">
        <f t="shared" si="2"/>
        <v>0</v>
      </c>
      <c r="V12" s="47">
        <f t="shared" si="2"/>
        <v>0</v>
      </c>
    </row>
    <row r="13" spans="1:22" x14ac:dyDescent="0.3">
      <c r="A13" s="9">
        <v>5</v>
      </c>
      <c r="B13" s="9">
        <v>1</v>
      </c>
      <c r="C13" s="9">
        <v>9</v>
      </c>
      <c r="D13" s="9"/>
      <c r="E13" s="9"/>
      <c r="F13" s="9"/>
      <c r="G13" s="9"/>
      <c r="H13" s="9"/>
      <c r="I13" s="9"/>
      <c r="J13" s="9"/>
      <c r="M13" s="47">
        <f t="shared" si="0"/>
        <v>42856</v>
      </c>
      <c r="N13" s="47">
        <f t="shared" si="2"/>
        <v>42864</v>
      </c>
      <c r="O13" s="47">
        <f t="shared" si="2"/>
        <v>0</v>
      </c>
      <c r="P13" s="47">
        <f t="shared" si="2"/>
        <v>0</v>
      </c>
      <c r="Q13" s="47">
        <f t="shared" si="2"/>
        <v>0</v>
      </c>
      <c r="R13" s="47">
        <f t="shared" si="2"/>
        <v>0</v>
      </c>
      <c r="S13" s="47">
        <f t="shared" si="2"/>
        <v>0</v>
      </c>
      <c r="T13" s="47">
        <f t="shared" si="2"/>
        <v>0</v>
      </c>
      <c r="U13" s="47">
        <f t="shared" si="2"/>
        <v>0</v>
      </c>
      <c r="V13" s="47">
        <f t="shared" si="2"/>
        <v>0</v>
      </c>
    </row>
    <row r="14" spans="1:22" x14ac:dyDescent="0.3">
      <c r="A14" s="9">
        <v>6</v>
      </c>
      <c r="B14" s="9">
        <v>12</v>
      </c>
      <c r="C14" s="9"/>
      <c r="D14" s="9"/>
      <c r="E14" s="9"/>
      <c r="F14" s="9"/>
      <c r="G14" s="9"/>
      <c r="H14" s="9"/>
      <c r="I14" s="9"/>
      <c r="J14" s="9"/>
      <c r="M14" s="47">
        <f t="shared" si="0"/>
        <v>42898</v>
      </c>
      <c r="N14" s="47">
        <f t="shared" si="2"/>
        <v>0</v>
      </c>
      <c r="O14" s="47">
        <f t="shared" si="2"/>
        <v>0</v>
      </c>
      <c r="P14" s="47">
        <f t="shared" si="2"/>
        <v>0</v>
      </c>
      <c r="Q14" s="47">
        <f t="shared" si="2"/>
        <v>0</v>
      </c>
      <c r="R14" s="47">
        <f t="shared" si="2"/>
        <v>0</v>
      </c>
      <c r="S14" s="47">
        <f t="shared" si="2"/>
        <v>0</v>
      </c>
      <c r="T14" s="47">
        <f t="shared" si="2"/>
        <v>0</v>
      </c>
      <c r="U14" s="47">
        <f t="shared" si="2"/>
        <v>0</v>
      </c>
      <c r="V14" s="47">
        <f t="shared" si="2"/>
        <v>0</v>
      </c>
    </row>
    <row r="15" spans="1:22" x14ac:dyDescent="0.3">
      <c r="A15" s="9">
        <v>11</v>
      </c>
      <c r="B15" s="9">
        <v>4</v>
      </c>
      <c r="C15" s="9"/>
      <c r="D15" s="9"/>
      <c r="E15" s="9"/>
      <c r="F15" s="9"/>
      <c r="G15" s="9"/>
      <c r="H15" s="9"/>
      <c r="I15" s="9"/>
      <c r="J15" s="9"/>
      <c r="M15" s="47">
        <f t="shared" si="0"/>
        <v>43043</v>
      </c>
      <c r="N15" s="47">
        <f t="shared" si="2"/>
        <v>0</v>
      </c>
      <c r="O15" s="47">
        <f t="shared" si="2"/>
        <v>0</v>
      </c>
      <c r="P15" s="47">
        <f t="shared" si="2"/>
        <v>0</v>
      </c>
      <c r="Q15" s="47">
        <f t="shared" si="2"/>
        <v>0</v>
      </c>
      <c r="R15" s="47">
        <f t="shared" si="2"/>
        <v>0</v>
      </c>
      <c r="S15" s="47">
        <f t="shared" si="2"/>
        <v>0</v>
      </c>
      <c r="T15" s="47">
        <f t="shared" si="2"/>
        <v>0</v>
      </c>
      <c r="U15" s="47">
        <f t="shared" si="2"/>
        <v>0</v>
      </c>
      <c r="V15" s="47">
        <f t="shared" si="2"/>
        <v>0</v>
      </c>
    </row>
    <row r="16" spans="1:22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3">
      <c r="A17" s="9" t="s">
        <v>78</v>
      </c>
      <c r="B17" s="76">
        <f>YEAR($B$2)</f>
        <v>2018</v>
      </c>
      <c r="C17" s="77"/>
      <c r="D17" s="77"/>
      <c r="E17" s="77"/>
      <c r="F17" s="77"/>
      <c r="G17" s="77"/>
      <c r="H17" s="77"/>
      <c r="I17" s="77"/>
      <c r="J17" s="78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3">
      <c r="A18" s="9" t="s">
        <v>79</v>
      </c>
      <c r="B18" s="75" t="s">
        <v>80</v>
      </c>
      <c r="C18" s="75"/>
      <c r="D18" s="75"/>
      <c r="E18" s="75"/>
      <c r="F18" s="75"/>
      <c r="G18" s="75"/>
      <c r="H18" s="75"/>
      <c r="I18" s="75"/>
      <c r="J18" s="75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3">
      <c r="A19" s="9">
        <v>1</v>
      </c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/>
      <c r="M19" s="47">
        <f t="shared" ref="M19:M24" si="3">IF($A19=0,0,IF(B19=0,0,DATE($B$17,$A19,B19)))</f>
        <v>43101</v>
      </c>
      <c r="N19" s="47">
        <f t="shared" ref="N19:N24" si="4">IF($A19=0,0,IF(C19=0,0,DATE($B$17,$A19,C19)))</f>
        <v>43102</v>
      </c>
      <c r="O19" s="47">
        <f t="shared" ref="O19:O24" si="5">IF($A19=0,0,IF(D19=0,0,DATE($B$17,$A19,D19)))</f>
        <v>43103</v>
      </c>
      <c r="P19" s="47">
        <f t="shared" ref="P19:P24" si="6">IF($A19=0,0,IF(E19=0,0,DATE($B$17,$A19,E19)))</f>
        <v>43104</v>
      </c>
      <c r="Q19" s="47">
        <f t="shared" ref="Q19:Q24" si="7">IF($A19=0,0,IF(F19=0,0,DATE($B$17,$A19,F19)))</f>
        <v>43105</v>
      </c>
      <c r="R19" s="47">
        <f t="shared" ref="R19:R24" si="8">IF($A19=0,0,IF(G19=0,0,DATE($B$17,$A19,G19)))</f>
        <v>43106</v>
      </c>
      <c r="S19" s="47">
        <f t="shared" ref="S19:S24" si="9">IF($A19=0,0,IF(H19=0,0,DATE($B$17,$A19,H19)))</f>
        <v>43107</v>
      </c>
      <c r="T19" s="47">
        <f t="shared" ref="T19:T24" si="10">IF($A19=0,0,IF(I19=0,0,DATE($B$17,$A19,I19)))</f>
        <v>43108</v>
      </c>
      <c r="U19" s="47">
        <f t="shared" ref="U19:U24" si="11">IF($A19=0,0,IF(J19=0,0,DATE($B$17,$A19,J19)))</f>
        <v>0</v>
      </c>
      <c r="V19" s="47">
        <f t="shared" ref="V19:V24" si="12">IF($A19=0,0,IF(K19=0,0,DATE($B$17,$A19,K19)))</f>
        <v>0</v>
      </c>
    </row>
    <row r="20" spans="1:22" x14ac:dyDescent="0.3">
      <c r="A20" s="9">
        <v>2</v>
      </c>
      <c r="B20" s="9">
        <v>23</v>
      </c>
      <c r="C20" s="9"/>
      <c r="D20" s="9"/>
      <c r="E20" s="9"/>
      <c r="F20" s="9"/>
      <c r="G20" s="9"/>
      <c r="H20" s="9"/>
      <c r="I20" s="9"/>
      <c r="J20" s="9"/>
      <c r="M20" s="47">
        <f t="shared" si="3"/>
        <v>43154</v>
      </c>
      <c r="N20" s="47">
        <f t="shared" si="4"/>
        <v>0</v>
      </c>
      <c r="O20" s="47">
        <f t="shared" si="5"/>
        <v>0</v>
      </c>
      <c r="P20" s="47">
        <f t="shared" si="6"/>
        <v>0</v>
      </c>
      <c r="Q20" s="47">
        <f t="shared" si="7"/>
        <v>0</v>
      </c>
      <c r="R20" s="47">
        <f t="shared" si="8"/>
        <v>0</v>
      </c>
      <c r="S20" s="47">
        <f t="shared" si="9"/>
        <v>0</v>
      </c>
      <c r="T20" s="47">
        <f t="shared" si="10"/>
        <v>0</v>
      </c>
      <c r="U20" s="47">
        <f t="shared" si="11"/>
        <v>0</v>
      </c>
      <c r="V20" s="47">
        <f t="shared" si="12"/>
        <v>0</v>
      </c>
    </row>
    <row r="21" spans="1:22" x14ac:dyDescent="0.3">
      <c r="A21" s="9">
        <v>3</v>
      </c>
      <c r="B21" s="9">
        <v>8</v>
      </c>
      <c r="C21" s="9"/>
      <c r="D21" s="9"/>
      <c r="E21" s="9"/>
      <c r="F21" s="9"/>
      <c r="G21" s="9"/>
      <c r="H21" s="9"/>
      <c r="I21" s="9"/>
      <c r="J21" s="9"/>
      <c r="M21" s="47">
        <f t="shared" si="3"/>
        <v>43167</v>
      </c>
      <c r="N21" s="47">
        <f t="shared" si="4"/>
        <v>0</v>
      </c>
      <c r="O21" s="47">
        <f t="shared" si="5"/>
        <v>0</v>
      </c>
      <c r="P21" s="47">
        <f t="shared" si="6"/>
        <v>0</v>
      </c>
      <c r="Q21" s="47">
        <f t="shared" si="7"/>
        <v>0</v>
      </c>
      <c r="R21" s="47">
        <f t="shared" si="8"/>
        <v>0</v>
      </c>
      <c r="S21" s="47">
        <f t="shared" si="9"/>
        <v>0</v>
      </c>
      <c r="T21" s="47">
        <f t="shared" si="10"/>
        <v>0</v>
      </c>
      <c r="U21" s="47">
        <f t="shared" si="11"/>
        <v>0</v>
      </c>
      <c r="V21" s="47">
        <f t="shared" si="12"/>
        <v>0</v>
      </c>
    </row>
    <row r="22" spans="1:22" x14ac:dyDescent="0.3">
      <c r="A22" s="9">
        <v>5</v>
      </c>
      <c r="B22" s="9">
        <v>1</v>
      </c>
      <c r="C22" s="9">
        <v>9</v>
      </c>
      <c r="D22" s="9"/>
      <c r="E22" s="9"/>
      <c r="F22" s="9"/>
      <c r="G22" s="9"/>
      <c r="H22" s="9"/>
      <c r="I22" s="9"/>
      <c r="J22" s="9"/>
      <c r="M22" s="47">
        <f t="shared" si="3"/>
        <v>43221</v>
      </c>
      <c r="N22" s="47">
        <f t="shared" si="4"/>
        <v>43229</v>
      </c>
      <c r="O22" s="47">
        <f t="shared" si="5"/>
        <v>0</v>
      </c>
      <c r="P22" s="47">
        <f t="shared" si="6"/>
        <v>0</v>
      </c>
      <c r="Q22" s="47">
        <f t="shared" si="7"/>
        <v>0</v>
      </c>
      <c r="R22" s="47">
        <f t="shared" si="8"/>
        <v>0</v>
      </c>
      <c r="S22" s="47">
        <f t="shared" si="9"/>
        <v>0</v>
      </c>
      <c r="T22" s="47">
        <f t="shared" si="10"/>
        <v>0</v>
      </c>
      <c r="U22" s="47">
        <f t="shared" si="11"/>
        <v>0</v>
      </c>
      <c r="V22" s="47">
        <f t="shared" si="12"/>
        <v>0</v>
      </c>
    </row>
    <row r="23" spans="1:22" x14ac:dyDescent="0.3">
      <c r="A23" s="9">
        <v>6</v>
      </c>
      <c r="B23" s="9">
        <v>12</v>
      </c>
      <c r="C23" s="9"/>
      <c r="D23" s="9"/>
      <c r="E23" s="9"/>
      <c r="F23" s="9"/>
      <c r="G23" s="9"/>
      <c r="H23" s="9"/>
      <c r="I23" s="9"/>
      <c r="J23" s="9"/>
      <c r="M23" s="47">
        <f t="shared" si="3"/>
        <v>43263</v>
      </c>
      <c r="N23" s="47">
        <f t="shared" si="4"/>
        <v>0</v>
      </c>
      <c r="O23" s="47">
        <f t="shared" si="5"/>
        <v>0</v>
      </c>
      <c r="P23" s="47">
        <f t="shared" si="6"/>
        <v>0</v>
      </c>
      <c r="Q23" s="47">
        <f t="shared" si="7"/>
        <v>0</v>
      </c>
      <c r="R23" s="47">
        <f t="shared" si="8"/>
        <v>0</v>
      </c>
      <c r="S23" s="47">
        <f t="shared" si="9"/>
        <v>0</v>
      </c>
      <c r="T23" s="47">
        <f t="shared" si="10"/>
        <v>0</v>
      </c>
      <c r="U23" s="47">
        <f t="shared" si="11"/>
        <v>0</v>
      </c>
      <c r="V23" s="47">
        <f t="shared" si="12"/>
        <v>0</v>
      </c>
    </row>
    <row r="24" spans="1:22" x14ac:dyDescent="0.3">
      <c r="A24" s="9">
        <v>11</v>
      </c>
      <c r="B24" s="9">
        <v>4</v>
      </c>
      <c r="C24" s="9"/>
      <c r="D24" s="9"/>
      <c r="E24" s="9"/>
      <c r="F24" s="9"/>
      <c r="G24" s="9"/>
      <c r="H24" s="9"/>
      <c r="I24" s="9"/>
      <c r="J24" s="9"/>
      <c r="M24" s="47">
        <f t="shared" si="3"/>
        <v>43408</v>
      </c>
      <c r="N24" s="47">
        <f t="shared" si="4"/>
        <v>0</v>
      </c>
      <c r="O24" s="47">
        <f t="shared" si="5"/>
        <v>0</v>
      </c>
      <c r="P24" s="47">
        <f t="shared" si="6"/>
        <v>0</v>
      </c>
      <c r="Q24" s="47">
        <f t="shared" si="7"/>
        <v>0</v>
      </c>
      <c r="R24" s="47">
        <f t="shared" si="8"/>
        <v>0</v>
      </c>
      <c r="S24" s="47">
        <f t="shared" si="9"/>
        <v>0</v>
      </c>
      <c r="T24" s="47">
        <f t="shared" si="10"/>
        <v>0</v>
      </c>
      <c r="U24" s="47">
        <f t="shared" si="11"/>
        <v>0</v>
      </c>
      <c r="V24" s="47">
        <f t="shared" si="12"/>
        <v>0</v>
      </c>
    </row>
  </sheetData>
  <customSheetViews>
    <customSheetView guid="{E2BF1834-0034-45BA-8357-3A303E968B4D}">
      <selection activeCell="B18" sqref="B18:J18"/>
      <pageMargins left="0.7" right="0.7" top="0.75" bottom="0.75" header="0.3" footer="0.3"/>
      <pageSetup paperSize="9" scale="97" orientation="portrait" r:id="rId1"/>
    </customSheetView>
    <customSheetView guid="{A1CF561E-B2E6-47DF-9774-926217537206}">
      <selection activeCell="B18" sqref="B18:J18"/>
      <pageMargins left="0.7" right="0.7" top="0.75" bottom="0.75" header="0.3" footer="0.3"/>
      <pageSetup paperSize="9" scale="97" orientation="portrait" r:id="rId2"/>
    </customSheetView>
  </customSheetViews>
  <mergeCells count="4">
    <mergeCell ref="B9:J9"/>
    <mergeCell ref="B18:J18"/>
    <mergeCell ref="B17:J17"/>
    <mergeCell ref="B8:J8"/>
  </mergeCells>
  <pageMargins left="0.7" right="0.7" top="0.75" bottom="0.75" header="0.3" footer="0.3"/>
  <pageSetup paperSize="9" scale="97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"/>
  <sheetViews>
    <sheetView workbookViewId="0">
      <selection activeCell="B4" sqref="B4"/>
    </sheetView>
  </sheetViews>
  <sheetFormatPr defaultRowHeight="18.75" x14ac:dyDescent="0.3"/>
  <cols>
    <col min="2" max="2" width="10.109375" bestFit="1" customWidth="1"/>
  </cols>
  <sheetData>
    <row r="1" spans="1:2" x14ac:dyDescent="0.3">
      <c r="A1" t="s">
        <v>57</v>
      </c>
    </row>
    <row r="2" spans="1:2" x14ac:dyDescent="0.3">
      <c r="A2" s="67" t="s">
        <v>103</v>
      </c>
      <c r="B2" s="67" t="s">
        <v>60</v>
      </c>
    </row>
    <row r="3" spans="1:2" x14ac:dyDescent="0.3">
      <c r="A3" s="67" t="s">
        <v>104</v>
      </c>
      <c r="B3" s="67" t="s">
        <v>96</v>
      </c>
    </row>
    <row r="4" spans="1:2" x14ac:dyDescent="0.3">
      <c r="A4" s="67" t="s">
        <v>105</v>
      </c>
      <c r="B4" s="67" t="s">
        <v>61</v>
      </c>
    </row>
  </sheetData>
  <customSheetViews>
    <customSheetView guid="{E2BF1834-0034-45BA-8357-3A303E968B4D}">
      <selection activeCell="B4" sqref="B4"/>
      <pageMargins left="0.7" right="0.7" top="0.75" bottom="0.75" header="0.3" footer="0.3"/>
    </customSheetView>
    <customSheetView guid="{A1CF561E-B2E6-47DF-9774-926217537206}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opLeftCell="A3" workbookViewId="0">
      <selection activeCell="B12" sqref="B12"/>
    </sheetView>
  </sheetViews>
  <sheetFormatPr defaultRowHeight="18.75" x14ac:dyDescent="0.3"/>
  <cols>
    <col min="2" max="2" width="11.88671875" bestFit="1" customWidth="1"/>
  </cols>
  <sheetData>
    <row r="2" spans="1:10" ht="18.75" customHeight="1" x14ac:dyDescent="0.3">
      <c r="A2" s="16"/>
      <c r="B2" s="18"/>
      <c r="C2" s="70" t="s">
        <v>81</v>
      </c>
      <c r="D2" s="70"/>
      <c r="E2" s="70"/>
      <c r="F2" s="48"/>
      <c r="G2" s="48"/>
      <c r="H2" s="48"/>
      <c r="I2" s="48"/>
    </row>
    <row r="3" spans="1:10" ht="168.75" x14ac:dyDescent="0.3">
      <c r="A3" s="28" t="s">
        <v>55</v>
      </c>
      <c r="B3" s="29" t="s">
        <v>95</v>
      </c>
      <c r="C3" s="28" t="s">
        <v>88</v>
      </c>
      <c r="D3" s="28" t="s">
        <v>89</v>
      </c>
      <c r="E3" s="28" t="s">
        <v>90</v>
      </c>
      <c r="F3" s="28" t="s">
        <v>63</v>
      </c>
      <c r="G3" s="28" t="s">
        <v>87</v>
      </c>
      <c r="H3" s="28" t="s">
        <v>64</v>
      </c>
      <c r="I3" s="28" t="s">
        <v>67</v>
      </c>
      <c r="J3" s="53" t="s">
        <v>94</v>
      </c>
    </row>
    <row r="4" spans="1:10" x14ac:dyDescent="0.3">
      <c r="A4" s="49" t="s">
        <v>103</v>
      </c>
      <c r="B4" s="6">
        <v>42704</v>
      </c>
      <c r="C4" s="50">
        <v>4</v>
      </c>
      <c r="E4">
        <v>5</v>
      </c>
      <c r="G4">
        <v>47</v>
      </c>
      <c r="J4" t="str">
        <f>IF((_xlfn.DAYS(B4,DATE(YEAR(B4),MONTH(B4),1)-1)-SUM(C4:I4))&lt;0,"Количество дней в месяце меньше, чем дней заполненных","Проверка пройдена")</f>
        <v>Количество дней в месяце меньше, чем дней заполненных</v>
      </c>
    </row>
    <row r="5" spans="1:10" x14ac:dyDescent="0.3">
      <c r="A5" s="49" t="s">
        <v>103</v>
      </c>
      <c r="B5" s="6">
        <v>42735</v>
      </c>
      <c r="D5">
        <v>1</v>
      </c>
      <c r="J5" t="str">
        <f>IF((_xlfn.DAYS(B5,DATE(YEAR(B5),MONTH(B5),1)-1)-SUM(C5:I5))&lt;0,"Количество дней в месяце меньше, чем дней заполненных","Проверка пройдена")</f>
        <v>Проверка пройдена</v>
      </c>
    </row>
    <row r="6" spans="1:10" x14ac:dyDescent="0.3">
      <c r="A6" s="49" t="s">
        <v>103</v>
      </c>
      <c r="B6" s="51">
        <v>43008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 s="52">
        <v>9</v>
      </c>
      <c r="J6" t="str">
        <f>IF((_xlfn.DAYS(B6,DATE(YEAR(B6),MONTH(B6),1)-1)-SUM(C6:I6))&lt;0,"Количество дней в месяце меньше, чем дней заполненных","Проверка пройдена")</f>
        <v>Количество дней в месяце меньше, чем дней заполненных</v>
      </c>
    </row>
    <row r="7" spans="1:10" x14ac:dyDescent="0.3">
      <c r="A7" t="s">
        <v>104</v>
      </c>
      <c r="B7" s="57">
        <v>43100</v>
      </c>
      <c r="F7">
        <v>2</v>
      </c>
      <c r="I7">
        <v>21</v>
      </c>
      <c r="J7" t="str">
        <f>IF((_xlfn.DAYS(B7,DATE(YEAR(B7),MONTH(B7),1)-1)-SUM(C7:I7))&lt;0,"Количество дней в месяце меньше, чем дней заполненных","Проверка пройдена")</f>
        <v>Проверка пройдена</v>
      </c>
    </row>
    <row r="8" spans="1:10" ht="36" x14ac:dyDescent="0.3">
      <c r="A8" s="36" t="s">
        <v>105</v>
      </c>
      <c r="B8" s="6">
        <v>43069</v>
      </c>
      <c r="H8">
        <v>5</v>
      </c>
    </row>
  </sheetData>
  <customSheetViews>
    <customSheetView guid="{E2BF1834-0034-45BA-8357-3A303E968B4D}" topLeftCell="A3">
      <selection activeCell="B4" sqref="B4"/>
      <pageMargins left="0.7" right="0.7" top="0.75" bottom="0.75" header="0.3" footer="0.3"/>
      <pageSetup paperSize="9" orientation="portrait" r:id="rId1"/>
    </customSheetView>
    <customSheetView guid="{A1CF561E-B2E6-47DF-9774-926217537206}" topLeftCell="A3">
      <selection activeCell="B4" sqref="B4"/>
      <pageMargins left="0.7" right="0.7" top="0.75" bottom="0.75" header="0.3" footer="0.3"/>
      <pageSetup paperSize="9" orientation="portrait" r:id="rId2"/>
    </customSheetView>
  </customSheetViews>
  <mergeCells count="1">
    <mergeCell ref="C2:E2"/>
  </mergeCells>
  <conditionalFormatting sqref="J1:J1048576">
    <cfRule type="containsText" dxfId="0" priority="1" operator="containsText" text="Количество дней в месяце меньше, чем дней заполненных">
      <formula>NOT(ISERROR(SEARCH("Количество дней в месяце меньше, чем дней заполненных",J1)))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customSheetViews>
    <customSheetView guid="{E2BF1834-0034-45BA-8357-3A303E968B4D}" showAutoFilter="1" topLeftCell="A184">
      <selection activeCell="B4" sqref="B4"/>
      <pageMargins left="0.7" right="0.7" top="0.75" bottom="0.75" header="0.3" footer="0.3"/>
      <pageSetup paperSize="9" orientation="portrait" verticalDpi="0" r:id="rId1"/>
      <autoFilter ref="A9:BL196"/>
    </customSheetView>
    <customSheetView guid="{A1CF561E-B2E6-47DF-9774-926217537206}" showAutoFilter="1" topLeftCell="A184">
      <selection activeCell="B4" sqref="B4"/>
      <pageMargins left="0.7" right="0.7" top="0.75" bottom="0.75" header="0.3" footer="0.3"/>
      <pageSetup paperSize="9" orientation="portrait" verticalDpi="0" r:id="rId2"/>
      <autoFilter ref="A9:BL196"/>
    </customSheetView>
  </customSheetView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autoFilter ref="A9:BL196"/>
  <customSheetViews>
    <customSheetView guid="{E2BF1834-0034-45BA-8357-3A303E968B4D}" showAutoFilter="1" topLeftCell="F1">
      <selection activeCell="O4" sqref="O4"/>
      <pageMargins left="0.7" right="0.7" top="0.75" bottom="0.75" header="0.3" footer="0.3"/>
      <pageSetup paperSize="9" orientation="portrait" verticalDpi="0" r:id="rId1"/>
      <autoFilter ref="A9:BL196"/>
    </customSheetView>
    <customSheetView guid="{A1CF561E-B2E6-47DF-9774-926217537206}" showAutoFilter="1" topLeftCell="F1">
      <selection activeCell="O4" sqref="O4"/>
      <pageMargins left="0.7" right="0.7" top="0.75" bottom="0.75" header="0.3" footer="0.3"/>
      <pageSetup paperSize="9" orientation="portrait" verticalDpi="0" r:id="rId2"/>
      <autoFilter ref="A9:BL196"/>
    </customSheetView>
  </customSheetView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topLeftCell="L1"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autoFilter ref="A9:BL196"/>
  <customSheetViews>
    <customSheetView guid="{E2BF1834-0034-45BA-8357-3A303E968B4D}" showAutoFilter="1" topLeftCell="A193">
      <selection activeCell="B4" sqref="B4"/>
      <pageMargins left="0.7" right="0.7" top="0.75" bottom="0.75" header="0.3" footer="0.3"/>
      <pageSetup paperSize="9" orientation="portrait" verticalDpi="0" r:id="rId1"/>
      <autoFilter ref="A9:BL196"/>
    </customSheetView>
    <customSheetView guid="{A1CF561E-B2E6-47DF-9774-926217537206}" showAutoFilter="1" topLeftCell="A193">
      <selection activeCell="B4" sqref="B4"/>
      <pageMargins left="0.7" right="0.7" top="0.75" bottom="0.75" header="0.3" footer="0.3"/>
      <pageSetup paperSize="9" orientation="portrait" verticalDpi="0" r:id="rId2"/>
      <autoFilter ref="A9:BL196"/>
    </customSheetView>
  </customSheetView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topLeftCell="N1"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autoFilter ref="A9:BL196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topLeftCell="N1"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103</v>
      </c>
      <c r="B5" s="63"/>
      <c r="C5" s="64">
        <v>61781.2</v>
      </c>
      <c r="D5" s="63">
        <v>15067.2</v>
      </c>
      <c r="E5" s="63"/>
      <c r="F5" s="64">
        <v>14062.72</v>
      </c>
      <c r="G5" s="63"/>
      <c r="H5" s="64"/>
      <c r="I5" s="64">
        <v>1506.72</v>
      </c>
      <c r="J5" s="64"/>
      <c r="K5" s="63"/>
      <c r="L5" s="64">
        <v>5022.3999999999996</v>
      </c>
      <c r="M5" s="64"/>
      <c r="N5" s="64"/>
      <c r="O5" s="64"/>
      <c r="P5" s="64"/>
      <c r="Q5" s="64"/>
      <c r="R5" s="64"/>
      <c r="S5" s="64"/>
      <c r="T5" s="64">
        <v>753.36</v>
      </c>
      <c r="U5" s="64">
        <v>1506.72</v>
      </c>
      <c r="V5" s="64">
        <v>1506.72</v>
      </c>
      <c r="W5" s="64">
        <v>22355.360000000001</v>
      </c>
      <c r="X5" s="64"/>
      <c r="Y5" s="63">
        <v>8031</v>
      </c>
      <c r="Z5" s="63"/>
      <c r="AA5" s="64">
        <v>8031</v>
      </c>
      <c r="AB5" s="63">
        <v>53750.2</v>
      </c>
      <c r="AC5" s="64">
        <v>53750.2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104</v>
      </c>
      <c r="B6" s="63"/>
      <c r="C6" s="64">
        <v>36474.800000000003</v>
      </c>
      <c r="D6" s="64">
        <v>20142.8</v>
      </c>
      <c r="E6" s="64"/>
      <c r="F6" s="64">
        <v>5988.4</v>
      </c>
      <c r="G6" s="64"/>
      <c r="H6" s="64"/>
      <c r="I6" s="64">
        <v>1633.2</v>
      </c>
      <c r="J6" s="64"/>
      <c r="K6" s="63"/>
      <c r="L6" s="64">
        <v>5444</v>
      </c>
      <c r="M6" s="64"/>
      <c r="N6" s="64"/>
      <c r="O6" s="63"/>
      <c r="P6" s="63"/>
      <c r="Q6" s="64"/>
      <c r="R6" s="64"/>
      <c r="S6" s="64"/>
      <c r="T6" s="64"/>
      <c r="U6" s="65">
        <v>1633.2</v>
      </c>
      <c r="V6" s="64">
        <v>1633.2</v>
      </c>
      <c r="W6" s="64"/>
      <c r="X6" s="64"/>
      <c r="Y6" s="63">
        <v>4741</v>
      </c>
      <c r="Z6" s="64"/>
      <c r="AA6" s="64">
        <v>4741</v>
      </c>
      <c r="AB6" s="64">
        <v>31733.8</v>
      </c>
      <c r="AC6" s="64">
        <v>29011.8</v>
      </c>
      <c r="AD6" s="63"/>
      <c r="AE6" s="64">
        <v>2722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105</v>
      </c>
      <c r="B7" s="63"/>
      <c r="C7" s="64">
        <v>404009.65</v>
      </c>
      <c r="D7" s="64">
        <v>78506.95</v>
      </c>
      <c r="E7" s="64"/>
      <c r="F7" s="64">
        <v>58384.3</v>
      </c>
      <c r="G7" s="64"/>
      <c r="H7" s="64"/>
      <c r="I7" s="64">
        <v>5772.3</v>
      </c>
      <c r="J7" s="63"/>
      <c r="K7" s="63">
        <v>3300</v>
      </c>
      <c r="L7" s="64">
        <v>174770</v>
      </c>
      <c r="M7" s="64"/>
      <c r="N7" s="64"/>
      <c r="O7" s="64"/>
      <c r="P7" s="64"/>
      <c r="Q7" s="64"/>
      <c r="R7" s="64"/>
      <c r="S7" s="64"/>
      <c r="T7" s="64">
        <v>50130.25</v>
      </c>
      <c r="U7" s="64">
        <v>27373.55</v>
      </c>
      <c r="V7" s="64">
        <v>5772.3</v>
      </c>
      <c r="W7" s="64"/>
      <c r="X7" s="64"/>
      <c r="Y7" s="63">
        <v>52340</v>
      </c>
      <c r="Z7" s="63"/>
      <c r="AA7" s="64">
        <v>52340</v>
      </c>
      <c r="AB7" s="64">
        <v>351669.65</v>
      </c>
      <c r="AC7" s="64">
        <v>266372.15000000002</v>
      </c>
      <c r="AD7" s="63"/>
      <c r="AE7" s="64">
        <v>85297.5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расчет</vt:lpstr>
      <vt:lpstr>Данные для расчета</vt:lpstr>
      <vt:lpstr>список работников с датами приё</vt:lpstr>
      <vt:lpstr>список неявок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'Данные для расчета'!Область_печати</vt:lpstr>
      <vt:lpstr>расчет!Область_печати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A. Golovin</dc:creator>
  <cp:lastModifiedBy>Белых Сергей Алексеевич</cp:lastModifiedBy>
  <dcterms:created xsi:type="dcterms:W3CDTF">2017-08-21T10:05:11Z</dcterms:created>
  <dcterms:modified xsi:type="dcterms:W3CDTF">2018-04-12T10:04:26Z</dcterms:modified>
</cp:coreProperties>
</file>