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320" windowHeight="12840" activeTab="0"/>
  </bookViews>
  <sheets>
    <sheet name="3 поставщика" sheetId="1" r:id="rId1"/>
    <sheet name="4 поставщика" sheetId="2" r:id="rId2"/>
    <sheet name="5 поставщиков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'3 поставщика'!$A$1:$AV$43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<sst xmlns="http://schemas.openxmlformats.org/spreadsheetml/2006/main" count="148" uniqueCount="19">
  <si>
    <t>(</t>
  </si>
  <si>
    <t>)</t>
  </si>
  <si>
    <t>+</t>
  </si>
  <si>
    <t>=</t>
  </si>
  <si>
    <t>):3=</t>
  </si>
  <si>
    <t>-</t>
  </si>
  <si>
    <t>:(3-1)</t>
  </si>
  <si>
    <t>:</t>
  </si>
  <si>
    <t>*</t>
  </si>
  <si>
    <t xml:space="preserve">4) Определяем НМЦК методом сопоставимых рыночных цен </t>
  </si>
  <si>
    <t>3) Определяем коэффициент вариации:</t>
  </si>
  <si>
    <t>2) Рассчитываем среднее квадратичное отклонение:</t>
  </si>
  <si>
    <t>1) Определяем среднее арифметическое цен:</t>
  </si>
  <si>
    <t>НМЦК</t>
  </si>
  <si>
    <t>:(4-1)</t>
  </si>
  <si>
    <t>:(5-1)</t>
  </si>
  <si>
    <t>²</t>
  </si>
  <si>
    <t>ЛИСТ ОТКРЫТ ДЛЯ КОПИРОВАНИЯ ЗНАЧЕНИЙ</t>
  </si>
  <si>
    <t>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</si>
</sst>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;[Red]#,##0.00&quot;р.&quot;"/>
    <numFmt numFmtId="169" formatCode="#,##0.00;[Red]#,##0.00"/>
    <numFmt numFmtId="170" formatCode="#,##0;[Red]#,##0"/>
    <numFmt numFmtId="171" formatCode="0.0%"/>
    <numFmt numFmtId="172" formatCode="#,##0.00&quot;р.&quot;"/>
    <numFmt numFmtId="173" formatCode="0.0"/>
  </numFmts>
  <fonts count="15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3"/>
      <name val="Arial Cyr"/>
      <family val="0"/>
    </font>
    <font>
      <b/>
      <sz val="22"/>
      <name val="Arial Cyr"/>
      <family val="0"/>
    </font>
    <font>
      <b/>
      <sz val="12"/>
      <color indexed="10"/>
      <name val="Arial"/>
      <family val="2"/>
    </font>
    <font>
      <b/>
      <sz val="12"/>
      <color indexed="12"/>
      <name val="Arial Cyr"/>
      <family val="0"/>
    </font>
    <font>
      <sz val="1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4"/>
      <name val="Cambria"/>
      <family val="1"/>
    </font>
    <font>
      <b/>
      <sz val="14"/>
      <color indexed="12"/>
      <name val="Arial Cyr"/>
      <family val="0"/>
    </font>
    <font>
      <b/>
      <sz val="14"/>
      <name val="Cambria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168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69" fontId="4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/>
      <protection hidden="1"/>
    </xf>
    <xf numFmtId="168" fontId="4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169" fontId="1" fillId="0" borderId="0" xfId="0" applyNumberFormat="1" applyFont="1" applyAlignment="1" applyProtection="1">
      <alignment horizontal="left"/>
      <protection hidden="1"/>
    </xf>
    <xf numFmtId="169" fontId="1" fillId="0" borderId="0" xfId="0" applyNumberFormat="1" applyFont="1" applyAlignment="1" applyProtection="1">
      <alignment horizontal="center"/>
      <protection hidden="1"/>
    </xf>
    <xf numFmtId="168" fontId="1" fillId="0" borderId="0" xfId="0" applyNumberFormat="1" applyFont="1" applyAlignment="1" applyProtection="1">
      <alignment horizontal="right"/>
      <protection hidden="1"/>
    </xf>
    <xf numFmtId="168" fontId="1" fillId="0" borderId="0" xfId="0" applyNumberFormat="1" applyFont="1" applyAlignment="1" applyProtection="1">
      <alignment horizontal="left"/>
      <protection hidden="1"/>
    </xf>
    <xf numFmtId="168" fontId="1" fillId="0" borderId="0" xfId="0" applyNumberFormat="1" applyFont="1" applyFill="1" applyAlignment="1" applyProtection="1">
      <alignment horizontal="left" vertical="center"/>
      <protection hidden="1"/>
    </xf>
    <xf numFmtId="169" fontId="4" fillId="0" borderId="0" xfId="0" applyNumberFormat="1" applyFont="1" applyFill="1" applyAlignment="1" applyProtection="1">
      <alignment horizontal="left"/>
      <protection hidden="1"/>
    </xf>
    <xf numFmtId="16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169" fontId="4" fillId="0" borderId="0" xfId="0" applyNumberFormat="1" applyFont="1" applyFill="1" applyAlignment="1" applyProtection="1">
      <alignment horizontal="center"/>
      <protection hidden="1"/>
    </xf>
    <xf numFmtId="168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70" fontId="4" fillId="0" borderId="0" xfId="0" applyNumberFormat="1" applyFont="1" applyFill="1" applyAlignment="1" applyProtection="1">
      <alignment horizontal="center"/>
      <protection hidden="1"/>
    </xf>
    <xf numFmtId="10" fontId="4" fillId="0" borderId="0" xfId="0" applyNumberFormat="1" applyFont="1" applyFill="1" applyAlignment="1" applyProtection="1">
      <alignment horizontal="left"/>
      <protection hidden="1"/>
    </xf>
    <xf numFmtId="171" fontId="4" fillId="0" borderId="0" xfId="0" applyNumberFormat="1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68" fontId="1" fillId="0" borderId="0" xfId="0" applyNumberFormat="1" applyFont="1" applyFill="1" applyAlignment="1" applyProtection="1">
      <alignment horizontal="center"/>
      <protection hidden="1"/>
    </xf>
    <xf numFmtId="170" fontId="4" fillId="0" borderId="0" xfId="0" applyNumberFormat="1" applyFont="1" applyAlignment="1" applyProtection="1">
      <alignment horizontal="left"/>
      <protection hidden="1"/>
    </xf>
    <xf numFmtId="168" fontId="4" fillId="0" borderId="0" xfId="0" applyNumberFormat="1" applyFont="1" applyFill="1" applyAlignment="1" applyProtection="1">
      <alignment horizontal="center"/>
      <protection hidden="1"/>
    </xf>
    <xf numFmtId="169" fontId="4" fillId="0" borderId="0" xfId="0" applyNumberFormat="1" applyFont="1" applyFill="1" applyAlignment="1" applyProtection="1">
      <alignment horizontal="left" vertical="center"/>
      <protection hidden="1"/>
    </xf>
    <xf numFmtId="168" fontId="4" fillId="0" borderId="0" xfId="0" applyNumberFormat="1" applyFont="1" applyFill="1" applyAlignment="1" applyProtection="1">
      <alignment horizontal="left"/>
      <protection hidden="1"/>
    </xf>
    <xf numFmtId="168" fontId="4" fillId="0" borderId="0" xfId="0" applyNumberFormat="1" applyFont="1" applyAlignment="1" applyProtection="1">
      <alignment horizontal="right"/>
      <protection hidden="1"/>
    </xf>
    <xf numFmtId="168" fontId="4" fillId="2" borderId="0" xfId="0" applyNumberFormat="1" applyFont="1" applyFill="1" applyAlignment="1" applyProtection="1">
      <alignment horizontal="center"/>
      <protection hidden="1"/>
    </xf>
    <xf numFmtId="169" fontId="4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68" fontId="9" fillId="0" borderId="0" xfId="0" applyNumberFormat="1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168" fontId="11" fillId="0" borderId="0" xfId="0" applyNumberFormat="1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168" fontId="1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 quotePrefix="1">
      <alignment horizont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inden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/>
      <protection hidden="1"/>
    </xf>
    <xf numFmtId="168" fontId="11" fillId="3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hidden="1"/>
    </xf>
    <xf numFmtId="169" fontId="4" fillId="0" borderId="0" xfId="0" applyNumberFormat="1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168" fontId="4" fillId="2" borderId="0" xfId="0" applyNumberFormat="1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168" fontId="4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169" fontId="4" fillId="2" borderId="0" xfId="0" applyNumberFormat="1" applyFont="1" applyFill="1" applyAlignment="1" applyProtection="1">
      <alignment horizontal="left"/>
      <protection hidden="1"/>
    </xf>
    <xf numFmtId="16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9" fontId="4" fillId="2" borderId="0" xfId="0" applyNumberFormat="1" applyFont="1" applyFill="1" applyAlignment="1" applyProtection="1">
      <alignment horizontal="left" vertical="center"/>
      <protection hidden="1"/>
    </xf>
    <xf numFmtId="169" fontId="4" fillId="0" borderId="0" xfId="0" applyNumberFormat="1" applyFont="1" applyAlignment="1" applyProtection="1">
      <alignment horizontal="right"/>
      <protection hidden="1"/>
    </xf>
    <xf numFmtId="169" fontId="4" fillId="0" borderId="0" xfId="0" applyNumberFormat="1" applyFont="1" applyFill="1" applyAlignment="1" applyProtection="1">
      <alignment horizontal="center"/>
      <protection hidden="1"/>
    </xf>
    <xf numFmtId="170" fontId="4" fillId="0" borderId="0" xfId="0" applyNumberFormat="1" applyFont="1" applyFill="1" applyAlignment="1" applyProtection="1">
      <alignment horizontal="center"/>
      <protection hidden="1"/>
    </xf>
    <xf numFmtId="173" fontId="4" fillId="2" borderId="0" xfId="0" applyNumberFormat="1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 horizontal="left" indent="1"/>
      <protection hidden="1"/>
    </xf>
    <xf numFmtId="168" fontId="11" fillId="3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top"/>
      <protection hidden="1"/>
    </xf>
    <xf numFmtId="168" fontId="4" fillId="2" borderId="0" xfId="0" applyNumberFormat="1" applyFont="1" applyFill="1" applyAlignment="1" applyProtection="1">
      <alignment horizontal="left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A37"/>
  <sheetViews>
    <sheetView showGridLines="0" showRowColHeaders="0" tabSelected="1" workbookViewId="0" topLeftCell="A1">
      <selection activeCell="A2" sqref="A2:H2"/>
    </sheetView>
  </sheetViews>
  <sheetFormatPr defaultColWidth="9.00390625" defaultRowHeight="12.75"/>
  <cols>
    <col min="1" max="48" width="2.75390625" style="1" customWidth="1"/>
    <col min="49" max="16384" width="9.125" style="1" customWidth="1"/>
  </cols>
  <sheetData>
    <row r="1" ht="30" customHeight="1">
      <c r="O1" s="44" t="s">
        <v>17</v>
      </c>
    </row>
    <row r="2" spans="1:29" ht="18">
      <c r="A2" s="49">
        <v>1</v>
      </c>
      <c r="B2" s="49"/>
      <c r="C2" s="49"/>
      <c r="D2" s="49"/>
      <c r="E2" s="49"/>
      <c r="F2" s="49"/>
      <c r="G2" s="49"/>
      <c r="H2" s="49"/>
      <c r="I2" s="2"/>
      <c r="J2" s="49">
        <v>2</v>
      </c>
      <c r="K2" s="49"/>
      <c r="L2" s="49"/>
      <c r="M2" s="49"/>
      <c r="N2" s="49"/>
      <c r="O2" s="49"/>
      <c r="P2" s="49"/>
      <c r="Q2" s="49"/>
      <c r="R2" s="2"/>
      <c r="S2" s="49">
        <v>3</v>
      </c>
      <c r="T2" s="49"/>
      <c r="U2" s="49"/>
      <c r="V2" s="49"/>
      <c r="W2" s="49"/>
      <c r="X2" s="49"/>
      <c r="Y2" s="49"/>
      <c r="Z2" s="49"/>
      <c r="AA2" s="2"/>
      <c r="AB2" s="2"/>
      <c r="AC2" s="2"/>
    </row>
    <row r="3" spans="1:30" ht="18">
      <c r="A3" s="48">
        <v>29215.15</v>
      </c>
      <c r="B3" s="48"/>
      <c r="C3" s="48"/>
      <c r="D3" s="48"/>
      <c r="E3" s="48"/>
      <c r="F3" s="48"/>
      <c r="G3" s="48"/>
      <c r="H3" s="48"/>
      <c r="I3" s="40"/>
      <c r="J3" s="48">
        <v>27541.23</v>
      </c>
      <c r="K3" s="48"/>
      <c r="L3" s="48"/>
      <c r="M3" s="48"/>
      <c r="N3" s="48"/>
      <c r="O3" s="48"/>
      <c r="P3" s="48"/>
      <c r="Q3" s="48"/>
      <c r="R3" s="40"/>
      <c r="S3" s="48">
        <v>45895.25</v>
      </c>
      <c r="T3" s="48"/>
      <c r="U3" s="48"/>
      <c r="V3" s="48"/>
      <c r="W3" s="48"/>
      <c r="X3" s="48"/>
      <c r="Y3" s="48"/>
      <c r="Z3" s="48"/>
      <c r="AA3" s="40"/>
      <c r="AB3" s="40"/>
      <c r="AC3" s="40"/>
      <c r="AD3" s="3"/>
    </row>
    <row r="4" ht="15.75" customHeight="1"/>
    <row r="5" spans="1:32" ht="18">
      <c r="A5" s="52" t="s">
        <v>12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47"/>
    </row>
    <row r="6" spans="1:32" ht="9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53" ht="18" customHeight="1">
      <c r="B7" s="54" t="str">
        <f>"("&amp;B8&amp;"+"&amp;I8&amp;"+"&amp;Q8&amp;") : 3 = "&amp;Z8&amp;" руб."</f>
        <v>(29215,15+27541,23+45895,25) : 3 = 34217,21 руб.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</row>
    <row r="8" spans="1:32" ht="18" hidden="1">
      <c r="A8" s="5" t="s">
        <v>0</v>
      </c>
      <c r="B8" s="51">
        <f>A3</f>
        <v>29215.15</v>
      </c>
      <c r="C8" s="51"/>
      <c r="D8" s="51"/>
      <c r="E8" s="51"/>
      <c r="F8" s="51"/>
      <c r="G8" s="51"/>
      <c r="H8" s="7" t="s">
        <v>2</v>
      </c>
      <c r="I8" s="50">
        <f>J3</f>
        <v>27541.23</v>
      </c>
      <c r="J8" s="50"/>
      <c r="K8" s="50"/>
      <c r="L8" s="50"/>
      <c r="M8" s="50"/>
      <c r="N8" s="50"/>
      <c r="O8" s="6"/>
      <c r="P8" s="7" t="s">
        <v>2</v>
      </c>
      <c r="Q8" s="50">
        <f>S3</f>
        <v>45895.25</v>
      </c>
      <c r="R8" s="50"/>
      <c r="S8" s="50"/>
      <c r="T8" s="50"/>
      <c r="U8" s="50"/>
      <c r="V8" s="50"/>
      <c r="W8" s="8"/>
      <c r="X8" s="55" t="s">
        <v>4</v>
      </c>
      <c r="Y8" s="55"/>
      <c r="Z8" s="53">
        <f>ROUND((B8+I8+Q8)/3,2)</f>
        <v>34217.21</v>
      </c>
      <c r="AA8" s="53"/>
      <c r="AB8" s="53"/>
      <c r="AC8" s="53"/>
      <c r="AD8" s="53"/>
      <c r="AE8" s="53"/>
      <c r="AF8" s="53"/>
    </row>
    <row r="9" spans="1:32" ht="9" customHeight="1">
      <c r="A9" s="10"/>
      <c r="B9" s="11"/>
      <c r="C9" s="11"/>
      <c r="D9" s="11"/>
      <c r="E9" s="11"/>
      <c r="F9" s="11"/>
      <c r="G9" s="11"/>
      <c r="H9" s="7"/>
      <c r="I9" s="12"/>
      <c r="J9" s="12"/>
      <c r="K9" s="12"/>
      <c r="L9" s="12"/>
      <c r="M9" s="12"/>
      <c r="N9" s="12"/>
      <c r="O9" s="12"/>
      <c r="P9" s="7"/>
      <c r="Q9" s="13"/>
      <c r="R9" s="13"/>
      <c r="S9" s="13"/>
      <c r="T9" s="13"/>
      <c r="U9" s="13"/>
      <c r="V9" s="13"/>
      <c r="W9" s="13"/>
      <c r="X9" s="14"/>
      <c r="Z9" s="15"/>
      <c r="AA9" s="15"/>
      <c r="AB9" s="15"/>
      <c r="AC9" s="15"/>
      <c r="AD9" s="15"/>
      <c r="AE9" s="15"/>
      <c r="AF9" s="15"/>
    </row>
    <row r="10" spans="1:32" ht="18">
      <c r="A10" s="52" t="s">
        <v>11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47"/>
    </row>
    <row r="11" spans="1:32" ht="9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2:53" ht="18" customHeight="1">
      <c r="B12" s="54" t="str">
        <f>"("&amp;B13&amp;"-"&amp;I13&amp;")"&amp;Q13&amp;"+"&amp;"("&amp;B14&amp;"-"&amp;I14&amp;")"&amp;Q14&amp;"+"&amp;"("&amp;B15&amp;"-"&amp;I15&amp;")"&amp;Q15&amp;" = "&amp;S15</f>
        <v>(29215,15-34217,21)²+(27541,23-34217,21)²+(45895,25-34217,21)² = 205965931,45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</row>
    <row r="13" spans="1:32" ht="23.25" hidden="1">
      <c r="A13" s="5" t="s">
        <v>0</v>
      </c>
      <c r="B13" s="50">
        <f>B8</f>
        <v>29215.15</v>
      </c>
      <c r="C13" s="50"/>
      <c r="D13" s="50"/>
      <c r="E13" s="50"/>
      <c r="F13" s="50"/>
      <c r="G13" s="50"/>
      <c r="H13" s="7" t="s">
        <v>5</v>
      </c>
      <c r="I13" s="50">
        <f>Z8</f>
        <v>34217.21</v>
      </c>
      <c r="J13" s="50"/>
      <c r="K13" s="50"/>
      <c r="L13" s="50"/>
      <c r="M13" s="50"/>
      <c r="N13" s="50"/>
      <c r="O13" s="8"/>
      <c r="P13" s="33" t="s">
        <v>1</v>
      </c>
      <c r="Q13" s="36" t="s">
        <v>16</v>
      </c>
      <c r="R13" s="7" t="s">
        <v>2</v>
      </c>
      <c r="Z13" s="7"/>
      <c r="AA13" s="15"/>
      <c r="AB13" s="15"/>
      <c r="AC13" s="15"/>
      <c r="AD13" s="15"/>
      <c r="AE13" s="15"/>
      <c r="AF13" s="15"/>
    </row>
    <row r="14" spans="1:18" ht="23.25" hidden="1">
      <c r="A14" s="5" t="s">
        <v>0</v>
      </c>
      <c r="B14" s="50">
        <f>I8</f>
        <v>27541.23</v>
      </c>
      <c r="C14" s="50"/>
      <c r="D14" s="50"/>
      <c r="E14" s="50"/>
      <c r="F14" s="50"/>
      <c r="G14" s="50"/>
      <c r="H14" s="7" t="s">
        <v>5</v>
      </c>
      <c r="I14" s="50">
        <f>Z8</f>
        <v>34217.21</v>
      </c>
      <c r="J14" s="50"/>
      <c r="K14" s="50"/>
      <c r="L14" s="50"/>
      <c r="M14" s="50"/>
      <c r="N14" s="50"/>
      <c r="P14" s="33" t="s">
        <v>1</v>
      </c>
      <c r="Q14" s="36" t="s">
        <v>16</v>
      </c>
      <c r="R14" s="7" t="s">
        <v>2</v>
      </c>
    </row>
    <row r="15" spans="1:32" ht="23.25" hidden="1">
      <c r="A15" s="5" t="s">
        <v>0</v>
      </c>
      <c r="B15" s="50">
        <f>Q8</f>
        <v>45895.25</v>
      </c>
      <c r="C15" s="50"/>
      <c r="D15" s="50"/>
      <c r="E15" s="50"/>
      <c r="F15" s="50"/>
      <c r="G15" s="50"/>
      <c r="H15" s="7" t="s">
        <v>5</v>
      </c>
      <c r="I15" s="50">
        <f>Z8</f>
        <v>34217.21</v>
      </c>
      <c r="J15" s="50"/>
      <c r="K15" s="50"/>
      <c r="L15" s="50"/>
      <c r="M15" s="50"/>
      <c r="N15" s="50"/>
      <c r="P15" s="33" t="s">
        <v>1</v>
      </c>
      <c r="Q15" s="36" t="s">
        <v>16</v>
      </c>
      <c r="R15" s="9" t="s">
        <v>3</v>
      </c>
      <c r="S15" s="57">
        <f>ROUND(P16+P17+P18,2)</f>
        <v>205965931.45</v>
      </c>
      <c r="T15" s="57"/>
      <c r="U15" s="57"/>
      <c r="V15" s="57"/>
      <c r="W15" s="57"/>
      <c r="X15" s="57"/>
      <c r="Y15" s="57"/>
      <c r="Z15" s="57"/>
      <c r="AA15" s="57"/>
      <c r="AB15" s="16"/>
      <c r="AC15" s="16"/>
      <c r="AD15" s="16"/>
      <c r="AE15" s="16"/>
      <c r="AF15" s="16"/>
    </row>
    <row r="16" spans="2:24" ht="12.75" hidden="1">
      <c r="B16" s="58">
        <f>B13-I13</f>
        <v>-5002.059999999998</v>
      </c>
      <c r="C16" s="58"/>
      <c r="D16" s="58"/>
      <c r="E16" s="58"/>
      <c r="F16" s="58"/>
      <c r="G16" s="58"/>
      <c r="H16" s="58"/>
      <c r="I16" s="58">
        <f>B16</f>
        <v>-5002.059999999998</v>
      </c>
      <c r="J16" s="59"/>
      <c r="K16" s="59"/>
      <c r="L16" s="59"/>
      <c r="M16" s="59"/>
      <c r="N16" s="59"/>
      <c r="O16" s="59"/>
      <c r="P16" s="60">
        <f>B16*I16</f>
        <v>25020604.243599977</v>
      </c>
      <c r="Q16" s="60"/>
      <c r="R16" s="60"/>
      <c r="S16" s="60"/>
      <c r="T16" s="60"/>
      <c r="U16" s="60"/>
      <c r="V16" s="60"/>
      <c r="W16" s="60"/>
      <c r="X16" s="60"/>
    </row>
    <row r="17" spans="2:24" ht="12.75" hidden="1">
      <c r="B17" s="58">
        <f>B14-I14</f>
        <v>-6675.98</v>
      </c>
      <c r="C17" s="58"/>
      <c r="D17" s="58"/>
      <c r="E17" s="58"/>
      <c r="F17" s="58"/>
      <c r="G17" s="58"/>
      <c r="H17" s="58"/>
      <c r="I17" s="58">
        <f>B17</f>
        <v>-6675.98</v>
      </c>
      <c r="J17" s="59"/>
      <c r="K17" s="59"/>
      <c r="L17" s="59"/>
      <c r="M17" s="59"/>
      <c r="N17" s="59"/>
      <c r="O17" s="59"/>
      <c r="P17" s="60">
        <f>B17*I17</f>
        <v>44568708.96039999</v>
      </c>
      <c r="Q17" s="60"/>
      <c r="R17" s="60"/>
      <c r="S17" s="60"/>
      <c r="T17" s="60"/>
      <c r="U17" s="60"/>
      <c r="V17" s="60"/>
      <c r="W17" s="60"/>
      <c r="X17" s="60"/>
    </row>
    <row r="18" spans="2:24" ht="12.75" hidden="1">
      <c r="B18" s="58">
        <f>B15-I15</f>
        <v>11678.04</v>
      </c>
      <c r="C18" s="58"/>
      <c r="D18" s="58"/>
      <c r="E18" s="58"/>
      <c r="F18" s="58"/>
      <c r="G18" s="58"/>
      <c r="H18" s="58"/>
      <c r="I18" s="58">
        <f>B18</f>
        <v>11678.04</v>
      </c>
      <c r="J18" s="59"/>
      <c r="K18" s="59"/>
      <c r="L18" s="59"/>
      <c r="M18" s="59"/>
      <c r="N18" s="59"/>
      <c r="O18" s="59"/>
      <c r="P18" s="60">
        <f>B18*I18</f>
        <v>136376618.2416</v>
      </c>
      <c r="Q18" s="60"/>
      <c r="R18" s="60"/>
      <c r="S18" s="60"/>
      <c r="T18" s="60"/>
      <c r="U18" s="60"/>
      <c r="V18" s="60"/>
      <c r="W18" s="60"/>
      <c r="X18" s="60"/>
    </row>
    <row r="19" spans="2:24" ht="9" customHeight="1">
      <c r="B19" s="17"/>
      <c r="C19" s="17"/>
      <c r="D19" s="17"/>
      <c r="E19" s="17"/>
      <c r="F19" s="17"/>
      <c r="G19" s="17"/>
      <c r="H19" s="17"/>
      <c r="I19" s="17"/>
      <c r="J19" s="18"/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19"/>
      <c r="V19" s="19"/>
      <c r="W19" s="19"/>
      <c r="X19" s="19"/>
    </row>
    <row r="20" spans="2:53" ht="18" customHeight="1">
      <c r="B20" s="54" t="str">
        <f>S15&amp;" : (3-1)"&amp;" = "&amp;S21</f>
        <v>205965931,45 : (3-1) = 102982965,73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</row>
    <row r="21" spans="6:27" ht="16.5" hidden="1">
      <c r="F21" s="62">
        <f>S15</f>
        <v>205965931.45</v>
      </c>
      <c r="G21" s="62"/>
      <c r="H21" s="62"/>
      <c r="I21" s="62"/>
      <c r="J21" s="62"/>
      <c r="K21" s="62"/>
      <c r="L21" s="62"/>
      <c r="M21" s="62"/>
      <c r="N21" s="62"/>
      <c r="O21" s="55" t="s">
        <v>6</v>
      </c>
      <c r="P21" s="55"/>
      <c r="Q21" s="55"/>
      <c r="R21" s="9" t="s">
        <v>3</v>
      </c>
      <c r="S21" s="57">
        <f>ROUND(F21/2,2)</f>
        <v>102982965.73</v>
      </c>
      <c r="T21" s="57"/>
      <c r="U21" s="57"/>
      <c r="V21" s="57"/>
      <c r="W21" s="57"/>
      <c r="X21" s="57"/>
      <c r="Y21" s="57"/>
      <c r="Z21" s="57"/>
      <c r="AA21" s="57"/>
    </row>
    <row r="22" spans="2:27" ht="9" customHeight="1">
      <c r="B22" s="37"/>
      <c r="F22" s="35"/>
      <c r="G22" s="35"/>
      <c r="H22" s="35"/>
      <c r="I22" s="35"/>
      <c r="J22" s="35"/>
      <c r="K22" s="35"/>
      <c r="L22" s="35"/>
      <c r="M22" s="35"/>
      <c r="N22" s="35"/>
      <c r="O22" s="9"/>
      <c r="P22" s="9"/>
      <c r="Q22" s="9"/>
      <c r="R22" s="9"/>
      <c r="S22" s="16"/>
      <c r="T22" s="16"/>
      <c r="U22" s="16"/>
      <c r="V22" s="16"/>
      <c r="W22" s="16"/>
      <c r="X22" s="16"/>
      <c r="Y22" s="16"/>
      <c r="Z22" s="16"/>
      <c r="AA22" s="16"/>
    </row>
    <row r="23" spans="2:53" ht="18" customHeight="1">
      <c r="B23" s="54" t="str">
        <f>"Корень из  "&amp;AS23&amp;I24&amp;" равен "&amp;S24</f>
        <v>Корень из  102982965,73 равен 10148,05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</row>
    <row r="24" spans="2:27" ht="18" customHeight="1" hidden="1">
      <c r="B24" s="20"/>
      <c r="D24" s="6"/>
      <c r="E24" s="6"/>
      <c r="F24" s="6"/>
      <c r="G24" s="6"/>
      <c r="H24" s="6"/>
      <c r="I24" s="51">
        <f>S21</f>
        <v>102982965.73</v>
      </c>
      <c r="J24" s="51"/>
      <c r="K24" s="51"/>
      <c r="L24" s="51"/>
      <c r="M24" s="51"/>
      <c r="N24" s="51"/>
      <c r="O24" s="51"/>
      <c r="P24" s="51"/>
      <c r="Q24" s="51"/>
      <c r="R24" s="9" t="s">
        <v>3</v>
      </c>
      <c r="S24" s="61">
        <f>ROUND(SQRT(I24),2)</f>
        <v>10148.05</v>
      </c>
      <c r="T24" s="61"/>
      <c r="U24" s="61"/>
      <c r="V24" s="61"/>
      <c r="W24" s="61"/>
      <c r="X24" s="61"/>
      <c r="Y24" s="61"/>
      <c r="Z24" s="61"/>
      <c r="AA24" s="61"/>
    </row>
    <row r="25" spans="2:27" ht="9" customHeight="1">
      <c r="B25" s="2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9"/>
      <c r="S25" s="31"/>
      <c r="T25" s="31"/>
      <c r="U25" s="31"/>
      <c r="V25" s="31"/>
      <c r="W25" s="31"/>
      <c r="X25" s="31"/>
      <c r="Y25" s="31"/>
      <c r="Z25" s="31"/>
      <c r="AA25" s="31"/>
    </row>
    <row r="26" spans="1:32" ht="18">
      <c r="A26" s="52" t="s">
        <v>10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47"/>
    </row>
    <row r="27" spans="1:32" ht="9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53" ht="18" customHeight="1">
      <c r="A28" s="4"/>
      <c r="B28" s="54" t="str">
        <f>"("&amp;B29&amp;" : "&amp;I29&amp;")"&amp;"х"&amp;"100"&amp;" = "&amp;U29&amp;"%"</f>
        <v>(10148,05 : 34217,21)х100 = 29,7%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</row>
    <row r="29" spans="1:30" ht="16.5" hidden="1">
      <c r="A29" s="5" t="s">
        <v>0</v>
      </c>
      <c r="B29" s="63">
        <f>S24</f>
        <v>10148.05</v>
      </c>
      <c r="C29" s="63"/>
      <c r="D29" s="63"/>
      <c r="E29" s="63"/>
      <c r="F29" s="63"/>
      <c r="G29" s="63"/>
      <c r="H29" s="38" t="s">
        <v>7</v>
      </c>
      <c r="I29" s="63">
        <f>Z8</f>
        <v>34217.21</v>
      </c>
      <c r="J29" s="63"/>
      <c r="K29" s="63"/>
      <c r="L29" s="63"/>
      <c r="M29" s="63"/>
      <c r="N29" s="63"/>
      <c r="O29" s="63"/>
      <c r="P29" s="9" t="s">
        <v>1</v>
      </c>
      <c r="Q29" s="46" t="s">
        <v>18</v>
      </c>
      <c r="R29" s="64">
        <v>100</v>
      </c>
      <c r="S29" s="64"/>
      <c r="T29" s="9" t="s">
        <v>3</v>
      </c>
      <c r="U29" s="65">
        <f>ROUND(B29/I29*R29,1)</f>
        <v>29.7</v>
      </c>
      <c r="V29" s="65"/>
      <c r="W29" s="65"/>
      <c r="X29" s="65"/>
      <c r="Y29" s="65"/>
      <c r="Z29" s="25"/>
      <c r="AA29" s="25"/>
      <c r="AB29" s="25"/>
      <c r="AC29" s="25"/>
      <c r="AD29" s="25"/>
    </row>
    <row r="30" spans="1:30" ht="12.75" customHeight="1">
      <c r="A30" s="5"/>
      <c r="B30" s="21"/>
      <c r="C30" s="21"/>
      <c r="D30" s="21"/>
      <c r="E30" s="21"/>
      <c r="F30" s="21"/>
      <c r="G30" s="21"/>
      <c r="H30" s="22"/>
      <c r="I30" s="21"/>
      <c r="J30" s="21"/>
      <c r="K30" s="21"/>
      <c r="L30" s="21"/>
      <c r="M30" s="21"/>
      <c r="N30" s="21"/>
      <c r="O30" s="21"/>
      <c r="P30" s="9"/>
      <c r="Q30" s="23"/>
      <c r="R30" s="24"/>
      <c r="S30" s="24"/>
      <c r="T30" s="9"/>
      <c r="U30" s="26"/>
      <c r="V30" s="26"/>
      <c r="W30" s="26"/>
      <c r="X30" s="26"/>
      <c r="Y30" s="26"/>
      <c r="Z30" s="25"/>
      <c r="AA30" s="25"/>
      <c r="AB30" s="25"/>
      <c r="AC30" s="25"/>
      <c r="AD30" s="25"/>
    </row>
    <row r="31" spans="1:32" ht="18">
      <c r="A31" s="52" t="s">
        <v>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47"/>
    </row>
    <row r="32" spans="1:32" ht="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53" ht="18" customHeight="1">
      <c r="A33" s="4"/>
      <c r="B33" s="54" t="str">
        <f>"НМЦК"&amp;" = "&amp;"1"&amp;" : "&amp;"3х"&amp;"("&amp;J34&amp;"+"&amp;Q34&amp;"+"&amp;X34&amp;")"&amp;" = "&amp;AF34&amp;" руб."</f>
        <v>НМЦК = 1 : 3х(29215,15+27541,23+45895,25) = 34217,21 руб.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</row>
    <row r="34" spans="2:41" ht="18" hidden="1">
      <c r="B34" s="56" t="s">
        <v>13</v>
      </c>
      <c r="C34" s="56"/>
      <c r="D34" s="56"/>
      <c r="E34" s="9" t="s">
        <v>3</v>
      </c>
      <c r="F34" s="27">
        <v>1</v>
      </c>
      <c r="G34" s="4" t="s">
        <v>7</v>
      </c>
      <c r="H34" s="27">
        <v>3</v>
      </c>
      <c r="I34" s="5" t="s">
        <v>0</v>
      </c>
      <c r="J34" s="50">
        <f>A3</f>
        <v>29215.15</v>
      </c>
      <c r="K34" s="50"/>
      <c r="L34" s="50"/>
      <c r="M34" s="50"/>
      <c r="N34" s="50"/>
      <c r="O34" s="50"/>
      <c r="P34" s="7" t="s">
        <v>2</v>
      </c>
      <c r="Q34" s="50">
        <f>J3</f>
        <v>27541.23</v>
      </c>
      <c r="R34" s="50"/>
      <c r="S34" s="50"/>
      <c r="T34" s="50"/>
      <c r="U34" s="50"/>
      <c r="V34" s="50"/>
      <c r="W34" s="7" t="s">
        <v>2</v>
      </c>
      <c r="X34" s="50">
        <f>S3</f>
        <v>45895.25</v>
      </c>
      <c r="Y34" s="50"/>
      <c r="Z34" s="50"/>
      <c r="AA34" s="50"/>
      <c r="AB34" s="50"/>
      <c r="AC34" s="50"/>
      <c r="AD34" s="9" t="s">
        <v>1</v>
      </c>
      <c r="AE34" s="9" t="s">
        <v>3</v>
      </c>
      <c r="AF34" s="34">
        <f>ROUND(1/3*(J34+Q34+X34),2)</f>
        <v>34217.21</v>
      </c>
      <c r="AG34" s="30"/>
      <c r="AH34" s="30"/>
      <c r="AI34" s="30"/>
      <c r="AJ34" s="30"/>
      <c r="AK34" s="30"/>
      <c r="AL34" s="30"/>
      <c r="AM34" s="30"/>
      <c r="AN34" s="30"/>
      <c r="AO34" s="30"/>
    </row>
    <row r="35" spans="2:41" ht="15" customHeight="1">
      <c r="B35" s="4"/>
      <c r="C35" s="4"/>
      <c r="D35" s="4"/>
      <c r="E35" s="9"/>
      <c r="F35" s="27"/>
      <c r="G35" s="4"/>
      <c r="H35" s="27"/>
      <c r="I35" s="5"/>
      <c r="J35" s="8"/>
      <c r="K35" s="8"/>
      <c r="L35" s="8"/>
      <c r="M35" s="8"/>
      <c r="N35" s="8"/>
      <c r="O35" s="8"/>
      <c r="P35" s="7"/>
      <c r="Q35" s="8"/>
      <c r="R35" s="8"/>
      <c r="S35" s="8"/>
      <c r="T35" s="8"/>
      <c r="U35" s="8"/>
      <c r="V35" s="8"/>
      <c r="W35" s="7"/>
      <c r="X35" s="8"/>
      <c r="Y35" s="8"/>
      <c r="Z35" s="8"/>
      <c r="AA35" s="8"/>
      <c r="AB35" s="8"/>
      <c r="AC35" s="8"/>
      <c r="AD35" s="9"/>
      <c r="AE35" s="9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  <row r="36" spans="1:32" ht="18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ht="16.5">
      <c r="J37" s="9"/>
    </row>
  </sheetData>
  <sheetProtection password="CC5D" sheet="1" objects="1" scenarios="1" selectLockedCells="1"/>
  <mergeCells count="50">
    <mergeCell ref="B12:BA12"/>
    <mergeCell ref="B20:BA20"/>
    <mergeCell ref="B23:BA23"/>
    <mergeCell ref="B28:BA28"/>
    <mergeCell ref="A26:AE26"/>
    <mergeCell ref="B29:G29"/>
    <mergeCell ref="I29:O29"/>
    <mergeCell ref="R29:S29"/>
    <mergeCell ref="U29:Y29"/>
    <mergeCell ref="B33:BA33"/>
    <mergeCell ref="A31:AE31"/>
    <mergeCell ref="S24:AA24"/>
    <mergeCell ref="I24:Q24"/>
    <mergeCell ref="S21:AA21"/>
    <mergeCell ref="O21:Q21"/>
    <mergeCell ref="F21:N21"/>
    <mergeCell ref="B16:H16"/>
    <mergeCell ref="I16:O16"/>
    <mergeCell ref="P16:X16"/>
    <mergeCell ref="B18:H18"/>
    <mergeCell ref="P18:X18"/>
    <mergeCell ref="I18:O18"/>
    <mergeCell ref="B34:D34"/>
    <mergeCell ref="J34:O34"/>
    <mergeCell ref="Q34:V34"/>
    <mergeCell ref="X34:AC34"/>
    <mergeCell ref="S15:AA15"/>
    <mergeCell ref="B15:G15"/>
    <mergeCell ref="B17:H17"/>
    <mergeCell ref="I17:O17"/>
    <mergeCell ref="P17:X17"/>
    <mergeCell ref="Q8:V8"/>
    <mergeCell ref="X8:Y8"/>
    <mergeCell ref="B7:BA7"/>
    <mergeCell ref="A10:AE10"/>
    <mergeCell ref="I8:N8"/>
    <mergeCell ref="B8:G8"/>
    <mergeCell ref="Z8:AF8"/>
    <mergeCell ref="A5:AE5"/>
    <mergeCell ref="B14:G14"/>
    <mergeCell ref="I14:N14"/>
    <mergeCell ref="I15:N15"/>
    <mergeCell ref="B13:G13"/>
    <mergeCell ref="I13:N13"/>
    <mergeCell ref="A3:H3"/>
    <mergeCell ref="J3:Q3"/>
    <mergeCell ref="S3:Z3"/>
    <mergeCell ref="A2:H2"/>
    <mergeCell ref="S2:Z2"/>
    <mergeCell ref="J2:Q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A43"/>
  <sheetViews>
    <sheetView showGridLines="0" showRowColHeaders="0" workbookViewId="0" topLeftCell="A1">
      <selection activeCell="A2" sqref="A2:H2"/>
    </sheetView>
  </sheetViews>
  <sheetFormatPr defaultColWidth="9.00390625" defaultRowHeight="12.75"/>
  <cols>
    <col min="1" max="48" width="2.75390625" style="1" customWidth="1"/>
    <col min="49" max="16384" width="9.125" style="1" customWidth="1"/>
  </cols>
  <sheetData>
    <row r="1" ht="30" customHeight="1">
      <c r="O1" s="44" t="s">
        <v>17</v>
      </c>
    </row>
    <row r="2" spans="1:35" ht="18">
      <c r="A2" s="49">
        <v>1</v>
      </c>
      <c r="B2" s="49"/>
      <c r="C2" s="49"/>
      <c r="D2" s="49"/>
      <c r="E2" s="49"/>
      <c r="F2" s="49"/>
      <c r="G2" s="49"/>
      <c r="H2" s="49"/>
      <c r="I2" s="2"/>
      <c r="J2" s="49">
        <v>2</v>
      </c>
      <c r="K2" s="49"/>
      <c r="L2" s="49"/>
      <c r="M2" s="49"/>
      <c r="N2" s="49"/>
      <c r="O2" s="49"/>
      <c r="P2" s="49"/>
      <c r="Q2" s="49"/>
      <c r="R2" s="2"/>
      <c r="S2" s="49">
        <v>3</v>
      </c>
      <c r="T2" s="49"/>
      <c r="U2" s="49"/>
      <c r="V2" s="49"/>
      <c r="W2" s="49"/>
      <c r="X2" s="49"/>
      <c r="Y2" s="49"/>
      <c r="Z2" s="49"/>
      <c r="AA2" s="2"/>
      <c r="AB2" s="49">
        <v>4</v>
      </c>
      <c r="AC2" s="49"/>
      <c r="AD2" s="49"/>
      <c r="AE2" s="49"/>
      <c r="AF2" s="49"/>
      <c r="AG2" s="49"/>
      <c r="AH2" s="49"/>
      <c r="AI2" s="49"/>
    </row>
    <row r="3" spans="1:35" ht="18">
      <c r="A3" s="48">
        <v>200.12</v>
      </c>
      <c r="B3" s="48"/>
      <c r="C3" s="48"/>
      <c r="D3" s="48"/>
      <c r="E3" s="48"/>
      <c r="F3" s="48"/>
      <c r="G3" s="48"/>
      <c r="H3" s="48"/>
      <c r="I3" s="28"/>
      <c r="J3" s="48">
        <v>118.16</v>
      </c>
      <c r="K3" s="48"/>
      <c r="L3" s="48"/>
      <c r="M3" s="48"/>
      <c r="N3" s="48"/>
      <c r="O3" s="48"/>
      <c r="P3" s="48"/>
      <c r="Q3" s="48"/>
      <c r="R3" s="28"/>
      <c r="S3" s="48">
        <v>152.85</v>
      </c>
      <c r="T3" s="48"/>
      <c r="U3" s="48"/>
      <c r="V3" s="48"/>
      <c r="W3" s="48"/>
      <c r="X3" s="48"/>
      <c r="Y3" s="48"/>
      <c r="Z3" s="48"/>
      <c r="AA3" s="28"/>
      <c r="AB3" s="48">
        <v>168.02</v>
      </c>
      <c r="AC3" s="48"/>
      <c r="AD3" s="48"/>
      <c r="AE3" s="48"/>
      <c r="AF3" s="48"/>
      <c r="AG3" s="48"/>
      <c r="AH3" s="48"/>
      <c r="AI3" s="48"/>
    </row>
    <row r="4" ht="15.75" customHeight="1"/>
    <row r="5" spans="1:33" ht="18">
      <c r="A5" s="52" t="s">
        <v>12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47"/>
      <c r="AG5" s="47"/>
    </row>
    <row r="6" spans="1:33" ht="9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53" ht="18" customHeight="1">
      <c r="B7" s="54" t="str">
        <f>"("&amp;B8&amp;"+"&amp;J8&amp;"+"&amp;R8&amp;"+"&amp;Y8&amp;") : 4 = "&amp;AI8&amp;" руб."</f>
        <v>(200,12+118,16+152,85+168,02) : 4 = 159,79 руб.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</row>
    <row r="8" spans="1:43" ht="18" hidden="1">
      <c r="A8" s="5" t="s">
        <v>0</v>
      </c>
      <c r="B8" s="51">
        <f>A3</f>
        <v>200.12</v>
      </c>
      <c r="C8" s="51"/>
      <c r="D8" s="51"/>
      <c r="E8" s="51"/>
      <c r="F8" s="51"/>
      <c r="G8" s="51"/>
      <c r="H8" s="6"/>
      <c r="I8" s="7" t="s">
        <v>2</v>
      </c>
      <c r="J8" s="50">
        <f>J3</f>
        <v>118.16</v>
      </c>
      <c r="K8" s="50"/>
      <c r="L8" s="50"/>
      <c r="M8" s="50"/>
      <c r="N8" s="50"/>
      <c r="O8" s="50"/>
      <c r="P8" s="6"/>
      <c r="Q8" s="7" t="s">
        <v>2</v>
      </c>
      <c r="R8" s="50">
        <f>S3</f>
        <v>152.85</v>
      </c>
      <c r="S8" s="50"/>
      <c r="T8" s="50"/>
      <c r="U8" s="50"/>
      <c r="V8" s="50"/>
      <c r="W8" s="50"/>
      <c r="X8" s="7" t="s">
        <v>2</v>
      </c>
      <c r="Y8" s="50">
        <f>AB3</f>
        <v>168.02</v>
      </c>
      <c r="Z8" s="50"/>
      <c r="AA8" s="50"/>
      <c r="AB8" s="50"/>
      <c r="AC8" s="50"/>
      <c r="AD8" s="50"/>
      <c r="AE8" s="9" t="s">
        <v>1</v>
      </c>
      <c r="AF8" s="9" t="s">
        <v>7</v>
      </c>
      <c r="AG8" s="29">
        <v>4</v>
      </c>
      <c r="AH8" s="9" t="s">
        <v>3</v>
      </c>
      <c r="AI8" s="53">
        <f>ROUND((B8+J8+R8+Y8)/AG8,2)</f>
        <v>159.79</v>
      </c>
      <c r="AJ8" s="53"/>
      <c r="AK8" s="53"/>
      <c r="AL8" s="53"/>
      <c r="AM8" s="53"/>
      <c r="AN8" s="53"/>
      <c r="AO8" s="30"/>
      <c r="AP8" s="30"/>
      <c r="AQ8" s="30"/>
    </row>
    <row r="9" spans="1:33" ht="9" customHeight="1">
      <c r="A9" s="5"/>
      <c r="B9" s="6"/>
      <c r="C9" s="6"/>
      <c r="D9" s="6"/>
      <c r="E9" s="6"/>
      <c r="F9" s="6"/>
      <c r="G9" s="6"/>
      <c r="H9" s="6"/>
      <c r="I9" s="7"/>
      <c r="J9" s="8"/>
      <c r="K9" s="8"/>
      <c r="L9" s="8"/>
      <c r="M9" s="8"/>
      <c r="N9" s="8"/>
      <c r="O9" s="8"/>
      <c r="P9" s="6"/>
      <c r="Q9" s="7"/>
      <c r="R9" s="8"/>
      <c r="S9" s="8"/>
      <c r="T9" s="8"/>
      <c r="U9" s="8"/>
      <c r="V9" s="8"/>
      <c r="W9" s="8"/>
      <c r="X9" s="8"/>
      <c r="Y9" s="9"/>
      <c r="Z9" s="9"/>
      <c r="AA9" s="30"/>
      <c r="AB9" s="30"/>
      <c r="AC9" s="30"/>
      <c r="AD9" s="30"/>
      <c r="AE9" s="30"/>
      <c r="AF9" s="30"/>
      <c r="AG9" s="30"/>
    </row>
    <row r="10" spans="1:33" ht="18">
      <c r="A10" s="52" t="s">
        <v>11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47"/>
      <c r="AG10" s="47"/>
    </row>
    <row r="11" ht="9" customHeight="1"/>
    <row r="12" spans="2:53" ht="18" customHeight="1">
      <c r="B12" s="54" t="str">
        <f>"("&amp;B13&amp;"-"&amp;J13&amp;")"&amp;R13&amp;"+("&amp;B14&amp;"-"&amp;J14&amp;")"&amp;R14&amp;"+"&amp;"("&amp;B15&amp;"-"&amp;J15&amp;")"&amp;R15&amp;"+"&amp;"("&amp;B16&amp;"-"&amp;J16&amp;")"&amp;R16&amp;" = "&amp;V16</f>
        <v>(200,12-159,79)²+(118,16-159,79)²+(152,85-159,79)²+(168,02-159,79)² = 3475,46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</row>
    <row r="13" spans="1:34" ht="23.25" hidden="1">
      <c r="A13" s="5" t="s">
        <v>0</v>
      </c>
      <c r="B13" s="50">
        <f>A3</f>
        <v>200.12</v>
      </c>
      <c r="C13" s="50"/>
      <c r="D13" s="50"/>
      <c r="E13" s="50"/>
      <c r="F13" s="50"/>
      <c r="G13" s="50"/>
      <c r="H13" s="8"/>
      <c r="I13" s="7" t="s">
        <v>5</v>
      </c>
      <c r="J13" s="50">
        <f>AI8</f>
        <v>159.79</v>
      </c>
      <c r="K13" s="50"/>
      <c r="L13" s="50"/>
      <c r="M13" s="50"/>
      <c r="N13" s="50"/>
      <c r="O13" s="50"/>
      <c r="P13" s="8"/>
      <c r="Q13" s="33" t="s">
        <v>1</v>
      </c>
      <c r="R13" s="36" t="s">
        <v>16</v>
      </c>
      <c r="S13" s="7" t="s">
        <v>2</v>
      </c>
      <c r="AA13" s="7"/>
      <c r="AB13" s="15"/>
      <c r="AC13" s="15"/>
      <c r="AD13" s="15"/>
      <c r="AE13" s="15"/>
      <c r="AF13" s="15"/>
      <c r="AG13" s="15"/>
      <c r="AH13" s="15"/>
    </row>
    <row r="14" spans="1:19" ht="23.25" hidden="1">
      <c r="A14" s="5" t="s">
        <v>0</v>
      </c>
      <c r="B14" s="50">
        <f>J8</f>
        <v>118.16</v>
      </c>
      <c r="C14" s="50"/>
      <c r="D14" s="50"/>
      <c r="E14" s="50"/>
      <c r="F14" s="50"/>
      <c r="G14" s="50"/>
      <c r="H14" s="8"/>
      <c r="I14" s="7" t="s">
        <v>5</v>
      </c>
      <c r="J14" s="50">
        <f>AI8</f>
        <v>159.79</v>
      </c>
      <c r="K14" s="50"/>
      <c r="L14" s="50"/>
      <c r="M14" s="50"/>
      <c r="N14" s="50"/>
      <c r="O14" s="50"/>
      <c r="Q14" s="33" t="s">
        <v>1</v>
      </c>
      <c r="R14" s="36" t="s">
        <v>16</v>
      </c>
      <c r="S14" s="7" t="s">
        <v>2</v>
      </c>
    </row>
    <row r="15" spans="1:19" ht="23.25" hidden="1">
      <c r="A15" s="5" t="s">
        <v>0</v>
      </c>
      <c r="B15" s="50">
        <f>S3</f>
        <v>152.85</v>
      </c>
      <c r="C15" s="50"/>
      <c r="D15" s="50"/>
      <c r="E15" s="50"/>
      <c r="F15" s="50"/>
      <c r="G15" s="50"/>
      <c r="H15" s="8"/>
      <c r="I15" s="7" t="s">
        <v>5</v>
      </c>
      <c r="J15" s="50">
        <f>AI8</f>
        <v>159.79</v>
      </c>
      <c r="K15" s="50"/>
      <c r="L15" s="50"/>
      <c r="M15" s="50"/>
      <c r="N15" s="50"/>
      <c r="O15" s="50"/>
      <c r="Q15" s="33" t="s">
        <v>1</v>
      </c>
      <c r="R15" s="36" t="s">
        <v>16</v>
      </c>
      <c r="S15" s="7" t="s">
        <v>2</v>
      </c>
    </row>
    <row r="16" spans="1:33" ht="23.25" hidden="1">
      <c r="A16" s="5" t="s">
        <v>0</v>
      </c>
      <c r="B16" s="50">
        <f>AB3</f>
        <v>168.02</v>
      </c>
      <c r="C16" s="50"/>
      <c r="D16" s="50"/>
      <c r="E16" s="50"/>
      <c r="F16" s="50"/>
      <c r="G16" s="50"/>
      <c r="H16" s="8"/>
      <c r="I16" s="7" t="s">
        <v>5</v>
      </c>
      <c r="J16" s="50">
        <f>AI8</f>
        <v>159.79</v>
      </c>
      <c r="K16" s="50"/>
      <c r="L16" s="50"/>
      <c r="M16" s="50"/>
      <c r="N16" s="50"/>
      <c r="O16" s="50"/>
      <c r="Q16" s="33" t="s">
        <v>1</v>
      </c>
      <c r="R16" s="36" t="s">
        <v>16</v>
      </c>
      <c r="S16" s="7"/>
      <c r="T16" s="9" t="s">
        <v>3</v>
      </c>
      <c r="U16" s="16"/>
      <c r="V16" s="57">
        <f>ROUND(Q18+Q19+Q20+Q21,2)</f>
        <v>3475.46</v>
      </c>
      <c r="W16" s="57"/>
      <c r="X16" s="57"/>
      <c r="Y16" s="57"/>
      <c r="Z16" s="57"/>
      <c r="AA16" s="57"/>
      <c r="AB16" s="57"/>
      <c r="AC16" s="57"/>
      <c r="AD16" s="16"/>
      <c r="AE16" s="16"/>
      <c r="AF16" s="16"/>
      <c r="AG16" s="16"/>
    </row>
    <row r="17" spans="1:33" ht="12.75" customHeight="1" hidden="1">
      <c r="A17" s="5"/>
      <c r="B17" s="8"/>
      <c r="C17" s="8"/>
      <c r="D17" s="8"/>
      <c r="E17" s="8"/>
      <c r="F17" s="8"/>
      <c r="G17" s="8"/>
      <c r="H17" s="8"/>
      <c r="I17" s="7"/>
      <c r="J17" s="8"/>
      <c r="K17" s="8"/>
      <c r="L17" s="8"/>
      <c r="M17" s="8"/>
      <c r="N17" s="8"/>
      <c r="O17" s="8"/>
      <c r="Q17" s="9"/>
      <c r="R17" s="7"/>
      <c r="S17" s="9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25" ht="12.75" hidden="1">
      <c r="B18" s="58">
        <f>B13-J13</f>
        <v>40.33000000000001</v>
      </c>
      <c r="C18" s="58"/>
      <c r="D18" s="58"/>
      <c r="E18" s="58"/>
      <c r="F18" s="58"/>
      <c r="G18" s="58"/>
      <c r="H18" s="58"/>
      <c r="I18" s="58"/>
      <c r="J18" s="58">
        <f>B18</f>
        <v>40.33000000000001</v>
      </c>
      <c r="K18" s="59"/>
      <c r="L18" s="59"/>
      <c r="M18" s="59"/>
      <c r="N18" s="59"/>
      <c r="O18" s="59"/>
      <c r="P18" s="59"/>
      <c r="Q18" s="60">
        <f>B18*J18</f>
        <v>1626.508900000001</v>
      </c>
      <c r="R18" s="60"/>
      <c r="S18" s="60"/>
      <c r="T18" s="60"/>
      <c r="U18" s="60"/>
      <c r="V18" s="60"/>
      <c r="W18" s="60"/>
      <c r="X18" s="60"/>
      <c r="Y18" s="60"/>
    </row>
    <row r="19" spans="2:25" ht="12.75" hidden="1">
      <c r="B19" s="58">
        <f>B14-J14</f>
        <v>-41.629999999999995</v>
      </c>
      <c r="C19" s="58"/>
      <c r="D19" s="58"/>
      <c r="E19" s="58"/>
      <c r="F19" s="58"/>
      <c r="G19" s="58"/>
      <c r="H19" s="58"/>
      <c r="I19" s="58"/>
      <c r="J19" s="58">
        <f>B19</f>
        <v>-41.629999999999995</v>
      </c>
      <c r="K19" s="59"/>
      <c r="L19" s="59"/>
      <c r="M19" s="59"/>
      <c r="N19" s="59"/>
      <c r="O19" s="59"/>
      <c r="P19" s="59"/>
      <c r="Q19" s="60">
        <f>B19*J19</f>
        <v>1733.0568999999996</v>
      </c>
      <c r="R19" s="60"/>
      <c r="S19" s="60"/>
      <c r="T19" s="60"/>
      <c r="U19" s="60"/>
      <c r="V19" s="60"/>
      <c r="W19" s="60"/>
      <c r="X19" s="60"/>
      <c r="Y19" s="60"/>
    </row>
    <row r="20" spans="2:25" ht="12.75" hidden="1">
      <c r="B20" s="58">
        <f>B15-J15</f>
        <v>-6.939999999999998</v>
      </c>
      <c r="C20" s="58"/>
      <c r="D20" s="58"/>
      <c r="E20" s="58"/>
      <c r="F20" s="58"/>
      <c r="G20" s="58"/>
      <c r="H20" s="58"/>
      <c r="I20" s="58"/>
      <c r="J20" s="58">
        <f>B20</f>
        <v>-6.939999999999998</v>
      </c>
      <c r="K20" s="59"/>
      <c r="L20" s="59"/>
      <c r="M20" s="59"/>
      <c r="N20" s="59"/>
      <c r="O20" s="59"/>
      <c r="P20" s="59"/>
      <c r="Q20" s="60">
        <f>B20*J20</f>
        <v>48.16359999999997</v>
      </c>
      <c r="R20" s="60"/>
      <c r="S20" s="60"/>
      <c r="T20" s="60"/>
      <c r="U20" s="60"/>
      <c r="V20" s="60"/>
      <c r="W20" s="60"/>
      <c r="X20" s="60"/>
      <c r="Y20" s="60"/>
    </row>
    <row r="21" spans="1:25" ht="12.75" hidden="1">
      <c r="A21" s="17"/>
      <c r="B21" s="58">
        <f>B16-J16</f>
        <v>8.230000000000018</v>
      </c>
      <c r="C21" s="58"/>
      <c r="D21" s="58"/>
      <c r="E21" s="58"/>
      <c r="F21" s="58"/>
      <c r="G21" s="58"/>
      <c r="H21" s="58"/>
      <c r="I21" s="58"/>
      <c r="J21" s="58">
        <f>B21</f>
        <v>8.230000000000018</v>
      </c>
      <c r="K21" s="59"/>
      <c r="L21" s="59"/>
      <c r="M21" s="59"/>
      <c r="N21" s="59"/>
      <c r="O21" s="59"/>
      <c r="P21" s="59"/>
      <c r="Q21" s="60">
        <f>B21*J21</f>
        <v>67.7329000000003</v>
      </c>
      <c r="R21" s="60"/>
      <c r="S21" s="60"/>
      <c r="T21" s="60"/>
      <c r="U21" s="60"/>
      <c r="V21" s="60"/>
      <c r="W21" s="60"/>
      <c r="X21" s="60"/>
      <c r="Y21" s="60"/>
    </row>
    <row r="22" spans="1:25" ht="9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8"/>
      <c r="M22" s="18"/>
      <c r="N22" s="18"/>
      <c r="O22" s="18"/>
      <c r="P22" s="18"/>
      <c r="Q22" s="19"/>
      <c r="R22" s="19"/>
      <c r="S22" s="19"/>
      <c r="T22" s="19"/>
      <c r="U22" s="19"/>
      <c r="V22" s="19"/>
      <c r="W22" s="19"/>
      <c r="X22" s="19"/>
      <c r="Y22" s="19"/>
    </row>
    <row r="23" spans="1:53" ht="18" customHeight="1">
      <c r="A23" s="17"/>
      <c r="B23" s="54" t="str">
        <f>F24&amp;" : (4-1) = "&amp;T24</f>
        <v>3475,46 : (4-1) = 1158,49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</row>
    <row r="24" spans="6:28" ht="16.5" hidden="1">
      <c r="F24" s="50">
        <f>V16</f>
        <v>3475.46</v>
      </c>
      <c r="G24" s="50"/>
      <c r="H24" s="50"/>
      <c r="I24" s="50"/>
      <c r="J24" s="50"/>
      <c r="K24" s="50"/>
      <c r="L24" s="50"/>
      <c r="M24" s="50"/>
      <c r="N24" s="50"/>
      <c r="O24" s="50"/>
      <c r="P24" s="55" t="s">
        <v>14</v>
      </c>
      <c r="Q24" s="55"/>
      <c r="R24" s="55"/>
      <c r="S24" s="9" t="s">
        <v>3</v>
      </c>
      <c r="T24" s="57">
        <f>ROUND(F24/3,2)</f>
        <v>1158.49</v>
      </c>
      <c r="U24" s="57"/>
      <c r="V24" s="57"/>
      <c r="W24" s="57"/>
      <c r="X24" s="57"/>
      <c r="Y24" s="57"/>
      <c r="Z24" s="57"/>
      <c r="AA24" s="57"/>
      <c r="AB24" s="57"/>
    </row>
    <row r="25" spans="10:28" ht="16.5" customHeight="1" hidden="1">
      <c r="J25" s="51">
        <f>T24</f>
        <v>1158.49</v>
      </c>
      <c r="K25" s="51"/>
      <c r="L25" s="51"/>
      <c r="M25" s="51"/>
      <c r="N25" s="51"/>
      <c r="O25" s="51"/>
      <c r="P25" s="51"/>
      <c r="Q25" s="51"/>
      <c r="R25" s="51"/>
      <c r="S25" s="9" t="s">
        <v>3</v>
      </c>
      <c r="T25" s="61">
        <f>ROUND(SQRT(J25),2)</f>
        <v>34.04</v>
      </c>
      <c r="U25" s="61"/>
      <c r="V25" s="61"/>
      <c r="W25" s="61"/>
      <c r="X25" s="61"/>
      <c r="Y25" s="61"/>
      <c r="Z25" s="61"/>
      <c r="AA25" s="61"/>
      <c r="AB25" s="61"/>
    </row>
    <row r="26" spans="2:29" ht="9" customHeight="1">
      <c r="B26" s="37"/>
      <c r="AC26" s="31"/>
    </row>
    <row r="27" spans="2:53" ht="18" customHeight="1">
      <c r="B27" s="54" t="str">
        <f>"Корень из  "&amp;T24&amp;" равен "&amp;T25</f>
        <v>Корень из  1158,49 равен 34,04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</row>
    <row r="28" spans="3:37" ht="9" customHeight="1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:33" ht="18">
      <c r="A29" s="52" t="s">
        <v>10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47"/>
      <c r="AG29" s="47"/>
    </row>
    <row r="30" spans="1:33" ht="9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53" ht="18" customHeight="1">
      <c r="A31" s="4"/>
      <c r="B31" s="54" t="str">
        <f>"("&amp;B32&amp;" : "&amp;J32&amp;")х100 = "&amp;V32&amp;"%"</f>
        <v>(34,04 : 159,79)х100 = 21,3%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</row>
    <row r="32" spans="1:31" ht="18" hidden="1">
      <c r="A32" s="5" t="s">
        <v>0</v>
      </c>
      <c r="B32" s="63">
        <f>T25</f>
        <v>34.04</v>
      </c>
      <c r="C32" s="63"/>
      <c r="D32" s="63"/>
      <c r="E32" s="63"/>
      <c r="F32" s="63"/>
      <c r="G32" s="63"/>
      <c r="H32" s="21"/>
      <c r="I32" s="22" t="s">
        <v>7</v>
      </c>
      <c r="J32" s="63">
        <f>AI8</f>
        <v>159.79</v>
      </c>
      <c r="K32" s="63"/>
      <c r="L32" s="63"/>
      <c r="M32" s="63"/>
      <c r="N32" s="63"/>
      <c r="O32" s="63"/>
      <c r="P32" s="63"/>
      <c r="Q32" s="9" t="s">
        <v>1</v>
      </c>
      <c r="R32" s="23" t="s">
        <v>8</v>
      </c>
      <c r="S32" s="64">
        <v>100</v>
      </c>
      <c r="T32" s="64"/>
      <c r="U32" s="9" t="s">
        <v>3</v>
      </c>
      <c r="V32" s="65">
        <f>ROUND(B32/J32*S32,1)</f>
        <v>21.3</v>
      </c>
      <c r="W32" s="65"/>
      <c r="X32" s="65"/>
      <c r="Y32" s="65"/>
      <c r="Z32" s="65"/>
      <c r="AA32" s="25"/>
      <c r="AB32" s="25"/>
      <c r="AC32" s="25"/>
      <c r="AD32" s="25"/>
      <c r="AE32" s="25"/>
    </row>
    <row r="33" spans="1:31" ht="12.75" customHeight="1">
      <c r="A33" s="5"/>
      <c r="B33" s="21"/>
      <c r="C33" s="21"/>
      <c r="D33" s="21"/>
      <c r="E33" s="21"/>
      <c r="F33" s="21"/>
      <c r="G33" s="21"/>
      <c r="H33" s="21"/>
      <c r="I33" s="22"/>
      <c r="J33" s="21"/>
      <c r="K33" s="21"/>
      <c r="L33" s="21"/>
      <c r="M33" s="21"/>
      <c r="N33" s="21"/>
      <c r="O33" s="21"/>
      <c r="P33" s="21"/>
      <c r="Q33" s="9"/>
      <c r="R33" s="23"/>
      <c r="S33" s="24"/>
      <c r="T33" s="24"/>
      <c r="U33" s="9"/>
      <c r="V33" s="26"/>
      <c r="W33" s="26"/>
      <c r="X33" s="26"/>
      <c r="Y33" s="26"/>
      <c r="Z33" s="26"/>
      <c r="AA33" s="25"/>
      <c r="AB33" s="25"/>
      <c r="AC33" s="25"/>
      <c r="AD33" s="25"/>
      <c r="AE33" s="25"/>
    </row>
    <row r="34" spans="1:33" ht="18">
      <c r="A34" s="52" t="s">
        <v>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47"/>
      <c r="AG34" s="47"/>
    </row>
    <row r="35" spans="1:33" ht="9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53" ht="18" customHeight="1">
      <c r="A36" s="4"/>
      <c r="B36" s="54" t="str">
        <f>"НМЦК = 1 : 4х("&amp;L37&amp;"+"&amp;L38&amp;"+"&amp;L39&amp;"+"&amp;L40&amp;") = "&amp;T40&amp;" руб."</f>
        <v>НМЦК = 1 : 4х(200,12+118,16+152,85+168,02) = 159,79 руб.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</row>
    <row r="37" spans="2:38" ht="18" hidden="1">
      <c r="B37" s="56" t="s">
        <v>13</v>
      </c>
      <c r="C37" s="56"/>
      <c r="D37" s="56"/>
      <c r="E37" s="9" t="s">
        <v>3</v>
      </c>
      <c r="F37" s="27">
        <v>1</v>
      </c>
      <c r="G37" s="4" t="s">
        <v>7</v>
      </c>
      <c r="H37" s="4"/>
      <c r="I37" s="27">
        <v>4</v>
      </c>
      <c r="J37" s="23" t="s">
        <v>8</v>
      </c>
      <c r="K37" s="5" t="s">
        <v>0</v>
      </c>
      <c r="L37" s="50">
        <f>A3</f>
        <v>200.12</v>
      </c>
      <c r="M37" s="50"/>
      <c r="N37" s="50"/>
      <c r="O37" s="50"/>
      <c r="P37" s="50"/>
      <c r="Q37" s="50"/>
      <c r="R37" s="7" t="s">
        <v>2</v>
      </c>
      <c r="AG37" s="4"/>
      <c r="AH37" s="4"/>
      <c r="AI37" s="4"/>
      <c r="AJ37" s="4"/>
      <c r="AK37" s="4"/>
      <c r="AL37" s="4"/>
    </row>
    <row r="38" spans="12:18" ht="18" hidden="1">
      <c r="L38" s="50">
        <f>J3</f>
        <v>118.16</v>
      </c>
      <c r="M38" s="50"/>
      <c r="N38" s="50"/>
      <c r="O38" s="50"/>
      <c r="P38" s="50"/>
      <c r="Q38" s="50"/>
      <c r="R38" s="7" t="s">
        <v>2</v>
      </c>
    </row>
    <row r="39" spans="12:18" ht="18" hidden="1">
      <c r="L39" s="50">
        <f>S3</f>
        <v>152.85</v>
      </c>
      <c r="M39" s="50"/>
      <c r="N39" s="50"/>
      <c r="O39" s="50"/>
      <c r="P39" s="50"/>
      <c r="Q39" s="50"/>
      <c r="R39" s="7" t="s">
        <v>2</v>
      </c>
    </row>
    <row r="40" spans="12:29" ht="16.5" hidden="1">
      <c r="L40" s="50">
        <f>AB3</f>
        <v>168.02</v>
      </c>
      <c r="M40" s="50"/>
      <c r="N40" s="50"/>
      <c r="O40" s="50"/>
      <c r="P40" s="50"/>
      <c r="Q40" s="50"/>
      <c r="R40" s="9" t="s">
        <v>1</v>
      </c>
      <c r="S40" s="9" t="s">
        <v>3</v>
      </c>
      <c r="T40" s="53">
        <f>ROUND(F37/I37*(L37+L38+L39+L40),2)</f>
        <v>159.79</v>
      </c>
      <c r="U40" s="53"/>
      <c r="V40" s="53"/>
      <c r="W40" s="53"/>
      <c r="X40" s="53"/>
      <c r="Y40" s="53"/>
      <c r="Z40" s="53"/>
      <c r="AA40" s="53"/>
      <c r="AB40" s="53"/>
      <c r="AC40" s="30"/>
    </row>
    <row r="41" ht="15" customHeight="1"/>
    <row r="42" spans="1:35" ht="18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66"/>
      <c r="AI42" s="66"/>
    </row>
    <row r="43" ht="16.5">
      <c r="K43" s="9"/>
    </row>
  </sheetData>
  <sheetProtection password="CC5D" sheet="1" objects="1" scenarios="1" selectLockedCells="1"/>
  <mergeCells count="60">
    <mergeCell ref="J32:P32"/>
    <mergeCell ref="S32:T32"/>
    <mergeCell ref="A29:AE29"/>
    <mergeCell ref="A34:AE34"/>
    <mergeCell ref="B27:BA27"/>
    <mergeCell ref="B31:BA31"/>
    <mergeCell ref="B36:BA36"/>
    <mergeCell ref="T40:AB40"/>
    <mergeCell ref="L37:Q37"/>
    <mergeCell ref="L38:Q38"/>
    <mergeCell ref="L39:Q39"/>
    <mergeCell ref="L40:Q40"/>
    <mergeCell ref="T25:AB25"/>
    <mergeCell ref="T24:AB24"/>
    <mergeCell ref="Q21:Y21"/>
    <mergeCell ref="B37:D37"/>
    <mergeCell ref="P24:R24"/>
    <mergeCell ref="B32:G32"/>
    <mergeCell ref="V32:Z32"/>
    <mergeCell ref="Q19:Y19"/>
    <mergeCell ref="B20:I20"/>
    <mergeCell ref="Q18:Y18"/>
    <mergeCell ref="Q20:Y20"/>
    <mergeCell ref="B23:BA23"/>
    <mergeCell ref="B14:G14"/>
    <mergeCell ref="J14:O14"/>
    <mergeCell ref="B19:I19"/>
    <mergeCell ref="J19:P19"/>
    <mergeCell ref="B8:G8"/>
    <mergeCell ref="J8:O8"/>
    <mergeCell ref="B13:G13"/>
    <mergeCell ref="J13:O13"/>
    <mergeCell ref="A10:AE10"/>
    <mergeCell ref="B12:BA12"/>
    <mergeCell ref="J2:Q2"/>
    <mergeCell ref="J3:Q3"/>
    <mergeCell ref="R8:W8"/>
    <mergeCell ref="Y8:AD8"/>
    <mergeCell ref="AB2:AI2"/>
    <mergeCell ref="AB3:AI3"/>
    <mergeCell ref="S2:Z2"/>
    <mergeCell ref="S3:Z3"/>
    <mergeCell ref="A5:AE5"/>
    <mergeCell ref="B7:BA7"/>
    <mergeCell ref="A2:H2"/>
    <mergeCell ref="B21:I21"/>
    <mergeCell ref="J21:P21"/>
    <mergeCell ref="B16:G16"/>
    <mergeCell ref="J16:O16"/>
    <mergeCell ref="B18:I18"/>
    <mergeCell ref="J18:P18"/>
    <mergeCell ref="J20:P20"/>
    <mergeCell ref="B15:G15"/>
    <mergeCell ref="AH42:AI42"/>
    <mergeCell ref="A3:H3"/>
    <mergeCell ref="AI8:AN8"/>
    <mergeCell ref="V16:AC16"/>
    <mergeCell ref="J15:O15"/>
    <mergeCell ref="F24:O24"/>
    <mergeCell ref="J25:R2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A50"/>
  <sheetViews>
    <sheetView showGridLines="0" showRowColHeaders="0" workbookViewId="0" topLeftCell="A1">
      <selection activeCell="A2" sqref="A2:H2"/>
    </sheetView>
  </sheetViews>
  <sheetFormatPr defaultColWidth="9.00390625" defaultRowHeight="12.75"/>
  <cols>
    <col min="1" max="48" width="2.75390625" style="1" customWidth="1"/>
    <col min="49" max="16384" width="9.125" style="1" customWidth="1"/>
  </cols>
  <sheetData>
    <row r="1" ht="30" customHeight="1">
      <c r="O1" s="44" t="s">
        <v>17</v>
      </c>
    </row>
    <row r="2" spans="1:44" ht="18">
      <c r="A2" s="49">
        <v>1</v>
      </c>
      <c r="B2" s="49"/>
      <c r="C2" s="49"/>
      <c r="D2" s="49"/>
      <c r="E2" s="49"/>
      <c r="F2" s="49"/>
      <c r="G2" s="49"/>
      <c r="H2" s="49"/>
      <c r="J2" s="49">
        <v>2</v>
      </c>
      <c r="K2" s="49"/>
      <c r="L2" s="49"/>
      <c r="M2" s="49"/>
      <c r="N2" s="49"/>
      <c r="O2" s="49"/>
      <c r="P2" s="49"/>
      <c r="Q2" s="49"/>
      <c r="R2" s="42"/>
      <c r="S2" s="49">
        <v>3</v>
      </c>
      <c r="T2" s="49"/>
      <c r="U2" s="49"/>
      <c r="V2" s="49"/>
      <c r="W2" s="49"/>
      <c r="X2" s="49"/>
      <c r="Y2" s="49"/>
      <c r="Z2" s="49"/>
      <c r="AB2" s="49">
        <v>4</v>
      </c>
      <c r="AC2" s="49"/>
      <c r="AD2" s="49"/>
      <c r="AE2" s="49"/>
      <c r="AF2" s="49"/>
      <c r="AG2" s="49"/>
      <c r="AH2" s="49"/>
      <c r="AI2" s="49"/>
      <c r="AK2" s="49">
        <v>5</v>
      </c>
      <c r="AL2" s="49"/>
      <c r="AM2" s="49"/>
      <c r="AN2" s="49"/>
      <c r="AO2" s="49"/>
      <c r="AP2" s="49"/>
      <c r="AQ2" s="49"/>
      <c r="AR2" s="49"/>
    </row>
    <row r="3" spans="1:44" ht="18" customHeight="1">
      <c r="A3" s="67">
        <v>221335.12</v>
      </c>
      <c r="B3" s="67"/>
      <c r="C3" s="67"/>
      <c r="D3" s="67"/>
      <c r="E3" s="67"/>
      <c r="F3" s="67"/>
      <c r="G3" s="67"/>
      <c r="H3" s="67"/>
      <c r="J3" s="67">
        <v>221428.65</v>
      </c>
      <c r="K3" s="67"/>
      <c r="L3" s="67"/>
      <c r="M3" s="67"/>
      <c r="N3" s="67"/>
      <c r="O3" s="67"/>
      <c r="P3" s="67"/>
      <c r="Q3" s="67"/>
      <c r="S3" s="67">
        <v>221256.21</v>
      </c>
      <c r="T3" s="67"/>
      <c r="U3" s="67"/>
      <c r="V3" s="67"/>
      <c r="W3" s="67"/>
      <c r="X3" s="67"/>
      <c r="Y3" s="67"/>
      <c r="Z3" s="67"/>
      <c r="AB3" s="67">
        <v>221326.54</v>
      </c>
      <c r="AC3" s="67"/>
      <c r="AD3" s="67"/>
      <c r="AE3" s="67"/>
      <c r="AF3" s="67"/>
      <c r="AG3" s="67"/>
      <c r="AH3" s="67"/>
      <c r="AI3" s="67"/>
      <c r="AK3" s="67">
        <v>221256.87</v>
      </c>
      <c r="AL3" s="67"/>
      <c r="AM3" s="67"/>
      <c r="AN3" s="67"/>
      <c r="AO3" s="67"/>
      <c r="AP3" s="67"/>
      <c r="AQ3" s="67"/>
      <c r="AR3" s="67"/>
    </row>
    <row r="4" spans="1:34" ht="15.75" customHeight="1">
      <c r="A4" s="56"/>
      <c r="B4" s="56"/>
      <c r="C4" s="56"/>
      <c r="D4" s="56"/>
      <c r="E4" s="56"/>
      <c r="F4" s="56"/>
      <c r="R4" s="42"/>
      <c r="S4" s="42"/>
      <c r="T4" s="42"/>
      <c r="U4" s="42"/>
      <c r="V4" s="39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8" customHeight="1">
      <c r="A5" s="52" t="s">
        <v>12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47"/>
      <c r="AG5" s="2"/>
      <c r="AH5" s="2"/>
    </row>
    <row r="6" spans="1:34" ht="9" customHeight="1">
      <c r="A6" s="56"/>
      <c r="B6" s="56"/>
      <c r="C6" s="56"/>
      <c r="D6" s="56"/>
      <c r="E6" s="56"/>
      <c r="F6" s="56"/>
      <c r="R6" s="42"/>
      <c r="S6" s="42"/>
      <c r="T6" s="42"/>
      <c r="U6" s="42"/>
      <c r="V6" s="3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53" ht="18" customHeight="1">
      <c r="A7" s="4"/>
      <c r="B7" s="54" t="str">
        <f>"("&amp;B9&amp;"+"&amp;B10&amp;"+"&amp;B11&amp;"+"&amp;B12&amp;"+"&amp;B13&amp;") : 5 = "&amp;S13&amp;" руб."</f>
        <v>(221335,12+221428,65+221256,21+221326,54+221256,87) : 5 = 221320,68 руб.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</row>
    <row r="8" spans="1:34" ht="9" customHeight="1">
      <c r="A8" s="4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2"/>
    </row>
    <row r="9" spans="1:34" ht="18" customHeight="1" hidden="1">
      <c r="A9" s="5" t="s">
        <v>0</v>
      </c>
      <c r="B9" s="51">
        <f>A3</f>
        <v>221335.12</v>
      </c>
      <c r="C9" s="51"/>
      <c r="D9" s="51"/>
      <c r="E9" s="51"/>
      <c r="F9" s="51"/>
      <c r="G9" s="51"/>
      <c r="H9" s="7" t="s">
        <v>2</v>
      </c>
      <c r="O9" s="6"/>
      <c r="AB9" s="41"/>
      <c r="AC9" s="41"/>
      <c r="AD9" s="41"/>
      <c r="AE9" s="41"/>
      <c r="AF9" s="41"/>
      <c r="AG9" s="41"/>
      <c r="AH9" s="2"/>
    </row>
    <row r="10" spans="1:34" ht="18" customHeight="1" hidden="1">
      <c r="A10" s="5"/>
      <c r="B10" s="51">
        <f>J3</f>
        <v>221428.65</v>
      </c>
      <c r="C10" s="51"/>
      <c r="D10" s="51"/>
      <c r="E10" s="51"/>
      <c r="F10" s="51"/>
      <c r="G10" s="51"/>
      <c r="H10" s="7" t="s">
        <v>2</v>
      </c>
      <c r="I10" s="8"/>
      <c r="J10" s="8"/>
      <c r="K10" s="8"/>
      <c r="L10" s="8"/>
      <c r="M10" s="8"/>
      <c r="N10" s="8"/>
      <c r="O10" s="6"/>
      <c r="P10" s="7"/>
      <c r="Q10" s="8"/>
      <c r="R10" s="8"/>
      <c r="S10" s="8"/>
      <c r="T10" s="8"/>
      <c r="U10" s="8"/>
      <c r="V10" s="8"/>
      <c r="W10" s="8"/>
      <c r="X10" s="9"/>
      <c r="Y10" s="9"/>
      <c r="Z10" s="30"/>
      <c r="AA10" s="30"/>
      <c r="AB10" s="41"/>
      <c r="AC10" s="41"/>
      <c r="AD10" s="41"/>
      <c r="AE10" s="41"/>
      <c r="AF10" s="41"/>
      <c r="AG10" s="41"/>
      <c r="AH10" s="2"/>
    </row>
    <row r="11" spans="1:34" ht="18" customHeight="1" hidden="1">
      <c r="A11" s="5"/>
      <c r="B11" s="51">
        <f>S3</f>
        <v>221256.21</v>
      </c>
      <c r="C11" s="51"/>
      <c r="D11" s="51"/>
      <c r="E11" s="51"/>
      <c r="F11" s="51"/>
      <c r="G11" s="51"/>
      <c r="H11" s="7" t="s">
        <v>2</v>
      </c>
      <c r="I11" s="8"/>
      <c r="J11" s="8"/>
      <c r="AB11" s="41"/>
      <c r="AC11" s="41"/>
      <c r="AD11" s="41"/>
      <c r="AE11" s="41"/>
      <c r="AF11" s="41"/>
      <c r="AG11" s="41"/>
      <c r="AH11" s="2"/>
    </row>
    <row r="12" spans="1:34" ht="18" customHeight="1" hidden="1">
      <c r="A12" s="5"/>
      <c r="B12" s="51">
        <f>AB3</f>
        <v>221326.54</v>
      </c>
      <c r="C12" s="51"/>
      <c r="D12" s="51"/>
      <c r="E12" s="51"/>
      <c r="F12" s="51"/>
      <c r="G12" s="51"/>
      <c r="H12" s="7" t="s">
        <v>2</v>
      </c>
      <c r="I12" s="8"/>
      <c r="J12" s="8"/>
      <c r="R12" s="9"/>
      <c r="S12" s="32"/>
      <c r="T12" s="32"/>
      <c r="U12" s="32"/>
      <c r="V12" s="32"/>
      <c r="W12" s="32"/>
      <c r="X12" s="32"/>
      <c r="Y12" s="32"/>
      <c r="Z12" s="32"/>
      <c r="AA12" s="32"/>
      <c r="AB12" s="41"/>
      <c r="AC12" s="41"/>
      <c r="AD12" s="41"/>
      <c r="AE12" s="41"/>
      <c r="AF12" s="41"/>
      <c r="AG12" s="41"/>
      <c r="AH12" s="2"/>
    </row>
    <row r="13" spans="1:34" ht="18" customHeight="1" hidden="1">
      <c r="A13" s="5"/>
      <c r="B13" s="51">
        <f>AK3</f>
        <v>221256.87</v>
      </c>
      <c r="C13" s="51"/>
      <c r="D13" s="51"/>
      <c r="E13" s="51"/>
      <c r="F13" s="51"/>
      <c r="G13" s="51"/>
      <c r="H13" s="9" t="s">
        <v>1</v>
      </c>
      <c r="I13" s="9" t="s">
        <v>7</v>
      </c>
      <c r="J13" s="29">
        <v>5</v>
      </c>
      <c r="K13" s="9" t="s">
        <v>3</v>
      </c>
      <c r="L13" s="8"/>
      <c r="M13" s="8"/>
      <c r="N13" s="8"/>
      <c r="O13" s="6"/>
      <c r="P13" s="7"/>
      <c r="R13" s="9" t="s">
        <v>3</v>
      </c>
      <c r="S13" s="69">
        <f>ROUND((B9+B10+B11+B12+B13)/J13,2)</f>
        <v>221320.68</v>
      </c>
      <c r="T13" s="69"/>
      <c r="U13" s="69"/>
      <c r="V13" s="69"/>
      <c r="W13" s="69"/>
      <c r="X13" s="69"/>
      <c r="Y13" s="69"/>
      <c r="Z13" s="69"/>
      <c r="AA13" s="69"/>
      <c r="AB13" s="41"/>
      <c r="AC13" s="41"/>
      <c r="AD13" s="41"/>
      <c r="AE13" s="41"/>
      <c r="AF13" s="41"/>
      <c r="AG13" s="41"/>
      <c r="AH13" s="2"/>
    </row>
    <row r="14" spans="1:34" ht="18" customHeight="1">
      <c r="A14" s="52" t="s">
        <v>11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47"/>
      <c r="AG14" s="2"/>
      <c r="AH14" s="2"/>
    </row>
    <row r="15" spans="1:34" ht="9" customHeight="1">
      <c r="A15" s="56"/>
      <c r="B15" s="56"/>
      <c r="C15" s="56"/>
      <c r="D15" s="56"/>
      <c r="E15" s="56"/>
      <c r="F15" s="56"/>
      <c r="R15" s="42"/>
      <c r="S15" s="42"/>
      <c r="T15" s="42"/>
      <c r="U15" s="42"/>
      <c r="V15" s="39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53" ht="18" customHeight="1">
      <c r="B16" s="54" t="str">
        <f>"("&amp;B19&amp;"-"&amp;I19&amp;")"&amp;Q19&amp;"+("&amp;B20&amp;"-"&amp;I20&amp;")"&amp;Q20&amp;"+("&amp;B21&amp;"-"&amp;I21&amp;")"&amp;Q21&amp;"+("&amp;B22&amp;"-"&amp;I22&amp;")"&amp;Q22&amp;"+("&amp;B23&amp;"-"&amp;I23&amp;")"&amp;Q23&amp;" = "&amp;S23</f>
        <v>(221335,12-221320,68)²+(221428,65-221320,68)²+(221256,21-221320,68)²+(221326,54-221320,68)²+(221256,87-221320,68)² = 20128,47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</row>
    <row r="17" ht="9" customHeight="1"/>
    <row r="18" spans="2:53" ht="18" customHeight="1">
      <c r="B18" s="54" t="str">
        <f>S23&amp;" : (5-1 ) = "&amp;S30</f>
        <v>20128,47 : (5-1 ) = 5032,12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</row>
    <row r="19" spans="1:33" ht="23.25" hidden="1">
      <c r="A19" s="5" t="s">
        <v>0</v>
      </c>
      <c r="B19" s="50">
        <f>A3</f>
        <v>221335.12</v>
      </c>
      <c r="C19" s="50"/>
      <c r="D19" s="50"/>
      <c r="E19" s="50"/>
      <c r="F19" s="50"/>
      <c r="G19" s="50"/>
      <c r="H19" s="7" t="s">
        <v>5</v>
      </c>
      <c r="I19" s="50">
        <f>S13</f>
        <v>221320.68</v>
      </c>
      <c r="J19" s="50"/>
      <c r="K19" s="50"/>
      <c r="L19" s="50"/>
      <c r="M19" s="50"/>
      <c r="N19" s="50"/>
      <c r="O19" s="8"/>
      <c r="P19" s="33" t="s">
        <v>1</v>
      </c>
      <c r="Q19" s="36" t="s">
        <v>16</v>
      </c>
      <c r="R19" s="7" t="s">
        <v>2</v>
      </c>
      <c r="Z19" s="7"/>
      <c r="AA19" s="15"/>
      <c r="AB19" s="15"/>
      <c r="AC19" s="15"/>
      <c r="AD19" s="15"/>
      <c r="AE19" s="15"/>
      <c r="AF19" s="15"/>
      <c r="AG19" s="15"/>
    </row>
    <row r="20" spans="1:18" ht="23.25" hidden="1">
      <c r="A20" s="5" t="s">
        <v>0</v>
      </c>
      <c r="B20" s="50">
        <f>B10</f>
        <v>221428.65</v>
      </c>
      <c r="C20" s="50"/>
      <c r="D20" s="50"/>
      <c r="E20" s="50"/>
      <c r="F20" s="50"/>
      <c r="G20" s="50"/>
      <c r="H20" s="7" t="s">
        <v>5</v>
      </c>
      <c r="I20" s="50">
        <f>S13</f>
        <v>221320.68</v>
      </c>
      <c r="J20" s="50"/>
      <c r="K20" s="50"/>
      <c r="L20" s="50"/>
      <c r="M20" s="50"/>
      <c r="N20" s="50"/>
      <c r="P20" s="33" t="s">
        <v>1</v>
      </c>
      <c r="Q20" s="36" t="s">
        <v>16</v>
      </c>
      <c r="R20" s="7" t="s">
        <v>2</v>
      </c>
    </row>
    <row r="21" spans="1:18" ht="23.25" hidden="1">
      <c r="A21" s="5" t="s">
        <v>0</v>
      </c>
      <c r="B21" s="50">
        <f>S3</f>
        <v>221256.21</v>
      </c>
      <c r="C21" s="50"/>
      <c r="D21" s="50"/>
      <c r="E21" s="50"/>
      <c r="F21" s="50"/>
      <c r="G21" s="50"/>
      <c r="H21" s="7" t="s">
        <v>5</v>
      </c>
      <c r="I21" s="50">
        <f>S13</f>
        <v>221320.68</v>
      </c>
      <c r="J21" s="50"/>
      <c r="K21" s="50"/>
      <c r="L21" s="50"/>
      <c r="M21" s="50"/>
      <c r="N21" s="50"/>
      <c r="P21" s="33" t="s">
        <v>1</v>
      </c>
      <c r="Q21" s="36" t="s">
        <v>16</v>
      </c>
      <c r="R21" s="7" t="s">
        <v>2</v>
      </c>
    </row>
    <row r="22" spans="1:32" ht="23.25" hidden="1">
      <c r="A22" s="5" t="s">
        <v>0</v>
      </c>
      <c r="B22" s="50">
        <f>AB3</f>
        <v>221326.54</v>
      </c>
      <c r="C22" s="50"/>
      <c r="D22" s="50"/>
      <c r="E22" s="50"/>
      <c r="F22" s="50"/>
      <c r="G22" s="50"/>
      <c r="H22" s="7" t="s">
        <v>5</v>
      </c>
      <c r="I22" s="50">
        <f>S13</f>
        <v>221320.68</v>
      </c>
      <c r="J22" s="50"/>
      <c r="K22" s="50"/>
      <c r="L22" s="50"/>
      <c r="M22" s="50"/>
      <c r="N22" s="50"/>
      <c r="P22" s="33" t="s">
        <v>1</v>
      </c>
      <c r="Q22" s="36" t="s">
        <v>16</v>
      </c>
      <c r="R22" s="7" t="s">
        <v>2</v>
      </c>
      <c r="AB22" s="16"/>
      <c r="AC22" s="16"/>
      <c r="AD22" s="16"/>
      <c r="AE22" s="16"/>
      <c r="AF22" s="16"/>
    </row>
    <row r="23" spans="1:32" ht="23.25" hidden="1">
      <c r="A23" s="5" t="s">
        <v>0</v>
      </c>
      <c r="B23" s="50">
        <f>AK3</f>
        <v>221256.87</v>
      </c>
      <c r="C23" s="50"/>
      <c r="D23" s="50"/>
      <c r="E23" s="50"/>
      <c r="F23" s="50"/>
      <c r="G23" s="50"/>
      <c r="H23" s="7" t="s">
        <v>5</v>
      </c>
      <c r="I23" s="50">
        <f>S13</f>
        <v>221320.68</v>
      </c>
      <c r="J23" s="50"/>
      <c r="K23" s="50"/>
      <c r="L23" s="50"/>
      <c r="M23" s="50"/>
      <c r="N23" s="50"/>
      <c r="P23" s="33" t="s">
        <v>1</v>
      </c>
      <c r="Q23" s="36" t="s">
        <v>16</v>
      </c>
      <c r="R23" s="9" t="s">
        <v>3</v>
      </c>
      <c r="S23" s="57">
        <f>ROUND(P24+P25+P26+P27+P28,2)</f>
        <v>20128.47</v>
      </c>
      <c r="T23" s="57"/>
      <c r="U23" s="57"/>
      <c r="V23" s="57"/>
      <c r="W23" s="57"/>
      <c r="X23" s="57"/>
      <c r="Y23" s="57"/>
      <c r="Z23" s="57"/>
      <c r="AA23" s="57"/>
      <c r="AB23" s="57"/>
      <c r="AC23" s="16"/>
      <c r="AD23" s="16"/>
      <c r="AE23" s="16"/>
      <c r="AF23" s="16"/>
    </row>
    <row r="24" spans="2:24" ht="12.75" hidden="1">
      <c r="B24" s="58">
        <f>B19-I19</f>
        <v>14.440000000002328</v>
      </c>
      <c r="C24" s="58"/>
      <c r="D24" s="58"/>
      <c r="E24" s="58"/>
      <c r="F24" s="58"/>
      <c r="G24" s="58"/>
      <c r="H24" s="58"/>
      <c r="I24" s="58">
        <f>B24</f>
        <v>14.440000000002328</v>
      </c>
      <c r="J24" s="59"/>
      <c r="K24" s="59"/>
      <c r="L24" s="59"/>
      <c r="M24" s="59"/>
      <c r="N24" s="59"/>
      <c r="O24" s="59"/>
      <c r="P24" s="60">
        <f>B24*I24</f>
        <v>208.51360000006724</v>
      </c>
      <c r="Q24" s="60"/>
      <c r="R24" s="60"/>
      <c r="S24" s="60"/>
      <c r="T24" s="60"/>
      <c r="U24" s="60"/>
      <c r="V24" s="60"/>
      <c r="W24" s="60"/>
      <c r="X24" s="60"/>
    </row>
    <row r="25" spans="2:24" ht="12.75" hidden="1">
      <c r="B25" s="58">
        <f>B20-I20</f>
        <v>107.97000000000116</v>
      </c>
      <c r="C25" s="58"/>
      <c r="D25" s="58"/>
      <c r="E25" s="58"/>
      <c r="F25" s="58"/>
      <c r="G25" s="58"/>
      <c r="H25" s="58"/>
      <c r="I25" s="58">
        <f>B25</f>
        <v>107.97000000000116</v>
      </c>
      <c r="J25" s="59"/>
      <c r="K25" s="59"/>
      <c r="L25" s="59"/>
      <c r="M25" s="59"/>
      <c r="N25" s="59"/>
      <c r="O25" s="59"/>
      <c r="P25" s="60">
        <f>B25*I25</f>
        <v>11657.52090000025</v>
      </c>
      <c r="Q25" s="60"/>
      <c r="R25" s="60"/>
      <c r="S25" s="60"/>
      <c r="T25" s="60"/>
      <c r="U25" s="60"/>
      <c r="V25" s="60"/>
      <c r="W25" s="60"/>
      <c r="X25" s="60"/>
    </row>
    <row r="26" spans="2:24" ht="12.75" hidden="1">
      <c r="B26" s="58">
        <f>B21-I21</f>
        <v>-64.47000000000116</v>
      </c>
      <c r="C26" s="58"/>
      <c r="D26" s="58"/>
      <c r="E26" s="58"/>
      <c r="F26" s="58"/>
      <c r="G26" s="58"/>
      <c r="H26" s="58"/>
      <c r="I26" s="58">
        <f>B26</f>
        <v>-64.47000000000116</v>
      </c>
      <c r="J26" s="59"/>
      <c r="K26" s="59"/>
      <c r="L26" s="59"/>
      <c r="M26" s="59"/>
      <c r="N26" s="59"/>
      <c r="O26" s="59"/>
      <c r="P26" s="60">
        <f>B26*I26</f>
        <v>4156.38090000015</v>
      </c>
      <c r="Q26" s="60"/>
      <c r="R26" s="60"/>
      <c r="S26" s="60"/>
      <c r="T26" s="60"/>
      <c r="U26" s="60"/>
      <c r="V26" s="60"/>
      <c r="W26" s="60"/>
      <c r="X26" s="60"/>
    </row>
    <row r="27" spans="1:24" ht="12.75" hidden="1">
      <c r="A27" s="17"/>
      <c r="B27" s="58">
        <f>B22-I22</f>
        <v>5.860000000015134</v>
      </c>
      <c r="C27" s="58"/>
      <c r="D27" s="58"/>
      <c r="E27" s="58"/>
      <c r="F27" s="58"/>
      <c r="G27" s="58"/>
      <c r="H27" s="58"/>
      <c r="I27" s="58">
        <f>B27</f>
        <v>5.860000000015134</v>
      </c>
      <c r="J27" s="59"/>
      <c r="K27" s="59"/>
      <c r="L27" s="59"/>
      <c r="M27" s="59"/>
      <c r="N27" s="59"/>
      <c r="O27" s="59"/>
      <c r="P27" s="60">
        <f>B27*I27</f>
        <v>34.33960000017737</v>
      </c>
      <c r="Q27" s="60"/>
      <c r="R27" s="60"/>
      <c r="S27" s="60"/>
      <c r="T27" s="60"/>
      <c r="U27" s="60"/>
      <c r="V27" s="60"/>
      <c r="W27" s="60"/>
      <c r="X27" s="60"/>
    </row>
    <row r="28" spans="1:24" ht="12.75" hidden="1">
      <c r="A28" s="17"/>
      <c r="B28" s="58">
        <f>B23-I23</f>
        <v>-63.80999999999767</v>
      </c>
      <c r="C28" s="58"/>
      <c r="D28" s="58"/>
      <c r="E28" s="58"/>
      <c r="F28" s="58"/>
      <c r="G28" s="58"/>
      <c r="H28" s="58"/>
      <c r="I28" s="58">
        <f>B28</f>
        <v>-63.80999999999767</v>
      </c>
      <c r="J28" s="58"/>
      <c r="K28" s="58"/>
      <c r="L28" s="58"/>
      <c r="M28" s="58"/>
      <c r="N28" s="58"/>
      <c r="O28" s="58"/>
      <c r="P28" s="60">
        <f>B28*I28</f>
        <v>4071.7160999997027</v>
      </c>
      <c r="Q28" s="60"/>
      <c r="R28" s="60"/>
      <c r="S28" s="60"/>
      <c r="T28" s="60"/>
      <c r="U28" s="60"/>
      <c r="V28" s="60"/>
      <c r="W28" s="60"/>
      <c r="X28" s="60"/>
    </row>
    <row r="29" spans="1:24" ht="7.5" customHeight="1" hidden="1">
      <c r="A29" s="17"/>
      <c r="B29" s="17"/>
      <c r="C29" s="17"/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  <c r="P29" s="19"/>
      <c r="Q29" s="19"/>
      <c r="R29" s="19"/>
      <c r="S29" s="19"/>
      <c r="T29" s="19"/>
      <c r="U29" s="19"/>
      <c r="V29" s="19"/>
      <c r="W29" s="19"/>
      <c r="X29" s="19"/>
    </row>
    <row r="30" spans="5:28" ht="16.5" hidden="1">
      <c r="E30" s="50">
        <f>S23</f>
        <v>20128.47</v>
      </c>
      <c r="F30" s="50"/>
      <c r="G30" s="50"/>
      <c r="H30" s="50"/>
      <c r="I30" s="50"/>
      <c r="J30" s="50"/>
      <c r="K30" s="50"/>
      <c r="L30" s="50"/>
      <c r="M30" s="50"/>
      <c r="N30" s="50"/>
      <c r="O30" s="55" t="s">
        <v>15</v>
      </c>
      <c r="P30" s="55"/>
      <c r="Q30" s="55"/>
      <c r="R30" s="9" t="s">
        <v>3</v>
      </c>
      <c r="S30" s="57">
        <f>ROUND(E30/4,2)</f>
        <v>5032.12</v>
      </c>
      <c r="T30" s="57"/>
      <c r="U30" s="57"/>
      <c r="V30" s="57"/>
      <c r="W30" s="57"/>
      <c r="X30" s="57"/>
      <c r="Y30" s="57"/>
      <c r="Z30" s="57"/>
      <c r="AA30" s="57"/>
      <c r="AB30" s="57"/>
    </row>
    <row r="31" ht="12.75" hidden="1"/>
    <row r="32" spans="2:28" ht="18" customHeight="1" hidden="1">
      <c r="B32" s="20"/>
      <c r="I32" s="51">
        <f>S30</f>
        <v>5032.12</v>
      </c>
      <c r="J32" s="51"/>
      <c r="K32" s="51"/>
      <c r="L32" s="51"/>
      <c r="M32" s="51"/>
      <c r="N32" s="51"/>
      <c r="O32" s="51"/>
      <c r="P32" s="51"/>
      <c r="Q32" s="51"/>
      <c r="R32" s="9" t="s">
        <v>3</v>
      </c>
      <c r="S32" s="61">
        <f>ROUND(SQRT(I32),2)</f>
        <v>70.94</v>
      </c>
      <c r="T32" s="61"/>
      <c r="U32" s="61"/>
      <c r="V32" s="61"/>
      <c r="W32" s="61"/>
      <c r="X32" s="61"/>
      <c r="Y32" s="61"/>
      <c r="Z32" s="61"/>
      <c r="AA32" s="61"/>
      <c r="AB32" s="61"/>
    </row>
    <row r="33" spans="2:28" ht="9" customHeight="1">
      <c r="B33" s="37"/>
      <c r="I33" s="6"/>
      <c r="J33" s="6"/>
      <c r="K33" s="6"/>
      <c r="L33" s="6"/>
      <c r="M33" s="6"/>
      <c r="N33" s="6"/>
      <c r="O33" s="6"/>
      <c r="P33" s="6"/>
      <c r="Q33" s="6"/>
      <c r="R33" s="9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2:53" ht="18" customHeight="1">
      <c r="B34" s="68" t="str">
        <f>"Корень из "&amp;S30&amp;" равен "&amp;S32</f>
        <v>Корень из 5032,12 равен 70,94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</row>
    <row r="35" spans="2:26" ht="9" customHeight="1">
      <c r="B35" s="20"/>
      <c r="C35" s="6"/>
      <c r="D35" s="6"/>
      <c r="E35" s="6"/>
      <c r="F35" s="6"/>
      <c r="G35" s="6"/>
      <c r="H35" s="6"/>
      <c r="I35" s="6"/>
      <c r="J35" s="6"/>
      <c r="L35" s="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9"/>
      <c r="X35" s="9"/>
      <c r="Y35" s="9"/>
      <c r="Z35" s="9"/>
    </row>
    <row r="36" spans="1:32" ht="18">
      <c r="A36" s="52" t="s">
        <v>10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1:32" ht="9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53" ht="18" customHeight="1">
      <c r="A38" s="4"/>
      <c r="B38" s="54" t="str">
        <f>"("&amp;B39&amp;" : "&amp;I39&amp;")х100 = "&amp;U39&amp;"%"</f>
        <v>(70,94 : 221320,68)х100 = 0%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</row>
    <row r="39" spans="1:30" ht="18" hidden="1">
      <c r="A39" s="5" t="s">
        <v>0</v>
      </c>
      <c r="B39" s="63">
        <f>S32</f>
        <v>70.94</v>
      </c>
      <c r="C39" s="63"/>
      <c r="D39" s="63"/>
      <c r="E39" s="63"/>
      <c r="F39" s="63"/>
      <c r="G39" s="63"/>
      <c r="H39" s="22" t="s">
        <v>7</v>
      </c>
      <c r="I39" s="63">
        <f>S13</f>
        <v>221320.68</v>
      </c>
      <c r="J39" s="63"/>
      <c r="K39" s="63"/>
      <c r="L39" s="63"/>
      <c r="M39" s="63"/>
      <c r="N39" s="63"/>
      <c r="O39" s="63"/>
      <c r="P39" s="9" t="s">
        <v>1</v>
      </c>
      <c r="Q39" s="23" t="s">
        <v>8</v>
      </c>
      <c r="R39" s="64">
        <v>100</v>
      </c>
      <c r="S39" s="64"/>
      <c r="T39" s="9" t="s">
        <v>3</v>
      </c>
      <c r="U39" s="65">
        <f>ROUND(B39/I39*R39,1)</f>
        <v>0</v>
      </c>
      <c r="V39" s="65"/>
      <c r="W39" s="65"/>
      <c r="X39" s="65"/>
      <c r="Y39" s="65"/>
      <c r="Z39" s="25"/>
      <c r="AA39" s="25"/>
      <c r="AB39" s="25"/>
      <c r="AC39" s="25"/>
      <c r="AD39" s="25"/>
    </row>
    <row r="40" spans="1:30" ht="12.75" customHeight="1">
      <c r="A40" s="5"/>
      <c r="B40" s="21"/>
      <c r="C40" s="21"/>
      <c r="D40" s="21"/>
      <c r="E40" s="21"/>
      <c r="F40" s="21"/>
      <c r="G40" s="21"/>
      <c r="H40" s="22"/>
      <c r="I40" s="21"/>
      <c r="J40" s="21"/>
      <c r="K40" s="21"/>
      <c r="L40" s="21"/>
      <c r="M40" s="21"/>
      <c r="N40" s="21"/>
      <c r="O40" s="21"/>
      <c r="P40" s="9"/>
      <c r="Q40" s="23"/>
      <c r="R40" s="24"/>
      <c r="S40" s="24"/>
      <c r="T40" s="9"/>
      <c r="U40" s="26"/>
      <c r="V40" s="26"/>
      <c r="W40" s="26"/>
      <c r="X40" s="26"/>
      <c r="Y40" s="26"/>
      <c r="Z40" s="25"/>
      <c r="AA40" s="25"/>
      <c r="AB40" s="25"/>
      <c r="AC40" s="25"/>
      <c r="AD40" s="25"/>
    </row>
    <row r="41" spans="1:32" ht="18">
      <c r="A41" s="52" t="s">
        <v>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 ht="9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53" ht="18" customHeight="1">
      <c r="A43" s="4"/>
      <c r="B43" s="54" t="str">
        <f>"НМЦК = 1 : 5х("&amp;J44&amp;"+"&amp;J45&amp;"+"&amp;J46&amp;"+"&amp;J47&amp;"+"&amp;J48&amp;") = "&amp;R48&amp;" руб."</f>
        <v>НМЦК = 1 : 5х(221335,12+221428,65+221256,21+221326,54+221256,87) = 221320,68 руб.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</row>
    <row r="44" spans="1:37" ht="18" hidden="1">
      <c r="A44" s="4" t="s">
        <v>13</v>
      </c>
      <c r="C44" s="4"/>
      <c r="D44" s="9" t="s">
        <v>3</v>
      </c>
      <c r="E44" s="27">
        <v>1</v>
      </c>
      <c r="F44" s="4" t="s">
        <v>7</v>
      </c>
      <c r="G44" s="27">
        <v>5</v>
      </c>
      <c r="H44" s="23" t="s">
        <v>8</v>
      </c>
      <c r="I44" s="5" t="s">
        <v>0</v>
      </c>
      <c r="J44" s="50">
        <f>A3</f>
        <v>221335.12</v>
      </c>
      <c r="K44" s="50"/>
      <c r="L44" s="50"/>
      <c r="M44" s="50"/>
      <c r="N44" s="50"/>
      <c r="O44" s="50"/>
      <c r="P44" s="7" t="s">
        <v>2</v>
      </c>
      <c r="AF44" s="4"/>
      <c r="AG44" s="4"/>
      <c r="AH44" s="4"/>
      <c r="AI44" s="4"/>
      <c r="AJ44" s="4"/>
      <c r="AK44" s="4"/>
    </row>
    <row r="45" spans="10:16" ht="18" hidden="1">
      <c r="J45" s="50">
        <f>J3</f>
        <v>221428.65</v>
      </c>
      <c r="K45" s="50"/>
      <c r="L45" s="50"/>
      <c r="M45" s="50"/>
      <c r="N45" s="50"/>
      <c r="O45" s="50"/>
      <c r="P45" s="7" t="s">
        <v>2</v>
      </c>
    </row>
    <row r="46" spans="10:16" ht="18" hidden="1">
      <c r="J46" s="50">
        <f>S3</f>
        <v>221256.21</v>
      </c>
      <c r="K46" s="50"/>
      <c r="L46" s="50"/>
      <c r="M46" s="50"/>
      <c r="N46" s="50"/>
      <c r="O46" s="50"/>
      <c r="P46" s="7" t="s">
        <v>2</v>
      </c>
    </row>
    <row r="47" spans="10:16" ht="18" hidden="1">
      <c r="J47" s="50">
        <f>AB3</f>
        <v>221326.54</v>
      </c>
      <c r="K47" s="50"/>
      <c r="L47" s="50"/>
      <c r="M47" s="50"/>
      <c r="N47" s="50"/>
      <c r="O47" s="50"/>
      <c r="P47" s="7" t="s">
        <v>2</v>
      </c>
    </row>
    <row r="48" spans="10:27" ht="16.5" hidden="1">
      <c r="J48" s="50">
        <f>AK3</f>
        <v>221256.87</v>
      </c>
      <c r="K48" s="50"/>
      <c r="L48" s="50"/>
      <c r="M48" s="50"/>
      <c r="N48" s="50"/>
      <c r="O48" s="50"/>
      <c r="P48" s="9" t="s">
        <v>1</v>
      </c>
      <c r="Q48" s="9" t="s">
        <v>3</v>
      </c>
      <c r="R48" s="53">
        <f>ROUND(E44/G44*(J44+J45+J46+J47+J48),2)</f>
        <v>221320.68</v>
      </c>
      <c r="S48" s="53"/>
      <c r="T48" s="53"/>
      <c r="U48" s="53"/>
      <c r="V48" s="53"/>
      <c r="W48" s="53"/>
      <c r="X48" s="53"/>
      <c r="Y48" s="53"/>
      <c r="Z48" s="53"/>
      <c r="AA48" s="53"/>
    </row>
    <row r="49" spans="29:36" ht="15" customHeight="1">
      <c r="AC49" s="43"/>
      <c r="AD49" s="43"/>
      <c r="AE49" s="43"/>
      <c r="AF49" s="43"/>
      <c r="AG49" s="43"/>
      <c r="AH49" s="43"/>
      <c r="AI49" s="43"/>
      <c r="AJ49" s="43"/>
    </row>
    <row r="50" spans="1:35" ht="18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66"/>
      <c r="AI50" s="66"/>
    </row>
  </sheetData>
  <sheetProtection password="CC5D" sheet="1" objects="1" scenarios="1" selectLockedCells="1"/>
  <mergeCells count="71">
    <mergeCell ref="B16:BA16"/>
    <mergeCell ref="B7:BA7"/>
    <mergeCell ref="B18:BA18"/>
    <mergeCell ref="B34:BA34"/>
    <mergeCell ref="B38:BA38"/>
    <mergeCell ref="B43:BA43"/>
    <mergeCell ref="A14:AE14"/>
    <mergeCell ref="R48:AA48"/>
    <mergeCell ref="J44:O44"/>
    <mergeCell ref="J45:O45"/>
    <mergeCell ref="J46:O46"/>
    <mergeCell ref="A6:F6"/>
    <mergeCell ref="J48:O48"/>
    <mergeCell ref="O30:Q30"/>
    <mergeCell ref="J47:O47"/>
    <mergeCell ref="B12:G12"/>
    <mergeCell ref="I26:O26"/>
    <mergeCell ref="P26:X26"/>
    <mergeCell ref="S13:AA13"/>
    <mergeCell ref="R39:S39"/>
    <mergeCell ref="B28:H28"/>
    <mergeCell ref="I32:Q32"/>
    <mergeCell ref="E30:N30"/>
    <mergeCell ref="A36:AF36"/>
    <mergeCell ref="S30:AB30"/>
    <mergeCell ref="I28:O28"/>
    <mergeCell ref="P28:X28"/>
    <mergeCell ref="B39:G39"/>
    <mergeCell ref="I39:O39"/>
    <mergeCell ref="A41:AF41"/>
    <mergeCell ref="P25:X25"/>
    <mergeCell ref="U39:Y39"/>
    <mergeCell ref="S32:AB32"/>
    <mergeCell ref="B27:H27"/>
    <mergeCell ref="I27:O27"/>
    <mergeCell ref="P27:X27"/>
    <mergeCell ref="B26:H26"/>
    <mergeCell ref="B25:H25"/>
    <mergeCell ref="I25:O25"/>
    <mergeCell ref="B23:G23"/>
    <mergeCell ref="I23:N23"/>
    <mergeCell ref="S23:AB23"/>
    <mergeCell ref="B24:H24"/>
    <mergeCell ref="I24:O24"/>
    <mergeCell ref="P24:X24"/>
    <mergeCell ref="A4:F4"/>
    <mergeCell ref="B21:G21"/>
    <mergeCell ref="A15:F15"/>
    <mergeCell ref="B13:G13"/>
    <mergeCell ref="B11:G11"/>
    <mergeCell ref="B9:G9"/>
    <mergeCell ref="B10:G10"/>
    <mergeCell ref="A5:AE5"/>
    <mergeCell ref="AK2:AR2"/>
    <mergeCell ref="A3:H3"/>
    <mergeCell ref="J3:Q3"/>
    <mergeCell ref="S3:Z3"/>
    <mergeCell ref="AB3:AI3"/>
    <mergeCell ref="A2:H2"/>
    <mergeCell ref="J2:Q2"/>
    <mergeCell ref="S2:Z2"/>
    <mergeCell ref="AB2:AI2"/>
    <mergeCell ref="AK3:AR3"/>
    <mergeCell ref="AH50:AI50"/>
    <mergeCell ref="B20:G20"/>
    <mergeCell ref="I20:N20"/>
    <mergeCell ref="B19:G19"/>
    <mergeCell ref="I19:N19"/>
    <mergeCell ref="I21:N21"/>
    <mergeCell ref="B22:G22"/>
    <mergeCell ref="I22:N22"/>
  </mergeCells>
  <printOptions/>
  <pageMargins left="0.3937007874015748" right="0.3937007874015748" top="0.5905511811023623" bottom="0.5905511811023623" header="0.31496062992125984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</dc:creator>
  <cp:keywords/>
  <dc:description/>
  <cp:lastModifiedBy>ChikishevY</cp:lastModifiedBy>
  <cp:lastPrinted>2017-02-13T19:37:47Z</cp:lastPrinted>
  <dcterms:created xsi:type="dcterms:W3CDTF">2015-02-16T17:06:36Z</dcterms:created>
  <dcterms:modified xsi:type="dcterms:W3CDTF">2017-02-15T12:58:58Z</dcterms:modified>
  <cp:category/>
  <cp:version/>
  <cp:contentType/>
  <cp:contentStatus/>
</cp:coreProperties>
</file>