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Расчёт" sheetId="3" r:id="rId1"/>
    <sheet name="Лист1" sheetId="4" r:id="rId2"/>
  </sheets>
  <calcPr calcId="125725"/>
</workbook>
</file>

<file path=xl/calcChain.xml><?xml version="1.0" encoding="utf-8"?>
<calcChain xmlns="http://schemas.openxmlformats.org/spreadsheetml/2006/main">
  <c r="J34" i="3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33"/>
  <c r="B144"/>
  <c r="D146"/>
  <c r="C146"/>
  <c r="B146"/>
  <c r="D145"/>
  <c r="C145"/>
  <c r="B145"/>
  <c r="D144"/>
  <c r="C144"/>
  <c r="B116"/>
  <c r="B120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34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33"/>
  <c r="I34"/>
  <c r="I36"/>
  <c r="I42"/>
  <c r="I44"/>
  <c r="F34"/>
  <c r="F35"/>
  <c r="I35" s="1"/>
  <c r="F36"/>
  <c r="F37"/>
  <c r="F38"/>
  <c r="I38" s="1"/>
  <c r="F39"/>
  <c r="I39" s="1"/>
  <c r="F40"/>
  <c r="I40" s="1"/>
  <c r="F41"/>
  <c r="F42"/>
  <c r="F43"/>
  <c r="I43" s="1"/>
  <c r="F44"/>
  <c r="F45"/>
  <c r="F46"/>
  <c r="I46" s="1"/>
  <c r="F47"/>
  <c r="I47" s="1"/>
  <c r="F48"/>
  <c r="I48" s="1"/>
  <c r="F49"/>
  <c r="F50"/>
  <c r="I50" s="1"/>
  <c r="F51"/>
  <c r="I51" s="1"/>
  <c r="F52"/>
  <c r="I52" s="1"/>
  <c r="F53"/>
  <c r="I53" s="1"/>
  <c r="F54"/>
  <c r="F55"/>
  <c r="I55" s="1"/>
  <c r="F33"/>
  <c r="F105"/>
  <c r="I54" l="1"/>
  <c r="I107"/>
  <c r="I108" s="1"/>
  <c r="L107"/>
  <c r="E82"/>
  <c r="E104" s="1"/>
  <c r="F104" s="1"/>
  <c r="E56"/>
  <c r="E57"/>
  <c r="E58"/>
  <c r="E59"/>
  <c r="E60"/>
  <c r="E61"/>
  <c r="E62"/>
  <c r="B16"/>
  <c r="B20" s="1"/>
  <c r="G8"/>
  <c r="F8"/>
  <c r="E7"/>
  <c r="E8" s="1"/>
  <c r="C7"/>
  <c r="C8" s="1"/>
  <c r="D8"/>
  <c r="B8"/>
  <c r="G62" l="1"/>
  <c r="F62"/>
  <c r="I62" s="1"/>
  <c r="H61"/>
  <c r="G60"/>
  <c r="F60"/>
  <c r="I60" s="1"/>
  <c r="H59"/>
  <c r="G58"/>
  <c r="F58"/>
  <c r="I58" s="1"/>
  <c r="H57"/>
  <c r="H56"/>
  <c r="G56"/>
  <c r="F56"/>
  <c r="F61"/>
  <c r="I61" s="1"/>
  <c r="H62"/>
  <c r="G61"/>
  <c r="H60"/>
  <c r="G59"/>
  <c r="F59"/>
  <c r="I59" s="1"/>
  <c r="G57"/>
  <c r="H58"/>
  <c r="F57"/>
  <c r="I57" s="1"/>
  <c r="B83"/>
  <c r="H104"/>
  <c r="B82"/>
  <c r="B84"/>
  <c r="C97"/>
  <c r="E98" s="1"/>
  <c r="E100" s="1"/>
  <c r="E88"/>
  <c r="E68"/>
  <c r="E71" s="1"/>
  <c r="E78" s="1"/>
  <c r="F78" s="1"/>
  <c r="E65"/>
  <c r="E86"/>
  <c r="A34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B21"/>
  <c r="F88" l="1"/>
  <c r="E107"/>
  <c r="F107" s="1"/>
  <c r="E112"/>
  <c r="F112" s="1"/>
  <c r="C112"/>
  <c r="I56"/>
  <c r="B123"/>
  <c r="I33" s="1"/>
  <c r="E85"/>
  <c r="E73" l="1"/>
  <c r="F73" l="1"/>
  <c r="H107"/>
  <c r="E92"/>
  <c r="F92" s="1"/>
  <c r="I37" l="1"/>
  <c r="I41"/>
  <c r="I45"/>
  <c r="I49"/>
  <c r="I63"/>
  <c r="C127" s="1"/>
  <c r="C139" s="1"/>
  <c r="C135" l="1"/>
  <c r="C131"/>
</calcChain>
</file>

<file path=xl/sharedStrings.xml><?xml version="1.0" encoding="utf-8"?>
<sst xmlns="http://schemas.openxmlformats.org/spreadsheetml/2006/main" count="152" uniqueCount="133">
  <si>
    <t>Результат единичного анализа, полученный в условиях повторяемости, мкг/кг</t>
  </si>
  <si>
    <t>Номер п/п</t>
  </si>
  <si>
    <r>
      <t>Среднее арифметическое результатов единичных имзерений,полученных в условиях повторяемости, X</t>
    </r>
    <r>
      <rPr>
        <vertAlign val="subscript"/>
        <sz val="12"/>
        <color theme="1"/>
        <rFont val="Times New Roman"/>
        <family val="1"/>
        <charset val="204"/>
      </rPr>
      <t>ср</t>
    </r>
    <r>
      <rPr>
        <sz val="12"/>
        <color theme="1"/>
        <rFont val="Times New Roman"/>
        <family val="1"/>
        <charset val="204"/>
      </rPr>
      <t>, мкг/кг</t>
    </r>
  </si>
  <si>
    <r>
      <t>X</t>
    </r>
    <r>
      <rPr>
        <vertAlign val="subscript"/>
        <sz val="12"/>
        <color theme="1"/>
        <rFont val="Times New Roman"/>
        <family val="1"/>
        <charset val="204"/>
      </rPr>
      <t>1</t>
    </r>
  </si>
  <si>
    <r>
      <t>X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</si>
  <si>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X</t>
    </r>
    <r>
      <rPr>
        <vertAlign val="subscript"/>
        <sz val="12"/>
        <color theme="1"/>
        <rFont val="Times New Roman"/>
        <family val="1"/>
        <charset val="204"/>
      </rPr>
      <t>ср</t>
    </r>
    <r>
      <rPr>
        <sz val="12"/>
        <color theme="1"/>
        <rFont val="Times New Roman"/>
        <family val="1"/>
        <charset val="204"/>
      </rPr>
      <t xml:space="preserve"> = (X1+X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)/2</t>
    </r>
  </si>
  <si>
    <r>
      <t>S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=</t>
    </r>
  </si>
  <si>
    <r>
      <t>X'</t>
    </r>
    <r>
      <rPr>
        <vertAlign val="subscript"/>
        <sz val="12"/>
        <color theme="1"/>
        <rFont val="Times New Roman"/>
        <family val="1"/>
        <charset val="204"/>
      </rPr>
      <t>ср</t>
    </r>
    <r>
      <rPr>
        <sz val="12"/>
        <color theme="1"/>
        <rFont val="Times New Roman"/>
        <family val="1"/>
        <charset val="204"/>
      </rPr>
      <t>=</t>
    </r>
  </si>
  <si>
    <r>
      <t>S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>=</t>
    </r>
  </si>
  <si>
    <t>1. Расчёт необходимого количества исследований</t>
  </si>
  <si>
    <t>ϒ*=</t>
  </si>
  <si>
    <t>А = 0,33</t>
  </si>
  <si>
    <t>n = 2</t>
  </si>
  <si>
    <t>Повторяемость (И1)</t>
  </si>
  <si>
    <t>L =</t>
  </si>
  <si>
    <t>Прецизионность (И2)</t>
  </si>
  <si>
    <t>Систематическая погрешность лаборатории (И3)</t>
  </si>
  <si>
    <t>Выбираем наибольшее количество исследований (Примечание, п. 4)</t>
  </si>
  <si>
    <t>2. Составление таблицы результатов</t>
  </si>
  <si>
    <t>Рассчитываем  выборочную дисперсию</t>
  </si>
  <si>
    <t>Сравниваем полученное значение с установленным в методике</t>
  </si>
  <si>
    <t>Показатель повторяемости методики (Б.6, таблица 4)</t>
  </si>
  <si>
    <t>r =</t>
  </si>
  <si>
    <t>4. Оценка показателя внутрилабораторной прецизионности</t>
  </si>
  <si>
    <t>3. Оценка показателя внутрилабораторной повторяемости</t>
  </si>
  <si>
    <t xml:space="preserve"> Рассчитываем среднее арифметическое значение</t>
  </si>
  <si>
    <t>Оценивание выбросов по критерию Граббса</t>
  </si>
  <si>
    <t>X max =</t>
  </si>
  <si>
    <t>X min =</t>
  </si>
  <si>
    <t>X ср =</t>
  </si>
  <si>
    <t>GRmax =</t>
  </si>
  <si>
    <t>GRmin =</t>
  </si>
  <si>
    <t>Rл =</t>
  </si>
  <si>
    <t>5. Оценка показателя правильности лаборатории</t>
  </si>
  <si>
    <t>Рассчитываем значение t</t>
  </si>
  <si>
    <t>t =</t>
  </si>
  <si>
    <t>ϒ=</t>
  </si>
  <si>
    <t>Рассчитываем лабораторное смещение θ</t>
  </si>
  <si>
    <t xml:space="preserve">θ = </t>
  </si>
  <si>
    <t>Рассчитываем показатель правильности</t>
  </si>
  <si>
    <t>Оценка показателя точности результатов анализа</t>
  </si>
  <si>
    <t>Сравнивают  полученное значение с приписанной характеристикой</t>
  </si>
  <si>
    <t>.</t>
  </si>
  <si>
    <t>GRтабл=</t>
  </si>
  <si>
    <t>%</t>
  </si>
  <si>
    <t>Рассчитываем СКО (стандартное отклонение по повторяемости)</t>
  </si>
  <si>
    <t>Вводные данные</t>
  </si>
  <si>
    <t>Методика</t>
  </si>
  <si>
    <t>Показатель</t>
  </si>
  <si>
    <t>Диапазон измеряемых значений</t>
  </si>
  <si>
    <t>Метрологические характеристики:</t>
  </si>
  <si>
    <t>Предел повторяемости, r, %</t>
  </si>
  <si>
    <t>Предел промежуточной прецизионности, R, %</t>
  </si>
  <si>
    <r>
      <t>Относительное стандартное отклонение в условиях повторяемости, σ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>, %</t>
    </r>
  </si>
  <si>
    <r>
      <t>Относительное стандартное отклонение в условиях промежуточной прецизионности, σ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>, %</t>
    </r>
  </si>
  <si>
    <r>
      <t>Показатель внутрилабораторной повторяемости
 σ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>=r/2,77</t>
    </r>
  </si>
  <si>
    <r>
      <t>Показатель внутрилабораторной прецизионности
 σ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>=R/2,77</t>
    </r>
  </si>
  <si>
    <t>Образец для оценивания</t>
  </si>
  <si>
    <t>ФР.1.31.2013.16455</t>
  </si>
  <si>
    <t>Афлатоксин В1</t>
  </si>
  <si>
    <t>0,002 - 0,04 мг/кг</t>
  </si>
  <si>
    <t>Показатель точности</t>
  </si>
  <si>
    <t>Расширенная неопределённость, U, %</t>
  </si>
  <si>
    <r>
      <t xml:space="preserve">Погрешность результатов анализа, </t>
    </r>
    <r>
      <rPr>
        <sz val="12"/>
        <color theme="1"/>
        <rFont val="Calibri"/>
        <family val="2"/>
        <charset val="204"/>
      </rPr>
      <t>Δ</t>
    </r>
    <r>
      <rPr>
        <sz val="12"/>
        <color theme="1"/>
        <rFont val="Times New Roman"/>
        <family val="1"/>
        <charset val="204"/>
      </rPr>
      <t>, %</t>
    </r>
  </si>
  <si>
    <t>Мука кукурузная 04284</t>
  </si>
  <si>
    <t>Аттестованное (приписанное) значение, мг/кг</t>
  </si>
  <si>
    <t>Погрешность аттестованного (приписанного) значения, мг/кг</t>
  </si>
  <si>
    <t>Рассчитанные показатели по ОО, мг/кг</t>
  </si>
  <si>
    <t>РМГ 76-2014 Приложение И1-И3</t>
  </si>
  <si>
    <r>
      <t>σ</t>
    </r>
    <r>
      <rPr>
        <vertAlign val="subscript"/>
        <sz val="12"/>
        <color theme="1"/>
        <rFont val="Times New Roman"/>
        <family val="1"/>
        <charset val="204"/>
      </rPr>
      <t>Rл</t>
    </r>
    <r>
      <rPr>
        <sz val="12"/>
        <color theme="1"/>
        <rFont val="Times New Roman"/>
        <family val="1"/>
        <charset val="204"/>
      </rPr>
      <t>=σ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>*0,84=</t>
    </r>
  </si>
  <si>
    <t>Число параллельных исследований n=</t>
  </si>
  <si>
    <r>
      <t>ϒ*=σ</t>
    </r>
    <r>
      <rPr>
        <vertAlign val="subscript"/>
        <sz val="12"/>
        <color theme="1"/>
        <rFont val="Times New Roman"/>
        <family val="1"/>
        <charset val="204"/>
      </rPr>
      <t>Rл</t>
    </r>
    <r>
      <rPr>
        <sz val="12"/>
        <color theme="1"/>
        <rFont val="Times New Roman"/>
        <family val="1"/>
        <charset val="204"/>
      </rPr>
      <t>/ σ</t>
    </r>
    <r>
      <rPr>
        <vertAlign val="subscript"/>
        <sz val="12"/>
        <color theme="1"/>
        <rFont val="Times New Roman"/>
        <family val="1"/>
        <charset val="204"/>
      </rPr>
      <t>r</t>
    </r>
  </si>
  <si>
    <t>ϒ~ 1,2</t>
  </si>
  <si>
    <t>Наименьшее число серий анализа</t>
  </si>
  <si>
    <t>Дата проведения исследования</t>
  </si>
  <si>
    <r>
      <t>S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 xml:space="preserve"> ~ σ</t>
    </r>
    <r>
      <rPr>
        <vertAlign val="subscript"/>
        <sz val="12"/>
        <color theme="1"/>
        <rFont val="Times New Roman"/>
        <family val="1"/>
        <charset val="204"/>
      </rPr>
      <t>rл</t>
    </r>
  </si>
  <si>
    <r>
      <t>σ</t>
    </r>
    <r>
      <rPr>
        <vertAlign val="subscript"/>
        <sz val="12"/>
        <color theme="1"/>
        <rFont val="Times New Roman"/>
        <family val="1"/>
        <charset val="204"/>
      </rPr>
      <t>rл</t>
    </r>
    <r>
      <rPr>
        <sz val="12"/>
        <color theme="1"/>
        <rFont val="Times New Roman"/>
        <family val="1"/>
        <charset val="204"/>
      </rPr>
      <t xml:space="preserve"> =</t>
    </r>
  </si>
  <si>
    <t>мг/кг</t>
  </si>
  <si>
    <r>
      <t>Q(P,n)*S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 xml:space="preserve"> = 2,77*S</t>
    </r>
    <r>
      <rPr>
        <vertAlign val="subscript"/>
        <sz val="12"/>
        <color theme="1"/>
        <rFont val="Times New Roman"/>
        <family val="1"/>
        <charset val="204"/>
      </rPr>
      <t>r</t>
    </r>
  </si>
  <si>
    <r>
      <t>S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>=</t>
    </r>
  </si>
  <si>
    <r>
      <t>S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 xml:space="preserve"> ~ σ</t>
    </r>
    <r>
      <rPr>
        <vertAlign val="subscript"/>
        <sz val="12"/>
        <color theme="1"/>
        <rFont val="Times New Roman"/>
        <family val="1"/>
        <charset val="204"/>
      </rPr>
      <t>Rл</t>
    </r>
  </si>
  <si>
    <r>
      <t>σ</t>
    </r>
    <r>
      <rPr>
        <vertAlign val="subscript"/>
        <sz val="12"/>
        <color theme="1"/>
        <rFont val="Times New Roman"/>
        <family val="1"/>
        <charset val="204"/>
      </rPr>
      <t>Rл</t>
    </r>
    <r>
      <rPr>
        <sz val="12"/>
        <color theme="1"/>
        <rFont val="Times New Roman"/>
        <family val="1"/>
        <charset val="204"/>
      </rPr>
      <t xml:space="preserve"> =</t>
    </r>
  </si>
  <si>
    <r>
      <t>R</t>
    </r>
    <r>
      <rPr>
        <vertAlign val="subscript"/>
        <sz val="12"/>
        <color theme="1"/>
        <rFont val="Times New Roman"/>
        <family val="1"/>
        <charset val="204"/>
      </rPr>
      <t>л</t>
    </r>
    <r>
      <rPr>
        <sz val="12"/>
        <color theme="1"/>
        <rFont val="Times New Roman"/>
        <family val="1"/>
        <charset val="204"/>
      </rPr>
      <t xml:space="preserve"> =</t>
    </r>
  </si>
  <si>
    <r>
      <t>Q(P,n)*S</t>
    </r>
    <r>
      <rPr>
        <vertAlign val="subscript"/>
        <sz val="12"/>
        <color theme="1"/>
        <rFont val="Times New Roman"/>
        <family val="1"/>
        <charset val="204"/>
      </rPr>
      <t>R</t>
    </r>
    <r>
      <rPr>
        <sz val="12"/>
        <color theme="1"/>
        <rFont val="Times New Roman"/>
        <family val="1"/>
        <charset val="204"/>
      </rPr>
      <t xml:space="preserve"> = 2,77*S</t>
    </r>
    <r>
      <rPr>
        <vertAlign val="subscript"/>
        <sz val="12"/>
        <color theme="1"/>
        <rFont val="Times New Roman"/>
        <family val="1"/>
        <charset val="204"/>
      </rPr>
      <t>R</t>
    </r>
  </si>
  <si>
    <r>
      <t>θ = X</t>
    </r>
    <r>
      <rPr>
        <vertAlign val="subscript"/>
        <sz val="12"/>
        <color theme="1"/>
        <rFont val="Times New Roman"/>
        <family val="1"/>
        <charset val="204"/>
      </rPr>
      <t>ср</t>
    </r>
    <r>
      <rPr>
        <sz val="12"/>
        <color theme="1"/>
        <rFont val="Times New Roman"/>
        <family val="1"/>
        <charset val="204"/>
      </rPr>
      <t xml:space="preserve"> - X</t>
    </r>
    <r>
      <rPr>
        <vertAlign val="subscript"/>
        <sz val="12"/>
        <color theme="1"/>
        <rFont val="Times New Roman"/>
        <family val="1"/>
        <charset val="204"/>
      </rPr>
      <t>атт</t>
    </r>
  </si>
  <si>
    <r>
      <t>Х</t>
    </r>
    <r>
      <rPr>
        <vertAlign val="subscript"/>
        <sz val="12"/>
        <color theme="1"/>
        <rFont val="Times New Roman"/>
        <family val="1"/>
        <charset val="204"/>
      </rPr>
      <t>ср</t>
    </r>
    <r>
      <rPr>
        <sz val="12"/>
        <color theme="1"/>
        <rFont val="Times New Roman"/>
        <family val="1"/>
        <charset val="204"/>
      </rPr>
      <t>=</t>
    </r>
  </si>
  <si>
    <r>
      <t>t</t>
    </r>
    <r>
      <rPr>
        <vertAlign val="subscript"/>
        <sz val="12"/>
        <color theme="1"/>
        <rFont val="Times New Roman"/>
        <family val="1"/>
        <charset val="204"/>
      </rPr>
      <t>табл</t>
    </r>
    <r>
      <rPr>
        <sz val="12"/>
        <color theme="1"/>
        <rFont val="Times New Roman"/>
        <family val="1"/>
        <charset val="204"/>
      </rPr>
      <t xml:space="preserve">= </t>
    </r>
  </si>
  <si>
    <r>
      <t>Сравниваем с t</t>
    </r>
    <r>
      <rPr>
        <vertAlign val="subscript"/>
        <sz val="12"/>
        <color theme="1"/>
        <rFont val="Times New Roman"/>
        <family val="1"/>
        <charset val="204"/>
      </rPr>
      <t>табл</t>
    </r>
    <r>
      <rPr>
        <sz val="12"/>
        <color theme="1"/>
        <rFont val="Times New Roman"/>
        <family val="1"/>
        <charset val="204"/>
      </rPr>
      <t xml:space="preserve"> (Г.2)</t>
    </r>
  </si>
  <si>
    <r>
      <t>Если t ≤ t</t>
    </r>
    <r>
      <rPr>
        <vertAlign val="subscript"/>
        <sz val="12"/>
        <color theme="1"/>
        <rFont val="Times New Roman"/>
        <family val="1"/>
        <charset val="204"/>
      </rPr>
      <t>табл</t>
    </r>
    <r>
      <rPr>
        <sz val="12"/>
        <color theme="1"/>
        <rFont val="Times New Roman"/>
        <family val="1"/>
        <charset val="204"/>
      </rPr>
      <t>, смещение не значимо</t>
    </r>
  </si>
  <si>
    <t>θ = 0</t>
  </si>
  <si>
    <r>
      <t>Δ</t>
    </r>
    <r>
      <rPr>
        <vertAlign val="subscript"/>
        <sz val="12"/>
        <color theme="1"/>
        <rFont val="Calibri"/>
        <family val="2"/>
        <charset val="204"/>
      </rPr>
      <t>сл</t>
    </r>
    <r>
      <rPr>
        <sz val="12"/>
        <color theme="1"/>
        <rFont val="Calibri"/>
        <family val="2"/>
        <charset val="204"/>
      </rPr>
      <t>=</t>
    </r>
  </si>
  <si>
    <r>
      <rPr>
        <sz val="12"/>
        <color theme="1"/>
        <rFont val="Calibri"/>
        <family val="2"/>
        <charset val="204"/>
      </rPr>
      <t>Δ</t>
    </r>
    <r>
      <rPr>
        <vertAlign val="subscript"/>
        <sz val="12"/>
        <color theme="1"/>
        <rFont val="Times New Roman"/>
        <family val="1"/>
        <charset val="204"/>
      </rPr>
      <t>л</t>
    </r>
    <r>
      <rPr>
        <sz val="12"/>
        <color theme="1"/>
        <rFont val="Times New Roman"/>
        <family val="1"/>
        <charset val="204"/>
      </rPr>
      <t>=</t>
    </r>
  </si>
  <si>
    <r>
      <t>Δ</t>
    </r>
    <r>
      <rPr>
        <vertAlign val="subscript"/>
        <sz val="12"/>
        <color theme="1"/>
        <rFont val="Times New Roman"/>
        <family val="1"/>
        <charset val="204"/>
      </rPr>
      <t>л</t>
    </r>
    <r>
      <rPr>
        <sz val="12"/>
        <color theme="1"/>
        <rFont val="Times New Roman"/>
        <family val="1"/>
        <charset val="204"/>
      </rPr>
      <t xml:space="preserve"> = 1,96*σ</t>
    </r>
    <r>
      <rPr>
        <vertAlign val="subscript"/>
        <sz val="12"/>
        <color theme="1"/>
        <rFont val="Times New Roman"/>
        <family val="1"/>
        <charset val="204"/>
      </rPr>
      <t xml:space="preserve">Rл </t>
    </r>
  </si>
  <si>
    <t>Для образцов с маленькой погрешностью</t>
  </si>
  <si>
    <r>
      <t>σ</t>
    </r>
    <r>
      <rPr>
        <vertAlign val="subscript"/>
        <sz val="12"/>
        <color theme="1"/>
        <rFont val="Times New Roman"/>
        <family val="1"/>
        <charset val="204"/>
      </rPr>
      <t>сл</t>
    </r>
    <r>
      <rPr>
        <sz val="12"/>
        <color theme="1"/>
        <rFont val="Times New Roman"/>
        <family val="1"/>
        <charset val="204"/>
      </rPr>
      <t>/σ</t>
    </r>
    <r>
      <rPr>
        <vertAlign val="subscript"/>
        <sz val="12"/>
        <color theme="1"/>
        <rFont val="Times New Roman"/>
        <family val="1"/>
        <charset val="204"/>
      </rPr>
      <t>Rл</t>
    </r>
    <r>
      <rPr>
        <sz val="12"/>
        <color theme="1"/>
        <rFont val="Calibri"/>
        <family val="2"/>
        <charset val="204"/>
      </rPr>
      <t>≤</t>
    </r>
    <r>
      <rPr>
        <sz val="12"/>
        <color theme="1"/>
        <rFont val="Times New Roman"/>
        <family val="1"/>
        <charset val="204"/>
      </rPr>
      <t>1/3</t>
    </r>
  </si>
  <si>
    <t>(0,33)</t>
  </si>
  <si>
    <r>
      <t>σ</t>
    </r>
    <r>
      <rPr>
        <vertAlign val="subscript"/>
        <sz val="12"/>
        <color theme="1"/>
        <rFont val="Times New Roman"/>
        <family val="1"/>
        <charset val="204"/>
      </rPr>
      <t>(Δл)</t>
    </r>
    <r>
      <rPr>
        <sz val="12"/>
        <color theme="1"/>
        <rFont val="Times New Roman"/>
        <family val="1"/>
        <charset val="204"/>
      </rPr>
      <t>=</t>
    </r>
  </si>
  <si>
    <r>
      <t>σ</t>
    </r>
    <r>
      <rPr>
        <vertAlign val="subscript"/>
        <sz val="12"/>
        <color theme="1"/>
        <rFont val="Times New Roman"/>
        <family val="1"/>
        <charset val="204"/>
      </rPr>
      <t>сл</t>
    </r>
    <r>
      <rPr>
        <sz val="12"/>
        <color theme="1"/>
        <rFont val="Times New Roman"/>
        <family val="1"/>
        <charset val="204"/>
      </rPr>
      <t>=</t>
    </r>
  </si>
  <si>
    <r>
      <t>Δ</t>
    </r>
    <r>
      <rPr>
        <vertAlign val="subscript"/>
        <sz val="12"/>
        <color theme="1"/>
        <rFont val="Times New Roman"/>
        <family val="1"/>
        <charset val="204"/>
      </rPr>
      <t>л</t>
    </r>
    <r>
      <rPr>
        <sz val="12"/>
        <color theme="1"/>
        <rFont val="Times New Roman"/>
        <family val="1"/>
        <charset val="204"/>
      </rPr>
      <t>=</t>
    </r>
  </si>
  <si>
    <t>Если погрешность больше табличной</t>
  </si>
  <si>
    <r>
      <t>принимаем Δ</t>
    </r>
    <r>
      <rPr>
        <vertAlign val="subscript"/>
        <sz val="12"/>
        <color theme="1"/>
        <rFont val="Times New Roman"/>
        <family val="1"/>
        <charset val="204"/>
      </rPr>
      <t>л</t>
    </r>
    <r>
      <rPr>
        <sz val="12"/>
        <color theme="1"/>
        <rFont val="Times New Roman"/>
        <family val="1"/>
        <charset val="204"/>
      </rPr>
      <t xml:space="preserve"> = 1,96*σ</t>
    </r>
    <r>
      <rPr>
        <vertAlign val="subscript"/>
        <sz val="12"/>
        <color theme="1"/>
        <rFont val="Times New Roman"/>
        <family val="1"/>
        <charset val="204"/>
      </rPr>
      <t xml:space="preserve">Rл </t>
    </r>
  </si>
  <si>
    <t>подставляем знаечние в синюю ячейку</t>
  </si>
  <si>
    <t>Результат контрольной процедуры для контроля точности</t>
  </si>
  <si>
    <r>
      <t>K`</t>
    </r>
    <r>
      <rPr>
        <vertAlign val="subscript"/>
        <sz val="12"/>
        <color theme="1"/>
        <rFont val="Times New Roman"/>
        <family val="1"/>
        <charset val="204"/>
      </rPr>
      <t>КО</t>
    </r>
    <r>
      <rPr>
        <sz val="12"/>
        <color theme="1"/>
        <rFont val="Times New Roman"/>
        <family val="1"/>
        <charset val="204"/>
      </rPr>
      <t xml:space="preserve"> = К</t>
    </r>
    <r>
      <rPr>
        <vertAlign val="subscript"/>
        <sz val="12"/>
        <color theme="1"/>
        <rFont val="Times New Roman"/>
        <family val="1"/>
        <charset val="204"/>
      </rPr>
      <t>КО</t>
    </r>
    <r>
      <rPr>
        <sz val="12"/>
        <color theme="1"/>
        <rFont val="Times New Roman"/>
        <family val="1"/>
        <charset val="204"/>
      </rPr>
      <t>*0,01</t>
    </r>
    <r>
      <rPr>
        <sz val="12"/>
        <color theme="1"/>
        <rFont val="Calibri"/>
        <family val="2"/>
        <charset val="204"/>
      </rPr>
      <t>δ</t>
    </r>
    <r>
      <rPr>
        <vertAlign val="subscript"/>
        <sz val="10.8"/>
        <color theme="1"/>
        <rFont val="Times New Roman"/>
        <family val="1"/>
        <charset val="204"/>
      </rPr>
      <t>л</t>
    </r>
    <r>
      <rPr>
        <sz val="10.8"/>
        <color theme="1"/>
        <rFont val="Times New Roman"/>
        <family val="1"/>
        <charset val="204"/>
      </rPr>
      <t xml:space="preserve"> = (Х</t>
    </r>
    <r>
      <rPr>
        <vertAlign val="subscript"/>
        <sz val="10.8"/>
        <color theme="1"/>
        <rFont val="Times New Roman"/>
        <family val="1"/>
        <charset val="204"/>
      </rPr>
      <t>ср</t>
    </r>
    <r>
      <rPr>
        <sz val="10.8"/>
        <color theme="1"/>
        <rFont val="Times New Roman"/>
        <family val="1"/>
        <charset val="204"/>
      </rPr>
      <t xml:space="preserve"> - Х</t>
    </r>
    <r>
      <rPr>
        <vertAlign val="subscript"/>
        <sz val="10.8"/>
        <color theme="1"/>
        <rFont val="Times New Roman"/>
        <family val="1"/>
        <charset val="204"/>
      </rPr>
      <t>атт</t>
    </r>
    <r>
      <rPr>
        <sz val="10.8"/>
        <color theme="1"/>
        <rFont val="Times New Roman"/>
        <family val="1"/>
        <charset val="204"/>
      </rPr>
      <t>)/Х</t>
    </r>
    <r>
      <rPr>
        <vertAlign val="subscript"/>
        <sz val="10.8"/>
        <color theme="1"/>
        <rFont val="Times New Roman"/>
        <family val="1"/>
        <charset val="204"/>
      </rPr>
      <t>атт</t>
    </r>
  </si>
  <si>
    <t>Результат контрольной процедуры для контроля повторяемости</t>
  </si>
  <si>
    <r>
      <t>r`</t>
    </r>
    <r>
      <rPr>
        <vertAlign val="subscript"/>
        <sz val="12"/>
        <color theme="1"/>
        <rFont val="Times New Roman"/>
        <family val="1"/>
        <charset val="204"/>
      </rPr>
      <t>КО</t>
    </r>
    <r>
      <rPr>
        <sz val="12"/>
        <color theme="1"/>
        <rFont val="Times New Roman"/>
        <family val="1"/>
        <charset val="204"/>
      </rPr>
      <t xml:space="preserve"> = (Х</t>
    </r>
    <r>
      <rPr>
        <vertAlign val="subscript"/>
        <sz val="12"/>
        <color theme="1"/>
        <rFont val="Times New Roman"/>
        <family val="1"/>
        <charset val="204"/>
      </rPr>
      <t>MAX</t>
    </r>
    <r>
      <rPr>
        <sz val="12"/>
        <color theme="1"/>
        <rFont val="Times New Roman"/>
        <family val="1"/>
        <charset val="204"/>
      </rPr>
      <t>-X</t>
    </r>
    <r>
      <rPr>
        <vertAlign val="subscript"/>
        <sz val="12"/>
        <color theme="1"/>
        <rFont val="Times New Roman"/>
        <family val="1"/>
        <charset val="204"/>
      </rPr>
      <t>MIN</t>
    </r>
    <r>
      <rPr>
        <sz val="12"/>
        <color theme="1"/>
        <rFont val="Times New Roman"/>
        <family val="1"/>
        <charset val="204"/>
      </rPr>
      <t>)/X</t>
    </r>
    <r>
      <rPr>
        <vertAlign val="subscript"/>
        <sz val="12"/>
        <color theme="1"/>
        <rFont val="Times New Roman"/>
        <family val="1"/>
        <charset val="204"/>
      </rPr>
      <t>ср</t>
    </r>
  </si>
  <si>
    <t>Результат контрольной процедуры для внутрилабораторной прецизионности</t>
  </si>
  <si>
    <t>-</t>
  </si>
  <si>
    <r>
      <t>R`</t>
    </r>
    <r>
      <rPr>
        <vertAlign val="subscript"/>
        <sz val="12"/>
        <color theme="1"/>
        <rFont val="Times New Roman"/>
        <family val="1"/>
        <charset val="204"/>
      </rPr>
      <t>КО</t>
    </r>
    <r>
      <rPr>
        <sz val="12"/>
        <color theme="1"/>
        <rFont val="Times New Roman"/>
        <family val="1"/>
        <charset val="204"/>
      </rPr>
      <t xml:space="preserve"> = |Х</t>
    </r>
    <r>
      <rPr>
        <vertAlign val="subscript"/>
        <sz val="12"/>
        <color theme="1"/>
        <rFont val="Times New Roman"/>
        <family val="1"/>
        <charset val="204"/>
      </rPr>
      <t>ср1</t>
    </r>
    <r>
      <rPr>
        <sz val="12"/>
        <color theme="1"/>
        <rFont val="Times New Roman"/>
        <family val="1"/>
        <charset val="204"/>
      </rPr>
      <t xml:space="preserve"> - Х</t>
    </r>
    <r>
      <rPr>
        <vertAlign val="subscript"/>
        <sz val="12"/>
        <color theme="1"/>
        <rFont val="Times New Roman"/>
        <family val="1"/>
        <charset val="204"/>
      </rPr>
      <t>ср2</t>
    </r>
    <r>
      <rPr>
        <sz val="12"/>
        <color theme="1"/>
        <rFont val="Times New Roman"/>
        <family val="1"/>
        <charset val="204"/>
      </rPr>
      <t>|/Х</t>
    </r>
    <r>
      <rPr>
        <vertAlign val="subscript"/>
        <sz val="12"/>
        <color theme="1"/>
        <rFont val="Times New Roman"/>
        <family val="1"/>
        <charset val="204"/>
      </rPr>
      <t>ср12</t>
    </r>
  </si>
  <si>
    <r>
      <rPr>
        <sz val="12"/>
        <color theme="1"/>
        <rFont val="Calibri"/>
        <family val="2"/>
        <charset val="204"/>
      </rPr>
      <t>θ</t>
    </r>
    <r>
      <rPr>
        <sz val="10.8"/>
        <color theme="1"/>
        <rFont val="Times New Roman"/>
        <family val="1"/>
        <charset val="204"/>
      </rPr>
      <t>`л=</t>
    </r>
  </si>
  <si>
    <r>
      <rPr>
        <sz val="12"/>
        <color theme="1"/>
        <rFont val="Calibri"/>
        <family val="2"/>
        <charset val="204"/>
      </rPr>
      <t>σ</t>
    </r>
    <r>
      <rPr>
        <sz val="10.8"/>
        <color theme="1"/>
        <rFont val="Times New Roman"/>
        <family val="1"/>
        <charset val="204"/>
      </rPr>
      <t>`</t>
    </r>
    <r>
      <rPr>
        <vertAlign val="subscript"/>
        <sz val="10.8"/>
        <color theme="1"/>
        <rFont val="Times New Roman"/>
        <family val="1"/>
        <charset val="204"/>
      </rPr>
      <t>сл.отн</t>
    </r>
    <r>
      <rPr>
        <sz val="10.8"/>
        <color theme="1"/>
        <rFont val="Times New Roman"/>
        <family val="1"/>
        <charset val="204"/>
      </rPr>
      <t>=</t>
    </r>
  </si>
  <si>
    <t>t=</t>
  </si>
  <si>
    <r>
      <t>t</t>
    </r>
    <r>
      <rPr>
        <vertAlign val="subscript"/>
        <sz val="12"/>
        <color theme="1"/>
        <rFont val="Times New Roman"/>
        <family val="1"/>
        <charset val="204"/>
      </rPr>
      <t>табл</t>
    </r>
  </si>
  <si>
    <r>
      <rPr>
        <sz val="12"/>
        <color theme="1"/>
        <rFont val="Calibri"/>
        <family val="2"/>
        <charset val="204"/>
      </rPr>
      <t>δ</t>
    </r>
    <r>
      <rPr>
        <sz val="10.8"/>
        <color theme="1"/>
        <rFont val="Times New Roman"/>
        <family val="1"/>
        <charset val="204"/>
      </rPr>
      <t>`</t>
    </r>
    <r>
      <rPr>
        <vertAlign val="subscript"/>
        <sz val="10.8"/>
        <color theme="1"/>
        <rFont val="Times New Roman"/>
        <family val="1"/>
        <charset val="204"/>
      </rPr>
      <t>сл</t>
    </r>
    <r>
      <rPr>
        <sz val="10.8"/>
        <color theme="1"/>
        <rFont val="Times New Roman"/>
        <family val="1"/>
        <charset val="204"/>
      </rPr>
      <t xml:space="preserve"> =</t>
    </r>
  </si>
  <si>
    <r>
      <rPr>
        <sz val="12"/>
        <color theme="1"/>
        <rFont val="Calibri"/>
        <family val="2"/>
        <charset val="204"/>
      </rPr>
      <t>δ</t>
    </r>
    <r>
      <rPr>
        <sz val="10.8"/>
        <color theme="1"/>
        <rFont val="Times New Roman"/>
        <family val="1"/>
        <charset val="204"/>
      </rPr>
      <t>`</t>
    </r>
    <r>
      <rPr>
        <vertAlign val="subscript"/>
        <sz val="10.8"/>
        <color theme="1"/>
        <rFont val="Times New Roman"/>
        <family val="1"/>
        <charset val="204"/>
      </rPr>
      <t>л</t>
    </r>
    <r>
      <rPr>
        <sz val="10.8"/>
        <color theme="1"/>
        <rFont val="Times New Roman"/>
        <family val="1"/>
        <charset val="204"/>
      </rPr>
      <t xml:space="preserve"> = </t>
    </r>
  </si>
  <si>
    <t>6. Рассчитываем точечный показатель повторяемости</t>
  </si>
  <si>
    <r>
      <rPr>
        <sz val="12"/>
        <color theme="1"/>
        <rFont val="Calibri"/>
        <family val="2"/>
        <charset val="204"/>
      </rPr>
      <t>σ</t>
    </r>
    <r>
      <rPr>
        <sz val="10.8"/>
        <color theme="1"/>
        <rFont val="Times New Roman"/>
        <family val="1"/>
        <charset val="204"/>
      </rPr>
      <t>`</t>
    </r>
    <r>
      <rPr>
        <vertAlign val="subscript"/>
        <sz val="10.8"/>
        <color theme="1"/>
        <rFont val="Times New Roman"/>
        <family val="1"/>
        <charset val="204"/>
      </rPr>
      <t>rл.отн</t>
    </r>
    <r>
      <rPr>
        <sz val="10.8"/>
        <color theme="1"/>
        <rFont val="Times New Roman"/>
        <family val="1"/>
        <charset val="204"/>
      </rPr>
      <t xml:space="preserve"> =</t>
    </r>
  </si>
  <si>
    <t>7. Рассчитываем точечный показатель внутрилабораторной прецизионности</t>
  </si>
  <si>
    <r>
      <rPr>
        <sz val="12"/>
        <color theme="1"/>
        <rFont val="Calibri"/>
        <family val="2"/>
        <charset val="204"/>
      </rPr>
      <t>σ</t>
    </r>
    <r>
      <rPr>
        <sz val="10.8"/>
        <color theme="1"/>
        <rFont val="Times New Roman"/>
        <family val="1"/>
        <charset val="204"/>
      </rPr>
      <t>`</t>
    </r>
    <r>
      <rPr>
        <vertAlign val="subscript"/>
        <sz val="10.8"/>
        <color theme="1"/>
        <rFont val="Times New Roman"/>
        <family val="1"/>
        <charset val="204"/>
      </rPr>
      <t>R л.отн</t>
    </r>
    <r>
      <rPr>
        <sz val="10.8"/>
        <color theme="1"/>
        <rFont val="Times New Roman"/>
        <family val="1"/>
        <charset val="204"/>
      </rPr>
      <t xml:space="preserve"> =</t>
    </r>
  </si>
  <si>
    <t>8. Рассчитываем оценку смещения</t>
  </si>
  <si>
    <t>9. Рассчитываем точечную оценку показателя правильности результатов анализа</t>
  </si>
  <si>
    <t>10. Рассчитываем коэффициент Стьюдента</t>
  </si>
  <si>
    <t>11. Рассчитываем интервальную оценку показателя правильности</t>
  </si>
  <si>
    <t>12. Рассчитываем интервальную оценку показателя точности</t>
  </si>
  <si>
    <t>13. Рассчитываем границы карт Шухарта (в относительных единицах)</t>
  </si>
  <si>
    <t>Средняя линия</t>
  </si>
  <si>
    <t>Повторяемость</t>
  </si>
  <si>
    <t>Внутрилабораторная прецизионность</t>
  </si>
  <si>
    <t>Точность</t>
  </si>
  <si>
    <t>Предел предупреждения</t>
  </si>
  <si>
    <t>Предел действия</t>
  </si>
  <si>
    <t>Внедрение методики</t>
  </si>
  <si>
    <t>Построение карты Шухарта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</si>
</sst>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00"/>
    <numFmt numFmtId="166" formatCode="0.00000"/>
    <numFmt numFmtId="167" formatCode="0.000000000"/>
    <numFmt numFmtId="168" formatCode="0.0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bscript"/>
      <sz val="12"/>
      <color theme="1"/>
      <name val="Calibri"/>
      <family val="2"/>
      <charset val="204"/>
    </font>
    <font>
      <sz val="10.8"/>
      <color theme="1"/>
      <name val="Times New Roman"/>
      <family val="1"/>
      <charset val="204"/>
    </font>
    <font>
      <vertAlign val="subscript"/>
      <sz val="10.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FF9D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166" fontId="1" fillId="0" borderId="0" xfId="0" applyNumberFormat="1" applyFont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4" fontId="1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left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66" fontId="1" fillId="0" borderId="0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8" fontId="1" fillId="0" borderId="0" xfId="0" applyNumberFormat="1" applyFont="1" applyAlignment="1">
      <alignment horizontal="left" vertical="center"/>
    </xf>
    <xf numFmtId="167" fontId="1" fillId="2" borderId="1" xfId="0" applyNumberFormat="1" applyFont="1" applyFill="1" applyBorder="1" applyAlignment="1">
      <alignment horizontal="left" vertical="center"/>
    </xf>
    <xf numFmtId="168" fontId="1" fillId="0" borderId="1" xfId="0" applyNumberFormat="1" applyFont="1" applyBorder="1" applyAlignment="1">
      <alignment horizontal="center" vertical="center"/>
    </xf>
    <xf numFmtId="168" fontId="1" fillId="7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8" fontId="12" fillId="7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FF9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tx>
            <c:v>Результат контрольной процедуры для повторяемости</c:v>
          </c:tx>
          <c:val>
            <c:numRef>
              <c:f>Расчёт!$G$33:$G$62</c:f>
              <c:numCache>
                <c:formatCode>0.0000</c:formatCode>
                <c:ptCount val="30"/>
                <c:pt idx="0">
                  <c:v>4.0760869565216904E-3</c:v>
                </c:pt>
                <c:pt idx="1">
                  <c:v>7.062146892655447E-3</c:v>
                </c:pt>
                <c:pt idx="2">
                  <c:v>2.2636484687083888E-2</c:v>
                </c:pt>
                <c:pt idx="3">
                  <c:v>3.0542986425339494E-2</c:v>
                </c:pt>
                <c:pt idx="4">
                  <c:v>1.5151515151515131E-2</c:v>
                </c:pt>
                <c:pt idx="5">
                  <c:v>4.7619047619047603E-2</c:v>
                </c:pt>
                <c:pt idx="6">
                  <c:v>0.12459016393442608</c:v>
                </c:pt>
                <c:pt idx="7">
                  <c:v>8.4033613445378373E-3</c:v>
                </c:pt>
                <c:pt idx="8">
                  <c:v>2.4906600249067147E-3</c:v>
                </c:pt>
                <c:pt idx="9">
                  <c:v>9.6418732782368802E-3</c:v>
                </c:pt>
                <c:pt idx="10">
                  <c:v>0.25506937033084309</c:v>
                </c:pt>
                <c:pt idx="11">
                  <c:v>5.4347826086956659E-3</c:v>
                </c:pt>
                <c:pt idx="12">
                  <c:v>1.2330456226880535E-2</c:v>
                </c:pt>
                <c:pt idx="13">
                  <c:v>0.16064257028112458</c:v>
                </c:pt>
                <c:pt idx="14">
                  <c:v>6.5868263473053704E-2</c:v>
                </c:pt>
                <c:pt idx="15">
                  <c:v>4.5177045177045246E-2</c:v>
                </c:pt>
                <c:pt idx="16">
                  <c:v>4.5871559633027638E-3</c:v>
                </c:pt>
                <c:pt idx="17">
                  <c:v>3.855421686746998E-2</c:v>
                </c:pt>
                <c:pt idx="18">
                  <c:v>8.7082728592162775E-3</c:v>
                </c:pt>
                <c:pt idx="19">
                  <c:v>9.6930533117932406E-3</c:v>
                </c:pt>
                <c:pt idx="20">
                  <c:v>2.0648967551622474E-2</c:v>
                </c:pt>
                <c:pt idx="21">
                  <c:v>9.287925696594453E-3</c:v>
                </c:pt>
                <c:pt idx="22">
                  <c:v>3.0254777070063705E-2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Средняя линия</c:v>
          </c:tx>
          <c:val>
            <c:numRef>
              <c:f>Расчёт!$J$33:$J$62</c:f>
              <c:numCache>
                <c:formatCode>0.0000</c:formatCode>
                <c:ptCount val="30"/>
                <c:pt idx="0">
                  <c:v>0.16919999999999996</c:v>
                </c:pt>
                <c:pt idx="1">
                  <c:v>0.16919999999999996</c:v>
                </c:pt>
                <c:pt idx="2">
                  <c:v>0.16919999999999996</c:v>
                </c:pt>
                <c:pt idx="3">
                  <c:v>0.16919999999999996</c:v>
                </c:pt>
                <c:pt idx="4">
                  <c:v>0.16919999999999996</c:v>
                </c:pt>
                <c:pt idx="5">
                  <c:v>0.16919999999999996</c:v>
                </c:pt>
                <c:pt idx="6">
                  <c:v>0.16919999999999996</c:v>
                </c:pt>
                <c:pt idx="7">
                  <c:v>0.16919999999999996</c:v>
                </c:pt>
                <c:pt idx="8">
                  <c:v>0.16919999999999996</c:v>
                </c:pt>
                <c:pt idx="9">
                  <c:v>0.16919999999999996</c:v>
                </c:pt>
                <c:pt idx="10">
                  <c:v>0.16919999999999996</c:v>
                </c:pt>
                <c:pt idx="11">
                  <c:v>0.16919999999999996</c:v>
                </c:pt>
                <c:pt idx="12">
                  <c:v>0.16919999999999996</c:v>
                </c:pt>
                <c:pt idx="13">
                  <c:v>0.16919999999999996</c:v>
                </c:pt>
                <c:pt idx="14">
                  <c:v>0.16919999999999996</c:v>
                </c:pt>
                <c:pt idx="15">
                  <c:v>0.16919999999999996</c:v>
                </c:pt>
                <c:pt idx="16">
                  <c:v>0.16919999999999996</c:v>
                </c:pt>
                <c:pt idx="17">
                  <c:v>0.16919999999999996</c:v>
                </c:pt>
                <c:pt idx="18">
                  <c:v>0.16919999999999996</c:v>
                </c:pt>
                <c:pt idx="19">
                  <c:v>0.16919999999999996</c:v>
                </c:pt>
                <c:pt idx="20">
                  <c:v>0.16919999999999996</c:v>
                </c:pt>
                <c:pt idx="21">
                  <c:v>0.16919999999999996</c:v>
                </c:pt>
                <c:pt idx="22">
                  <c:v>0.16919999999999996</c:v>
                </c:pt>
                <c:pt idx="23">
                  <c:v>0.16919999999999996</c:v>
                </c:pt>
                <c:pt idx="24">
                  <c:v>0.16919999999999996</c:v>
                </c:pt>
                <c:pt idx="25">
                  <c:v>0.16919999999999996</c:v>
                </c:pt>
                <c:pt idx="26">
                  <c:v>0.16919999999999996</c:v>
                </c:pt>
                <c:pt idx="27">
                  <c:v>0.16919999999999996</c:v>
                </c:pt>
                <c:pt idx="28">
                  <c:v>0.16919999999999996</c:v>
                </c:pt>
                <c:pt idx="29">
                  <c:v>0.16919999999999996</c:v>
                </c:pt>
              </c:numCache>
            </c:numRef>
          </c:val>
        </c:ser>
        <c:marker val="1"/>
        <c:axId val="141125504"/>
        <c:axId val="141127040"/>
      </c:lineChart>
      <c:catAx>
        <c:axId val="141125504"/>
        <c:scaling>
          <c:orientation val="minMax"/>
        </c:scaling>
        <c:axPos val="b"/>
        <c:tickLblPos val="nextTo"/>
        <c:crossAx val="141127040"/>
        <c:crosses val="autoZero"/>
        <c:auto val="1"/>
        <c:lblAlgn val="ctr"/>
        <c:lblOffset val="100"/>
      </c:catAx>
      <c:valAx>
        <c:axId val="141127040"/>
        <c:scaling>
          <c:orientation val="minMax"/>
        </c:scaling>
        <c:axPos val="l"/>
        <c:majorGridlines/>
        <c:numFmt formatCode="0.0000" sourceLinked="1"/>
        <c:tickLblPos val="nextTo"/>
        <c:crossAx val="141125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1375833</xdr:colOff>
      <xdr:row>30</xdr:row>
      <xdr:rowOff>677335</xdr:rowOff>
    </xdr:from>
    <xdr:to>
      <xdr:col>5</xdr:col>
      <xdr:colOff>592667</xdr:colOff>
      <xdr:row>47</xdr:row>
      <xdr:rowOff>31751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46"/>
  <sheetViews>
    <sheetView tabSelected="1" topLeftCell="A23" zoomScale="90" zoomScaleNormal="90" workbookViewId="0">
      <selection activeCell="J33" sqref="J33"/>
    </sheetView>
  </sheetViews>
  <sheetFormatPr defaultRowHeight="15.75"/>
  <cols>
    <col min="1" max="1" width="40.7109375" style="3" customWidth="1"/>
    <col min="2" max="2" width="20.7109375" style="3" customWidth="1"/>
    <col min="3" max="3" width="23.140625" style="3" customWidth="1"/>
    <col min="4" max="8" width="20.7109375" style="3" customWidth="1"/>
    <col min="9" max="9" width="16" style="3" customWidth="1"/>
    <col min="10" max="10" width="12.5703125" style="3" customWidth="1"/>
    <col min="11" max="16384" width="9.140625" style="3"/>
  </cols>
  <sheetData>
    <row r="1" spans="1:9">
      <c r="A1" s="73" t="s">
        <v>46</v>
      </c>
      <c r="B1" s="73"/>
      <c r="C1" s="73"/>
      <c r="D1" s="73"/>
      <c r="E1" s="73"/>
      <c r="F1" s="73"/>
      <c r="G1" s="73"/>
    </row>
    <row r="2" spans="1:9">
      <c r="A2" s="43" t="s">
        <v>47</v>
      </c>
      <c r="B2" s="44" t="s">
        <v>58</v>
      </c>
      <c r="C2" s="8"/>
      <c r="D2" s="8"/>
      <c r="E2" s="8"/>
      <c r="F2" s="8"/>
      <c r="G2" s="8"/>
    </row>
    <row r="3" spans="1:9">
      <c r="A3" s="9" t="s">
        <v>48</v>
      </c>
      <c r="B3" s="2" t="s">
        <v>59</v>
      </c>
      <c r="C3" s="8"/>
      <c r="D3" s="8"/>
      <c r="E3" s="8"/>
      <c r="F3" s="8"/>
      <c r="G3" s="8"/>
    </row>
    <row r="4" spans="1:9">
      <c r="A4" s="9" t="s">
        <v>49</v>
      </c>
      <c r="B4" s="10" t="s">
        <v>60</v>
      </c>
      <c r="C4" s="8"/>
      <c r="D4" s="8"/>
      <c r="E4" s="8"/>
      <c r="F4" s="8"/>
      <c r="G4" s="8"/>
    </row>
    <row r="5" spans="1:9" ht="50.1" customHeight="1">
      <c r="A5" s="78" t="s">
        <v>50</v>
      </c>
      <c r="B5" s="76" t="s">
        <v>55</v>
      </c>
      <c r="C5" s="76"/>
      <c r="D5" s="76" t="s">
        <v>56</v>
      </c>
      <c r="E5" s="76"/>
      <c r="F5" s="74" t="s">
        <v>61</v>
      </c>
      <c r="G5" s="74"/>
    </row>
    <row r="6" spans="1:9" ht="113.25" customHeight="1">
      <c r="A6" s="78"/>
      <c r="B6" s="1" t="s">
        <v>53</v>
      </c>
      <c r="C6" s="1" t="s">
        <v>51</v>
      </c>
      <c r="D6" s="1" t="s">
        <v>54</v>
      </c>
      <c r="E6" s="1" t="s">
        <v>52</v>
      </c>
      <c r="F6" s="1" t="s">
        <v>62</v>
      </c>
      <c r="G6" s="1" t="s">
        <v>63</v>
      </c>
    </row>
    <row r="7" spans="1:9">
      <c r="A7" s="79"/>
      <c r="B7" s="5">
        <v>15</v>
      </c>
      <c r="C7" s="6">
        <f>B7*2.77</f>
        <v>41.55</v>
      </c>
      <c r="D7" s="5">
        <v>18</v>
      </c>
      <c r="E7" s="6">
        <f>D7*2.77</f>
        <v>49.86</v>
      </c>
      <c r="F7" s="2">
        <v>40</v>
      </c>
      <c r="G7" s="2">
        <v>40</v>
      </c>
    </row>
    <row r="8" spans="1:9">
      <c r="A8" s="4" t="s">
        <v>67</v>
      </c>
      <c r="B8" s="36">
        <f>B11*B7/100</f>
        <v>1.101E-3</v>
      </c>
      <c r="C8" s="36">
        <f>B11*C7/100</f>
        <v>3.0497699999999998E-3</v>
      </c>
      <c r="D8" s="36">
        <f>D7*B11/100</f>
        <v>1.3212000000000002E-3</v>
      </c>
      <c r="E8" s="36">
        <f>B11*E7/100</f>
        <v>3.6597240000000005E-3</v>
      </c>
      <c r="F8" s="37">
        <f>B11*F7/100</f>
        <v>2.9360000000000002E-3</v>
      </c>
      <c r="G8" s="37">
        <f>B11*G7/100</f>
        <v>2.9360000000000002E-3</v>
      </c>
    </row>
    <row r="9" spans="1:9">
      <c r="A9" s="4"/>
      <c r="B9" s="4"/>
      <c r="C9" s="4"/>
      <c r="D9" s="7"/>
      <c r="E9" s="7"/>
      <c r="F9" s="7"/>
      <c r="G9" s="7"/>
      <c r="H9" s="7"/>
      <c r="I9" s="7"/>
    </row>
    <row r="10" spans="1:9" ht="63">
      <c r="A10" s="4" t="s">
        <v>57</v>
      </c>
      <c r="B10" s="1" t="s">
        <v>65</v>
      </c>
      <c r="C10" s="1" t="s">
        <v>66</v>
      </c>
      <c r="D10" s="7"/>
      <c r="E10" s="7"/>
      <c r="F10" s="7"/>
      <c r="G10" s="7"/>
      <c r="H10" s="7"/>
      <c r="I10" s="7"/>
    </row>
    <row r="11" spans="1:9">
      <c r="A11" s="4" t="s">
        <v>64</v>
      </c>
      <c r="B11" s="2">
        <v>7.3400000000000002E-3</v>
      </c>
      <c r="C11" s="2">
        <v>3.2299999999999998E-3</v>
      </c>
      <c r="D11" s="7"/>
      <c r="E11" s="7"/>
      <c r="F11" s="7"/>
      <c r="G11" s="7"/>
      <c r="H11" s="7"/>
      <c r="I11" s="7"/>
    </row>
    <row r="12" spans="1:9">
      <c r="D12" s="7"/>
      <c r="E12" s="7"/>
      <c r="F12" s="7"/>
      <c r="G12" s="7"/>
      <c r="H12" s="7"/>
      <c r="I12" s="7"/>
    </row>
    <row r="14" spans="1:9">
      <c r="A14" s="72" t="s">
        <v>9</v>
      </c>
      <c r="B14" s="72"/>
    </row>
    <row r="15" spans="1:9">
      <c r="A15" s="15" t="s">
        <v>68</v>
      </c>
    </row>
    <row r="16" spans="1:9" ht="18.75">
      <c r="A16" s="16" t="s">
        <v>69</v>
      </c>
      <c r="B16" s="17">
        <f>0.84*D7</f>
        <v>15.12</v>
      </c>
    </row>
    <row r="17" spans="1:13">
      <c r="A17" s="16" t="s">
        <v>70</v>
      </c>
      <c r="B17" s="38">
        <v>2</v>
      </c>
    </row>
    <row r="19" spans="1:13" ht="18.75">
      <c r="A19" s="16" t="s">
        <v>71</v>
      </c>
    </row>
    <row r="20" spans="1:13">
      <c r="A20" s="16" t="s">
        <v>10</v>
      </c>
      <c r="B20" s="15">
        <f>B16/B7</f>
        <v>1.008</v>
      </c>
    </row>
    <row r="21" spans="1:13">
      <c r="A21" s="16" t="s">
        <v>36</v>
      </c>
      <c r="B21" s="59">
        <f>SQRT(B20*B20+((B17-1)/B17))</f>
        <v>1.2312855071022317</v>
      </c>
      <c r="C21" s="19" t="s">
        <v>72</v>
      </c>
      <c r="F21" s="11"/>
      <c r="G21" s="12"/>
    </row>
    <row r="22" spans="1:13">
      <c r="A22" s="16" t="s">
        <v>11</v>
      </c>
    </row>
    <row r="23" spans="1:13">
      <c r="A23" s="16" t="s">
        <v>12</v>
      </c>
    </row>
    <row r="24" spans="1:13">
      <c r="A24" s="20" t="s">
        <v>13</v>
      </c>
      <c r="B24" s="75" t="s">
        <v>73</v>
      </c>
      <c r="C24" s="16" t="s">
        <v>14</v>
      </c>
      <c r="D24" s="15">
        <v>18</v>
      </c>
    </row>
    <row r="25" spans="1:13">
      <c r="A25" s="20" t="s">
        <v>15</v>
      </c>
      <c r="B25" s="75"/>
      <c r="C25" s="16" t="s">
        <v>14</v>
      </c>
      <c r="D25" s="15">
        <v>11</v>
      </c>
    </row>
    <row r="26" spans="1:13" ht="31.5">
      <c r="A26" s="20" t="s">
        <v>16</v>
      </c>
      <c r="B26" s="75"/>
      <c r="C26" s="16" t="s">
        <v>14</v>
      </c>
      <c r="D26" s="19">
        <v>23</v>
      </c>
    </row>
    <row r="27" spans="1:13">
      <c r="A27" s="15" t="s">
        <v>17</v>
      </c>
    </row>
    <row r="29" spans="1:13">
      <c r="A29" s="45" t="s">
        <v>18</v>
      </c>
    </row>
    <row r="30" spans="1:13">
      <c r="B30" s="77" t="s">
        <v>131</v>
      </c>
      <c r="C30" s="77"/>
      <c r="D30" s="77"/>
      <c r="E30" s="77"/>
      <c r="F30" s="74" t="s">
        <v>132</v>
      </c>
      <c r="G30" s="74"/>
      <c r="H30" s="74"/>
      <c r="I30" s="74"/>
    </row>
    <row r="31" spans="1:13" ht="129.75" customHeight="1">
      <c r="A31" s="76" t="s">
        <v>1</v>
      </c>
      <c r="B31" s="76" t="s">
        <v>74</v>
      </c>
      <c r="C31" s="76" t="s">
        <v>0</v>
      </c>
      <c r="D31" s="76"/>
      <c r="E31" s="1" t="s">
        <v>2</v>
      </c>
      <c r="F31" s="69" t="s">
        <v>102</v>
      </c>
      <c r="G31" s="69" t="s">
        <v>104</v>
      </c>
      <c r="H31" s="69" t="s">
        <v>106</v>
      </c>
      <c r="I31" s="74"/>
    </row>
    <row r="32" spans="1:13" ht="37.5">
      <c r="A32" s="76"/>
      <c r="B32" s="76"/>
      <c r="C32" s="31" t="s">
        <v>3</v>
      </c>
      <c r="D32" s="31" t="s">
        <v>4</v>
      </c>
      <c r="E32" s="31" t="s">
        <v>5</v>
      </c>
      <c r="F32" s="57" t="s">
        <v>103</v>
      </c>
      <c r="G32" s="63" t="s">
        <v>105</v>
      </c>
      <c r="H32" s="63" t="s">
        <v>108</v>
      </c>
      <c r="I32" s="74"/>
      <c r="J32" s="8"/>
      <c r="K32" s="8"/>
      <c r="L32" s="8"/>
      <c r="M32" s="8"/>
    </row>
    <row r="33" spans="1:13">
      <c r="A33" s="4">
        <v>1</v>
      </c>
      <c r="B33" s="29">
        <v>42899</v>
      </c>
      <c r="C33" s="32">
        <v>7.3699999999999998E-3</v>
      </c>
      <c r="D33" s="32">
        <v>7.3400000000000002E-3</v>
      </c>
      <c r="E33" s="33">
        <v>7.3600000000000002E-3</v>
      </c>
      <c r="F33" s="62">
        <f>IFERROR((E33-$B$11)/$B$11,"-")</f>
        <v>2.7247956403269828E-3</v>
      </c>
      <c r="G33" s="71">
        <f>IFERROR(ABS((C33-D33)/E33),"-")</f>
        <v>4.0760869565216904E-3</v>
      </c>
      <c r="H33" s="71" t="s">
        <v>107</v>
      </c>
      <c r="I33" s="70">
        <f t="shared" ref="I33:I62" si="0">IFERROR((F33-(B123/100))^2,"-")</f>
        <v>3.6720067896804792E-3</v>
      </c>
      <c r="J33" s="61">
        <f>1.128*0.01*$B$7</f>
        <v>0.16919999999999996</v>
      </c>
      <c r="K33" s="8"/>
      <c r="L33" s="8"/>
      <c r="M33" s="8"/>
    </row>
    <row r="34" spans="1:13">
      <c r="A34" s="4">
        <f>A33+1</f>
        <v>2</v>
      </c>
      <c r="B34" s="29">
        <v>42902</v>
      </c>
      <c r="C34" s="32">
        <v>7.1000000000000004E-3</v>
      </c>
      <c r="D34" s="32">
        <v>7.0499999999999998E-3</v>
      </c>
      <c r="E34" s="33">
        <v>7.0800000000000004E-3</v>
      </c>
      <c r="F34" s="62">
        <f t="shared" ref="F34:F62" si="1">IFERROR((E34-$B$11)/$B$11,"-")</f>
        <v>-3.5422343324250656E-2</v>
      </c>
      <c r="G34" s="71">
        <f t="shared" ref="G34:G62" si="2">IFERROR(ABS((C34-D34)/E34),"-")</f>
        <v>7.062146892655447E-3</v>
      </c>
      <c r="H34" s="71">
        <f>IFERROR(ABS((E33-E34)/AVERAGE(E33:E34)),"-")</f>
        <v>3.8781163434903024E-2</v>
      </c>
      <c r="I34" s="70">
        <f t="shared" si="0"/>
        <v>1.2547424065810851E-3</v>
      </c>
      <c r="J34" s="61">
        <f t="shared" ref="J34:J62" si="3">1.128*0.01*$B$7</f>
        <v>0.16919999999999996</v>
      </c>
      <c r="K34" s="8"/>
      <c r="L34" s="8"/>
      <c r="M34" s="8"/>
    </row>
    <row r="35" spans="1:13">
      <c r="A35" s="4">
        <f t="shared" ref="A35:A62" si="4">A34+1</f>
        <v>3</v>
      </c>
      <c r="B35" s="29">
        <v>42915</v>
      </c>
      <c r="C35" s="32">
        <v>7.4200000000000004E-3</v>
      </c>
      <c r="D35" s="32">
        <v>7.5900000000000004E-3</v>
      </c>
      <c r="E35" s="33">
        <v>7.5100000000000002E-3</v>
      </c>
      <c r="F35" s="62">
        <f t="shared" si="1"/>
        <v>2.3160762942779294E-2</v>
      </c>
      <c r="G35" s="71">
        <f t="shared" si="2"/>
        <v>2.2636484687083888E-2</v>
      </c>
      <c r="H35" s="71">
        <f t="shared" ref="H35:H62" si="5">IFERROR(ABS((E34-E35)/AVERAGE(E34:E35)),"-")</f>
        <v>5.8944482522275507E-2</v>
      </c>
      <c r="I35" s="70">
        <f t="shared" si="0"/>
        <v>5.3642094009161861E-4</v>
      </c>
      <c r="J35" s="61">
        <f t="shared" si="3"/>
        <v>0.16919999999999996</v>
      </c>
      <c r="K35" s="8"/>
      <c r="L35" s="8"/>
      <c r="M35" s="8"/>
    </row>
    <row r="36" spans="1:13">
      <c r="A36" s="4">
        <f t="shared" si="4"/>
        <v>4</v>
      </c>
      <c r="B36" s="29">
        <v>42969</v>
      </c>
      <c r="C36" s="32">
        <v>8.9700000000000005E-3</v>
      </c>
      <c r="D36" s="32">
        <v>8.6999999999999994E-3</v>
      </c>
      <c r="E36" s="33">
        <v>8.8400000000000006E-3</v>
      </c>
      <c r="F36" s="62">
        <f t="shared" si="1"/>
        <v>0.20435967302452321</v>
      </c>
      <c r="G36" s="71">
        <f t="shared" si="2"/>
        <v>3.0542986425339494E-2</v>
      </c>
      <c r="H36" s="71">
        <f t="shared" si="5"/>
        <v>0.162691131498471</v>
      </c>
      <c r="I36" s="70">
        <f t="shared" si="0"/>
        <v>4.1762875958690042E-2</v>
      </c>
      <c r="J36" s="61">
        <f t="shared" si="3"/>
        <v>0.16919999999999996</v>
      </c>
      <c r="K36" s="8"/>
      <c r="L36" s="8"/>
      <c r="M36" s="8"/>
    </row>
    <row r="37" spans="1:13">
      <c r="A37" s="4">
        <f t="shared" si="4"/>
        <v>5</v>
      </c>
      <c r="B37" s="29">
        <v>42976</v>
      </c>
      <c r="C37" s="32">
        <v>7.1999999999999998E-3</v>
      </c>
      <c r="D37" s="32">
        <v>7.3099999999999997E-3</v>
      </c>
      <c r="E37" s="33">
        <v>7.26E-3</v>
      </c>
      <c r="F37" s="62">
        <f t="shared" si="1"/>
        <v>-1.0899182561307931E-2</v>
      </c>
      <c r="G37" s="71">
        <f t="shared" si="2"/>
        <v>1.5151515151515131E-2</v>
      </c>
      <c r="H37" s="71">
        <f t="shared" si="5"/>
        <v>0.19627329192546591</v>
      </c>
      <c r="I37" s="70">
        <f t="shared" si="0"/>
        <v>1.1879218050471892E-4</v>
      </c>
      <c r="J37" s="61">
        <f t="shared" si="3"/>
        <v>0.16919999999999996</v>
      </c>
      <c r="K37" s="8"/>
      <c r="L37" s="8"/>
      <c r="M37" s="8"/>
    </row>
    <row r="38" spans="1:13">
      <c r="A38" s="4">
        <f t="shared" si="4"/>
        <v>6</v>
      </c>
      <c r="B38" s="29">
        <v>42979</v>
      </c>
      <c r="C38" s="32">
        <v>9.2399999999999999E-3</v>
      </c>
      <c r="D38" s="32">
        <v>8.8100000000000001E-3</v>
      </c>
      <c r="E38" s="33">
        <v>9.0299999999999998E-3</v>
      </c>
      <c r="F38" s="62">
        <f t="shared" si="1"/>
        <v>0.23024523160762939</v>
      </c>
      <c r="G38" s="71">
        <f t="shared" si="2"/>
        <v>4.7619047619047603E-2</v>
      </c>
      <c r="H38" s="71">
        <f t="shared" si="5"/>
        <v>0.21731123388581952</v>
      </c>
      <c r="I38" s="70">
        <f t="shared" si="0"/>
        <v>5.3012866678050899E-2</v>
      </c>
      <c r="J38" s="61">
        <f t="shared" si="3"/>
        <v>0.16919999999999996</v>
      </c>
      <c r="K38" s="8"/>
      <c r="L38" s="8"/>
      <c r="M38" s="8"/>
    </row>
    <row r="39" spans="1:13">
      <c r="A39" s="4">
        <f t="shared" si="4"/>
        <v>7</v>
      </c>
      <c r="B39" s="29">
        <v>42985</v>
      </c>
      <c r="C39" s="32">
        <v>9.7199999999999995E-3</v>
      </c>
      <c r="D39" s="32">
        <v>8.5800000000000008E-3</v>
      </c>
      <c r="E39" s="33">
        <v>9.1500000000000001E-3</v>
      </c>
      <c r="F39" s="62">
        <f t="shared" si="1"/>
        <v>0.24659400544959126</v>
      </c>
      <c r="G39" s="71">
        <f t="shared" si="2"/>
        <v>0.12459016393442608</v>
      </c>
      <c r="H39" s="71">
        <f t="shared" si="5"/>
        <v>1.3201320132013234E-2</v>
      </c>
      <c r="I39" s="70">
        <f t="shared" si="0"/>
        <v>6.0808603523673045E-2</v>
      </c>
      <c r="J39" s="61">
        <f t="shared" si="3"/>
        <v>0.16919999999999996</v>
      </c>
      <c r="K39" s="8"/>
      <c r="L39" s="8"/>
      <c r="M39" s="8"/>
    </row>
    <row r="40" spans="1:13">
      <c r="A40" s="4">
        <f t="shared" si="4"/>
        <v>8</v>
      </c>
      <c r="B40" s="29">
        <v>42993</v>
      </c>
      <c r="C40" s="32">
        <v>9.4800000000000006E-3</v>
      </c>
      <c r="D40" s="32">
        <v>9.5600000000000008E-3</v>
      </c>
      <c r="E40" s="33">
        <v>9.5200000000000007E-3</v>
      </c>
      <c r="F40" s="62">
        <f t="shared" si="1"/>
        <v>0.29700272479564038</v>
      </c>
      <c r="G40" s="71">
        <f t="shared" si="2"/>
        <v>8.4033613445378373E-3</v>
      </c>
      <c r="H40" s="71">
        <f t="shared" si="5"/>
        <v>3.9635779325120572E-2</v>
      </c>
      <c r="I40" s="70">
        <f t="shared" si="0"/>
        <v>8.8210618536034902E-2</v>
      </c>
      <c r="J40" s="61">
        <f t="shared" si="3"/>
        <v>0.16919999999999996</v>
      </c>
      <c r="K40" s="8"/>
      <c r="L40" s="8"/>
      <c r="M40" s="8"/>
    </row>
    <row r="41" spans="1:13">
      <c r="A41" s="4">
        <f t="shared" si="4"/>
        <v>9</v>
      </c>
      <c r="B41" s="29">
        <v>42998</v>
      </c>
      <c r="C41" s="32">
        <v>8.0199999999999994E-3</v>
      </c>
      <c r="D41" s="32">
        <v>8.0400000000000003E-3</v>
      </c>
      <c r="E41" s="33">
        <v>8.0300000000000007E-3</v>
      </c>
      <c r="F41" s="62">
        <f t="shared" si="1"/>
        <v>9.4005449591280724E-2</v>
      </c>
      <c r="G41" s="71">
        <f t="shared" si="2"/>
        <v>2.4906600249067147E-3</v>
      </c>
      <c r="H41" s="71">
        <f t="shared" si="5"/>
        <v>0.16980056980056976</v>
      </c>
      <c r="I41" s="70">
        <f t="shared" si="0"/>
        <v>8.8370245528588218E-3</v>
      </c>
      <c r="J41" s="61">
        <f t="shared" si="3"/>
        <v>0.16919999999999996</v>
      </c>
      <c r="K41" s="8"/>
      <c r="L41" s="8"/>
      <c r="M41" s="8"/>
    </row>
    <row r="42" spans="1:13">
      <c r="A42" s="4">
        <f t="shared" si="4"/>
        <v>10</v>
      </c>
      <c r="B42" s="29">
        <v>43010</v>
      </c>
      <c r="C42" s="32">
        <v>7.2199999999999999E-3</v>
      </c>
      <c r="D42" s="32">
        <v>7.2899999999999996E-3</v>
      </c>
      <c r="E42" s="33">
        <v>7.26E-3</v>
      </c>
      <c r="F42" s="62">
        <f t="shared" si="1"/>
        <v>-1.0899182561307931E-2</v>
      </c>
      <c r="G42" s="71">
        <f t="shared" si="2"/>
        <v>9.6418732782368802E-3</v>
      </c>
      <c r="H42" s="71">
        <f t="shared" si="5"/>
        <v>0.10071942446043174</v>
      </c>
      <c r="I42" s="70">
        <f t="shared" si="0"/>
        <v>1.1879218050471892E-4</v>
      </c>
      <c r="J42" s="61">
        <f t="shared" si="3"/>
        <v>0.16919999999999996</v>
      </c>
      <c r="K42" s="8"/>
      <c r="L42" s="8"/>
      <c r="M42" s="8"/>
    </row>
    <row r="43" spans="1:13">
      <c r="A43" s="4">
        <f t="shared" si="4"/>
        <v>11</v>
      </c>
      <c r="B43" s="29">
        <v>43017</v>
      </c>
      <c r="C43" s="32">
        <v>8.1700000000000002E-3</v>
      </c>
      <c r="D43" s="32">
        <v>1.056E-2</v>
      </c>
      <c r="E43" s="33">
        <v>9.3699999999999999E-3</v>
      </c>
      <c r="F43" s="62">
        <f t="shared" si="1"/>
        <v>0.27656675749318799</v>
      </c>
      <c r="G43" s="71">
        <f t="shared" si="2"/>
        <v>0.25506937033084309</v>
      </c>
      <c r="H43" s="71">
        <f t="shared" si="5"/>
        <v>0.25375826819001807</v>
      </c>
      <c r="I43" s="70">
        <f t="shared" si="0"/>
        <v>7.6489171350295856E-2</v>
      </c>
      <c r="J43" s="61">
        <f t="shared" si="3"/>
        <v>0.16919999999999996</v>
      </c>
      <c r="K43" s="8"/>
      <c r="L43" s="8"/>
      <c r="M43" s="8"/>
    </row>
    <row r="44" spans="1:13">
      <c r="A44" s="4">
        <f t="shared" si="4"/>
        <v>12</v>
      </c>
      <c r="B44" s="29">
        <v>43021</v>
      </c>
      <c r="C44" s="32">
        <v>7.3400000000000002E-3</v>
      </c>
      <c r="D44" s="32">
        <v>7.3800000000000003E-3</v>
      </c>
      <c r="E44" s="33">
        <v>7.3600000000000002E-3</v>
      </c>
      <c r="F44" s="62">
        <f t="shared" si="1"/>
        <v>2.7247956403269828E-3</v>
      </c>
      <c r="G44" s="71">
        <f t="shared" si="2"/>
        <v>5.4347826086956659E-3</v>
      </c>
      <c r="H44" s="71">
        <f t="shared" si="5"/>
        <v>0.24028690974297662</v>
      </c>
      <c r="I44" s="70">
        <f t="shared" si="0"/>
        <v>7.4245112815449323E-6</v>
      </c>
      <c r="J44" s="61">
        <f t="shared" si="3"/>
        <v>0.16919999999999996</v>
      </c>
      <c r="K44" s="8"/>
      <c r="L44" s="8"/>
      <c r="M44" s="8"/>
    </row>
    <row r="45" spans="1:13">
      <c r="A45" s="4">
        <f t="shared" si="4"/>
        <v>13</v>
      </c>
      <c r="B45" s="29">
        <v>43028</v>
      </c>
      <c r="C45" s="32">
        <v>8.1600000000000006E-3</v>
      </c>
      <c r="D45" s="32">
        <v>8.0599999999999995E-3</v>
      </c>
      <c r="E45" s="33">
        <v>8.1099999999999992E-3</v>
      </c>
      <c r="F45" s="62">
        <f t="shared" si="1"/>
        <v>0.10490463215258841</v>
      </c>
      <c r="G45" s="71">
        <f t="shared" si="2"/>
        <v>1.2330456226880535E-2</v>
      </c>
      <c r="H45" s="71">
        <f t="shared" si="5"/>
        <v>9.6961861667743884E-2</v>
      </c>
      <c r="I45" s="70">
        <f t="shared" si="0"/>
        <v>1.1004981847069887E-2</v>
      </c>
      <c r="J45" s="61">
        <f t="shared" si="3"/>
        <v>0.16919999999999996</v>
      </c>
      <c r="K45" s="8"/>
      <c r="L45" s="8"/>
      <c r="M45" s="8"/>
    </row>
    <row r="46" spans="1:13">
      <c r="A46" s="4">
        <f t="shared" si="4"/>
        <v>14</v>
      </c>
      <c r="B46" s="29">
        <v>43033</v>
      </c>
      <c r="C46" s="32">
        <v>6.8700000000000002E-3</v>
      </c>
      <c r="D46" s="32">
        <v>8.0700000000000008E-3</v>
      </c>
      <c r="E46" s="33">
        <v>7.4700000000000001E-3</v>
      </c>
      <c r="F46" s="62">
        <f t="shared" si="1"/>
        <v>1.7711171662125328E-2</v>
      </c>
      <c r="G46" s="71">
        <f t="shared" si="2"/>
        <v>0.16064257028112458</v>
      </c>
      <c r="H46" s="71">
        <f t="shared" si="5"/>
        <v>8.2156611039794492E-2</v>
      </c>
      <c r="I46" s="70">
        <f t="shared" si="0"/>
        <v>3.1368560164527127E-4</v>
      </c>
      <c r="J46" s="61">
        <f t="shared" si="3"/>
        <v>0.16919999999999996</v>
      </c>
      <c r="K46" s="8"/>
      <c r="L46" s="8"/>
      <c r="M46" s="8"/>
    </row>
    <row r="47" spans="1:13">
      <c r="A47" s="4">
        <f t="shared" si="4"/>
        <v>15</v>
      </c>
      <c r="B47" s="29">
        <v>43040</v>
      </c>
      <c r="C47" s="32">
        <v>8.0700000000000008E-3</v>
      </c>
      <c r="D47" s="32">
        <v>8.6199999999999992E-3</v>
      </c>
      <c r="E47" s="33">
        <v>8.3499999999999998E-3</v>
      </c>
      <c r="F47" s="62">
        <f t="shared" si="1"/>
        <v>0.13760217983651221</v>
      </c>
      <c r="G47" s="71">
        <f t="shared" si="2"/>
        <v>6.5868263473053704E-2</v>
      </c>
      <c r="H47" s="71">
        <f t="shared" si="5"/>
        <v>0.11125158027812891</v>
      </c>
      <c r="I47" s="70">
        <f t="shared" si="0"/>
        <v>1.893435989575985E-2</v>
      </c>
      <c r="J47" s="61">
        <f t="shared" si="3"/>
        <v>0.16919999999999996</v>
      </c>
      <c r="K47" s="8"/>
      <c r="L47" s="8"/>
      <c r="M47" s="8"/>
    </row>
    <row r="48" spans="1:13">
      <c r="A48" s="4">
        <f t="shared" si="4"/>
        <v>16</v>
      </c>
      <c r="B48" s="29">
        <v>43047</v>
      </c>
      <c r="C48" s="32">
        <v>8.0099999999999998E-3</v>
      </c>
      <c r="D48" s="32">
        <v>8.3800000000000003E-3</v>
      </c>
      <c r="E48" s="33">
        <v>8.1899999999999994E-3</v>
      </c>
      <c r="F48" s="62">
        <f t="shared" si="1"/>
        <v>0.11580381471389635</v>
      </c>
      <c r="G48" s="71">
        <f t="shared" si="2"/>
        <v>4.5177045177045246E-2</v>
      </c>
      <c r="H48" s="71">
        <f t="shared" si="5"/>
        <v>1.9347037484885178E-2</v>
      </c>
      <c r="I48" s="70">
        <f t="shared" si="0"/>
        <v>1.3410523502290437E-2</v>
      </c>
      <c r="J48" s="61">
        <f t="shared" si="3"/>
        <v>0.16919999999999996</v>
      </c>
      <c r="K48" s="8"/>
      <c r="L48" s="8"/>
      <c r="M48" s="8"/>
    </row>
    <row r="49" spans="1:13 16384:16384">
      <c r="A49" s="4">
        <f t="shared" si="4"/>
        <v>17</v>
      </c>
      <c r="B49" s="29">
        <v>43052</v>
      </c>
      <c r="C49" s="32">
        <v>8.6999999999999994E-3</v>
      </c>
      <c r="D49" s="32">
        <v>8.7399999999999995E-3</v>
      </c>
      <c r="E49" s="33">
        <v>8.7200000000000003E-3</v>
      </c>
      <c r="F49" s="62">
        <f t="shared" si="1"/>
        <v>0.18801089918256134</v>
      </c>
      <c r="G49" s="71">
        <f t="shared" si="2"/>
        <v>4.5871559633027638E-3</v>
      </c>
      <c r="H49" s="71">
        <f t="shared" si="5"/>
        <v>6.2684801892371481E-2</v>
      </c>
      <c r="I49" s="70">
        <f t="shared" si="0"/>
        <v>3.5348098211435246E-2</v>
      </c>
      <c r="J49" s="61">
        <f t="shared" si="3"/>
        <v>0.16919999999999996</v>
      </c>
      <c r="K49" s="8"/>
      <c r="L49" s="8"/>
      <c r="M49" s="8"/>
    </row>
    <row r="50" spans="1:13 16384:16384">
      <c r="A50" s="4">
        <f t="shared" si="4"/>
        <v>18</v>
      </c>
      <c r="B50" s="29">
        <v>43055</v>
      </c>
      <c r="C50" s="32">
        <v>8.4600000000000005E-3</v>
      </c>
      <c r="D50" s="32">
        <v>8.1399999999999997E-3</v>
      </c>
      <c r="E50" s="33">
        <v>8.3000000000000001E-3</v>
      </c>
      <c r="F50" s="62">
        <f t="shared" si="1"/>
        <v>0.13079019073569481</v>
      </c>
      <c r="G50" s="71">
        <f t="shared" si="2"/>
        <v>3.855421686746998E-2</v>
      </c>
      <c r="H50" s="71">
        <f t="shared" si="5"/>
        <v>4.9353701527614598E-2</v>
      </c>
      <c r="I50" s="70">
        <f t="shared" si="0"/>
        <v>1.7106073992679428E-2</v>
      </c>
      <c r="J50" s="61">
        <f t="shared" si="3"/>
        <v>0.16919999999999996</v>
      </c>
      <c r="K50" s="8"/>
      <c r="L50" s="8"/>
      <c r="M50" s="8"/>
      <c r="XFD50" s="3" t="s">
        <v>42</v>
      </c>
    </row>
    <row r="51" spans="1:13 16384:16384">
      <c r="A51" s="4">
        <f t="shared" si="4"/>
        <v>19</v>
      </c>
      <c r="B51" s="29">
        <v>43062</v>
      </c>
      <c r="C51" s="32">
        <v>6.9199999999999999E-3</v>
      </c>
      <c r="D51" s="32">
        <v>6.8599999999999998E-3</v>
      </c>
      <c r="E51" s="33">
        <v>6.8900000000000003E-3</v>
      </c>
      <c r="F51" s="62">
        <f t="shared" si="1"/>
        <v>-6.1307901907356931E-2</v>
      </c>
      <c r="G51" s="71">
        <f t="shared" si="2"/>
        <v>8.7082728592162775E-3</v>
      </c>
      <c r="H51" s="71">
        <f t="shared" si="5"/>
        <v>0.18564845292955889</v>
      </c>
      <c r="I51" s="70">
        <f t="shared" si="0"/>
        <v>3.7586588362820998E-3</v>
      </c>
      <c r="J51" s="61">
        <f t="shared" si="3"/>
        <v>0.16919999999999996</v>
      </c>
      <c r="K51" s="8"/>
      <c r="L51" s="8"/>
      <c r="M51" s="8"/>
    </row>
    <row r="52" spans="1:13 16384:16384">
      <c r="A52" s="4">
        <f t="shared" si="4"/>
        <v>20</v>
      </c>
      <c r="B52" s="29">
        <v>43070</v>
      </c>
      <c r="C52" s="32">
        <v>6.1599999999999997E-3</v>
      </c>
      <c r="D52" s="32">
        <v>6.2199999999999998E-3</v>
      </c>
      <c r="E52" s="33">
        <v>6.1900000000000002E-3</v>
      </c>
      <c r="F52" s="62">
        <f t="shared" si="1"/>
        <v>-0.15667574931880107</v>
      </c>
      <c r="G52" s="71">
        <f t="shared" si="2"/>
        <v>9.6930533117932406E-3</v>
      </c>
      <c r="H52" s="71">
        <f t="shared" si="5"/>
        <v>0.10703363914373089</v>
      </c>
      <c r="I52" s="70">
        <f t="shared" si="0"/>
        <v>2.4547290424607796E-2</v>
      </c>
      <c r="J52" s="61">
        <f t="shared" si="3"/>
        <v>0.16919999999999996</v>
      </c>
      <c r="K52" s="8"/>
      <c r="L52" s="8"/>
      <c r="M52" s="8"/>
    </row>
    <row r="53" spans="1:13 16384:16384">
      <c r="A53" s="4">
        <f t="shared" si="4"/>
        <v>21</v>
      </c>
      <c r="B53" s="29">
        <v>43080</v>
      </c>
      <c r="C53" s="32">
        <v>6.8500000000000002E-3</v>
      </c>
      <c r="D53" s="32">
        <v>6.7099999999999998E-3</v>
      </c>
      <c r="E53" s="33">
        <v>6.7799999999999996E-3</v>
      </c>
      <c r="F53" s="62">
        <f t="shared" si="1"/>
        <v>-7.6294277929155399E-2</v>
      </c>
      <c r="G53" s="71">
        <f t="shared" si="2"/>
        <v>2.0648967551622474E-2</v>
      </c>
      <c r="H53" s="71">
        <f t="shared" si="5"/>
        <v>9.0979182729375399E-2</v>
      </c>
      <c r="I53" s="70" t="str">
        <f t="shared" si="0"/>
        <v>-</v>
      </c>
      <c r="J53" s="61">
        <f t="shared" si="3"/>
        <v>0.16919999999999996</v>
      </c>
      <c r="K53" s="8"/>
      <c r="L53" s="8"/>
      <c r="M53" s="8"/>
    </row>
    <row r="54" spans="1:13 16384:16384">
      <c r="A54" s="4">
        <f t="shared" si="4"/>
        <v>22</v>
      </c>
      <c r="B54" s="29">
        <v>37605</v>
      </c>
      <c r="C54" s="32">
        <v>6.4900000000000001E-3</v>
      </c>
      <c r="D54" s="32">
        <v>6.43E-3</v>
      </c>
      <c r="E54" s="33">
        <v>6.4599999999999996E-3</v>
      </c>
      <c r="F54" s="62">
        <f t="shared" si="1"/>
        <v>-0.119891008174387</v>
      </c>
      <c r="G54" s="71">
        <f t="shared" si="2"/>
        <v>9.287925696594453E-3</v>
      </c>
      <c r="H54" s="71">
        <f t="shared" si="5"/>
        <v>4.8338368580060423E-2</v>
      </c>
      <c r="I54" s="70">
        <f t="shared" si="0"/>
        <v>1.4782427876733055E-2</v>
      </c>
      <c r="J54" s="61">
        <f t="shared" si="3"/>
        <v>0.16919999999999996</v>
      </c>
      <c r="K54" s="8"/>
      <c r="L54" s="8"/>
      <c r="M54" s="8"/>
    </row>
    <row r="55" spans="1:13 16384:16384">
      <c r="A55" s="4">
        <f t="shared" si="4"/>
        <v>23</v>
      </c>
      <c r="B55" s="29">
        <v>43095</v>
      </c>
      <c r="C55" s="32">
        <v>6.3800000000000003E-3</v>
      </c>
      <c r="D55" s="32">
        <v>6.1900000000000002E-3</v>
      </c>
      <c r="E55" s="33">
        <v>6.28E-3</v>
      </c>
      <c r="F55" s="62">
        <f t="shared" si="1"/>
        <v>-0.14441416893732972</v>
      </c>
      <c r="G55" s="71">
        <f t="shared" si="2"/>
        <v>3.0254777070063705E-2</v>
      </c>
      <c r="H55" s="71">
        <f t="shared" si="5"/>
        <v>2.8257456828885339E-2</v>
      </c>
      <c r="I55" s="70">
        <f t="shared" si="0"/>
        <v>2.2101332455164789E-2</v>
      </c>
      <c r="J55" s="61">
        <f t="shared" si="3"/>
        <v>0.16919999999999996</v>
      </c>
      <c r="K55" s="8"/>
      <c r="L55" s="8"/>
      <c r="M55" s="8"/>
    </row>
    <row r="56" spans="1:13 16384:16384">
      <c r="A56" s="4">
        <f t="shared" si="4"/>
        <v>24</v>
      </c>
      <c r="B56" s="30"/>
      <c r="C56" s="22"/>
      <c r="D56" s="23"/>
      <c r="E56" s="34" t="str">
        <f t="shared" ref="E56:E62" si="6">IFERROR(AVERAGE(C56:D56),"-")</f>
        <v>-</v>
      </c>
      <c r="F56" s="62" t="str">
        <f t="shared" si="1"/>
        <v>-</v>
      </c>
      <c r="G56" s="71" t="str">
        <f t="shared" si="2"/>
        <v>-</v>
      </c>
      <c r="H56" s="71" t="str">
        <f t="shared" si="5"/>
        <v>-</v>
      </c>
      <c r="I56" s="70" t="str">
        <f t="shared" si="0"/>
        <v>-</v>
      </c>
      <c r="J56" s="61">
        <f t="shared" si="3"/>
        <v>0.16919999999999996</v>
      </c>
      <c r="K56" s="8"/>
      <c r="L56" s="8"/>
      <c r="M56" s="8"/>
    </row>
    <row r="57" spans="1:13 16384:16384">
      <c r="A57" s="4">
        <f t="shared" si="4"/>
        <v>25</v>
      </c>
      <c r="B57" s="30"/>
      <c r="C57" s="22"/>
      <c r="D57" s="23"/>
      <c r="E57" s="34" t="str">
        <f t="shared" si="6"/>
        <v>-</v>
      </c>
      <c r="F57" s="62" t="str">
        <f t="shared" si="1"/>
        <v>-</v>
      </c>
      <c r="G57" s="71" t="str">
        <f t="shared" si="2"/>
        <v>-</v>
      </c>
      <c r="H57" s="71" t="str">
        <f t="shared" si="5"/>
        <v>-</v>
      </c>
      <c r="I57" s="70" t="str">
        <f t="shared" si="0"/>
        <v>-</v>
      </c>
      <c r="J57" s="61">
        <f t="shared" si="3"/>
        <v>0.16919999999999996</v>
      </c>
      <c r="K57" s="8"/>
      <c r="L57" s="8"/>
      <c r="M57" s="8"/>
    </row>
    <row r="58" spans="1:13 16384:16384">
      <c r="A58" s="4">
        <f t="shared" si="4"/>
        <v>26</v>
      </c>
      <c r="B58" s="22"/>
      <c r="C58" s="22"/>
      <c r="D58" s="23"/>
      <c r="E58" s="34" t="str">
        <f t="shared" si="6"/>
        <v>-</v>
      </c>
      <c r="F58" s="62" t="str">
        <f t="shared" si="1"/>
        <v>-</v>
      </c>
      <c r="G58" s="71" t="str">
        <f t="shared" si="2"/>
        <v>-</v>
      </c>
      <c r="H58" s="71" t="str">
        <f t="shared" si="5"/>
        <v>-</v>
      </c>
      <c r="I58" s="70" t="str">
        <f t="shared" si="0"/>
        <v>-</v>
      </c>
      <c r="J58" s="61">
        <f t="shared" si="3"/>
        <v>0.16919999999999996</v>
      </c>
      <c r="K58" s="8"/>
      <c r="L58" s="8"/>
      <c r="M58" s="8"/>
    </row>
    <row r="59" spans="1:13 16384:16384">
      <c r="A59" s="4">
        <f t="shared" si="4"/>
        <v>27</v>
      </c>
      <c r="B59" s="22"/>
      <c r="C59" s="22"/>
      <c r="D59" s="23"/>
      <c r="E59" s="34" t="str">
        <f t="shared" si="6"/>
        <v>-</v>
      </c>
      <c r="F59" s="62" t="str">
        <f t="shared" si="1"/>
        <v>-</v>
      </c>
      <c r="G59" s="71" t="str">
        <f t="shared" si="2"/>
        <v>-</v>
      </c>
      <c r="H59" s="71" t="str">
        <f t="shared" si="5"/>
        <v>-</v>
      </c>
      <c r="I59" s="70" t="str">
        <f t="shared" si="0"/>
        <v>-</v>
      </c>
      <c r="J59" s="61">
        <f t="shared" si="3"/>
        <v>0.16919999999999996</v>
      </c>
      <c r="K59" s="8"/>
      <c r="L59" s="8"/>
      <c r="M59" s="8"/>
    </row>
    <row r="60" spans="1:13 16384:16384">
      <c r="A60" s="4">
        <f t="shared" si="4"/>
        <v>28</v>
      </c>
      <c r="B60" s="22"/>
      <c r="C60" s="22"/>
      <c r="D60" s="23"/>
      <c r="E60" s="34" t="str">
        <f t="shared" si="6"/>
        <v>-</v>
      </c>
      <c r="F60" s="62" t="str">
        <f t="shared" si="1"/>
        <v>-</v>
      </c>
      <c r="G60" s="71" t="str">
        <f t="shared" si="2"/>
        <v>-</v>
      </c>
      <c r="H60" s="71" t="str">
        <f t="shared" si="5"/>
        <v>-</v>
      </c>
      <c r="I60" s="70" t="str">
        <f t="shared" si="0"/>
        <v>-</v>
      </c>
      <c r="J60" s="61">
        <f t="shared" si="3"/>
        <v>0.16919999999999996</v>
      </c>
      <c r="K60" s="8"/>
      <c r="L60" s="8"/>
      <c r="M60" s="8"/>
    </row>
    <row r="61" spans="1:13 16384:16384">
      <c r="A61" s="4">
        <f t="shared" si="4"/>
        <v>29</v>
      </c>
      <c r="B61" s="22"/>
      <c r="C61" s="22"/>
      <c r="D61" s="23"/>
      <c r="E61" s="34" t="str">
        <f t="shared" si="6"/>
        <v>-</v>
      </c>
      <c r="F61" s="62" t="str">
        <f t="shared" si="1"/>
        <v>-</v>
      </c>
      <c r="G61" s="71" t="str">
        <f t="shared" si="2"/>
        <v>-</v>
      </c>
      <c r="H61" s="71" t="str">
        <f t="shared" si="5"/>
        <v>-</v>
      </c>
      <c r="I61" s="70" t="str">
        <f t="shared" si="0"/>
        <v>-</v>
      </c>
      <c r="J61" s="61">
        <f t="shared" si="3"/>
        <v>0.16919999999999996</v>
      </c>
      <c r="K61" s="8"/>
      <c r="L61" s="8"/>
      <c r="M61" s="8"/>
    </row>
    <row r="62" spans="1:13 16384:16384">
      <c r="A62" s="4">
        <f t="shared" si="4"/>
        <v>30</v>
      </c>
      <c r="B62" s="22"/>
      <c r="C62" s="22"/>
      <c r="D62" s="23"/>
      <c r="E62" s="34" t="str">
        <f t="shared" si="6"/>
        <v>-</v>
      </c>
      <c r="F62" s="62" t="str">
        <f t="shared" si="1"/>
        <v>-</v>
      </c>
      <c r="G62" s="71" t="str">
        <f t="shared" si="2"/>
        <v>-</v>
      </c>
      <c r="H62" s="71" t="str">
        <f t="shared" si="5"/>
        <v>-</v>
      </c>
      <c r="I62" s="70" t="str">
        <f t="shared" si="0"/>
        <v>-</v>
      </c>
      <c r="J62" s="61">
        <f t="shared" si="3"/>
        <v>0.16919999999999996</v>
      </c>
    </row>
    <row r="63" spans="1:13 16384:16384">
      <c r="A63" s="8"/>
      <c r="B63" s="24"/>
      <c r="C63" s="24"/>
      <c r="D63" s="25"/>
      <c r="E63" s="13"/>
      <c r="G63" s="14"/>
      <c r="H63" s="14"/>
      <c r="I63" s="64">
        <f>SUM(I33:I62)</f>
        <v>0.49613677225191566</v>
      </c>
    </row>
    <row r="64" spans="1:13 16384:16384">
      <c r="A64" s="72" t="s">
        <v>24</v>
      </c>
      <c r="B64" s="72"/>
      <c r="C64" s="27"/>
      <c r="D64" s="27"/>
    </row>
    <row r="65" spans="1:6" ht="18.75">
      <c r="A65" s="26" t="s">
        <v>25</v>
      </c>
      <c r="B65" s="27"/>
      <c r="C65" s="27"/>
      <c r="D65" s="28" t="s">
        <v>7</v>
      </c>
      <c r="E65" s="35">
        <f>AVERAGE(E33:E62)</f>
        <v>7.8047826086956535E-3</v>
      </c>
    </row>
    <row r="68" spans="1:6" ht="18.75">
      <c r="A68" s="3" t="s">
        <v>19</v>
      </c>
      <c r="D68" s="16" t="s">
        <v>6</v>
      </c>
      <c r="E68" s="60">
        <f>VAR(E33:E62)</f>
        <v>9.9037154150197658E-7</v>
      </c>
    </row>
    <row r="71" spans="1:6" ht="18.75">
      <c r="A71" s="15" t="s">
        <v>45</v>
      </c>
      <c r="D71" s="16" t="s">
        <v>8</v>
      </c>
      <c r="E71" s="18">
        <f>SQRT(E68)</f>
        <v>9.9517412622212838E-4</v>
      </c>
    </row>
    <row r="72" spans="1:6" ht="18.75">
      <c r="D72" s="3" t="s">
        <v>75</v>
      </c>
      <c r="E72" s="4" t="s">
        <v>77</v>
      </c>
      <c r="F72" s="4" t="s">
        <v>44</v>
      </c>
    </row>
    <row r="73" spans="1:6" ht="18.75">
      <c r="D73" s="16" t="s">
        <v>76</v>
      </c>
      <c r="E73" s="35">
        <f>E71</f>
        <v>9.9517412622212838E-4</v>
      </c>
      <c r="F73" s="40">
        <f>E73*100/B11</f>
        <v>13.558230602481313</v>
      </c>
    </row>
    <row r="74" spans="1:6">
      <c r="A74" s="15" t="s">
        <v>20</v>
      </c>
    </row>
    <row r="76" spans="1:6" ht="18.75">
      <c r="A76" s="15" t="s">
        <v>21</v>
      </c>
      <c r="D76" s="16" t="s">
        <v>22</v>
      </c>
      <c r="E76" s="15" t="s">
        <v>78</v>
      </c>
    </row>
    <row r="77" spans="1:6" ht="15.75" customHeight="1">
      <c r="D77" s="16"/>
      <c r="E77" s="41" t="s">
        <v>77</v>
      </c>
      <c r="F77" s="4" t="s">
        <v>44</v>
      </c>
    </row>
    <row r="78" spans="1:6">
      <c r="D78" s="16" t="s">
        <v>22</v>
      </c>
      <c r="E78" s="35">
        <f>2.77*E71</f>
        <v>2.7566323296352958E-3</v>
      </c>
      <c r="F78" s="40">
        <f>E78*100/B11</f>
        <v>37.556298768873241</v>
      </c>
    </row>
    <row r="79" spans="1:6">
      <c r="E79" s="15"/>
    </row>
    <row r="80" spans="1:6">
      <c r="A80" s="73" t="s">
        <v>23</v>
      </c>
      <c r="B80" s="73"/>
    </row>
    <row r="81" spans="1:7">
      <c r="A81" s="15" t="s">
        <v>26</v>
      </c>
    </row>
    <row r="82" spans="1:7" ht="18.75">
      <c r="A82" s="16" t="s">
        <v>27</v>
      </c>
      <c r="B82" s="35">
        <f>MAX(E33:E62)</f>
        <v>9.5200000000000007E-3</v>
      </c>
      <c r="D82" s="16" t="s">
        <v>79</v>
      </c>
      <c r="E82" s="35">
        <f>STDEV(E33:E62)</f>
        <v>9.9517412622212838E-4</v>
      </c>
    </row>
    <row r="83" spans="1:7">
      <c r="A83" s="16" t="s">
        <v>28</v>
      </c>
      <c r="B83" s="35">
        <f>MIN(E33:E62)</f>
        <v>6.1900000000000002E-3</v>
      </c>
    </row>
    <row r="84" spans="1:7">
      <c r="A84" s="16" t="s">
        <v>29</v>
      </c>
      <c r="B84" s="35">
        <f>AVERAGE(E33:E62)</f>
        <v>7.8047826086956535E-3</v>
      </c>
      <c r="E84" s="11"/>
    </row>
    <row r="85" spans="1:7">
      <c r="D85" s="16" t="s">
        <v>30</v>
      </c>
      <c r="E85" s="42">
        <f>ABS((B82-B84)/E82)</f>
        <v>1.7235349534414053</v>
      </c>
    </row>
    <row r="86" spans="1:7">
      <c r="D86" s="16" t="s">
        <v>31</v>
      </c>
      <c r="E86" s="42">
        <f>ABS((B83-B84)/E82)</f>
        <v>1.622613134874876</v>
      </c>
      <c r="F86" s="16" t="s">
        <v>43</v>
      </c>
      <c r="G86" s="15">
        <v>2.7810000000000001</v>
      </c>
    </row>
    <row r="87" spans="1:7" ht="18.75">
      <c r="D87" s="3" t="s">
        <v>80</v>
      </c>
      <c r="E87" s="4" t="s">
        <v>77</v>
      </c>
      <c r="F87" s="4" t="s">
        <v>44</v>
      </c>
    </row>
    <row r="88" spans="1:7" ht="18.75">
      <c r="D88" s="16" t="s">
        <v>81</v>
      </c>
      <c r="E88" s="35">
        <f>E82</f>
        <v>9.9517412622212838E-4</v>
      </c>
      <c r="F88" s="40">
        <f>E88*100/B11</f>
        <v>13.558230602481313</v>
      </c>
    </row>
    <row r="89" spans="1:7">
      <c r="A89" s="15" t="s">
        <v>20</v>
      </c>
    </row>
    <row r="90" spans="1:7" ht="18.75">
      <c r="D90" s="16" t="s">
        <v>32</v>
      </c>
      <c r="E90" s="3" t="s">
        <v>83</v>
      </c>
    </row>
    <row r="91" spans="1:7">
      <c r="E91" s="4" t="s">
        <v>77</v>
      </c>
      <c r="F91" s="4" t="s">
        <v>44</v>
      </c>
    </row>
    <row r="92" spans="1:7" ht="18.75">
      <c r="D92" s="16" t="s">
        <v>82</v>
      </c>
      <c r="E92" s="35">
        <f>2.77*E88</f>
        <v>2.7566323296352958E-3</v>
      </c>
      <c r="F92" s="40">
        <f>E92*100/B11</f>
        <v>37.556298768873241</v>
      </c>
    </row>
    <row r="94" spans="1:7">
      <c r="A94" s="45" t="s">
        <v>33</v>
      </c>
      <c r="B94" s="46"/>
    </row>
    <row r="96" spans="1:7">
      <c r="A96" s="3" t="s">
        <v>37</v>
      </c>
    </row>
    <row r="97" spans="1:12" ht="18.75">
      <c r="A97" s="3" t="s">
        <v>84</v>
      </c>
      <c r="B97" s="16" t="s">
        <v>85</v>
      </c>
      <c r="C97" s="35">
        <f>AVERAGE(E33:E62)</f>
        <v>7.8047826086956535E-3</v>
      </c>
      <c r="D97" s="16"/>
    </row>
    <row r="98" spans="1:12">
      <c r="D98" s="16" t="s">
        <v>38</v>
      </c>
      <c r="E98" s="35">
        <f>ABS(C97-B11)</f>
        <v>4.647826086956533E-4</v>
      </c>
    </row>
    <row r="99" spans="1:12">
      <c r="A99" s="3" t="s">
        <v>34</v>
      </c>
      <c r="H99" s="7"/>
    </row>
    <row r="100" spans="1:12">
      <c r="D100" s="16" t="s">
        <v>35</v>
      </c>
      <c r="E100" s="47">
        <f>ABS(E98)/SQRT(((E82*E82)/D26)+((C11*C11)/3))</f>
        <v>0.24770558170189222</v>
      </c>
      <c r="G100" s="28"/>
      <c r="H100" s="49"/>
      <c r="I100" s="27"/>
    </row>
    <row r="101" spans="1:12" ht="18.75">
      <c r="A101" s="3" t="s">
        <v>87</v>
      </c>
      <c r="D101" s="16" t="s">
        <v>86</v>
      </c>
      <c r="E101" s="15">
        <v>2.0699999999999998</v>
      </c>
      <c r="H101" s="7"/>
      <c r="J101" s="15" t="s">
        <v>99</v>
      </c>
    </row>
    <row r="102" spans="1:12" ht="18.75">
      <c r="A102" s="3" t="s">
        <v>88</v>
      </c>
      <c r="B102" s="3" t="s">
        <v>89</v>
      </c>
      <c r="J102" s="15" t="s">
        <v>100</v>
      </c>
    </row>
    <row r="103" spans="1:12">
      <c r="E103" s="55" t="s">
        <v>77</v>
      </c>
      <c r="F103" s="55" t="s">
        <v>44</v>
      </c>
      <c r="J103" s="15" t="s">
        <v>101</v>
      </c>
    </row>
    <row r="104" spans="1:12" ht="18.75">
      <c r="A104" s="3" t="s">
        <v>39</v>
      </c>
      <c r="D104" s="48" t="s">
        <v>90</v>
      </c>
      <c r="E104" s="35">
        <f>1.96*SQRT(((E82*E82)/D26)+((C11*C11)/3))</f>
        <v>3.6776479027421185E-3</v>
      </c>
      <c r="F104" s="40">
        <f>E104*100/B11</f>
        <v>50.104194860246842</v>
      </c>
      <c r="G104" s="51" t="s">
        <v>97</v>
      </c>
      <c r="H104" s="19">
        <f>SQRT(((E82*E82)/D26)+((C11*C11)/3))</f>
        <v>1.8763509707867953E-3</v>
      </c>
      <c r="J104" s="15"/>
      <c r="K104" s="8"/>
    </row>
    <row r="105" spans="1:12">
      <c r="E105" s="52">
        <v>2.1199999999999999E-3</v>
      </c>
      <c r="F105" s="54">
        <f>E105*100/B11</f>
        <v>28.882833787465938</v>
      </c>
      <c r="J105" s="15"/>
    </row>
    <row r="106" spans="1:12">
      <c r="E106" s="4" t="s">
        <v>77</v>
      </c>
      <c r="F106" s="4" t="s">
        <v>44</v>
      </c>
      <c r="K106" s="4" t="s">
        <v>77</v>
      </c>
      <c r="L106" s="4" t="s">
        <v>44</v>
      </c>
    </row>
    <row r="107" spans="1:12" ht="18.75">
      <c r="A107" s="15" t="s">
        <v>40</v>
      </c>
      <c r="D107" s="16" t="s">
        <v>91</v>
      </c>
      <c r="E107" s="35">
        <f>1.96*SQRT(E88*E88+H104*H104)</f>
        <v>4.1628962766777529E-3</v>
      </c>
      <c r="F107" s="40">
        <f>E107*100/B11</f>
        <v>56.715208129124697</v>
      </c>
      <c r="G107" s="51" t="s">
        <v>96</v>
      </c>
      <c r="H107" s="19">
        <f>SQRT(E73*E73+H104*H104)</f>
        <v>2.1239266717743639E-3</v>
      </c>
      <c r="I107" s="52">
        <f>K107/1.96</f>
        <v>1.4336734693877551E-3</v>
      </c>
      <c r="J107" s="16" t="s">
        <v>98</v>
      </c>
      <c r="K107" s="53">
        <v>2.81E-3</v>
      </c>
      <c r="L107" s="54">
        <f>K107*100/B11</f>
        <v>38.283378746594011</v>
      </c>
    </row>
    <row r="108" spans="1:12">
      <c r="E108" s="21"/>
      <c r="H108" s="3" t="s">
        <v>44</v>
      </c>
      <c r="I108" s="54">
        <f>I107*100/B11</f>
        <v>19.532336095201021</v>
      </c>
    </row>
    <row r="110" spans="1:12">
      <c r="A110" s="15" t="s">
        <v>41</v>
      </c>
    </row>
    <row r="111" spans="1:12">
      <c r="E111" s="4" t="s">
        <v>77</v>
      </c>
      <c r="F111" s="4" t="s">
        <v>44</v>
      </c>
    </row>
    <row r="112" spans="1:12" ht="18.75">
      <c r="A112" s="12" t="s">
        <v>93</v>
      </c>
      <c r="B112" s="3" t="s">
        <v>94</v>
      </c>
      <c r="C112" s="39">
        <f>H104/E88</f>
        <v>1.8854499140866765</v>
      </c>
      <c r="D112" s="3" t="s">
        <v>92</v>
      </c>
      <c r="E112" s="37">
        <f>1.96*E88</f>
        <v>1.9505412873953717E-3</v>
      </c>
      <c r="F112" s="40">
        <f>E112*100/B11</f>
        <v>26.574131980863374</v>
      </c>
    </row>
    <row r="113" spans="1:4">
      <c r="B113" s="50" t="s">
        <v>95</v>
      </c>
    </row>
    <row r="114" spans="1:4">
      <c r="A114" s="72" t="s">
        <v>115</v>
      </c>
      <c r="B114" s="72"/>
    </row>
    <row r="115" spans="1:4">
      <c r="B115" s="50"/>
    </row>
    <row r="116" spans="1:4">
      <c r="A116" s="16" t="s">
        <v>116</v>
      </c>
      <c r="B116" s="47">
        <f>100*(SUM(G33:G62)/(D26*1.128))</f>
        <v>3.6172956511408292</v>
      </c>
    </row>
    <row r="117" spans="1:4">
      <c r="B117" s="11"/>
    </row>
    <row r="118" spans="1:4">
      <c r="A118" s="72" t="s">
        <v>117</v>
      </c>
      <c r="B118" s="72"/>
      <c r="C118" s="72"/>
    </row>
    <row r="119" spans="1:4">
      <c r="B119" s="11"/>
    </row>
    <row r="120" spans="1:4">
      <c r="A120" s="16" t="s">
        <v>118</v>
      </c>
      <c r="B120" s="47">
        <f>100*(SUM(H33:H62)/(D26*1.128))</f>
        <v>9.148227987281123</v>
      </c>
    </row>
    <row r="122" spans="1:4">
      <c r="A122" s="56" t="s">
        <v>119</v>
      </c>
    </row>
    <row r="123" spans="1:4">
      <c r="A123" s="16" t="s">
        <v>109</v>
      </c>
      <c r="B123" s="47">
        <f>100*(SUM(F33:F62)/D26)</f>
        <v>6.3321881293685589</v>
      </c>
    </row>
    <row r="125" spans="1:4">
      <c r="A125" s="72" t="s">
        <v>120</v>
      </c>
      <c r="B125" s="72"/>
      <c r="C125" s="72"/>
      <c r="D125" s="72"/>
    </row>
    <row r="127" spans="1:4">
      <c r="A127" s="16" t="s">
        <v>110</v>
      </c>
      <c r="C127" s="42">
        <f>100*SQRT(I63/(D26*(D26-1)))</f>
        <v>3.1313055664423932</v>
      </c>
    </row>
    <row r="129" spans="1:4">
      <c r="A129" s="72" t="s">
        <v>121</v>
      </c>
      <c r="B129" s="72"/>
    </row>
    <row r="130" spans="1:4" ht="18.75">
      <c r="D130" s="3" t="s">
        <v>112</v>
      </c>
    </row>
    <row r="131" spans="1:4">
      <c r="A131" s="16" t="s">
        <v>111</v>
      </c>
      <c r="C131" s="47">
        <f>ABS(B123)/C127</f>
        <v>2.0222198041703168</v>
      </c>
      <c r="D131" s="3">
        <v>2.0699999999999998</v>
      </c>
    </row>
    <row r="133" spans="1:4">
      <c r="A133" s="72" t="s">
        <v>122</v>
      </c>
      <c r="B133" s="72"/>
      <c r="C133" s="72"/>
    </row>
    <row r="135" spans="1:4">
      <c r="A135" s="16" t="s">
        <v>113</v>
      </c>
      <c r="C135" s="42">
        <f>2*C127</f>
        <v>6.2626111328847864</v>
      </c>
    </row>
    <row r="137" spans="1:4">
      <c r="A137" s="72" t="s">
        <v>123</v>
      </c>
      <c r="B137" s="72"/>
      <c r="C137" s="72"/>
    </row>
    <row r="139" spans="1:4">
      <c r="A139" s="16" t="s">
        <v>114</v>
      </c>
      <c r="C139" s="65">
        <f>2*SQRT((B120*B120)+(C127*C127))</f>
        <v>19.338578009533869</v>
      </c>
    </row>
    <row r="141" spans="1:4">
      <c r="A141" s="80" t="s">
        <v>124</v>
      </c>
      <c r="B141" s="81"/>
      <c r="C141" s="82"/>
    </row>
    <row r="143" spans="1:4" ht="31.5">
      <c r="A143" s="58"/>
      <c r="B143" s="66" t="s">
        <v>126</v>
      </c>
      <c r="C143" s="66" t="s">
        <v>127</v>
      </c>
      <c r="D143" s="66" t="s">
        <v>128</v>
      </c>
    </row>
    <row r="144" spans="1:4">
      <c r="A144" s="67" t="s">
        <v>125</v>
      </c>
      <c r="B144" s="61">
        <f>1.128*0.01*B7</f>
        <v>0.16919999999999996</v>
      </c>
      <c r="C144" s="61">
        <f>1.128*0.01*D7</f>
        <v>0.20303999999999997</v>
      </c>
      <c r="D144" s="58">
        <f>0</f>
        <v>0</v>
      </c>
    </row>
    <row r="145" spans="1:4">
      <c r="A145" s="67" t="s">
        <v>129</v>
      </c>
      <c r="B145" s="61">
        <f>2.834*0.01*B7</f>
        <v>0.42510000000000003</v>
      </c>
      <c r="C145" s="61">
        <f>2.834*0.01*D7</f>
        <v>0.51012000000000002</v>
      </c>
      <c r="D145" s="58">
        <f>0.01*G7</f>
        <v>0.4</v>
      </c>
    </row>
    <row r="146" spans="1:4">
      <c r="A146" s="67" t="s">
        <v>130</v>
      </c>
      <c r="B146" s="61">
        <f>3.686*0.01</f>
        <v>3.6859999999999997E-2</v>
      </c>
      <c r="C146" s="61">
        <f>3.686*0.01*D7</f>
        <v>0.66347999999999996</v>
      </c>
      <c r="D146" s="58">
        <f>0.015*G7</f>
        <v>0.6</v>
      </c>
    </row>
  </sheetData>
  <mergeCells count="22">
    <mergeCell ref="A137:C137"/>
    <mergeCell ref="A114:B114"/>
    <mergeCell ref="A141:C141"/>
    <mergeCell ref="A118:C118"/>
    <mergeCell ref="A125:D125"/>
    <mergeCell ref="A129:B129"/>
    <mergeCell ref="A133:C133"/>
    <mergeCell ref="A1:G1"/>
    <mergeCell ref="A14:B14"/>
    <mergeCell ref="A31:A32"/>
    <mergeCell ref="B5:C5"/>
    <mergeCell ref="D5:E5"/>
    <mergeCell ref="A5:A7"/>
    <mergeCell ref="A64:B64"/>
    <mergeCell ref="A80:B80"/>
    <mergeCell ref="F5:G5"/>
    <mergeCell ref="B24:B26"/>
    <mergeCell ref="C31:D31"/>
    <mergeCell ref="B31:B32"/>
    <mergeCell ref="B30:E30"/>
    <mergeCell ref="F30:I30"/>
    <mergeCell ref="I31:I3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5" sqref="K5"/>
    </sheetView>
  </sheetViews>
  <sheetFormatPr defaultRowHeight="15"/>
  <cols>
    <col min="1" max="16384" width="9.140625" style="6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Расчёт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2018-04-25T14:15:52Z</dcterms:modified>
</cp:coreProperties>
</file>