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1. СПРОСИТЬ в двух ячейках пер " sheetId="10" r:id="rId1"/>
    <sheet name="2.СПРОС. ТЕКСТОМ в одной ячейке" sheetId="11" r:id="rId2"/>
    <sheet name="Формула числа прописью" sheetId="5" r:id="rId3"/>
  </sheets>
  <definedNames>
    <definedName name="b_prop">'Формула числа прописью'!$B$4</definedName>
    <definedName name="date">'Формула числа прописью'!$E$52</definedName>
    <definedName name="m_prop">'Формула числа прописью'!$B$6</definedName>
    <definedName name="num" localSheetId="0">'1. СПРОСИТЬ в двух ячейках пер '!$B$35</definedName>
    <definedName name="num" localSheetId="1">'2.СПРОС. ТЕКСТОМ в одной ячейке'!$B$35</definedName>
    <definedName name="num">#REF!</definedName>
    <definedName name="numeral" localSheetId="0">'1. СПРОСИТЬ в двух ячейках пер '!$B$35</definedName>
    <definedName name="numeral" localSheetId="1">'2.СПРОС. ТЕКСТОМ в одной ячейке'!$B$35</definedName>
    <definedName name="numeral">#REF!</definedName>
    <definedName name="грив" localSheetId="0">{0,"гривень";1,"гривня";2,"гривнi";5,"гривень"}</definedName>
    <definedName name="грив" localSheetId="1">{0,"гривень";1,"гривня";2,"гривнi";5,"гривень"}</definedName>
    <definedName name="грив">{0,"гривень";1,"гривня";2,"гривнi";5,"гривень"}</definedName>
    <definedName name="Сегодня">'Формула числа прописью'!$E$48</definedName>
    <definedName name="удес" localSheetId="0">{"","двадцять ","тридцять ","сорок ","п'ятдесят ","шістдесят ","сімдесят ","вісімдесят ","дев'яносто "}</definedName>
    <definedName name="удес" localSheetId="1">{"","двадцять ","тридцять ","сорок ","п'ятдесят ","шістдесят ","сімдесят ","вісімдесят ","дев'яносто "}</definedName>
    <definedName name="удес">{"","двадцять ","тридцять ","сорок ","п'ятдесят ","шістдесят ","сімдесят ","вісімдесят ","дев'яносто "}</definedName>
    <definedName name="уед" localSheetId="0">{"","один ","два ","три ","чотири ","п'ять ","шість ","сім ","вісім ","дев'ять "}</definedName>
    <definedName name="уед" localSheetId="1">{"","один ","два ","три ","чотири ","п'ять ","шість ","сім ","вісім ","дев'ять "}</definedName>
    <definedName name="уед">{"","один ","два ","три ","чотири ","п'ять ","шість ","сім ","вісім ","дев'ять "}</definedName>
    <definedName name="уедж" localSheetId="0">{"","одна ","дві ","три ","чотири ","п'ять ","шість ","сім ","вісім ","дев'ять "}</definedName>
    <definedName name="уедж" localSheetId="1">{"","одна ","дві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 localSheetId="0">{0,"мільйонів ";1,"мільйон ";2,"мільйони ";5,"мільйонів "}</definedName>
    <definedName name="умил" localSheetId="1">{0,"мільйонів ";1,"мільйон ";2,"мільйони ";5,"мільйонів "}</definedName>
    <definedName name="умил">{0,"мільйонів ";1,"мільйон ";2,"мільйони ";5,"мільйонів "}</definedName>
    <definedName name="усот" localSheetId="0">{"","сто ","двісті ","триста ","чотириста ","п'ятсот ","шістсот ","сімсот ","вісімсот ","дев'ятсот "}</definedName>
    <definedName name="усот" localSheetId="1">{"","сто ","двісті ","триста ","чотириста ","п'ятсот ","шістсот ","сімсот ","вісімсот ","дев'ятсот "}</definedName>
    <definedName name="усот">{"","сто ","двісті ","триста ","чотириста ","п'ятсот ","шістсот ","сімсот ","вісімсот ","дев'ятсот "}</definedName>
    <definedName name="утыс" localSheetId="0">{0,"тисяч ";1,"тисяча ";2,"тисячi ";5,"тисяч "}</definedName>
    <definedName name="утыс" localSheetId="1">{0,"тисяч ";1,"тисяча ";2,"тисячi ";5,"тисяч "}</definedName>
    <definedName name="утыс">{0,"тисяч ";1,"тисяча ";2,"тисячi ";5,"тисяч "}</definedName>
    <definedName name="уцат" localSheetId="0">{"десять ","одиннадцять ","дванадцать ","тринадцять ","чотирнадцять ","п'ятнадцять ","шістнадцять ","сімнадцять ","вісімнадцять ","дев'ятнадцять "}</definedName>
    <definedName name="уцат" localSheetId="1">{"десять ","одиннадцять ","дванадцать ","тринадцять ","чотирнадцять ","п'ятнадцять ","шістнадцять ","сімнадцять ","вісімнадцять ","дев'ятнадцять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52511"/>
</workbook>
</file>

<file path=xl/calcChain.xml><?xml version="1.0" encoding="utf-8"?>
<calcChain xmlns="http://schemas.openxmlformats.org/spreadsheetml/2006/main">
  <c r="A25" i="11" l="1"/>
  <c r="A26" i="11" s="1"/>
  <c r="A27" i="11" s="1"/>
  <c r="A28" i="11" s="1"/>
  <c r="A29" i="11" s="1"/>
  <c r="A30" i="11" s="1"/>
  <c r="A31" i="11" s="1"/>
  <c r="A32" i="11" s="1"/>
  <c r="A33" i="11" s="1"/>
  <c r="A34" i="11" s="1"/>
  <c r="A24" i="11"/>
  <c r="A23" i="11"/>
  <c r="A23" i="10" l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D24" i="10" l="1"/>
  <c r="D25" i="10"/>
  <c r="D26" i="10"/>
  <c r="D27" i="10"/>
  <c r="D28" i="10"/>
  <c r="D29" i="10"/>
  <c r="D30" i="10"/>
  <c r="D31" i="10"/>
  <c r="D32" i="10"/>
  <c r="D33" i="10"/>
  <c r="D34" i="10"/>
  <c r="D23" i="10"/>
  <c r="B35" i="11"/>
  <c r="A38" i="11" s="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E28" i="11"/>
  <c r="D28" i="11"/>
  <c r="E27" i="11"/>
  <c r="D27" i="11"/>
  <c r="F27" i="11" s="1"/>
  <c r="E26" i="11"/>
  <c r="D26" i="11"/>
  <c r="F26" i="11" s="1"/>
  <c r="E25" i="11"/>
  <c r="D25" i="11"/>
  <c r="E24" i="11"/>
  <c r="D24" i="11"/>
  <c r="E23" i="11"/>
  <c r="D23" i="11"/>
  <c r="A13" i="11"/>
  <c r="A11" i="11"/>
  <c r="H6" i="11"/>
  <c r="H2" i="11"/>
  <c r="H1" i="11"/>
  <c r="H1" i="10"/>
  <c r="H2" i="10"/>
  <c r="H6" i="10"/>
  <c r="A11" i="10"/>
  <c r="A13" i="10"/>
  <c r="E23" i="10"/>
  <c r="F23" i="10" s="1"/>
  <c r="E24" i="10"/>
  <c r="E25" i="10"/>
  <c r="E26" i="10"/>
  <c r="E27" i="10"/>
  <c r="F27" i="10"/>
  <c r="E28" i="10"/>
  <c r="E29" i="10"/>
  <c r="E30" i="10"/>
  <c r="F30" i="10"/>
  <c r="E31" i="10"/>
  <c r="F31" i="10"/>
  <c r="E32" i="10"/>
  <c r="F32" i="10"/>
  <c r="E33" i="10"/>
  <c r="F33" i="10"/>
  <c r="E34" i="10"/>
  <c r="F34" i="10"/>
  <c r="B35" i="10"/>
  <c r="A38" i="10" s="1"/>
  <c r="F25" i="11" l="1"/>
  <c r="F25" i="10"/>
  <c r="F24" i="11"/>
  <c r="F28" i="11"/>
  <c r="D35" i="10"/>
  <c r="F26" i="10"/>
  <c r="F24" i="10"/>
  <c r="D35" i="11"/>
  <c r="E35" i="11"/>
  <c r="F28" i="10"/>
  <c r="F23" i="11"/>
  <c r="F29" i="10"/>
  <c r="E35" i="10"/>
  <c r="F35" i="11" l="1"/>
  <c r="A41" i="11" s="1"/>
  <c r="F35" i="10"/>
  <c r="A41" i="10" s="1"/>
  <c r="E2" i="5"/>
  <c r="E13" i="5" s="1"/>
  <c r="A29" i="5" s="1"/>
  <c r="E48" i="5"/>
  <c r="E51" i="5" s="1"/>
  <c r="B29" i="5" l="1"/>
  <c r="E29" i="5" s="1"/>
  <c r="A28" i="5"/>
  <c r="A31" i="5"/>
  <c r="G51" i="5"/>
  <c r="G50" i="5"/>
  <c r="F50" i="5"/>
  <c r="D50" i="5"/>
  <c r="E50" i="5" l="1"/>
  <c r="E52" i="5" s="1"/>
  <c r="A1" i="11" s="1"/>
  <c r="C31" i="5"/>
  <c r="C32" i="5" s="1"/>
  <c r="B28" i="5"/>
  <c r="A27" i="5"/>
  <c r="A1" i="10" l="1"/>
  <c r="F33" i="5"/>
  <c r="A12" i="5" s="1"/>
  <c r="E32" i="5"/>
  <c r="C28" i="5"/>
  <c r="E28" i="5" s="1"/>
  <c r="C29" i="5"/>
  <c r="B27" i="5"/>
  <c r="A25" i="5"/>
  <c r="E31" i="5"/>
  <c r="B25" i="5" l="1"/>
  <c r="E25" i="5" s="1"/>
  <c r="A24" i="5"/>
  <c r="F29" i="5"/>
  <c r="D29" i="5"/>
  <c r="E30" i="5"/>
  <c r="E27" i="5"/>
  <c r="C27" i="5"/>
  <c r="A23" i="5" l="1"/>
  <c r="B24" i="5"/>
  <c r="C24" i="5" l="1"/>
  <c r="E24" i="5" s="1"/>
  <c r="C25" i="5"/>
  <c r="A21" i="5"/>
  <c r="B23" i="5"/>
  <c r="A20" i="5" l="1"/>
  <c r="B21" i="5"/>
  <c r="C23" i="5"/>
  <c r="E26" i="5"/>
  <c r="E23" i="5"/>
  <c r="F25" i="5"/>
  <c r="D25" i="5"/>
  <c r="B20" i="5" l="1"/>
  <c r="A19" i="5"/>
  <c r="F26" i="5"/>
  <c r="A10" i="5" s="1"/>
  <c r="E21" i="5"/>
  <c r="C20" i="5" l="1"/>
  <c r="E20" i="5" s="1"/>
  <c r="C21" i="5"/>
  <c r="B19" i="5"/>
  <c r="A17" i="5"/>
  <c r="C19" i="5" l="1"/>
  <c r="E19" i="5"/>
  <c r="E22" i="5"/>
  <c r="A16" i="5"/>
  <c r="B17" i="5"/>
  <c r="D21" i="5"/>
  <c r="F21" i="5"/>
  <c r="E17" i="5" l="1"/>
  <c r="A15" i="5"/>
  <c r="B16" i="5"/>
  <c r="F22" i="5"/>
  <c r="A9" i="5" s="1"/>
  <c r="B15" i="5" l="1"/>
  <c r="E18" i="5" s="1"/>
  <c r="A14" i="5"/>
  <c r="C16" i="5"/>
  <c r="E16" i="5" s="1"/>
  <c r="C17" i="5"/>
  <c r="D17" i="5" l="1"/>
  <c r="F17" i="5"/>
  <c r="F18" i="5"/>
  <c r="F30" i="5"/>
  <c r="A11" i="5" s="1"/>
  <c r="E15" i="5"/>
  <c r="C15" i="5"/>
  <c r="A8" i="5"/>
  <c r="B6" i="5" l="1"/>
  <c r="F8" i="5" l="1"/>
  <c r="F9" i="5" s="1"/>
  <c r="F10" i="5" s="1"/>
  <c r="B4" i="5" l="1"/>
</calcChain>
</file>

<file path=xl/comments1.xml><?xml version="1.0" encoding="utf-8"?>
<comments xmlns="http://schemas.openxmlformats.org/spreadsheetml/2006/main">
  <authors>
    <author>Admin</author>
    <author>Ok</author>
  </authors>
  <commentList>
    <comment ref="A2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 xml:space="preserve">Вводить вручну місяць в форматі 01.01.01 </t>
        </r>
      </text>
    </comment>
    <comment ref="B35" authorId="1" shapeId="0">
      <text>
        <r>
          <rPr>
            <b/>
            <sz val="8"/>
            <color indexed="81"/>
            <rFont val="Tahoma"/>
            <family val="2"/>
            <charset val="204"/>
          </rPr>
          <t>Ok:</t>
        </r>
        <r>
          <rPr>
            <sz val="8"/>
            <color indexed="81"/>
            <rFont val="Tahoma"/>
            <family val="2"/>
            <charset val="204"/>
          </rPr>
          <t xml:space="preserve">
Здесь исходное число</t>
        </r>
      </text>
    </comment>
  </commentList>
</comments>
</file>

<file path=xl/comments2.xml><?xml version="1.0" encoding="utf-8"?>
<comments xmlns="http://schemas.openxmlformats.org/spreadsheetml/2006/main">
  <authors>
    <author>Admin</author>
    <author>Ok</author>
  </authors>
  <commentList>
    <comment ref="A2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 xml:space="preserve">Вводить вручну місяць в форматі 01.01.01 </t>
        </r>
      </text>
    </comment>
    <comment ref="B35" authorId="1" shapeId="0">
      <text>
        <r>
          <rPr>
            <b/>
            <sz val="8"/>
            <color indexed="81"/>
            <rFont val="Tahoma"/>
            <family val="2"/>
            <charset val="204"/>
          </rPr>
          <t>Ok:</t>
        </r>
        <r>
          <rPr>
            <sz val="8"/>
            <color indexed="81"/>
            <rFont val="Tahoma"/>
            <family val="2"/>
            <charset val="204"/>
          </rPr>
          <t xml:space="preserve">
Здесь исходное число</t>
        </r>
      </text>
    </comment>
  </commentList>
</comments>
</file>

<file path=xl/comments3.xml><?xml version="1.0" encoding="utf-8"?>
<comments xmlns="http://schemas.openxmlformats.org/spreadsheetml/2006/main">
  <authors>
    <author>APOSTOL</author>
  </authors>
  <commentList>
    <comment ref="E2" authorId="0" shapeId="0">
      <text>
        <r>
          <rPr>
            <sz val="8"/>
            <color indexed="81"/>
            <rFont val="Tahoma"/>
            <family val="2"/>
            <charset val="204"/>
          </rPr>
          <t>Которое прилетело сюда с первой страницы из ячкейки с именем 
num</t>
        </r>
      </text>
    </comment>
    <comment ref="E48" authorId="0" shapeId="0">
      <text>
        <r>
          <rPr>
            <b/>
            <sz val="8"/>
            <color indexed="81"/>
            <rFont val="Tahoma"/>
            <family val="2"/>
            <charset val="204"/>
          </rPr>
          <t>это - системная дата компьютера</t>
        </r>
      </text>
    </comment>
  </commentList>
</comments>
</file>

<file path=xl/sharedStrings.xml><?xml version="1.0" encoding="utf-8"?>
<sst xmlns="http://schemas.openxmlformats.org/spreadsheetml/2006/main" count="106" uniqueCount="72">
  <si>
    <t>Вот, скажем, есть число</t>
  </si>
  <si>
    <t xml:space="preserve">одна </t>
  </si>
  <si>
    <t xml:space="preserve">три </t>
  </si>
  <si>
    <t xml:space="preserve">сорок </t>
  </si>
  <si>
    <t xml:space="preserve">десять </t>
  </si>
  <si>
    <t xml:space="preserve">сто </t>
  </si>
  <si>
    <t xml:space="preserve">триста </t>
  </si>
  <si>
    <t>код первой буквы</t>
  </si>
  <si>
    <t>первая проп.</t>
  </si>
  <si>
    <t>первая Загл.</t>
  </si>
  <si>
    <t>прописная буква</t>
  </si>
  <si>
    <t xml:space="preserve">В нём </t>
  </si>
  <si>
    <t>строчная буква</t>
  </si>
  <si>
    <t xml:space="preserve">Сегодня с утра судя по всему было </t>
  </si>
  <si>
    <t>гривень</t>
  </si>
  <si>
    <t xml:space="preserve">дві </t>
  </si>
  <si>
    <t xml:space="preserve">одинадцать </t>
  </si>
  <si>
    <t xml:space="preserve">двадцять </t>
  </si>
  <si>
    <t xml:space="preserve">двісті </t>
  </si>
  <si>
    <t xml:space="preserve">дванадцять </t>
  </si>
  <si>
    <t xml:space="preserve">тридцять </t>
  </si>
  <si>
    <t xml:space="preserve">чотири </t>
  </si>
  <si>
    <t xml:space="preserve">тринадцять </t>
  </si>
  <si>
    <t xml:space="preserve">чотириста </t>
  </si>
  <si>
    <t xml:space="preserve">п'ять </t>
  </si>
  <si>
    <t xml:space="preserve">чотирнадцять </t>
  </si>
  <si>
    <t xml:space="preserve">п'ятдесят </t>
  </si>
  <si>
    <t xml:space="preserve">п'ятсот </t>
  </si>
  <si>
    <t xml:space="preserve">шість </t>
  </si>
  <si>
    <t xml:space="preserve">п'ятнадцять </t>
  </si>
  <si>
    <t xml:space="preserve">шістдесят </t>
  </si>
  <si>
    <t xml:space="preserve">шістсот </t>
  </si>
  <si>
    <t xml:space="preserve">сім </t>
  </si>
  <si>
    <t xml:space="preserve">шістнадцять </t>
  </si>
  <si>
    <t xml:space="preserve">сімдесят </t>
  </si>
  <si>
    <t xml:space="preserve">сімсот </t>
  </si>
  <si>
    <t xml:space="preserve">вісім </t>
  </si>
  <si>
    <t xml:space="preserve">сімнадцять </t>
  </si>
  <si>
    <t xml:space="preserve">вісімдесят </t>
  </si>
  <si>
    <t xml:space="preserve">вісімсот </t>
  </si>
  <si>
    <t xml:space="preserve">дев'ять </t>
  </si>
  <si>
    <t xml:space="preserve">вісімнадцять </t>
  </si>
  <si>
    <t xml:space="preserve">дев'яносто </t>
  </si>
  <si>
    <t xml:space="preserve">дев'ятсот </t>
  </si>
  <si>
    <t xml:space="preserve">дев'ятнадцять </t>
  </si>
  <si>
    <t>www.allok.ru</t>
  </si>
  <si>
    <t xml:space="preserve"> </t>
  </si>
  <si>
    <t xml:space="preserve">Д О В І Д К А    П Р О   Д О Х О Д И </t>
  </si>
  <si>
    <t xml:space="preserve">займає посаду </t>
  </si>
  <si>
    <t xml:space="preserve">індивідуальний індентифікаційний номер </t>
  </si>
  <si>
    <t>Місяці року</t>
  </si>
  <si>
    <t>Всього</t>
  </si>
  <si>
    <t>Затримки по заробітній платі за останні шість місяців відсутні.</t>
  </si>
  <si>
    <t>Кутовий штамп</t>
  </si>
  <si>
    <t>(підпис)</t>
  </si>
  <si>
    <t>(прізвище, ініціали)</t>
  </si>
  <si>
    <t>Нарахована заробітна плата в т.ч. в натуральній формі (грн)</t>
  </si>
  <si>
    <r>
      <t xml:space="preserve">Директор </t>
    </r>
    <r>
      <rPr>
        <sz val="12"/>
        <color indexed="8"/>
        <rFont val="Times New Roman"/>
        <family val="1"/>
        <charset val="204"/>
      </rPr>
      <t/>
    </r>
  </si>
  <si>
    <t>____________________</t>
  </si>
  <si>
    <t xml:space="preserve">Головний бухгалтер             </t>
  </si>
  <si>
    <t>(Сума прописом)</t>
  </si>
  <si>
    <t>До видачі</t>
  </si>
  <si>
    <t>Військовий збір</t>
  </si>
  <si>
    <t>осіб</t>
  </si>
  <si>
    <t xml:space="preserve">фізичних </t>
  </si>
  <si>
    <t>ПДФО: податок</t>
  </si>
  <si>
    <t xml:space="preserve">з доходів </t>
  </si>
  <si>
    <t>Печатка</t>
  </si>
  <si>
    <t>по</t>
  </si>
  <si>
    <t>за период с</t>
  </si>
  <si>
    <t>Иванов Иван Иванович</t>
  </si>
  <si>
    <t>01.01.2017 г. по 31.05.2017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</si>
</sst>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\ mmmm\,\ yyyy"/>
    <numFmt numFmtId="165" formatCode="[$-F800]dddd\,\ mmmm\ dd\,\ yyyy"/>
    <numFmt numFmtId="166" formatCode="dd/mm/yyyy\ \г/"/>
    <numFmt numFmtId="167" formatCode="dd/mm/yy"/>
  </numFmts>
  <fonts count="5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10"/>
      <name val="Arial Cyr"/>
      <family val="2"/>
      <charset val="204"/>
    </font>
    <font>
      <sz val="8"/>
      <color indexed="10"/>
      <name val="Arial Cyr"/>
      <family val="2"/>
      <charset val="204"/>
    </font>
    <font>
      <sz val="10"/>
      <color indexed="12"/>
      <name val="Arial Cyr"/>
      <family val="2"/>
      <charset val="204"/>
    </font>
    <font>
      <sz val="9"/>
      <color indexed="12"/>
      <name val="Arial Cyr"/>
      <family val="2"/>
      <charset val="204"/>
    </font>
    <font>
      <sz val="10"/>
      <color indexed="14"/>
      <name val="Arial Cyr"/>
      <family val="2"/>
      <charset val="204"/>
    </font>
    <font>
      <sz val="9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2"/>
      <color indexed="14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 Cyr"/>
      <family val="2"/>
      <charset val="204"/>
    </font>
    <font>
      <u/>
      <sz val="10"/>
      <color indexed="12"/>
      <name val="Arial Cyr"/>
      <charset val="204"/>
    </font>
    <font>
      <sz val="8"/>
      <color indexed="81"/>
      <name val="Tahoma"/>
      <family val="2"/>
      <charset val="204"/>
    </font>
    <font>
      <sz val="8"/>
      <name val="Arial Cyr"/>
      <charset val="204"/>
    </font>
    <font>
      <b/>
      <sz val="13"/>
      <name val="Arial"/>
      <family val="2"/>
      <charset val="204"/>
    </font>
    <font>
      <i/>
      <sz val="11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i/>
      <sz val="9"/>
      <name val="Arial Cyr"/>
      <charset val="204"/>
    </font>
    <font>
      <i/>
      <sz val="10"/>
      <name val="Arial Cyr"/>
      <family val="2"/>
      <charset val="204"/>
    </font>
    <font>
      <i/>
      <sz val="10"/>
      <name val="Arial Cyr"/>
      <charset val="204"/>
    </font>
    <font>
      <sz val="14"/>
      <name val="Arial Cyr"/>
      <charset val="204"/>
    </font>
    <font>
      <b/>
      <i/>
      <sz val="10"/>
      <name val="Arial Cyr"/>
      <charset val="204"/>
    </font>
    <font>
      <b/>
      <i/>
      <sz val="11"/>
      <name val="Arial Cyr"/>
      <charset val="204"/>
    </font>
    <font>
      <b/>
      <u/>
      <sz val="10"/>
      <color indexed="12"/>
      <name val="Arial Cyr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6"/>
      <name val="Arial Cyr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Arial Cyr"/>
      <charset val="204"/>
    </font>
    <font>
      <sz val="10"/>
      <color indexed="12"/>
      <name val="Tahoma"/>
      <family val="2"/>
      <charset val="204"/>
    </font>
    <font>
      <b/>
      <sz val="12"/>
      <color rgb="FF0033CC"/>
      <name val="Calibri"/>
      <family val="2"/>
      <charset val="204"/>
      <scheme val="minor"/>
    </font>
    <font>
      <b/>
      <sz val="12"/>
      <color rgb="FF0033CC"/>
      <name val="Arial Cyr"/>
      <charset val="204"/>
    </font>
    <font>
      <sz val="10"/>
      <color rgb="FF0033CC"/>
      <name val="Arial Cyr"/>
      <charset val="204"/>
    </font>
    <font>
      <sz val="12.5"/>
      <color theme="1"/>
      <name val="Times New Roman"/>
      <family val="1"/>
      <charset val="204"/>
    </font>
    <font>
      <sz val="12"/>
      <color rgb="FF0033CC"/>
      <name val="Calibri"/>
      <family val="2"/>
      <charset val="204"/>
      <scheme val="minor"/>
    </font>
    <font>
      <sz val="10"/>
      <color theme="0"/>
      <name val="Arial Cyr"/>
      <charset val="204"/>
    </font>
    <font>
      <b/>
      <sz val="11"/>
      <color rgb="FF0033CC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33CC"/>
      </bottom>
      <diagonal/>
    </border>
    <border>
      <left style="thin">
        <color rgb="FF0033CC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/>
      <top style="medium">
        <color rgb="FF0033CC"/>
      </top>
      <bottom style="thin">
        <color indexed="64"/>
      </bottom>
      <diagonal/>
    </border>
    <border>
      <left/>
      <right style="thin">
        <color indexed="64"/>
      </right>
      <top style="medium">
        <color rgb="FF0033CC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1">
    <xf numFmtId="0" fontId="0" fillId="0" borderId="0" xfId="0"/>
    <xf numFmtId="0" fontId="3" fillId="0" borderId="0" xfId="0" applyNumberFormat="1" applyFont="1" applyAlignment="1">
      <alignment horizontal="right"/>
    </xf>
    <xf numFmtId="0" fontId="0" fillId="0" borderId="0" xfId="0" applyNumberFormat="1"/>
    <xf numFmtId="4" fontId="4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right"/>
    </xf>
    <xf numFmtId="0" fontId="3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6" fillId="0" borderId="0" xfId="0" applyNumberFormat="1" applyFont="1" applyAlignment="1">
      <alignment shrinkToFit="1"/>
    </xf>
    <xf numFmtId="0" fontId="5" fillId="0" borderId="0" xfId="0" applyNumberFormat="1" applyFont="1" applyAlignment="1">
      <alignment horizontal="left"/>
    </xf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8" fillId="0" borderId="0" xfId="0" applyNumberFormat="1" applyFont="1"/>
    <xf numFmtId="0" fontId="8" fillId="0" borderId="0" xfId="0" applyNumberFormat="1" applyFont="1" applyAlignment="1">
      <alignment shrinkToFit="1"/>
    </xf>
    <xf numFmtId="3" fontId="5" fillId="0" borderId="0" xfId="0" applyNumberFormat="1" applyFont="1"/>
    <xf numFmtId="1" fontId="5" fillId="0" borderId="0" xfId="0" applyNumberFormat="1" applyFont="1" applyAlignment="1">
      <alignment horizontal="right"/>
    </xf>
    <xf numFmtId="0" fontId="9" fillId="0" borderId="0" xfId="0" applyNumberFormat="1" applyFont="1"/>
    <xf numFmtId="0" fontId="9" fillId="0" borderId="0" xfId="0" applyNumberFormat="1" applyFont="1" applyBorder="1"/>
    <xf numFmtId="0" fontId="10" fillId="0" borderId="0" xfId="0" applyNumberFormat="1" applyFont="1" applyAlignment="1">
      <alignment shrinkToFit="1"/>
    </xf>
    <xf numFmtId="4" fontId="7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/>
    <xf numFmtId="4" fontId="4" fillId="0" borderId="3" xfId="0" applyNumberFormat="1" applyFont="1" applyBorder="1" applyAlignment="1">
      <alignment horizontal="right"/>
    </xf>
    <xf numFmtId="0" fontId="11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/>
    <xf numFmtId="164" fontId="7" fillId="0" borderId="0" xfId="0" applyNumberFormat="1" applyFont="1" applyBorder="1" applyAlignment="1">
      <alignment horizontal="left"/>
    </xf>
    <xf numFmtId="0" fontId="0" fillId="0" borderId="0" xfId="0" applyBorder="1"/>
    <xf numFmtId="14" fontId="12" fillId="2" borderId="0" xfId="0" applyNumberFormat="1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34" fillId="0" borderId="0" xfId="0" applyFont="1"/>
    <xf numFmtId="0" fontId="39" fillId="0" borderId="0" xfId="0" applyFont="1"/>
    <xf numFmtId="0" fontId="40" fillId="0" borderId="0" xfId="0" applyFont="1"/>
    <xf numFmtId="1" fontId="38" fillId="4" borderId="0" xfId="0" applyNumberFormat="1" applyFont="1" applyFill="1" applyAlignment="1" applyProtection="1">
      <alignment horizontal="left"/>
      <protection locked="0"/>
    </xf>
    <xf numFmtId="0" fontId="0" fillId="0" borderId="0" xfId="0" applyProtection="1"/>
    <xf numFmtId="0" fontId="19" fillId="0" borderId="0" xfId="0" applyNumberFormat="1" applyFont="1" applyBorder="1" applyAlignment="1" applyProtection="1">
      <alignment horizontal="left"/>
    </xf>
    <xf numFmtId="0" fontId="2" fillId="0" borderId="0" xfId="0" applyFont="1" applyProtection="1"/>
    <xf numFmtId="0" fontId="34" fillId="0" borderId="0" xfId="0" applyFont="1" applyAlignment="1" applyProtection="1"/>
    <xf numFmtId="0" fontId="0" fillId="0" borderId="0" xfId="0" applyAlignment="1" applyProtection="1"/>
    <xf numFmtId="0" fontId="34" fillId="0" borderId="0" xfId="0" applyFont="1" applyProtection="1"/>
    <xf numFmtId="0" fontId="2" fillId="0" borderId="0" xfId="0" applyFont="1" applyAlignment="1" applyProtection="1">
      <alignment horizontal="center"/>
    </xf>
    <xf numFmtId="0" fontId="20" fillId="0" borderId="0" xfId="0" applyFont="1" applyProtection="1"/>
    <xf numFmtId="0" fontId="21" fillId="0" borderId="0" xfId="0" applyFont="1" applyProtection="1"/>
    <xf numFmtId="0" fontId="32" fillId="0" borderId="0" xfId="0" applyFont="1" applyBorder="1" applyAlignment="1" applyProtection="1">
      <alignment horizontal="left"/>
    </xf>
    <xf numFmtId="49" fontId="23" fillId="0" borderId="0" xfId="0" applyNumberFormat="1" applyFont="1" applyBorder="1" applyAlignment="1" applyProtection="1">
      <alignment horizontal="center" vertical="center" wrapText="1"/>
    </xf>
    <xf numFmtId="1" fontId="22" fillId="0" borderId="0" xfId="0" applyNumberFormat="1" applyFont="1" applyBorder="1" applyAlignment="1" applyProtection="1">
      <alignment horizontal="center"/>
    </xf>
    <xf numFmtId="0" fontId="37" fillId="0" borderId="0" xfId="0" applyFont="1" applyProtection="1"/>
    <xf numFmtId="0" fontId="35" fillId="0" borderId="0" xfId="0" applyFont="1" applyAlignment="1" applyProtection="1">
      <alignment horizontal="center"/>
    </xf>
    <xf numFmtId="0" fontId="36" fillId="0" borderId="0" xfId="0" applyFont="1" applyAlignment="1" applyProtection="1">
      <alignment horizontal="center"/>
    </xf>
    <xf numFmtId="0" fontId="38" fillId="0" borderId="0" xfId="0" applyFont="1" applyProtection="1"/>
    <xf numFmtId="0" fontId="2" fillId="0" borderId="0" xfId="0" applyFont="1" applyBorder="1" applyProtection="1"/>
    <xf numFmtId="0" fontId="22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39" fillId="0" borderId="0" xfId="0" applyFont="1" applyProtection="1"/>
    <xf numFmtId="0" fontId="22" fillId="0" borderId="0" xfId="0" applyFont="1" applyBorder="1" applyAlignment="1" applyProtection="1">
      <alignment horizontal="center"/>
    </xf>
    <xf numFmtId="49" fontId="28" fillId="0" borderId="0" xfId="0" applyNumberFormat="1" applyFont="1" applyBorder="1" applyAlignment="1" applyProtection="1">
      <alignment horizontal="center"/>
    </xf>
    <xf numFmtId="0" fontId="43" fillId="0" borderId="0" xfId="0" applyFont="1" applyProtection="1"/>
    <xf numFmtId="4" fontId="22" fillId="0" borderId="0" xfId="0" applyNumberFormat="1" applyFont="1" applyBorder="1" applyAlignment="1" applyProtection="1">
      <alignment horizontal="center"/>
    </xf>
    <xf numFmtId="2" fontId="22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41" fillId="0" borderId="0" xfId="0" applyFont="1" applyFill="1" applyAlignment="1" applyProtection="1"/>
    <xf numFmtId="0" fontId="26" fillId="0" borderId="0" xfId="0" applyFont="1" applyProtection="1"/>
    <xf numFmtId="0" fontId="27" fillId="0" borderId="0" xfId="0" applyFont="1" applyFill="1" applyBorder="1" applyAlignment="1" applyProtection="1">
      <alignment horizontal="right"/>
    </xf>
    <xf numFmtId="0" fontId="28" fillId="0" borderId="0" xfId="0" applyFont="1" applyBorder="1" applyAlignment="1" applyProtection="1"/>
    <xf numFmtId="0" fontId="45" fillId="0" borderId="5" xfId="0" applyFont="1" applyBorder="1"/>
    <xf numFmtId="0" fontId="31" fillId="0" borderId="0" xfId="0" applyFont="1"/>
    <xf numFmtId="0" fontId="34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34" fillId="0" borderId="0" xfId="0" applyFont="1" applyAlignment="1" applyProtection="1">
      <alignment horizontal="left"/>
    </xf>
    <xf numFmtId="0" fontId="2" fillId="4" borderId="0" xfId="0" applyFont="1" applyFill="1" applyProtection="1"/>
    <xf numFmtId="0" fontId="0" fillId="0" borderId="0" xfId="0" applyFill="1" applyProtection="1"/>
    <xf numFmtId="0" fontId="48" fillId="0" borderId="0" xfId="0" applyFont="1" applyProtection="1"/>
    <xf numFmtId="4" fontId="46" fillId="0" borderId="7" xfId="0" applyNumberFormat="1" applyFont="1" applyBorder="1" applyAlignment="1">
      <alignment horizontal="center"/>
    </xf>
    <xf numFmtId="0" fontId="49" fillId="0" borderId="19" xfId="0" applyFont="1" applyFill="1" applyBorder="1" applyAlignment="1" applyProtection="1">
      <alignment horizontal="center" vertical="center"/>
    </xf>
    <xf numFmtId="0" fontId="49" fillId="0" borderId="20" xfId="0" applyFont="1" applyFill="1" applyBorder="1" applyAlignment="1" applyProtection="1">
      <alignment horizontal="center" vertical="center"/>
    </xf>
    <xf numFmtId="0" fontId="49" fillId="0" borderId="21" xfId="0" applyFont="1" applyFill="1" applyBorder="1" applyAlignment="1" applyProtection="1">
      <alignment horizontal="center" vertical="center"/>
    </xf>
    <xf numFmtId="4" fontId="42" fillId="0" borderId="7" xfId="0" applyNumberFormat="1" applyFont="1" applyFill="1" applyBorder="1" applyAlignment="1" applyProtection="1">
      <alignment horizontal="center"/>
    </xf>
    <xf numFmtId="4" fontId="42" fillId="0" borderId="10" xfId="0" applyNumberFormat="1" applyFont="1" applyFill="1" applyBorder="1" applyAlignment="1" applyProtection="1">
      <alignment horizontal="center"/>
    </xf>
    <xf numFmtId="9" fontId="50" fillId="0" borderId="0" xfId="0" applyNumberFormat="1" applyFont="1" applyAlignment="1" applyProtection="1">
      <alignment horizontal="center"/>
    </xf>
    <xf numFmtId="10" fontId="50" fillId="0" borderId="0" xfId="0" applyNumberFormat="1" applyFont="1" applyAlignment="1" applyProtection="1">
      <alignment horizontal="center"/>
    </xf>
    <xf numFmtId="0" fontId="38" fillId="4" borderId="0" xfId="0" applyFont="1" applyFill="1" applyAlignment="1" applyProtection="1">
      <protection locked="0"/>
    </xf>
    <xf numFmtId="0" fontId="38" fillId="0" borderId="0" xfId="0" applyFont="1" applyFill="1" applyAlignment="1" applyProtection="1">
      <protection locked="0"/>
    </xf>
    <xf numFmtId="0" fontId="25" fillId="0" borderId="0" xfId="0" applyFont="1" applyProtection="1"/>
    <xf numFmtId="0" fontId="0" fillId="0" borderId="0" xfId="0" applyAlignment="1" applyProtection="1">
      <alignment horizontal="center"/>
    </xf>
    <xf numFmtId="14" fontId="24" fillId="0" borderId="0" xfId="0" applyNumberFormat="1" applyFont="1" applyBorder="1" applyAlignment="1" applyProtection="1"/>
    <xf numFmtId="0" fontId="0" fillId="0" borderId="0" xfId="0" applyFill="1" applyAlignment="1" applyProtection="1">
      <alignment horizontal="center"/>
    </xf>
    <xf numFmtId="165" fontId="51" fillId="0" borderId="0" xfId="0" applyNumberFormat="1" applyFont="1" applyFill="1" applyAlignment="1" applyProtection="1">
      <alignment horizontal="left"/>
    </xf>
    <xf numFmtId="3" fontId="51" fillId="4" borderId="0" xfId="0" applyNumberFormat="1" applyFont="1" applyFill="1" applyBorder="1" applyAlignment="1" applyProtection="1">
      <alignment horizontal="left"/>
    </xf>
    <xf numFmtId="166" fontId="51" fillId="4" borderId="0" xfId="0" applyNumberFormat="1" applyFont="1" applyFill="1" applyBorder="1" applyAlignment="1" applyProtection="1">
      <alignment horizontal="center"/>
    </xf>
    <xf numFmtId="167" fontId="0" fillId="0" borderId="0" xfId="0" applyNumberFormat="1" applyProtection="1"/>
    <xf numFmtId="0" fontId="42" fillId="0" borderId="9" xfId="0" applyNumberFormat="1" applyFont="1" applyFill="1" applyBorder="1" applyAlignment="1" applyProtection="1">
      <alignment horizontal="right"/>
    </xf>
    <xf numFmtId="0" fontId="39" fillId="5" borderId="11" xfId="0" applyNumberFormat="1" applyFont="1" applyFill="1" applyBorder="1" applyAlignment="1" applyProtection="1">
      <alignment horizontal="right"/>
      <protection locked="0"/>
    </xf>
    <xf numFmtId="4" fontId="39" fillId="5" borderId="16" xfId="0" applyNumberFormat="1" applyFont="1" applyFill="1" applyBorder="1" applyAlignment="1" applyProtection="1">
      <alignment horizontal="center" wrapText="1"/>
      <protection locked="0"/>
    </xf>
    <xf numFmtId="4" fontId="39" fillId="5" borderId="6" xfId="0" applyNumberFormat="1" applyFont="1" applyFill="1" applyBorder="1" applyAlignment="1" applyProtection="1">
      <alignment horizontal="center" wrapText="1"/>
      <protection locked="0"/>
    </xf>
    <xf numFmtId="4" fontId="39" fillId="5" borderId="22" xfId="0" applyNumberFormat="1" applyFont="1" applyFill="1" applyBorder="1" applyAlignment="1" applyProtection="1">
      <alignment horizontal="center" wrapText="1"/>
      <protection locked="0"/>
    </xf>
    <xf numFmtId="0" fontId="0" fillId="0" borderId="12" xfId="0" applyBorder="1" applyProtection="1">
      <protection locked="0"/>
    </xf>
    <xf numFmtId="4" fontId="46" fillId="0" borderId="5" xfId="0" applyNumberFormat="1" applyFont="1" applyBorder="1" applyAlignment="1">
      <alignment horizontal="center" wrapText="1"/>
    </xf>
    <xf numFmtId="0" fontId="47" fillId="0" borderId="8" xfId="0" applyFont="1" applyBorder="1" applyAlignment="1">
      <alignment horizontal="center" wrapText="1"/>
    </xf>
    <xf numFmtId="0" fontId="0" fillId="0" borderId="6" xfId="0" applyBorder="1" applyProtection="1">
      <protection locked="0"/>
    </xf>
    <xf numFmtId="4" fontId="33" fillId="5" borderId="16" xfId="0" applyNumberFormat="1" applyFont="1" applyFill="1" applyBorder="1" applyAlignment="1" applyProtection="1">
      <alignment horizontal="center" wrapText="1"/>
      <protection locked="0"/>
    </xf>
    <xf numFmtId="4" fontId="42" fillId="5" borderId="23" xfId="0" applyNumberFormat="1" applyFont="1" applyFill="1" applyBorder="1" applyAlignment="1" applyProtection="1">
      <alignment horizontal="center" wrapText="1"/>
      <protection locked="0"/>
    </xf>
    <xf numFmtId="0" fontId="0" fillId="0" borderId="24" xfId="0" applyBorder="1" applyProtection="1">
      <protection locked="0"/>
    </xf>
    <xf numFmtId="0" fontId="32" fillId="0" borderId="0" xfId="0" applyFont="1" applyBorder="1" applyAlignment="1" applyProtection="1">
      <alignment horizontal="left" wrapText="1"/>
    </xf>
    <xf numFmtId="0" fontId="39" fillId="0" borderId="4" xfId="0" applyFont="1" applyBorder="1" applyAlignment="1" applyProtection="1">
      <alignment horizontal="center" vertical="center" wrapText="1"/>
    </xf>
    <xf numFmtId="0" fontId="39" fillId="0" borderId="10" xfId="0" applyFont="1" applyBorder="1" applyAlignment="1" applyProtection="1">
      <alignment horizontal="center" vertical="center" wrapText="1"/>
    </xf>
    <xf numFmtId="0" fontId="39" fillId="0" borderId="13" xfId="0" applyFont="1" applyBorder="1" applyAlignment="1" applyProtection="1">
      <alignment horizontal="center" vertical="center" wrapText="1"/>
    </xf>
    <xf numFmtId="0" fontId="39" fillId="0" borderId="17" xfId="0" applyFont="1" applyBorder="1" applyAlignment="1" applyProtection="1">
      <alignment horizontal="center" vertical="center" wrapText="1"/>
    </xf>
    <xf numFmtId="0" fontId="39" fillId="0" borderId="14" xfId="0" applyFont="1" applyBorder="1" applyAlignment="1" applyProtection="1">
      <alignment horizontal="center" vertical="center" wrapText="1"/>
    </xf>
    <xf numFmtId="0" fontId="39" fillId="0" borderId="0" xfId="0" applyFont="1" applyBorder="1" applyAlignment="1" applyProtection="1">
      <alignment horizontal="center" vertical="center" wrapText="1"/>
    </xf>
    <xf numFmtId="0" fontId="39" fillId="0" borderId="15" xfId="0" applyFont="1" applyBorder="1" applyAlignment="1" applyProtection="1">
      <alignment horizontal="center" vertical="center" wrapText="1"/>
    </xf>
    <xf numFmtId="0" fontId="39" fillId="0" borderId="18" xfId="0" applyFont="1" applyBorder="1" applyAlignment="1" applyProtection="1">
      <alignment horizontal="center" vertical="center" wrapText="1"/>
    </xf>
    <xf numFmtId="0" fontId="39" fillId="0" borderId="6" xfId="0" applyFont="1" applyBorder="1" applyAlignment="1" applyProtection="1">
      <alignment horizontal="center" vertical="center" wrapText="1"/>
    </xf>
    <xf numFmtId="0" fontId="39" fillId="0" borderId="12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center" vertical="center" wrapText="1"/>
    </xf>
    <xf numFmtId="0" fontId="29" fillId="3" borderId="0" xfId="1" applyNumberFormat="1" applyFont="1" applyFill="1" applyAlignment="1" applyProtection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olegator@allok.ru?subject=&#1063;&#1080;&#1089;&#1083;&#1086;_&#1087;&#1088;&#1086;&#1087;&#1080;&#1089;&#1100;&#1102;_&#1074;_Excel" TargetMode="External"/><Relationship Id="rId7" Type="http://schemas.openxmlformats.org/officeDocument/2006/relationships/comments" Target="../comments3.xml"/><Relationship Id="rId2" Type="http://schemas.openxmlformats.org/officeDocument/2006/relationships/hyperlink" Target="http://www.allok.ru/" TargetMode="External"/><Relationship Id="rId1" Type="http://schemas.openxmlformats.org/officeDocument/2006/relationships/hyperlink" Target="http://www.allok.ru/" TargetMode="External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allo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R49"/>
  <sheetViews>
    <sheetView topLeftCell="A7" zoomScale="120" zoomScaleNormal="120" workbookViewId="0">
      <selection activeCell="A23" sqref="A23:A34"/>
    </sheetView>
  </sheetViews>
  <sheetFormatPr defaultRowHeight="12.75" x14ac:dyDescent="0.2"/>
  <cols>
    <col min="1" max="1" width="17.42578125" style="40" customWidth="1"/>
    <col min="2" max="2" width="9.140625" style="40"/>
    <col min="3" max="3" width="15.42578125" style="40" customWidth="1"/>
    <col min="4" max="4" width="16.85546875" style="40" customWidth="1"/>
    <col min="5" max="5" width="16.140625" style="40" customWidth="1"/>
    <col min="6" max="6" width="24.5703125" style="40" customWidth="1"/>
    <col min="7" max="7" width="14.7109375" style="40" customWidth="1"/>
    <col min="8" max="9" width="9.140625" style="40"/>
    <col min="10" max="10" width="12" style="40" customWidth="1"/>
    <col min="11" max="16384" width="9.140625" style="40"/>
  </cols>
  <sheetData>
    <row r="1" spans="1:15" ht="16.5" x14ac:dyDescent="0.25">
      <c r="A1" s="40" t="str">
        <f ca="1">date</f>
        <v xml:space="preserve"> «  27  »  червня  2018 р.</v>
      </c>
      <c r="H1" s="75" t="str">
        <f>IF(SUMPRODUCT(--(RIGHT(C11,1)={"а","я"})),"Ж","М")</f>
        <v>М</v>
      </c>
      <c r="I1" s="41"/>
      <c r="J1" s="41"/>
    </row>
    <row r="2" spans="1:15" x14ac:dyDescent="0.2">
      <c r="A2" s="42" t="s">
        <v>53</v>
      </c>
      <c r="H2" s="40" t="str">
        <f>IF(SUMPRODUCT(--(RIGHT(C11,1)={"а","я"})),"громадянці","громадянину")</f>
        <v>громадянину</v>
      </c>
      <c r="I2" s="42"/>
      <c r="J2" s="42"/>
    </row>
    <row r="3" spans="1:15" x14ac:dyDescent="0.2">
      <c r="I3" s="42"/>
      <c r="J3" s="42"/>
    </row>
    <row r="4" spans="1:15" ht="15.75" x14ac:dyDescent="0.25">
      <c r="A4" s="43"/>
      <c r="B4" s="44"/>
      <c r="D4" s="43"/>
      <c r="E4" s="44"/>
      <c r="F4" s="44"/>
      <c r="G4" s="44"/>
      <c r="I4" s="42"/>
      <c r="J4" s="42"/>
    </row>
    <row r="5" spans="1:15" ht="15.75" x14ac:dyDescent="0.25">
      <c r="A5" s="45"/>
      <c r="B5" s="42"/>
      <c r="C5" s="42"/>
      <c r="D5" s="42"/>
      <c r="E5" s="42"/>
      <c r="F5" s="46"/>
      <c r="G5" s="42"/>
    </row>
    <row r="6" spans="1:15" ht="15.75" x14ac:dyDescent="0.25">
      <c r="A6" s="45"/>
      <c r="B6" s="47"/>
      <c r="C6" s="47"/>
      <c r="D6" s="48"/>
      <c r="E6" s="48"/>
      <c r="F6" s="48"/>
      <c r="G6" s="47"/>
      <c r="H6" s="40" t="str">
        <f>"Видана "&amp;IF(SUMPRODUCT(--(RIGHT(C11,1)={"а","я"})),"громадянці","громадянину")&amp;" "</f>
        <v xml:space="preserve">Видана громадянину </v>
      </c>
      <c r="I6" s="42"/>
    </row>
    <row r="7" spans="1:15" ht="20.25" x14ac:dyDescent="0.3">
      <c r="A7" s="48"/>
      <c r="B7" s="48"/>
      <c r="C7" s="88"/>
      <c r="G7" s="49"/>
      <c r="H7" s="49"/>
      <c r="I7" s="49"/>
      <c r="J7" s="49"/>
    </row>
    <row r="8" spans="1:15" ht="20.25" x14ac:dyDescent="0.3">
      <c r="C8" s="108" t="s">
        <v>47</v>
      </c>
      <c r="D8" s="108"/>
      <c r="E8" s="108"/>
      <c r="F8" s="108"/>
      <c r="H8" s="42"/>
      <c r="I8" s="50"/>
      <c r="K8" s="45"/>
    </row>
    <row r="9" spans="1:15" ht="20.25" customHeight="1" x14ac:dyDescent="0.25">
      <c r="C9" s="90" t="s">
        <v>69</v>
      </c>
      <c r="D9" s="94">
        <v>43101</v>
      </c>
      <c r="E9" s="89" t="s">
        <v>68</v>
      </c>
      <c r="F9" s="94">
        <v>43251</v>
      </c>
      <c r="K9" s="45"/>
    </row>
    <row r="10" spans="1:15" ht="15.75" x14ac:dyDescent="0.25">
      <c r="I10" s="51"/>
      <c r="K10" s="45" t="s">
        <v>46</v>
      </c>
    </row>
    <row r="11" spans="1:15" ht="20.25" x14ac:dyDescent="0.3">
      <c r="A11" s="52" t="str">
        <f>"Видана "&amp;IF(SUMPRODUCT(--(RIGHT(C11,1)={"а","я"})),"громадянці","громадянину")&amp;" "</f>
        <v xml:space="preserve">Видана громадянину </v>
      </c>
      <c r="C11" s="86" t="s">
        <v>70</v>
      </c>
      <c r="D11" s="87"/>
      <c r="E11" s="87"/>
      <c r="F11" s="87"/>
      <c r="G11" s="87"/>
      <c r="I11" s="51"/>
      <c r="O11" s="53"/>
    </row>
    <row r="12" spans="1:15" ht="18.75" x14ac:dyDescent="0.3">
      <c r="I12" s="51"/>
      <c r="K12" s="54"/>
    </row>
    <row r="13" spans="1:15" ht="18.75" x14ac:dyDescent="0.3">
      <c r="A13" s="77" t="str">
        <f>"про те, що "&amp;IF(SUMPRODUCT(--(RIGHT(C11,1)={"а","я"})),"вона","він")&amp;" " &amp; " дійсно працює в товаристві з обмеженою відповідальністю «Інтербудтехсервіс»"</f>
        <v>про те, що він  дійсно працює в товаристві з обмеженою відповідальністю «Інтербудтехсервіс»</v>
      </c>
      <c r="B13" s="76"/>
      <c r="I13" s="51"/>
      <c r="K13" s="52"/>
    </row>
    <row r="14" spans="1:15" ht="15" x14ac:dyDescent="0.25">
      <c r="I14" s="51"/>
    </row>
    <row r="15" spans="1:15" ht="18.75" x14ac:dyDescent="0.3">
      <c r="A15" s="52" t="s">
        <v>48</v>
      </c>
      <c r="B15" s="55"/>
      <c r="C15" s="86"/>
      <c r="D15" s="87"/>
      <c r="E15" s="87"/>
      <c r="F15" s="87"/>
      <c r="G15" s="87"/>
      <c r="I15" s="51"/>
    </row>
    <row r="16" spans="1:15" ht="18.75" x14ac:dyDescent="0.3">
      <c r="B16" s="55"/>
      <c r="C16" s="55"/>
      <c r="D16" s="55"/>
      <c r="E16" s="55"/>
      <c r="I16" s="51"/>
    </row>
    <row r="17" spans="1:18" ht="18.75" x14ac:dyDescent="0.3">
      <c r="A17" s="52" t="s">
        <v>49</v>
      </c>
      <c r="B17" s="56"/>
      <c r="C17" s="56"/>
      <c r="D17" s="42"/>
      <c r="E17" s="39"/>
      <c r="G17" s="42"/>
      <c r="H17" s="42"/>
      <c r="I17" s="42"/>
      <c r="J17" s="42"/>
    </row>
    <row r="18" spans="1:18" ht="15" x14ac:dyDescent="0.25">
      <c r="A18" s="42"/>
      <c r="D18" s="84">
        <v>0.18</v>
      </c>
      <c r="E18" s="85">
        <v>1.4999999999999999E-2</v>
      </c>
      <c r="J18" s="57"/>
    </row>
    <row r="19" spans="1:18" ht="12.75" customHeight="1" x14ac:dyDescent="0.2">
      <c r="A19" s="109" t="s">
        <v>50</v>
      </c>
      <c r="B19" s="111" t="s">
        <v>56</v>
      </c>
      <c r="C19" s="112"/>
      <c r="D19" s="79" t="s">
        <v>65</v>
      </c>
      <c r="E19" s="117" t="s">
        <v>62</v>
      </c>
      <c r="F19" s="119" t="s">
        <v>61</v>
      </c>
      <c r="H19" s="42"/>
      <c r="I19" s="42"/>
      <c r="J19" s="42"/>
    </row>
    <row r="20" spans="1:18" ht="12.75" customHeight="1" x14ac:dyDescent="0.2">
      <c r="A20" s="109"/>
      <c r="B20" s="113"/>
      <c r="C20" s="114"/>
      <c r="D20" s="80" t="s">
        <v>66</v>
      </c>
      <c r="E20" s="117"/>
      <c r="F20" s="109"/>
      <c r="H20" s="42"/>
      <c r="I20" s="42"/>
      <c r="J20" s="42"/>
    </row>
    <row r="21" spans="1:18" ht="12.75" customHeight="1" x14ac:dyDescent="0.2">
      <c r="A21" s="109"/>
      <c r="B21" s="113"/>
      <c r="C21" s="114"/>
      <c r="D21" s="80" t="s">
        <v>64</v>
      </c>
      <c r="E21" s="117"/>
      <c r="F21" s="109"/>
      <c r="H21" s="42"/>
      <c r="I21" s="42"/>
      <c r="J21" s="42"/>
    </row>
    <row r="22" spans="1:18" ht="12.75" customHeight="1" thickBot="1" x14ac:dyDescent="0.3">
      <c r="A22" s="110"/>
      <c r="B22" s="115"/>
      <c r="C22" s="116"/>
      <c r="D22" s="81" t="s">
        <v>63</v>
      </c>
      <c r="E22" s="118"/>
      <c r="F22" s="110"/>
      <c r="H22" s="58"/>
      <c r="I22" s="42"/>
      <c r="J22" s="42"/>
      <c r="R22" s="59"/>
    </row>
    <row r="23" spans="1:18" ht="15.75" customHeight="1" x14ac:dyDescent="0.25">
      <c r="A23" s="96" t="str">
        <f>TEXT(D9,"ММММ ГГГ \г.")</f>
        <v>Январь 2018 г.</v>
      </c>
      <c r="B23" s="106">
        <v>3200</v>
      </c>
      <c r="C23" s="107"/>
      <c r="D23" s="82">
        <f>IF(B23,ROUND(B23*$D$18,2),"")</f>
        <v>576</v>
      </c>
      <c r="E23" s="82">
        <f t="shared" ref="E23:E34" si="0">IF(B23&lt;&gt;"",ROUND(B23*$E$18,2),"")</f>
        <v>48</v>
      </c>
      <c r="F23" s="82">
        <f t="shared" ref="F23:F34" si="1">IF(B23&lt;&gt;"",ROUND(B23-D23-E23,2),"")</f>
        <v>2576</v>
      </c>
      <c r="I23" s="42"/>
      <c r="J23" s="42"/>
      <c r="R23" s="59"/>
    </row>
    <row r="24" spans="1:18" ht="15.75" customHeight="1" x14ac:dyDescent="0.25">
      <c r="A24" s="96" t="str">
        <f>IFERROR(TEXT((EOMONTH(D$9,ROW(A1)-1)+1&lt;=F$9)*(EOMONTH(SUBSTITUTE(A23," г.",),0)+1),"ММММ ГГГ \г.;;"),"")</f>
        <v>Февраль 2018 г.</v>
      </c>
      <c r="B24" s="98">
        <v>3723</v>
      </c>
      <c r="C24" s="104"/>
      <c r="D24" s="82">
        <f t="shared" ref="D24:D34" si="2">IF(B24&lt;&gt;"",ROUND(B24*$D$18,2),"")</f>
        <v>670.14</v>
      </c>
      <c r="E24" s="82">
        <f t="shared" si="0"/>
        <v>55.85</v>
      </c>
      <c r="F24" s="82">
        <f t="shared" si="1"/>
        <v>2997.01</v>
      </c>
      <c r="G24" s="95"/>
      <c r="H24" s="60"/>
      <c r="I24" s="61"/>
      <c r="J24" s="42"/>
      <c r="R24" s="59"/>
    </row>
    <row r="25" spans="1:18" ht="15.75" x14ac:dyDescent="0.25">
      <c r="A25" s="96" t="str">
        <f t="shared" ref="A25:A34" si="3">IFERROR(TEXT((EOMONTH(D$9,ROW(A2)-1)+1&lt;=F$9)*(EOMONTH(SUBSTITUTE(A24," г.",),0)+1),"ММММ ГГГ \г.;;"),"")</f>
        <v>Март 2018 г.</v>
      </c>
      <c r="B25" s="98">
        <v>3723</v>
      </c>
      <c r="C25" s="104"/>
      <c r="D25" s="82">
        <f t="shared" si="2"/>
        <v>670.14</v>
      </c>
      <c r="E25" s="82">
        <f t="shared" si="0"/>
        <v>55.85</v>
      </c>
      <c r="F25" s="82">
        <f t="shared" si="1"/>
        <v>2997.01</v>
      </c>
      <c r="G25" s="95"/>
      <c r="R25" s="59"/>
    </row>
    <row r="26" spans="1:18" ht="15.75" x14ac:dyDescent="0.25">
      <c r="A26" s="96" t="str">
        <f t="shared" si="3"/>
        <v>Апрель 2018 г.</v>
      </c>
      <c r="B26" s="98">
        <v>3723</v>
      </c>
      <c r="C26" s="104"/>
      <c r="D26" s="82">
        <f t="shared" si="2"/>
        <v>670.14</v>
      </c>
      <c r="E26" s="82">
        <f t="shared" si="0"/>
        <v>55.85</v>
      </c>
      <c r="F26" s="82">
        <f t="shared" si="1"/>
        <v>2997.01</v>
      </c>
      <c r="G26" s="95"/>
      <c r="R26" s="59"/>
    </row>
    <row r="27" spans="1:18" ht="15.75" x14ac:dyDescent="0.25">
      <c r="A27" s="96" t="str">
        <f t="shared" si="3"/>
        <v>Май 2018 г.</v>
      </c>
      <c r="B27" s="98">
        <v>6349</v>
      </c>
      <c r="C27" s="104"/>
      <c r="D27" s="82">
        <f t="shared" si="2"/>
        <v>1142.82</v>
      </c>
      <c r="E27" s="82">
        <f t="shared" si="0"/>
        <v>95.24</v>
      </c>
      <c r="F27" s="82">
        <f t="shared" si="1"/>
        <v>5110.9399999999996</v>
      </c>
      <c r="G27" s="95"/>
      <c r="R27" s="59"/>
    </row>
    <row r="28" spans="1:18" ht="15.75" x14ac:dyDescent="0.25">
      <c r="A28" s="96" t="str">
        <f t="shared" si="3"/>
        <v/>
      </c>
      <c r="B28" s="98">
        <v>7103</v>
      </c>
      <c r="C28" s="104"/>
      <c r="D28" s="82">
        <f t="shared" si="2"/>
        <v>1278.54</v>
      </c>
      <c r="E28" s="82">
        <f t="shared" si="0"/>
        <v>106.55</v>
      </c>
      <c r="F28" s="82">
        <f t="shared" si="1"/>
        <v>5717.91</v>
      </c>
      <c r="G28" s="95"/>
      <c r="R28" s="59"/>
    </row>
    <row r="29" spans="1:18" ht="15.75" x14ac:dyDescent="0.25">
      <c r="A29" s="96" t="str">
        <f t="shared" si="3"/>
        <v/>
      </c>
      <c r="B29" s="98"/>
      <c r="C29" s="104"/>
      <c r="D29" s="82" t="str">
        <f t="shared" si="2"/>
        <v/>
      </c>
      <c r="E29" s="82" t="str">
        <f t="shared" si="0"/>
        <v/>
      </c>
      <c r="F29" s="82" t="str">
        <f t="shared" si="1"/>
        <v/>
      </c>
      <c r="G29" s="95"/>
      <c r="R29" s="59"/>
    </row>
    <row r="30" spans="1:18" ht="15.75" x14ac:dyDescent="0.25">
      <c r="A30" s="96" t="str">
        <f t="shared" si="3"/>
        <v/>
      </c>
      <c r="B30" s="98"/>
      <c r="C30" s="104"/>
      <c r="D30" s="82" t="str">
        <f t="shared" si="2"/>
        <v/>
      </c>
      <c r="E30" s="82" t="str">
        <f t="shared" si="0"/>
        <v/>
      </c>
      <c r="F30" s="82" t="str">
        <f t="shared" si="1"/>
        <v/>
      </c>
      <c r="R30" s="59"/>
    </row>
    <row r="31" spans="1:18" ht="15.75" x14ac:dyDescent="0.25">
      <c r="A31" s="96" t="str">
        <f t="shared" si="3"/>
        <v/>
      </c>
      <c r="B31" s="105"/>
      <c r="C31" s="104"/>
      <c r="D31" s="82" t="str">
        <f t="shared" si="2"/>
        <v/>
      </c>
      <c r="E31" s="82" t="str">
        <f t="shared" si="0"/>
        <v/>
      </c>
      <c r="F31" s="82" t="str">
        <f t="shared" si="1"/>
        <v/>
      </c>
      <c r="R31" s="59"/>
    </row>
    <row r="32" spans="1:18" ht="15.75" x14ac:dyDescent="0.25">
      <c r="A32" s="96" t="str">
        <f t="shared" si="3"/>
        <v/>
      </c>
      <c r="B32" s="98"/>
      <c r="C32" s="99"/>
      <c r="D32" s="82" t="str">
        <f t="shared" si="2"/>
        <v/>
      </c>
      <c r="E32" s="82" t="str">
        <f t="shared" si="0"/>
        <v/>
      </c>
      <c r="F32" s="82" t="str">
        <f t="shared" si="1"/>
        <v/>
      </c>
      <c r="R32" s="59"/>
    </row>
    <row r="33" spans="1:18" ht="15.75" x14ac:dyDescent="0.25">
      <c r="A33" s="96" t="str">
        <f t="shared" si="3"/>
        <v/>
      </c>
      <c r="B33" s="98"/>
      <c r="C33" s="99"/>
      <c r="D33" s="82" t="str">
        <f t="shared" si="2"/>
        <v/>
      </c>
      <c r="E33" s="82" t="str">
        <f t="shared" si="0"/>
        <v/>
      </c>
      <c r="F33" s="82" t="str">
        <f t="shared" si="1"/>
        <v/>
      </c>
      <c r="R33" s="59"/>
    </row>
    <row r="34" spans="1:18" ht="16.5" thickBot="1" x14ac:dyDescent="0.3">
      <c r="A34" s="96" t="str">
        <f t="shared" si="3"/>
        <v/>
      </c>
      <c r="B34" s="100"/>
      <c r="C34" s="101"/>
      <c r="D34" s="83" t="str">
        <f t="shared" si="2"/>
        <v/>
      </c>
      <c r="E34" s="83" t="str">
        <f t="shared" si="0"/>
        <v/>
      </c>
      <c r="F34" s="83" t="str">
        <f t="shared" si="1"/>
        <v/>
      </c>
      <c r="R34" s="59"/>
    </row>
    <row r="35" spans="1:18" ht="15.75" x14ac:dyDescent="0.25">
      <c r="A35" s="70" t="s">
        <v>51</v>
      </c>
      <c r="B35" s="102">
        <f>IF(SUM(B23:C34),SUM(B23:C34),"")</f>
        <v>27821</v>
      </c>
      <c r="C35" s="103"/>
      <c r="D35" s="78">
        <f>IF(SUM(D23:D34)=ROUND(SUM(B23:C34)*D18,2),ROUND(SUM(B23:C34)*D18,2),"Проверь")</f>
        <v>5007.78</v>
      </c>
      <c r="E35" s="78">
        <f>IF(SUM(E23:E34),SUM(E23:E34),"")</f>
        <v>417.34</v>
      </c>
      <c r="F35" s="78">
        <f>IF(SUM(F23:F34)=SUM(B23:C34)-D35-E35,SUM(B23:C34)-D35-E35,"Проверь")</f>
        <v>22395.88</v>
      </c>
      <c r="R35" s="59"/>
    </row>
    <row r="36" spans="1:18" ht="15.75" x14ac:dyDescent="0.25">
      <c r="A36" s="45" t="s">
        <v>52</v>
      </c>
      <c r="R36" s="59"/>
    </row>
    <row r="37" spans="1:18" ht="15.75" x14ac:dyDescent="0.25">
      <c r="B37" s="59"/>
      <c r="C37" s="59"/>
      <c r="D37" s="59"/>
      <c r="E37" s="59"/>
      <c r="F37" s="59"/>
      <c r="G37" s="59"/>
      <c r="H37" s="59"/>
      <c r="R37" s="59"/>
    </row>
    <row r="38" spans="1:18" ht="15.75" x14ac:dyDescent="0.25">
      <c r="A38" s="74" t="str">
        <f>"Загальна сума доходу за період складає:  "&amp;INDEX(усот,MOD(TRUNC(num/10^8),10)+1)&amp;IF(MOD(TRUNC(num/10^7),10)=1,INDEX(уцат,MOD(TRUNC(num/10^6),10)+1),INDEX(удес,MOD(TRUNC(num/10^7),10)))&amp;IF(MOD(TRUNC(num/10^7),10)&lt;&gt;1,INDEX(уед,MOD(TRUNC(num/10^6),10)+1),"")&amp;IF(MOD(TRUNC(num/10^6),1000),IF(MOD(TRUNC(num/10^7),10)=1,"мільйонів ",VLOOKUP(MOD(TRUNC(num/10^6),10),умил,2)),"")&amp;INDEX(усот,MOD(TRUNC(num/10^5),10)+1)&amp;IF(MOD(TRUNC(num/10^4),10)=1,INDEX(уцат,MOD(TRUNC(num/10^3),10)+1),INDEX(удес,MOD(TRUNC(num/10^4),10)))&amp;IF(MOD(TRUNC(num/10^4),10)&lt;&gt;1,INDEX(уедж,MOD(TRUNC(num/1000),10)+1),"")&amp;IF(MOD(TRUNC(num/1000),1000),IF(MOD(TRUNC(num/10^4),10)=1,"тисяч ",VLOOKUP(MOD(TRUNC(num/1000),10),утыс,2)),"")&amp;INDEX(усот,MOD(TRUNC(num/100),10)+1)&amp;IF(MOD(TRUNC(num/10),10)=1,INDEX(уцат,MOD(TRUNC(num),10)+1),INDEX(удес,MOD(TRUNC(num/10),10)))&amp;IF(TRUNC(num)=0,"нуль ",IF(MOD(TRUNC(num/10),10)&lt;&gt;1,INDEX(уедж,MOD(TRUNC(num),10)+1),""))&amp;IF(MOD(TRUNC(num/10),10)=1,"гривень",VLOOKUP(MOD(TRUNC(num),10),грив,2))&amp;TEXT(TRUNC((num-TRUNC(num)+0.00001)*100)," 00_ коп.")</f>
        <v>Загальна сума доходу за період складає:  двадцять сім тисяч вісімсот двадцять одна гривня 00 коп.</v>
      </c>
      <c r="B38" s="44"/>
      <c r="C38" s="44"/>
      <c r="D38" s="62"/>
      <c r="F38" s="44"/>
      <c r="G38" s="44"/>
      <c r="H38" s="44"/>
      <c r="I38" s="44"/>
      <c r="K38" s="51"/>
      <c r="L38" s="63"/>
      <c r="M38" s="64"/>
      <c r="N38" s="51"/>
      <c r="O38" s="51"/>
      <c r="R38" s="59"/>
    </row>
    <row r="39" spans="1:18" ht="15.75" customHeight="1" x14ac:dyDescent="0.25">
      <c r="A39" s="44"/>
      <c r="B39" s="44"/>
      <c r="C39" s="45" t="s">
        <v>60</v>
      </c>
      <c r="D39" s="44"/>
      <c r="E39" s="65"/>
      <c r="G39" s="66"/>
      <c r="H39" s="66"/>
    </row>
    <row r="40" spans="1:18" ht="18" x14ac:dyDescent="0.25">
      <c r="F40" s="44"/>
      <c r="G40" s="59"/>
      <c r="H40" s="59"/>
      <c r="J40" s="67"/>
      <c r="K40" s="68"/>
      <c r="M40" s="69"/>
      <c r="N40" s="69"/>
    </row>
    <row r="41" spans="1:18" ht="15.75" x14ac:dyDescent="0.25">
      <c r="A41" s="74" t="str">
        <f>"До видачі за період:  "&amp;INDEX(усот,MOD(TRUNC(F35/10^8),10)+1)&amp;IF(MOD(TRUNC(F35/10^7),10)=1,INDEX(уцат,MOD(TRUNC(F35/10^6),10)+1),INDEX(удес,MOD(TRUNC(F35/10^7),10)))&amp;IF(MOD(TRUNC(F35/10^7),10)&lt;&gt;1,INDEX(уед,MOD(TRUNC(F35/10^6),10)+1),"")&amp;IF(MOD(TRUNC(F35/10^6),1000),IF(MOD(TRUNC(F35/10^7),10)=1,"мільйонів ",VLOOKUP(MOD(TRUNC(F35/10^6),10),умил,2)),"")&amp;INDEX(усот,MOD(TRUNC(F35/10^5),10)+1)&amp;IF(MOD(TRUNC(F35/10^4),10)=1,INDEX(уцат,MOD(TRUNC(F35/10^3),10)+1),INDEX(удес,MOD(TRUNC(F35/10^4),10)))&amp;IF(MOD(TRUNC(F35/10^4),10)&lt;&gt;1,INDEX(уедж,MOD(TRUNC(F35/1000),10)+1),"")&amp;IF(MOD(TRUNC(F35/1000),1000),IF(MOD(TRUNC(F35/10^4),10)=1,"тисяч ",VLOOKUP(MOD(TRUNC(F35/1000),10),утыс,2)),"")&amp;INDEX(усот,MOD(TRUNC(F35/100),10)+1)&amp;IF(MOD(TRUNC(F35/10),10)=1,INDEX(уцат,MOD(TRUNC(F35),10)+1),INDEX(удес,MOD(TRUNC(F35/10),10)))&amp;IF(TRUNC(F35)=0,"нуль ",IF(MOD(TRUNC(F35/10),10)&lt;&gt;1,INDEX(уедж,MOD(TRUNC(F35),10)+1),""))&amp;IF(MOD(TRUNC(F35/10),10)=1,"гривень",VLOOKUP(MOD(TRUNC(F35),10),грив,2))&amp;TEXT(TRUNC((F35-TRUNC(F35)+0.00001)*100)," 00_ коп.")</f>
        <v>До видачі за період:  двадцять дві тисячi триста дев'яносто п'ять гривень 88 коп.</v>
      </c>
      <c r="B41" s="44"/>
      <c r="C41" s="44"/>
      <c r="D41" s="62"/>
      <c r="G41" s="59"/>
      <c r="H41" s="59"/>
    </row>
    <row r="42" spans="1:18" ht="15.75" x14ac:dyDescent="0.25">
      <c r="A42" s="44"/>
      <c r="B42" s="44"/>
      <c r="C42" s="45" t="s">
        <v>60</v>
      </c>
      <c r="D42" s="44"/>
      <c r="E42" s="65"/>
      <c r="F42"/>
      <c r="G42" s="59"/>
      <c r="H42" s="59"/>
    </row>
    <row r="43" spans="1:18" ht="15.75" x14ac:dyDescent="0.25">
      <c r="G43" s="59"/>
      <c r="H43" s="59"/>
    </row>
    <row r="44" spans="1:18" ht="15.75" x14ac:dyDescent="0.25">
      <c r="A44" s="38" t="s">
        <v>57</v>
      </c>
      <c r="B44" s="37"/>
      <c r="C44" s="37" t="s">
        <v>58</v>
      </c>
      <c r="D44" s="37"/>
      <c r="E44" s="71"/>
      <c r="F44"/>
      <c r="G44" s="59"/>
      <c r="H44" s="59"/>
    </row>
    <row r="45" spans="1:18" ht="15.75" x14ac:dyDescent="0.25">
      <c r="A45" s="36"/>
      <c r="B45" s="37"/>
      <c r="C45" s="72" t="s">
        <v>54</v>
      </c>
      <c r="D45"/>
      <c r="E45" s="36" t="s">
        <v>55</v>
      </c>
      <c r="F45"/>
      <c r="G45" s="59"/>
      <c r="H45" s="59"/>
    </row>
    <row r="46" spans="1:18" ht="15.75" x14ac:dyDescent="0.25">
      <c r="A46" s="37"/>
      <c r="B46" s="37"/>
      <c r="C46" s="73"/>
      <c r="D46"/>
      <c r="E46" s="37"/>
      <c r="F46"/>
      <c r="G46" s="59"/>
      <c r="H46" s="59"/>
    </row>
    <row r="47" spans="1:18" ht="15.75" x14ac:dyDescent="0.25">
      <c r="A47" s="38" t="s">
        <v>59</v>
      </c>
      <c r="B47" s="37"/>
      <c r="C47" s="37" t="s">
        <v>58</v>
      </c>
      <c r="D47"/>
      <c r="E47" s="71"/>
      <c r="F47"/>
      <c r="G47" s="59"/>
      <c r="H47" s="59"/>
    </row>
    <row r="48" spans="1:18" ht="15.75" x14ac:dyDescent="0.25">
      <c r="B48" s="37"/>
      <c r="C48" s="72" t="s">
        <v>54</v>
      </c>
      <c r="D48"/>
      <c r="E48" s="36" t="s">
        <v>55</v>
      </c>
      <c r="F48" s="37"/>
    </row>
    <row r="49" spans="1:1" ht="12.2" customHeight="1" x14ac:dyDescent="0.25">
      <c r="A49" s="36" t="s">
        <v>67</v>
      </c>
    </row>
  </sheetData>
  <mergeCells count="18">
    <mergeCell ref="C8:F8"/>
    <mergeCell ref="A19:A22"/>
    <mergeCell ref="B19:C22"/>
    <mergeCell ref="E19:E22"/>
    <mergeCell ref="F19:F22"/>
    <mergeCell ref="B23:C23"/>
    <mergeCell ref="B24:C24"/>
    <mergeCell ref="B25:C25"/>
    <mergeCell ref="B26:C26"/>
    <mergeCell ref="B27:C27"/>
    <mergeCell ref="B33:C33"/>
    <mergeCell ref="B34:C34"/>
    <mergeCell ref="B35:C35"/>
    <mergeCell ref="B28:C28"/>
    <mergeCell ref="B29:C29"/>
    <mergeCell ref="B30:C30"/>
    <mergeCell ref="B31:C31"/>
    <mergeCell ref="B32:C32"/>
  </mergeCells>
  <conditionalFormatting sqref="B23:C34">
    <cfRule type="expression" dxfId="4" priority="2">
      <formula>ISBLANK(B23)</formula>
    </cfRule>
  </conditionalFormatting>
  <conditionalFormatting sqref="A23:A34">
    <cfRule type="expression" dxfId="3" priority="1">
      <formula>ISBLANK(B23)</formula>
    </cfRule>
  </conditionalFormatting>
  <pageMargins left="0.39370078740157483" right="0" top="0.6692913385826772" bottom="0.51181102362204722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R49"/>
  <sheetViews>
    <sheetView tabSelected="1" topLeftCell="A6" zoomScale="120" zoomScaleNormal="120" workbookViewId="0">
      <selection activeCell="H24" sqref="H24"/>
    </sheetView>
  </sheetViews>
  <sheetFormatPr defaultRowHeight="12.75" x14ac:dyDescent="0.2"/>
  <cols>
    <col min="1" max="1" width="17.42578125" style="40" customWidth="1"/>
    <col min="2" max="2" width="9.140625" style="40"/>
    <col min="3" max="3" width="15.42578125" style="40" customWidth="1"/>
    <col min="4" max="4" width="16.85546875" style="40" customWidth="1"/>
    <col min="5" max="5" width="16.140625" style="40" customWidth="1"/>
    <col min="6" max="6" width="24.5703125" style="40" customWidth="1"/>
    <col min="7" max="7" width="14.7109375" style="40" customWidth="1"/>
    <col min="8" max="9" width="9.140625" style="40"/>
    <col min="10" max="10" width="12" style="40" customWidth="1"/>
    <col min="11" max="16384" width="9.140625" style="40"/>
  </cols>
  <sheetData>
    <row r="1" spans="1:15" ht="16.5" x14ac:dyDescent="0.25">
      <c r="A1" s="40" t="str">
        <f ca="1">date</f>
        <v xml:space="preserve"> «  27  »  червня  2018 р.</v>
      </c>
      <c r="H1" s="75" t="str">
        <f>IF(SUMPRODUCT(--(RIGHT(C11,1)={"а","я"})),"Ж","М")</f>
        <v>М</v>
      </c>
      <c r="I1" s="41"/>
      <c r="J1" s="41"/>
    </row>
    <row r="2" spans="1:15" x14ac:dyDescent="0.2">
      <c r="A2" s="42" t="s">
        <v>53</v>
      </c>
      <c r="H2" s="40" t="str">
        <f>IF(SUMPRODUCT(--(RIGHT(C11,1)={"а","я"})),"громадянці","громадянину")</f>
        <v>громадянину</v>
      </c>
      <c r="I2" s="42"/>
      <c r="J2" s="42"/>
    </row>
    <row r="3" spans="1:15" x14ac:dyDescent="0.2">
      <c r="I3" s="42"/>
      <c r="J3" s="42"/>
    </row>
    <row r="4" spans="1:15" ht="15.75" x14ac:dyDescent="0.25">
      <c r="A4" s="43"/>
      <c r="B4" s="44"/>
      <c r="D4" s="43"/>
      <c r="E4" s="44"/>
      <c r="F4" s="44"/>
      <c r="G4" s="44"/>
      <c r="I4" s="42"/>
      <c r="J4" s="42"/>
    </row>
    <row r="5" spans="1:15" ht="15.75" x14ac:dyDescent="0.25">
      <c r="A5" s="45"/>
      <c r="B5" s="42"/>
      <c r="C5" s="42"/>
      <c r="D5" s="42"/>
      <c r="E5" s="42"/>
      <c r="F5" s="46"/>
      <c r="G5" s="42"/>
    </row>
    <row r="6" spans="1:15" ht="15.75" x14ac:dyDescent="0.25">
      <c r="A6" s="45"/>
      <c r="B6" s="47"/>
      <c r="C6" s="47"/>
      <c r="D6" s="48"/>
      <c r="E6" s="48"/>
      <c r="F6" s="48"/>
      <c r="G6" s="47"/>
      <c r="H6" s="40" t="str">
        <f>"Видана "&amp;IF(SUMPRODUCT(--(RIGHT(C11,1)={"а","я"})),"громадянці","громадянину")&amp;" "</f>
        <v xml:space="preserve">Видана громадянину </v>
      </c>
      <c r="I6" s="42"/>
    </row>
    <row r="7" spans="1:15" ht="20.25" x14ac:dyDescent="0.3">
      <c r="A7" s="48"/>
      <c r="B7" s="48"/>
      <c r="C7" s="88"/>
      <c r="G7" s="49"/>
      <c r="H7" s="49"/>
      <c r="I7" s="49"/>
      <c r="J7" s="49"/>
    </row>
    <row r="8" spans="1:15" ht="20.25" x14ac:dyDescent="0.3">
      <c r="C8" s="108" t="s">
        <v>47</v>
      </c>
      <c r="D8" s="108"/>
      <c r="E8" s="108"/>
      <c r="F8" s="108"/>
      <c r="H8" s="42"/>
      <c r="I8" s="50"/>
      <c r="K8" s="45"/>
    </row>
    <row r="9" spans="1:15" ht="20.25" customHeight="1" x14ac:dyDescent="0.25">
      <c r="C9" s="90" t="s">
        <v>69</v>
      </c>
      <c r="D9" s="93" t="s">
        <v>71</v>
      </c>
      <c r="E9" s="91"/>
      <c r="F9" s="92"/>
      <c r="K9" s="45"/>
    </row>
    <row r="10" spans="1:15" ht="15.75" x14ac:dyDescent="0.25">
      <c r="I10" s="51"/>
      <c r="K10" s="45" t="s">
        <v>46</v>
      </c>
    </row>
    <row r="11" spans="1:15" ht="20.25" x14ac:dyDescent="0.3">
      <c r="A11" s="52" t="str">
        <f>"Видана "&amp;IF(SUMPRODUCT(--(RIGHT(C11,1)={"а","я"})),"громадянці","громадянину")&amp;" "</f>
        <v xml:space="preserve">Видана громадянину </v>
      </c>
      <c r="C11" s="86" t="s">
        <v>70</v>
      </c>
      <c r="D11" s="87"/>
      <c r="E11" s="87"/>
      <c r="F11" s="87"/>
      <c r="G11" s="87"/>
      <c r="I11" s="51"/>
      <c r="O11" s="53"/>
    </row>
    <row r="12" spans="1:15" ht="18.75" x14ac:dyDescent="0.3">
      <c r="I12" s="51"/>
      <c r="K12" s="54"/>
    </row>
    <row r="13" spans="1:15" ht="18.75" x14ac:dyDescent="0.3">
      <c r="A13" s="77" t="str">
        <f>"про те, що "&amp;IF(SUMPRODUCT(--(RIGHT(C11,1)={"а","я"})),"вона","він")&amp;" " &amp; " дійсно працює в товаристві з обмеженою відповідальністю «Інтербудтехсервіс»"</f>
        <v>про те, що він  дійсно працює в товаристві з обмеженою відповідальністю «Інтербудтехсервіс»</v>
      </c>
      <c r="B13" s="76"/>
      <c r="I13" s="51"/>
      <c r="K13" s="52"/>
    </row>
    <row r="14" spans="1:15" ht="15" x14ac:dyDescent="0.25">
      <c r="I14" s="51"/>
    </row>
    <row r="15" spans="1:15" ht="18.75" x14ac:dyDescent="0.3">
      <c r="A15" s="52" t="s">
        <v>48</v>
      </c>
      <c r="B15" s="55"/>
      <c r="C15" s="86"/>
      <c r="D15" s="87"/>
      <c r="E15" s="87"/>
      <c r="F15" s="87"/>
      <c r="G15" s="87"/>
      <c r="I15" s="51"/>
    </row>
    <row r="16" spans="1:15" ht="18.75" x14ac:dyDescent="0.3">
      <c r="B16" s="55"/>
      <c r="C16" s="55"/>
      <c r="D16" s="55"/>
      <c r="E16" s="55"/>
      <c r="I16" s="51"/>
    </row>
    <row r="17" spans="1:18" ht="18.75" x14ac:dyDescent="0.3">
      <c r="A17" s="52" t="s">
        <v>49</v>
      </c>
      <c r="B17" s="56"/>
      <c r="C17" s="56"/>
      <c r="D17" s="42"/>
      <c r="E17" s="39"/>
      <c r="G17" s="42"/>
      <c r="H17" s="42"/>
      <c r="I17" s="42"/>
      <c r="J17" s="42"/>
    </row>
    <row r="18" spans="1:18" ht="15" x14ac:dyDescent="0.25">
      <c r="A18" s="42"/>
      <c r="D18" s="84">
        <v>0.18</v>
      </c>
      <c r="E18" s="85">
        <v>1.4999999999999999E-2</v>
      </c>
      <c r="J18" s="57"/>
    </row>
    <row r="19" spans="1:18" ht="12.75" customHeight="1" x14ac:dyDescent="0.2">
      <c r="A19" s="109" t="s">
        <v>50</v>
      </c>
      <c r="B19" s="111" t="s">
        <v>56</v>
      </c>
      <c r="C19" s="112"/>
      <c r="D19" s="79" t="s">
        <v>65</v>
      </c>
      <c r="E19" s="117" t="s">
        <v>62</v>
      </c>
      <c r="F19" s="119" t="s">
        <v>61</v>
      </c>
      <c r="H19" s="42"/>
      <c r="I19" s="42"/>
      <c r="J19" s="42"/>
    </row>
    <row r="20" spans="1:18" ht="12.75" customHeight="1" x14ac:dyDescent="0.2">
      <c r="A20" s="109"/>
      <c r="B20" s="113"/>
      <c r="C20" s="114"/>
      <c r="D20" s="80" t="s">
        <v>66</v>
      </c>
      <c r="E20" s="117"/>
      <c r="F20" s="109"/>
      <c r="H20" s="42"/>
      <c r="I20" s="42"/>
      <c r="J20" s="42"/>
    </row>
    <row r="21" spans="1:18" ht="12.75" customHeight="1" x14ac:dyDescent="0.2">
      <c r="A21" s="109"/>
      <c r="B21" s="113"/>
      <c r="C21" s="114"/>
      <c r="D21" s="80" t="s">
        <v>64</v>
      </c>
      <c r="E21" s="117"/>
      <c r="F21" s="109"/>
      <c r="H21" s="42"/>
      <c r="I21" s="42"/>
      <c r="J21" s="42"/>
    </row>
    <row r="22" spans="1:18" ht="12.75" customHeight="1" thickBot="1" x14ac:dyDescent="0.3">
      <c r="A22" s="110"/>
      <c r="B22" s="115"/>
      <c r="C22" s="116"/>
      <c r="D22" s="81" t="s">
        <v>63</v>
      </c>
      <c r="E22" s="118"/>
      <c r="F22" s="110"/>
      <c r="H22" s="58"/>
      <c r="I22" s="42"/>
      <c r="J22" s="42"/>
      <c r="R22" s="59"/>
    </row>
    <row r="23" spans="1:18" ht="15.75" customHeight="1" x14ac:dyDescent="0.25">
      <c r="A23" s="97" t="str">
        <f>TEXT(LEFTB(D9,11),"ММММ ГГГ \г.")</f>
        <v>Январь 2017 г.</v>
      </c>
      <c r="B23" s="106">
        <v>3200</v>
      </c>
      <c r="C23" s="107"/>
      <c r="D23" s="82">
        <f t="shared" ref="D23:D34" si="0">IF(B23&lt;&gt;"",ROUND(B23*$D$18,2),"")</f>
        <v>576</v>
      </c>
      <c r="E23" s="82">
        <f t="shared" ref="E23:E34" si="1">IF(B23&lt;&gt;"",ROUND(B23*$E$18,2),"")</f>
        <v>48</v>
      </c>
      <c r="F23" s="82">
        <f t="shared" ref="F23:F34" si="2">IF(B23&lt;&gt;"",ROUND(B23-D23-E23,2),"")</f>
        <v>2576</v>
      </c>
      <c r="I23" s="42"/>
      <c r="J23" s="42"/>
      <c r="R23" s="59"/>
    </row>
    <row r="24" spans="1:18" ht="15.75" customHeight="1" x14ac:dyDescent="0.25">
      <c r="A24" s="96" t="str">
        <f>IFERROR(TEXT((EOMONTH(LEFTB(D$9,10),ROW(A1)-1)+1&lt;=--MID(D$9,18,10))*(EOMONTH(SUBSTITUTE(A23," г.",),0)+1),"ММММ ГГГ \г.;;"),"")</f>
        <v>Февраль 2017 г.</v>
      </c>
      <c r="B24" s="98">
        <v>3723</v>
      </c>
      <c r="C24" s="104"/>
      <c r="D24" s="82">
        <f t="shared" si="0"/>
        <v>670.14</v>
      </c>
      <c r="E24" s="82">
        <f t="shared" si="1"/>
        <v>55.85</v>
      </c>
      <c r="F24" s="82">
        <f t="shared" si="2"/>
        <v>2997.01</v>
      </c>
      <c r="H24" s="60"/>
      <c r="I24" s="61"/>
      <c r="J24" s="42"/>
      <c r="R24" s="59"/>
    </row>
    <row r="25" spans="1:18" ht="15.75" x14ac:dyDescent="0.25">
      <c r="A25" s="96" t="str">
        <f t="shared" ref="A25:A34" si="3">IFERROR(TEXT((EOMONTH(LEFTB(D$9,10),ROW(A2)-1)+1&lt;=--MID(D$9,18,10))*(EOMONTH(SUBSTITUTE(A24," г.",),0)+1),"ММММ ГГГ \г.;;"),"")</f>
        <v>Март 2017 г.</v>
      </c>
      <c r="B25" s="98">
        <v>3723</v>
      </c>
      <c r="C25" s="104"/>
      <c r="D25" s="82">
        <f t="shared" si="0"/>
        <v>670.14</v>
      </c>
      <c r="E25" s="82">
        <f t="shared" si="1"/>
        <v>55.85</v>
      </c>
      <c r="F25" s="82">
        <f t="shared" si="2"/>
        <v>2997.01</v>
      </c>
      <c r="R25" s="59"/>
    </row>
    <row r="26" spans="1:18" ht="15.75" x14ac:dyDescent="0.25">
      <c r="A26" s="96" t="str">
        <f t="shared" si="3"/>
        <v>Апрель 2017 г.</v>
      </c>
      <c r="B26" s="98">
        <v>3723</v>
      </c>
      <c r="C26" s="104"/>
      <c r="D26" s="82">
        <f t="shared" si="0"/>
        <v>670.14</v>
      </c>
      <c r="E26" s="82">
        <f t="shared" si="1"/>
        <v>55.85</v>
      </c>
      <c r="F26" s="82">
        <f t="shared" si="2"/>
        <v>2997.01</v>
      </c>
      <c r="R26" s="59"/>
    </row>
    <row r="27" spans="1:18" ht="15.75" x14ac:dyDescent="0.25">
      <c r="A27" s="96" t="str">
        <f t="shared" si="3"/>
        <v>Май 2017 г.</v>
      </c>
      <c r="B27" s="98">
        <v>6349</v>
      </c>
      <c r="C27" s="104"/>
      <c r="D27" s="82">
        <f t="shared" si="0"/>
        <v>1142.82</v>
      </c>
      <c r="E27" s="82">
        <f t="shared" si="1"/>
        <v>95.24</v>
      </c>
      <c r="F27" s="82">
        <f t="shared" si="2"/>
        <v>5110.9399999999996</v>
      </c>
      <c r="R27" s="59"/>
    </row>
    <row r="28" spans="1:18" ht="15.75" x14ac:dyDescent="0.25">
      <c r="A28" s="96" t="str">
        <f t="shared" si="3"/>
        <v/>
      </c>
      <c r="B28" s="98">
        <v>7103</v>
      </c>
      <c r="C28" s="104"/>
      <c r="D28" s="82">
        <f t="shared" si="0"/>
        <v>1278.54</v>
      </c>
      <c r="E28" s="82">
        <f t="shared" si="1"/>
        <v>106.55</v>
      </c>
      <c r="F28" s="82">
        <f t="shared" si="2"/>
        <v>5717.91</v>
      </c>
      <c r="R28" s="59"/>
    </row>
    <row r="29" spans="1:18" ht="15.75" x14ac:dyDescent="0.25">
      <c r="A29" s="96" t="str">
        <f t="shared" si="3"/>
        <v/>
      </c>
      <c r="B29" s="98"/>
      <c r="C29" s="104"/>
      <c r="D29" s="82" t="str">
        <f t="shared" si="0"/>
        <v/>
      </c>
      <c r="E29" s="82" t="str">
        <f t="shared" si="1"/>
        <v/>
      </c>
      <c r="F29" s="82" t="str">
        <f t="shared" si="2"/>
        <v/>
      </c>
      <c r="R29" s="59"/>
    </row>
    <row r="30" spans="1:18" ht="15.75" x14ac:dyDescent="0.25">
      <c r="A30" s="96" t="str">
        <f t="shared" si="3"/>
        <v/>
      </c>
      <c r="B30" s="98"/>
      <c r="C30" s="104"/>
      <c r="D30" s="82" t="str">
        <f t="shared" si="0"/>
        <v/>
      </c>
      <c r="E30" s="82" t="str">
        <f t="shared" si="1"/>
        <v/>
      </c>
      <c r="F30" s="82" t="str">
        <f t="shared" si="2"/>
        <v/>
      </c>
      <c r="R30" s="59"/>
    </row>
    <row r="31" spans="1:18" ht="15.75" x14ac:dyDescent="0.25">
      <c r="A31" s="96" t="str">
        <f t="shared" si="3"/>
        <v/>
      </c>
      <c r="B31" s="105"/>
      <c r="C31" s="104"/>
      <c r="D31" s="82" t="str">
        <f t="shared" si="0"/>
        <v/>
      </c>
      <c r="E31" s="82" t="str">
        <f t="shared" si="1"/>
        <v/>
      </c>
      <c r="F31" s="82" t="str">
        <f t="shared" si="2"/>
        <v/>
      </c>
      <c r="R31" s="59"/>
    </row>
    <row r="32" spans="1:18" ht="15.75" x14ac:dyDescent="0.25">
      <c r="A32" s="96" t="str">
        <f t="shared" si="3"/>
        <v/>
      </c>
      <c r="B32" s="98"/>
      <c r="C32" s="99"/>
      <c r="D32" s="82" t="str">
        <f t="shared" si="0"/>
        <v/>
      </c>
      <c r="E32" s="82" t="str">
        <f t="shared" si="1"/>
        <v/>
      </c>
      <c r="F32" s="82" t="str">
        <f t="shared" si="2"/>
        <v/>
      </c>
      <c r="R32" s="59"/>
    </row>
    <row r="33" spans="1:18" ht="15.75" x14ac:dyDescent="0.25">
      <c r="A33" s="96" t="str">
        <f t="shared" si="3"/>
        <v/>
      </c>
      <c r="B33" s="98"/>
      <c r="C33" s="99"/>
      <c r="D33" s="82" t="str">
        <f t="shared" si="0"/>
        <v/>
      </c>
      <c r="E33" s="82" t="str">
        <f t="shared" si="1"/>
        <v/>
      </c>
      <c r="F33" s="82" t="str">
        <f t="shared" si="2"/>
        <v/>
      </c>
      <c r="R33" s="59"/>
    </row>
    <row r="34" spans="1:18" ht="16.5" thickBot="1" x14ac:dyDescent="0.3">
      <c r="A34" s="96" t="str">
        <f t="shared" si="3"/>
        <v/>
      </c>
      <c r="B34" s="100"/>
      <c r="C34" s="101"/>
      <c r="D34" s="83" t="str">
        <f t="shared" si="0"/>
        <v/>
      </c>
      <c r="E34" s="83" t="str">
        <f t="shared" si="1"/>
        <v/>
      </c>
      <c r="F34" s="83" t="str">
        <f t="shared" si="2"/>
        <v/>
      </c>
      <c r="R34" s="59"/>
    </row>
    <row r="35" spans="1:18" ht="15.75" x14ac:dyDescent="0.25">
      <c r="A35" s="70" t="s">
        <v>51</v>
      </c>
      <c r="B35" s="102">
        <f>IF(SUM(B23:C34),SUM(B23:C34),"")</f>
        <v>27821</v>
      </c>
      <c r="C35" s="103"/>
      <c r="D35" s="78">
        <f>IF(SUM(D23:D34)=ROUND(SUM(B23:C34)*D18,2),ROUND(SUM(B23:C34)*D18,2),"Проверь")</f>
        <v>5007.78</v>
      </c>
      <c r="E35" s="78">
        <f>IF(SUM(E23:E34),SUM(E23:E34),"")</f>
        <v>417.34</v>
      </c>
      <c r="F35" s="78">
        <f>IF(SUM(F23:F34)=SUM(B23:C34)-D35-E35,SUM(B23:C34)-D35-E35,"Проверь")</f>
        <v>22395.88</v>
      </c>
      <c r="R35" s="59"/>
    </row>
    <row r="36" spans="1:18" ht="15.75" x14ac:dyDescent="0.25">
      <c r="A36" s="45" t="s">
        <v>52</v>
      </c>
      <c r="R36" s="59"/>
    </row>
    <row r="37" spans="1:18" ht="15.75" x14ac:dyDescent="0.25">
      <c r="B37" s="59"/>
      <c r="C37" s="59"/>
      <c r="D37" s="59"/>
      <c r="E37" s="59"/>
      <c r="F37" s="59"/>
      <c r="G37" s="59"/>
      <c r="H37" s="59"/>
      <c r="R37" s="59"/>
    </row>
    <row r="38" spans="1:18" ht="15.75" x14ac:dyDescent="0.25">
      <c r="A38" s="74" t="str">
        <f>"Загальна сума доходу за період складає:  "&amp;INDEX(усот,MOD(TRUNC(num/10^8),10)+1)&amp;IF(MOD(TRUNC(num/10^7),10)=1,INDEX(уцат,MOD(TRUNC(num/10^6),10)+1),INDEX(удес,MOD(TRUNC(num/10^7),10)))&amp;IF(MOD(TRUNC(num/10^7),10)&lt;&gt;1,INDEX(уед,MOD(TRUNC(num/10^6),10)+1),"")&amp;IF(MOD(TRUNC(num/10^6),1000),IF(MOD(TRUNC(num/10^7),10)=1,"мільйонів ",VLOOKUP(MOD(TRUNC(num/10^6),10),умил,2)),"")&amp;INDEX(усот,MOD(TRUNC(num/10^5),10)+1)&amp;IF(MOD(TRUNC(num/10^4),10)=1,INDEX(уцат,MOD(TRUNC(num/10^3),10)+1),INDEX(удес,MOD(TRUNC(num/10^4),10)))&amp;IF(MOD(TRUNC(num/10^4),10)&lt;&gt;1,INDEX(уедж,MOD(TRUNC(num/1000),10)+1),"")&amp;IF(MOD(TRUNC(num/1000),1000),IF(MOD(TRUNC(num/10^4),10)=1,"тисяч ",VLOOKUP(MOD(TRUNC(num/1000),10),утыс,2)),"")&amp;INDEX(усот,MOD(TRUNC(num/100),10)+1)&amp;IF(MOD(TRUNC(num/10),10)=1,INDEX(уцат,MOD(TRUNC(num),10)+1),INDEX(удес,MOD(TRUNC(num/10),10)))&amp;IF(TRUNC(num)=0,"нуль ",IF(MOD(TRUNC(num/10),10)&lt;&gt;1,INDEX(уедж,MOD(TRUNC(num),10)+1),""))&amp;IF(MOD(TRUNC(num/10),10)=1,"гривень",VLOOKUP(MOD(TRUNC(num),10),грив,2))&amp;TEXT(TRUNC((num-TRUNC(num)+0.00001)*100)," 00_ коп.")</f>
        <v>Загальна сума доходу за період складає:  двадцять сім тисяч вісімсот двадцять одна гривня 00 коп.</v>
      </c>
      <c r="B38" s="44"/>
      <c r="C38" s="44"/>
      <c r="D38" s="62"/>
      <c r="F38" s="44"/>
      <c r="G38" s="44"/>
      <c r="H38" s="44"/>
      <c r="I38" s="44"/>
      <c r="K38" s="51"/>
      <c r="L38" s="63"/>
      <c r="M38" s="64"/>
      <c r="N38" s="51"/>
      <c r="O38" s="51"/>
      <c r="R38" s="59"/>
    </row>
    <row r="39" spans="1:18" ht="15.75" customHeight="1" x14ac:dyDescent="0.25">
      <c r="A39" s="44"/>
      <c r="B39" s="44"/>
      <c r="C39" s="45" t="s">
        <v>60</v>
      </c>
      <c r="D39" s="44"/>
      <c r="E39" s="65"/>
      <c r="G39" s="66"/>
      <c r="H39" s="66"/>
    </row>
    <row r="40" spans="1:18" ht="18" x14ac:dyDescent="0.25">
      <c r="F40" s="44"/>
      <c r="G40" s="59"/>
      <c r="H40" s="59"/>
      <c r="J40" s="67"/>
      <c r="K40" s="68"/>
      <c r="M40" s="69"/>
      <c r="N40" s="69"/>
    </row>
    <row r="41" spans="1:18" ht="15.75" x14ac:dyDescent="0.25">
      <c r="A41" s="74" t="str">
        <f>"До видачі за період:  "&amp;INDEX(усот,MOD(TRUNC(F35/10^8),10)+1)&amp;IF(MOD(TRUNC(F35/10^7),10)=1,INDEX(уцат,MOD(TRUNC(F35/10^6),10)+1),INDEX(удес,MOD(TRUNC(F35/10^7),10)))&amp;IF(MOD(TRUNC(F35/10^7),10)&lt;&gt;1,INDEX(уед,MOD(TRUNC(F35/10^6),10)+1),"")&amp;IF(MOD(TRUNC(F35/10^6),1000),IF(MOD(TRUNC(F35/10^7),10)=1,"мільйонів ",VLOOKUP(MOD(TRUNC(F35/10^6),10),умил,2)),"")&amp;INDEX(усот,MOD(TRUNC(F35/10^5),10)+1)&amp;IF(MOD(TRUNC(F35/10^4),10)=1,INDEX(уцат,MOD(TRUNC(F35/10^3),10)+1),INDEX(удес,MOD(TRUNC(F35/10^4),10)))&amp;IF(MOD(TRUNC(F35/10^4),10)&lt;&gt;1,INDEX(уедж,MOD(TRUNC(F35/1000),10)+1),"")&amp;IF(MOD(TRUNC(F35/1000),1000),IF(MOD(TRUNC(F35/10^4),10)=1,"тисяч ",VLOOKUP(MOD(TRUNC(F35/1000),10),утыс,2)),"")&amp;INDEX(усот,MOD(TRUNC(F35/100),10)+1)&amp;IF(MOD(TRUNC(F35/10),10)=1,INDEX(уцат,MOD(TRUNC(F35),10)+1),INDEX(удес,MOD(TRUNC(F35/10),10)))&amp;IF(TRUNC(F35)=0,"нуль ",IF(MOD(TRUNC(F35/10),10)&lt;&gt;1,INDEX(уедж,MOD(TRUNC(F35),10)+1),""))&amp;IF(MOD(TRUNC(F35/10),10)=1,"гривень",VLOOKUP(MOD(TRUNC(F35),10),грив,2))&amp;TEXT(TRUNC((F35-TRUNC(F35)+0.00001)*100)," 00_ коп.")</f>
        <v>До видачі за період:  двадцять дві тисячi триста дев'яносто п'ять гривень 88 коп.</v>
      </c>
      <c r="B41" s="44"/>
      <c r="C41" s="44"/>
      <c r="D41" s="62"/>
      <c r="G41" s="59"/>
      <c r="H41" s="59"/>
    </row>
    <row r="42" spans="1:18" ht="15.75" x14ac:dyDescent="0.25">
      <c r="A42" s="44"/>
      <c r="B42" s="44"/>
      <c r="C42" s="45" t="s">
        <v>60</v>
      </c>
      <c r="D42" s="44"/>
      <c r="E42" s="65"/>
      <c r="F42"/>
      <c r="G42" s="59"/>
      <c r="H42" s="59"/>
    </row>
    <row r="43" spans="1:18" ht="15.75" x14ac:dyDescent="0.25">
      <c r="G43" s="59"/>
      <c r="H43" s="59"/>
    </row>
    <row r="44" spans="1:18" ht="15.75" x14ac:dyDescent="0.25">
      <c r="A44" s="38" t="s">
        <v>57</v>
      </c>
      <c r="B44" s="37"/>
      <c r="C44" s="37" t="s">
        <v>58</v>
      </c>
      <c r="D44" s="37"/>
      <c r="E44" s="71"/>
      <c r="F44"/>
      <c r="G44" s="59"/>
      <c r="H44" s="59"/>
    </row>
    <row r="45" spans="1:18" ht="15.75" x14ac:dyDescent="0.25">
      <c r="A45" s="36"/>
      <c r="B45" s="37"/>
      <c r="C45" s="72" t="s">
        <v>54</v>
      </c>
      <c r="D45"/>
      <c r="E45" s="36" t="s">
        <v>55</v>
      </c>
      <c r="F45"/>
      <c r="G45" s="59"/>
      <c r="H45" s="59"/>
    </row>
    <row r="46" spans="1:18" ht="15.75" x14ac:dyDescent="0.25">
      <c r="A46" s="37"/>
      <c r="B46" s="37"/>
      <c r="C46" s="73"/>
      <c r="D46"/>
      <c r="E46" s="37"/>
      <c r="F46"/>
      <c r="G46" s="59"/>
      <c r="H46" s="59"/>
    </row>
    <row r="47" spans="1:18" ht="15.75" x14ac:dyDescent="0.25">
      <c r="A47" s="38" t="s">
        <v>59</v>
      </c>
      <c r="B47" s="37"/>
      <c r="C47" s="37" t="s">
        <v>58</v>
      </c>
      <c r="D47"/>
      <c r="E47" s="71"/>
      <c r="F47"/>
      <c r="G47" s="59"/>
      <c r="H47" s="59"/>
    </row>
    <row r="48" spans="1:18" ht="15.75" x14ac:dyDescent="0.25">
      <c r="B48" s="37"/>
      <c r="C48" s="72" t="s">
        <v>54</v>
      </c>
      <c r="D48"/>
      <c r="E48" s="36" t="s">
        <v>55</v>
      </c>
      <c r="F48" s="37"/>
    </row>
    <row r="49" spans="1:1" ht="12.2" customHeight="1" x14ac:dyDescent="0.25">
      <c r="A49" s="36" t="s">
        <v>67</v>
      </c>
    </row>
  </sheetData>
  <mergeCells count="18"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C8:F8"/>
    <mergeCell ref="A19:A22"/>
    <mergeCell ref="B19:C22"/>
    <mergeCell ref="E19:E22"/>
    <mergeCell ref="F19:F22"/>
  </mergeCells>
  <conditionalFormatting sqref="B23:C34">
    <cfRule type="expression" dxfId="2" priority="2">
      <formula>ISBLANK(B23)</formula>
    </cfRule>
  </conditionalFormatting>
  <conditionalFormatting sqref="A24:A34">
    <cfRule type="expression" dxfId="1" priority="1">
      <formula>ISBLANK(B24)</formula>
    </cfRule>
  </conditionalFormatting>
  <pageMargins left="0.39370078740157483" right="0" top="0.6692913385826772" bottom="0.51181102362204722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K54"/>
  <sheetViews>
    <sheetView workbookViewId="0">
      <selection activeCell="A16" sqref="A16"/>
    </sheetView>
  </sheetViews>
  <sheetFormatPr defaultRowHeight="12.75" x14ac:dyDescent="0.2"/>
  <cols>
    <col min="1" max="1" width="17.5703125" style="2" customWidth="1"/>
    <col min="2" max="2" width="7.28515625" style="2" customWidth="1"/>
    <col min="3" max="3" width="6.5703125" style="2" customWidth="1"/>
    <col min="4" max="4" width="13.5703125" style="2" customWidth="1"/>
    <col min="5" max="5" width="23" style="2" customWidth="1"/>
    <col min="6" max="6" width="9.42578125" style="2" customWidth="1"/>
    <col min="7" max="7" width="9.140625" style="2"/>
    <col min="8" max="8" width="13.28515625" style="5" customWidth="1"/>
    <col min="9" max="16384" width="9.140625" style="2"/>
  </cols>
  <sheetData>
    <row r="1" spans="1:8" ht="13.5" thickBot="1" x14ac:dyDescent="0.25">
      <c r="H1" s="4"/>
    </row>
    <row r="2" spans="1:8" ht="16.5" thickBot="1" x14ac:dyDescent="0.3">
      <c r="B2" s="23" t="s">
        <v>0</v>
      </c>
      <c r="C2" s="24"/>
      <c r="D2" s="24"/>
      <c r="E2" s="25" t="e">
        <f>num</f>
        <v>#REF!</v>
      </c>
      <c r="H2" s="4"/>
    </row>
    <row r="3" spans="1:8" ht="15.75" x14ac:dyDescent="0.25">
      <c r="E3" s="3"/>
    </row>
    <row r="4" spans="1:8" x14ac:dyDescent="0.2">
      <c r="A4" s="26" t="s">
        <v>9</v>
      </c>
      <c r="B4" s="6" t="e">
        <f>SUBSTITUTE(B6,F9,F10,1)</f>
        <v>#REF!</v>
      </c>
    </row>
    <row r="5" spans="1:8" x14ac:dyDescent="0.2">
      <c r="B5" s="6"/>
    </row>
    <row r="6" spans="1:8" s="6" customFormat="1" x14ac:dyDescent="0.2">
      <c r="A6" s="26" t="s">
        <v>8</v>
      </c>
      <c r="B6" s="6" t="e">
        <f>CONCATENATE(A8,A9,A10,A11,A12)</f>
        <v>#REF!</v>
      </c>
      <c r="C6" s="2"/>
      <c r="D6" s="2"/>
      <c r="E6" s="2"/>
      <c r="H6" s="1"/>
    </row>
    <row r="7" spans="1:8" x14ac:dyDescent="0.2">
      <c r="D7" s="5"/>
    </row>
    <row r="8" spans="1:8" x14ac:dyDescent="0.2">
      <c r="A8" s="7" t="e">
        <f>CONCATENATE(IF(B15=0,"",E15),IF(B16=0,"",IF(C17&lt;20,IF(C17&lt;16,IF(C17&lt;10,E16,D17),F17),E16)),IF(B17=0,"",IF(NOT(B16=1),E17,"")),F18)</f>
        <v>#REF!</v>
      </c>
      <c r="B8" s="120" t="s">
        <v>45</v>
      </c>
      <c r="C8" s="120"/>
      <c r="D8" s="120"/>
      <c r="F8" s="22" t="e">
        <f>CODE(B6)</f>
        <v>#REF!</v>
      </c>
      <c r="G8" s="26" t="s">
        <v>7</v>
      </c>
      <c r="H8" s="8"/>
    </row>
    <row r="9" spans="1:8" x14ac:dyDescent="0.2">
      <c r="A9" s="7" t="e">
        <f>CONCATENATE(IF(B19=0,"",E19),IF(B20=0,"",IF(C21&lt;20,IF(C21&lt;16,IF(C21&lt;10,E20,D21),F21),E20)),IF(B21=0,"",IF(NOT(B20=1),E21,"")),F22)</f>
        <v>#REF!</v>
      </c>
      <c r="D9" s="5"/>
      <c r="F9" s="22" t="e">
        <f>CHAR(F8)</f>
        <v>#REF!</v>
      </c>
      <c r="G9" s="26" t="s">
        <v>10</v>
      </c>
      <c r="H9" s="8"/>
    </row>
    <row r="10" spans="1:8" s="7" customFormat="1" x14ac:dyDescent="0.2">
      <c r="A10" s="7" t="e">
        <f>CONCATENATE(IF(B23=0,"",E23),IF(B24=0,"",IF(C25&lt;20,IF(C25&lt;16,IF(C25&lt;10,E24,D25),F25),E24)),IF(B25=0,"",IF(NOT(B24=1),E25,"")),F26)</f>
        <v>#REF!</v>
      </c>
      <c r="D10" s="8"/>
      <c r="E10" s="9"/>
      <c r="F10" s="22" t="e">
        <f>PROPER(F9)</f>
        <v>#REF!</v>
      </c>
      <c r="G10" s="26" t="s">
        <v>12</v>
      </c>
      <c r="H10" s="8"/>
    </row>
    <row r="11" spans="1:8" s="7" customFormat="1" x14ac:dyDescent="0.2">
      <c r="A11" s="7" t="e">
        <f>CONCATENATE(IF(B27=0,"",E27),IF(B28=0,"",IF(C29&lt;20,IF(C29&lt;16,IF(C29&lt;10,E28,D29),F29),E28)),IF(B29=0,"",IF(NOT(B28=1),E29,"")),F30)</f>
        <v>#REF!</v>
      </c>
      <c r="D11" s="8"/>
      <c r="E11" s="9"/>
    </row>
    <row r="12" spans="1:8" s="7" customFormat="1" x14ac:dyDescent="0.2">
      <c r="A12" s="10" t="e">
        <f>CONCATENATE(IF(C31=0,"0",C31),IF(C32=0,"0",C32)," ",F33)</f>
        <v>#REF!</v>
      </c>
      <c r="D12" s="8"/>
      <c r="E12" s="9"/>
    </row>
    <row r="13" spans="1:8" s="7" customFormat="1" x14ac:dyDescent="0.2">
      <c r="A13" s="10"/>
      <c r="D13" s="11" t="s">
        <v>11</v>
      </c>
      <c r="E13" s="20" t="e">
        <f>TRUNC(E2)</f>
        <v>#REF!</v>
      </c>
      <c r="F13" s="11" t="s">
        <v>14</v>
      </c>
      <c r="H13" s="8"/>
    </row>
    <row r="14" spans="1:8" s="7" customFormat="1" x14ac:dyDescent="0.2">
      <c r="A14" s="21" t="e">
        <f t="shared" ref="A14:A20" si="0">TRUNC(A15/10)</f>
        <v>#REF!</v>
      </c>
      <c r="B14" s="8"/>
      <c r="C14" s="11"/>
      <c r="H14" s="8"/>
    </row>
    <row r="15" spans="1:8" s="7" customFormat="1" x14ac:dyDescent="0.2">
      <c r="A15" s="21" t="e">
        <f t="shared" si="0"/>
        <v>#REF!</v>
      </c>
      <c r="B15" s="8" t="e">
        <f>TRUNC(RIGHT(A15))</f>
        <v>#REF!</v>
      </c>
      <c r="C15" s="11" t="e">
        <f>B15</f>
        <v>#REF!</v>
      </c>
      <c r="E15" s="13" t="e">
        <f>IF(B15=1,E43,IF(B15=2,G35,IF(B15=3,G36,IF(B15=4,G37,IF(B15=5,G38,IF(B15=6,G39,IF(B15=7,G40,IF(B15=8,G41,G42))))))))</f>
        <v>#REF!</v>
      </c>
      <c r="H15" s="8"/>
    </row>
    <row r="16" spans="1:8" s="7" customFormat="1" x14ac:dyDescent="0.2">
      <c r="A16" s="21" t="e">
        <f t="shared" si="0"/>
        <v>#REF!</v>
      </c>
      <c r="B16" s="8" t="e">
        <f>TRUNC(RIGHT(A16))</f>
        <v>#REF!</v>
      </c>
      <c r="C16" s="11" t="e">
        <f>IF(B16=1,"",B16)</f>
        <v>#REF!</v>
      </c>
      <c r="E16" s="14" t="e">
        <f>IF(OR(C16=0,B16=1),"",IF(B16=2,E35,IF(B16=3,E36,IF(B16=4,E37,IF(B16=5,E38,IF(B16=6,E39,IF(B16=7,E40,IF(B16=8,E41,E42))))))))</f>
        <v>#REF!</v>
      </c>
      <c r="H16" s="8"/>
    </row>
    <row r="17" spans="1:8" s="7" customFormat="1" x14ac:dyDescent="0.2">
      <c r="A17" s="21" t="e">
        <f>TRUNC(A19/10)</f>
        <v>#REF!</v>
      </c>
      <c r="B17" s="8" t="e">
        <f>TRUNC(RIGHT(A17))</f>
        <v>#REF!</v>
      </c>
      <c r="C17" s="11" t="e">
        <f>IF(B16=1,B17+10,IF(B17=0,0,B17))</f>
        <v>#REF!</v>
      </c>
      <c r="D17" s="7" t="e">
        <f>IF(AND(C17&gt;9,C17&lt;16),IF(C17=10,D34,IF(C17=11,D35,IF(C17=12,D36,IF(C17=13,D37,IF(C17=14,D38,IF(C17=15,D39,)))))),"")</f>
        <v>#REF!</v>
      </c>
      <c r="E17" s="14" t="e">
        <f>IF(B17=1,A34,IF(B17=2,A35,IF(B17=3,A36,IF(B17=4,A37,IF(B17=5,A38,IF(B17=6,A39,IF(B17=7,A40,IF(B17=8,A41,A42))))))))</f>
        <v>#REF!</v>
      </c>
      <c r="F17" s="7" t="e">
        <f>IF(AND(C17&gt;15,C17&lt;20),IF(C17=16,D40,IF(C17=17,D41,IF(C17=18,D42,IF(C17=19,D43,)))),"")</f>
        <v>#REF!</v>
      </c>
      <c r="H17" s="8"/>
    </row>
    <row r="18" spans="1:8" s="7" customFormat="1" x14ac:dyDescent="0.2">
      <c r="A18" s="21"/>
      <c r="B18" s="8"/>
      <c r="D18" s="8"/>
      <c r="E18" s="7" t="e">
        <f>B17+B16*10+B15*100</f>
        <v>#REF!</v>
      </c>
      <c r="F18" s="7" t="e">
        <f>IF(E18=0,"",IF(B16=1,"миллиардов ",IF(B17=1,"милиард ",IF(OR(B17=2,B17=3,B17=4),"миллиарда ","милиардов "))))</f>
        <v>#REF!</v>
      </c>
      <c r="H18" s="8"/>
    </row>
    <row r="19" spans="1:8" s="7" customFormat="1" x14ac:dyDescent="0.2">
      <c r="A19" s="21" t="e">
        <f t="shared" si="0"/>
        <v>#REF!</v>
      </c>
      <c r="B19" s="8" t="e">
        <f>TRUNC(RIGHT(A19))</f>
        <v>#REF!</v>
      </c>
      <c r="C19" s="11" t="e">
        <f>B19</f>
        <v>#REF!</v>
      </c>
      <c r="E19" s="13" t="e">
        <f>IF(B19=1,E43,IF(B19=2,G35,IF(B19=3,G36,IF(B19=4,G37,IF(B19=5,G38,IF(B19=6,G39,IF(B19=7,G40,IF(B19=8,G41,G42))))))))</f>
        <v>#REF!</v>
      </c>
      <c r="H19" s="8"/>
    </row>
    <row r="20" spans="1:8" x14ac:dyDescent="0.2">
      <c r="A20" s="21" t="e">
        <f t="shared" si="0"/>
        <v>#REF!</v>
      </c>
      <c r="B20" s="8" t="e">
        <f>TRUNC(RIGHT(A20))</f>
        <v>#REF!</v>
      </c>
      <c r="C20" s="11" t="e">
        <f>IF(B20=1,"",B20)</f>
        <v>#REF!</v>
      </c>
      <c r="D20" s="7"/>
      <c r="E20" s="14" t="e">
        <f>IF(OR(C20=0,B20=1),"",IF(B20=2,E35,IF(B20=3,E36,IF(B20=4,E37,IF(B20=5,E38,IF(B20=6,E39,IF(B20=7,E40,IF(B20=8,E41,E42))))))))</f>
        <v>#REF!</v>
      </c>
      <c r="F20" s="7"/>
    </row>
    <row r="21" spans="1:8" s="7" customFormat="1" x14ac:dyDescent="0.2">
      <c r="A21" s="21" t="e">
        <f>TRUNC(A23/10)</f>
        <v>#REF!</v>
      </c>
      <c r="B21" s="8" t="e">
        <f>TRUNC(RIGHT(A21))</f>
        <v>#REF!</v>
      </c>
      <c r="C21" s="11" t="e">
        <f>IF(B20=1,B21+10,IF(B21=0,0,B21))</f>
        <v>#REF!</v>
      </c>
      <c r="D21" s="7" t="e">
        <f>IF(AND(C21&gt;9,C21&lt;16),IF(C21=10,D34,IF(C21=11,D35,IF(C21=12,D36,IF(C21=13,D37,IF(C21=14,D38,IF(C21=15,D39,)))))),"")</f>
        <v>#REF!</v>
      </c>
      <c r="E21" s="14" t="e">
        <f>IF(B21=1,A34,IF(B21=2,A35,IF(B21=3,A36,IF(B21=4,A37,IF(B21=5,A38,IF(B21=6,A39,IF(B21=7,A40,IF(B21=8,A41,A42))))))))</f>
        <v>#REF!</v>
      </c>
      <c r="F21" s="7" t="e">
        <f>IF(AND(C21&gt;15,C21&lt;20),IF(C21=16,D40,IF(C21=17,D41,IF(C21=18,D42,IF(C21=19,D43,)))),"")</f>
        <v>#REF!</v>
      </c>
    </row>
    <row r="22" spans="1:8" s="7" customFormat="1" x14ac:dyDescent="0.2">
      <c r="A22" s="21"/>
      <c r="B22" s="8"/>
      <c r="C22" s="11"/>
      <c r="E22" s="7" t="e">
        <f>B21+B20*10+B19*100</f>
        <v>#REF!</v>
      </c>
      <c r="F22" s="7" t="e">
        <f>IF(E22=0,"",IF(B20=1,"миллионов ",IF(B21=1,"миллион ",IF(OR(B21=2,B21=3,B21=4),"миллиона ","миллионов "))))</f>
        <v>#REF!</v>
      </c>
    </row>
    <row r="23" spans="1:8" s="7" customFormat="1" x14ac:dyDescent="0.2">
      <c r="A23" s="21" t="e">
        <f>TRUNC(A24/10)</f>
        <v>#REF!</v>
      </c>
      <c r="B23" s="8" t="e">
        <f>TRUNC(RIGHT(A23))</f>
        <v>#REF!</v>
      </c>
      <c r="C23" s="11" t="e">
        <f>B23</f>
        <v>#REF!</v>
      </c>
      <c r="E23" s="13" t="e">
        <f>IF(B23=1,E43,IF(B23=2,G35,IF(B23=3,G36,IF(B23=4,G37,IF(B23=5,G38,IF(B23=6,G39,IF(B23=7,G40,IF(B23=8,G41,G42))))))))</f>
        <v>#REF!</v>
      </c>
    </row>
    <row r="24" spans="1:8" s="7" customFormat="1" x14ac:dyDescent="0.2">
      <c r="A24" s="21" t="e">
        <f>TRUNC(A25/10)</f>
        <v>#REF!</v>
      </c>
      <c r="B24" s="8" t="e">
        <f>TRUNC(RIGHT(A24))</f>
        <v>#REF!</v>
      </c>
      <c r="C24" s="11" t="e">
        <f>IF(B24=1,"",B24)</f>
        <v>#REF!</v>
      </c>
      <c r="E24" s="14" t="e">
        <f>IF(OR(C24=0,B24=1),"",IF(B24=2,E35,IF(B24=3,E36,IF(B24=4,E37,IF(B24=5,E38,IF(B24=6,E39,IF(B24=7,E40,IF(B24=8,E41,E42))))))))</f>
        <v>#REF!</v>
      </c>
    </row>
    <row r="25" spans="1:8" s="7" customFormat="1" x14ac:dyDescent="0.2">
      <c r="A25" s="21" t="e">
        <f>TRUNC(A27/10)</f>
        <v>#REF!</v>
      </c>
      <c r="B25" s="8" t="e">
        <f>TRUNC(RIGHT(A25))</f>
        <v>#REF!</v>
      </c>
      <c r="C25" s="11" t="e">
        <f>IF(B24=1,B25+10,IF(B25=0,0,B25))</f>
        <v>#REF!</v>
      </c>
      <c r="D25" s="7" t="e">
        <f>IF(AND(C25&gt;9,C25&lt;16),IF(C25=10,D34,IF(C25=11,D35,IF(C25=12,D36,IF(C25=13,D37,IF(C25=14,D38,IF(C25=15,D39,)))))),"")</f>
        <v>#REF!</v>
      </c>
      <c r="E25" s="14" t="e">
        <f>IF(B25=1,B34,IF(B25=2,B35,IF(B25=3,A36,IF(B25=4,A37,IF(B25=5,A38,IF(B25=6,A39,IF(B25=7,A40,IF(B25=8,A41,A42))))))))</f>
        <v>#REF!</v>
      </c>
      <c r="F25" s="7" t="e">
        <f>IF(AND(C25&gt;15,C25&lt;20),IF(C25=16,D40,IF(C25=17,D41,IF(C25=18,D42,IF(C25=19,D43,)))),"")</f>
        <v>#REF!</v>
      </c>
    </row>
    <row r="26" spans="1:8" s="7" customFormat="1" x14ac:dyDescent="0.2">
      <c r="A26" s="21"/>
      <c r="B26" s="8"/>
      <c r="C26" s="11"/>
      <c r="E26" s="19" t="e">
        <f>B23*100+B24*10+B25</f>
        <v>#REF!</v>
      </c>
      <c r="F26" s="7" t="e">
        <f>IF(E26=0,"",IF(B24=1,"тисяч ",IF(B25=1,"тисяча ",IF(OR(B25=2,B25=3,B25=4),"тисячi ","тисяч "))))</f>
        <v>#REF!</v>
      </c>
    </row>
    <row r="27" spans="1:8" s="7" customFormat="1" x14ac:dyDescent="0.2">
      <c r="A27" s="21" t="e">
        <f>TRUNC(A28/10)</f>
        <v>#REF!</v>
      </c>
      <c r="B27" s="8" t="e">
        <f>TRUNC(RIGHT(A27))</f>
        <v>#REF!</v>
      </c>
      <c r="C27" s="11" t="e">
        <f>B27</f>
        <v>#REF!</v>
      </c>
      <c r="E27" s="13" t="e">
        <f>IF(B27=1,E43,IF(B27=2,G35,IF(B27=3,G36,IF(B27=4,G37,IF(B27=5,G38,IF(B27=6,G39,IF(B27=7,G40,IF(B27=8,G41,G42))))))))</f>
        <v>#REF!</v>
      </c>
    </row>
    <row r="28" spans="1:8" s="7" customFormat="1" x14ac:dyDescent="0.2">
      <c r="A28" s="21" t="e">
        <f>TRUNC(A29/10)</f>
        <v>#REF!</v>
      </c>
      <c r="B28" s="15" t="e">
        <f>TRUNC(RIGHT(A28))</f>
        <v>#REF!</v>
      </c>
      <c r="C28" s="11" t="e">
        <f>IF(B28=1,"",B28)</f>
        <v>#REF!</v>
      </c>
      <c r="E28" s="14" t="e">
        <f>IF(OR(C28=0,B28=1),"",IF(C28=2,E35,IF(C28=3,E36,IF(C28=4,E37,IF(C28=5,E38,IF(C28=6,E39,IF(C28=7,E40,IF(C28=8,E41,E42))))))))</f>
        <v>#REF!</v>
      </c>
      <c r="G28" s="8"/>
    </row>
    <row r="29" spans="1:8" s="7" customFormat="1" x14ac:dyDescent="0.2">
      <c r="A29" s="21" t="e">
        <f>E13</f>
        <v>#REF!</v>
      </c>
      <c r="B29" s="8" t="e">
        <f>TRUNC(RIGHT(A29))</f>
        <v>#REF!</v>
      </c>
      <c r="C29" s="11" t="e">
        <f>IF(B28=1,B29+10,IF(B29=0,0,B29))</f>
        <v>#REF!</v>
      </c>
      <c r="D29" s="7" t="e">
        <f>IF(AND(C29&gt;9,C29&lt;16),IF(C29=10,D34,IF(C29=11,D35,IF(C29=12,D36,IF(C29=13,D37,IF(C29=14,D38,IF(C29=15,D39,)))))),"")</f>
        <v>#REF!</v>
      </c>
      <c r="E29" s="14" t="e">
        <f>IF(B29=1,A34,IF(B29=2,A35,IF(B29=3,A36,IF(B29=4,A37,IF(B29=5,A38,IF(B29=6,A39,IF(B29=7,A40,IF(B29=8,A41,A42))))))))</f>
        <v>#REF!</v>
      </c>
      <c r="F29" s="7" t="e">
        <f>IF(AND(C29&gt;15,C29&lt;20),IF(C29=16,D40,IF(C29=17,D41,IF(C29=18,D42,IF(C29=19,D43,)))),"")</f>
        <v>#REF!</v>
      </c>
      <c r="G29" s="8"/>
    </row>
    <row r="30" spans="1:8" s="7" customFormat="1" x14ac:dyDescent="0.2">
      <c r="A30" s="10"/>
      <c r="B30" s="15"/>
      <c r="C30" s="12"/>
      <c r="E30" s="19" t="e">
        <f>B27*100+B28*10+B29</f>
        <v>#REF!</v>
      </c>
      <c r="F30" s="7" t="e">
        <f>IF(E30+E26+E22+E18=0,"ноль гривень ",IF(C29=1,"гривня ",IF(OR(C29=2,C29=3,C29=4),"гривні ","гривень ")))</f>
        <v>#REF!</v>
      </c>
      <c r="G30" s="8"/>
    </row>
    <row r="31" spans="1:8" s="7" customFormat="1" x14ac:dyDescent="0.2">
      <c r="A31" s="16" t="e">
        <f>ROUND(100*(E2-E13),0)</f>
        <v>#REF!</v>
      </c>
      <c r="C31" s="12" t="e">
        <f>TRUNC(A31/10)</f>
        <v>#REF!</v>
      </c>
      <c r="E31" s="14" t="e">
        <f>IF(OR(C31=1,C31=0),"",IF(C31=2,E35,IF(C31=3,E36,IF(C31=4,E37,IF(C31=5,E38,IF(C31=6,E39,IF(C31=7,E40,IF(C31=8,E41,E42))))))))</f>
        <v>#REF!</v>
      </c>
      <c r="H31" s="8"/>
    </row>
    <row r="32" spans="1:8" s="7" customFormat="1" x14ac:dyDescent="0.2">
      <c r="C32" s="12" t="e">
        <f>TRUNC(A31-C31*10)</f>
        <v>#REF!</v>
      </c>
      <c r="E32" s="14" t="e">
        <f>IF(C32=1,B34,IF(C32=2,B35,IF(C32=3,A36,IF(C32=4,A37,IF(C32=5,A38,IF(C32=6,A39,IF(C32=7,A40,IF(C32=8,A41,A42))))))))</f>
        <v>#REF!</v>
      </c>
      <c r="H32" s="8"/>
    </row>
    <row r="33" spans="1:11" s="7" customFormat="1" x14ac:dyDescent="0.2">
      <c r="F33" s="7" t="e">
        <f>IF(C32=0,"копiйок ",IF(C31=1,"копiйок ",IF(C32=1,"копiйка ",IF(OR(C32=2,C32=3,C32=4),"копiйки ","копiйок "))))</f>
        <v>#REF!</v>
      </c>
      <c r="H33" s="8"/>
    </row>
    <row r="34" spans="1:11" s="7" customFormat="1" x14ac:dyDescent="0.2">
      <c r="A34" s="17" t="s">
        <v>1</v>
      </c>
      <c r="B34" s="17" t="s">
        <v>1</v>
      </c>
      <c r="C34" s="17"/>
      <c r="D34" s="17" t="s">
        <v>4</v>
      </c>
      <c r="H34" s="8"/>
    </row>
    <row r="35" spans="1:11" s="7" customFormat="1" x14ac:dyDescent="0.2">
      <c r="A35" s="17" t="s">
        <v>15</v>
      </c>
      <c r="B35" s="17" t="s">
        <v>15</v>
      </c>
      <c r="C35" s="17"/>
      <c r="D35" s="17" t="s">
        <v>16</v>
      </c>
      <c r="E35" s="17" t="s">
        <v>17</v>
      </c>
      <c r="G35" s="17" t="s">
        <v>18</v>
      </c>
    </row>
    <row r="36" spans="1:11" s="7" customFormat="1" x14ac:dyDescent="0.2">
      <c r="A36" s="17" t="s">
        <v>2</v>
      </c>
      <c r="B36" s="17"/>
      <c r="C36" s="17"/>
      <c r="D36" s="17" t="s">
        <v>19</v>
      </c>
      <c r="E36" s="17" t="s">
        <v>20</v>
      </c>
      <c r="G36" s="17" t="s">
        <v>6</v>
      </c>
    </row>
    <row r="37" spans="1:11" s="7" customFormat="1" x14ac:dyDescent="0.2">
      <c r="A37" s="17" t="s">
        <v>21</v>
      </c>
      <c r="B37" s="17"/>
      <c r="C37" s="17"/>
      <c r="D37" s="17" t="s">
        <v>22</v>
      </c>
      <c r="E37" s="17" t="s">
        <v>3</v>
      </c>
      <c r="G37" s="17" t="s">
        <v>23</v>
      </c>
    </row>
    <row r="38" spans="1:11" s="7" customFormat="1" x14ac:dyDescent="0.2">
      <c r="A38" s="17" t="s">
        <v>24</v>
      </c>
      <c r="B38" s="17"/>
      <c r="C38" s="17"/>
      <c r="D38" s="17" t="s">
        <v>25</v>
      </c>
      <c r="E38" s="17" t="s">
        <v>26</v>
      </c>
      <c r="G38" s="17" t="s">
        <v>27</v>
      </c>
    </row>
    <row r="39" spans="1:11" s="7" customFormat="1" x14ac:dyDescent="0.2">
      <c r="A39" s="17" t="s">
        <v>28</v>
      </c>
      <c r="B39" s="17"/>
      <c r="C39" s="17"/>
      <c r="D39" s="17" t="s">
        <v>29</v>
      </c>
      <c r="E39" s="17" t="s">
        <v>30</v>
      </c>
      <c r="G39" s="17" t="s">
        <v>31</v>
      </c>
    </row>
    <row r="40" spans="1:11" s="7" customFormat="1" x14ac:dyDescent="0.2">
      <c r="A40" s="17" t="s">
        <v>32</v>
      </c>
      <c r="B40" s="17"/>
      <c r="C40" s="17"/>
      <c r="D40" s="17" t="s">
        <v>33</v>
      </c>
      <c r="E40" s="17" t="s">
        <v>34</v>
      </c>
      <c r="G40" s="17" t="s">
        <v>35</v>
      </c>
    </row>
    <row r="41" spans="1:11" s="7" customFormat="1" x14ac:dyDescent="0.2">
      <c r="A41" s="18" t="s">
        <v>36</v>
      </c>
      <c r="B41" s="17"/>
      <c r="C41" s="17"/>
      <c r="D41" s="17" t="s">
        <v>37</v>
      </c>
      <c r="E41" s="17" t="s">
        <v>38</v>
      </c>
      <c r="G41" s="17" t="s">
        <v>39</v>
      </c>
    </row>
    <row r="42" spans="1:11" s="7" customFormat="1" x14ac:dyDescent="0.2">
      <c r="A42" s="17" t="s">
        <v>40</v>
      </c>
      <c r="B42" s="17"/>
      <c r="C42" s="17"/>
      <c r="D42" s="17" t="s">
        <v>41</v>
      </c>
      <c r="E42" s="17" t="s">
        <v>42</v>
      </c>
      <c r="G42" s="17" t="s">
        <v>43</v>
      </c>
    </row>
    <row r="43" spans="1:11" s="7" customFormat="1" x14ac:dyDescent="0.2">
      <c r="B43" s="17"/>
      <c r="C43" s="17"/>
      <c r="D43" s="17" t="s">
        <v>44</v>
      </c>
      <c r="E43" s="17" t="s">
        <v>5</v>
      </c>
      <c r="H43" s="8"/>
    </row>
    <row r="44" spans="1:11" s="7" customFormat="1" x14ac:dyDescent="0.2">
      <c r="B44" s="17"/>
      <c r="C44" s="17"/>
      <c r="D44" s="17"/>
      <c r="H44" s="8"/>
    </row>
    <row r="45" spans="1:11" s="7" customFormat="1" x14ac:dyDescent="0.2">
      <c r="B45" s="17"/>
      <c r="C45" s="17"/>
      <c r="D45" s="17"/>
      <c r="H45" s="8"/>
    </row>
    <row r="46" spans="1:11" s="7" customFormat="1" x14ac:dyDescent="0.2">
      <c r="B46" s="17"/>
      <c r="C46" s="17"/>
      <c r="D46" s="17"/>
      <c r="H46" s="8"/>
    </row>
    <row r="47" spans="1:11" s="7" customFormat="1" x14ac:dyDescent="0.2">
      <c r="B47" s="17"/>
      <c r="C47" s="17"/>
      <c r="H47" s="8"/>
    </row>
    <row r="48" spans="1:11" s="7" customFormat="1" ht="15.75" x14ac:dyDescent="0.25">
      <c r="B48" s="17"/>
      <c r="C48"/>
      <c r="D48" s="27" t="s">
        <v>13</v>
      </c>
      <c r="E48" s="33">
        <f ca="1">TODAY()</f>
        <v>43278</v>
      </c>
      <c r="F48" s="34"/>
      <c r="K48" s="32"/>
    </row>
    <row r="49" spans="2:11" s="7" customFormat="1" x14ac:dyDescent="0.2">
      <c r="B49" s="17"/>
      <c r="C49"/>
      <c r="D49"/>
      <c r="E49"/>
      <c r="F49"/>
      <c r="K49" s="32"/>
    </row>
    <row r="50" spans="2:11" s="7" customFormat="1" x14ac:dyDescent="0.2">
      <c r="B50" s="17"/>
      <c r="C50"/>
      <c r="D50">
        <f ca="1">DAY(E48)</f>
        <v>27</v>
      </c>
      <c r="E50" s="28" t="str">
        <f ca="1">IF(E51&gt;7,G50,G51)</f>
        <v>червня</v>
      </c>
      <c r="F50" s="29">
        <f ca="1">YEAR(E48)</f>
        <v>2018</v>
      </c>
      <c r="G50" s="35" t="str">
        <f ca="1">IF(E51=8,"серпня",IF(E51=9,"вересня",IF(E51=10,"жовтня",IF(E51=11,"листопада",IF(E51=12,"грудня","не отсюда")))))</f>
        <v>не отсюда</v>
      </c>
      <c r="H50"/>
      <c r="I50"/>
      <c r="J50" s="32"/>
      <c r="K50" s="32"/>
    </row>
    <row r="51" spans="2:11" s="7" customFormat="1" x14ac:dyDescent="0.2">
      <c r="B51" s="17"/>
      <c r="C51"/>
      <c r="D51"/>
      <c r="E51" s="30">
        <f ca="1">MONTH(E48)</f>
        <v>6</v>
      </c>
      <c r="F51"/>
      <c r="G51" s="35" t="str">
        <f ca="1">IF(E51=1,"січня",IF(E51=2,"лютого",IF(E51=3,"березня",IF(E51=4,"квітня",IF(E51=5,"травня",IF(E51=6,"червня",IF(E51=7,"липня","брать не отсюда")))))))</f>
        <v>червня</v>
      </c>
      <c r="H51"/>
      <c r="I51"/>
      <c r="J51" s="32"/>
      <c r="K51" s="32"/>
    </row>
    <row r="52" spans="2:11" s="7" customFormat="1" x14ac:dyDescent="0.2">
      <c r="B52" s="17"/>
      <c r="C52"/>
      <c r="E52" s="31" t="str">
        <f ca="1">CONCATENATE(" «  ",D50,"  »  ",E50,"  ",F50," р.")</f>
        <v xml:space="preserve"> «  27  »  червня  2018 р.</v>
      </c>
      <c r="F52"/>
      <c r="G52"/>
      <c r="H52"/>
      <c r="I52"/>
      <c r="J52" s="32"/>
      <c r="K52" s="32"/>
    </row>
    <row r="53" spans="2:11" s="7" customFormat="1" x14ac:dyDescent="0.2">
      <c r="B53" s="17"/>
      <c r="C53" s="17"/>
      <c r="H53" s="8"/>
    </row>
    <row r="54" spans="2:11" s="7" customFormat="1" x14ac:dyDescent="0.2">
      <c r="B54" s="17"/>
      <c r="C54" s="17"/>
      <c r="H54" s="8"/>
    </row>
  </sheetData>
  <mergeCells count="1">
    <mergeCell ref="B8:D8"/>
  </mergeCells>
  <phoneticPr fontId="18" type="noConversion"/>
  <hyperlinks>
    <hyperlink ref="A100:D100" r:id="rId1" display="© Олег Оксанич 2005г  www.allok.ru"/>
    <hyperlink ref="J44" r:id="rId2" display="http://www.allok.ru/"/>
    <hyperlink ref="J46" r:id="rId3" display="olegator@allok.ru"/>
    <hyperlink ref="B8:D8" r:id="rId4" display="www.allok.ru"/>
  </hyperlinks>
  <pageMargins left="0.75" right="0.75" top="1" bottom="1" header="0.5" footer="0.5"/>
  <pageSetup paperSize="9" orientation="portrait" r:id="rId5"/>
  <headerFooter alignWithMargins="0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1. СПРОСИТЬ в двух ячейках пер </vt:lpstr>
      <vt:lpstr>2.СПРОС. ТЕКСТОМ в одной ячейке</vt:lpstr>
      <vt:lpstr>Формула числа прописью</vt:lpstr>
      <vt:lpstr>b_prop</vt:lpstr>
      <vt:lpstr>date</vt:lpstr>
      <vt:lpstr>m_prop</vt:lpstr>
      <vt:lpstr>'1. СПРОСИТЬ в двух ячейках пер '!num</vt:lpstr>
      <vt:lpstr>'2.СПРОС. ТЕКСТОМ в одной ячейке'!num</vt:lpstr>
      <vt:lpstr>'1. СПРОСИТЬ в двух ячейках пер '!numeral</vt:lpstr>
      <vt:lpstr>'2.СПРОС. ТЕКСТОМ в одной ячейке'!numeral</vt:lpstr>
      <vt:lpstr>Сегодня</vt:lpstr>
    </vt:vector>
  </TitlesOfParts>
  <Manager>APOSTOL</Manager>
  <Company>www.allok.ru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ГАВ</cp:lastModifiedBy>
  <cp:lastPrinted>2018-06-26T08:14:43Z</cp:lastPrinted>
  <dcterms:created xsi:type="dcterms:W3CDTF">2001-01-15T09:24:49Z</dcterms:created>
  <dcterms:modified xsi:type="dcterms:W3CDTF">2018-06-27T06:48:39Z</dcterms:modified>
</cp:coreProperties>
</file>