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tabRatio="716"/>
  </bookViews>
  <sheets>
    <sheet name="Январь" sheetId="4" r:id="rId1"/>
    <sheet name="Февраль" sheetId="22" r:id="rId2"/>
    <sheet name="ТС" sheetId="3" r:id="rId3"/>
    <sheet name="Сотрудники" sheetId="2" r:id="rId4"/>
  </sheets>
  <externalReferences>
    <externalReference r:id="rId5"/>
  </externalReferences>
  <definedNames>
    <definedName name="Месяц">ТС!$B$15:$B$26</definedName>
    <definedName name="Сезон">ТС!$B$12:$B$13</definedName>
    <definedName name="Сотрудники">OFFSET(Сотрудники!$B$2:$B$31,0,0,COUNTA(Сотрудники!$B$2:$B$31),1)</definedName>
    <definedName name="ТС">ТС!$B$28:$B$333</definedName>
  </definedNames>
  <calcPr calcId="152511"/>
</workbook>
</file>

<file path=xl/calcChain.xml><?xml version="1.0" encoding="utf-8"?>
<calcChain xmlns="http://schemas.openxmlformats.org/spreadsheetml/2006/main">
  <c r="V2" i="4" l="1"/>
  <c r="A8" i="4"/>
  <c r="Z8" i="4" s="1"/>
  <c r="A7" i="4"/>
  <c r="O7" i="4" s="1"/>
  <c r="Z7" i="4"/>
  <c r="R7" i="4"/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8" i="4"/>
  <c r="A69" i="4"/>
  <c r="C7" i="22"/>
  <c r="C9" i="4"/>
  <c r="O69" i="4" l="1"/>
  <c r="R69" i="4"/>
  <c r="Z69" i="4"/>
  <c r="A9" i="4"/>
  <c r="A10" i="4"/>
  <c r="Z10" i="4" s="1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7" i="22"/>
  <c r="C13" i="4"/>
  <c r="C12" i="4"/>
  <c r="C10" i="4"/>
  <c r="U70" i="4"/>
  <c r="X70" i="4"/>
  <c r="W70" i="4"/>
  <c r="Y70" i="4"/>
  <c r="V70" i="4"/>
  <c r="T70" i="4"/>
  <c r="S70" i="4"/>
  <c r="C11" i="4"/>
  <c r="R67" i="4" l="1"/>
  <c r="O67" i="4"/>
  <c r="Z67" i="4"/>
  <c r="R51" i="4"/>
  <c r="Z51" i="4"/>
  <c r="O51" i="4"/>
  <c r="R43" i="4"/>
  <c r="O43" i="4"/>
  <c r="Z43" i="4"/>
  <c r="R19" i="4"/>
  <c r="Z19" i="4"/>
  <c r="O19" i="4"/>
  <c r="R34" i="4"/>
  <c r="Z34" i="4"/>
  <c r="R65" i="4"/>
  <c r="Z65" i="4"/>
  <c r="O65" i="4"/>
  <c r="R57" i="4"/>
  <c r="Z57" i="4"/>
  <c r="O57" i="4"/>
  <c r="R49" i="4"/>
  <c r="O49" i="4"/>
  <c r="Z49" i="4"/>
  <c r="R41" i="4"/>
  <c r="Z41" i="4"/>
  <c r="O41" i="4"/>
  <c r="R33" i="4"/>
  <c r="Z33" i="4"/>
  <c r="O33" i="4"/>
  <c r="R25" i="4"/>
  <c r="Z25" i="4"/>
  <c r="O25" i="4"/>
  <c r="R17" i="4"/>
  <c r="Z17" i="4"/>
  <c r="O17" i="4"/>
  <c r="Z9" i="4"/>
  <c r="O9" i="4"/>
  <c r="R66" i="4"/>
  <c r="Z66" i="4"/>
  <c r="R56" i="4"/>
  <c r="Z56" i="4"/>
  <c r="R40" i="4"/>
  <c r="Z40" i="4"/>
  <c r="R32" i="4"/>
  <c r="Z32" i="4"/>
  <c r="R16" i="4"/>
  <c r="Z16" i="4"/>
  <c r="W2" i="4"/>
  <c r="R59" i="4"/>
  <c r="O59" i="4"/>
  <c r="Z59" i="4"/>
  <c r="R35" i="4"/>
  <c r="O35" i="4"/>
  <c r="Z35" i="4"/>
  <c r="R27" i="4"/>
  <c r="O27" i="4"/>
  <c r="Z27" i="4"/>
  <c r="O11" i="4"/>
  <c r="Z11" i="4"/>
  <c r="R50" i="4"/>
  <c r="Z50" i="4"/>
  <c r="R26" i="4"/>
  <c r="Z26" i="4"/>
  <c r="R64" i="4"/>
  <c r="Z64" i="4"/>
  <c r="R48" i="4"/>
  <c r="Z48" i="4"/>
  <c r="R24" i="4"/>
  <c r="Z24" i="4"/>
  <c r="R63" i="4"/>
  <c r="Z63" i="4"/>
  <c r="O63" i="4"/>
  <c r="R55" i="4"/>
  <c r="O55" i="4"/>
  <c r="Z55" i="4"/>
  <c r="R47" i="4"/>
  <c r="Z47" i="4"/>
  <c r="O47" i="4"/>
  <c r="R39" i="4"/>
  <c r="O39" i="4"/>
  <c r="Z39" i="4"/>
  <c r="R31" i="4"/>
  <c r="Z31" i="4"/>
  <c r="O31" i="4"/>
  <c r="R23" i="4"/>
  <c r="Z23" i="4"/>
  <c r="O23" i="4"/>
  <c r="R15" i="4"/>
  <c r="Z15" i="4"/>
  <c r="O15" i="4"/>
  <c r="R68" i="4"/>
  <c r="Z68" i="4"/>
  <c r="R58" i="4"/>
  <c r="Z58" i="4"/>
  <c r="R54" i="4"/>
  <c r="Z54" i="4"/>
  <c r="R46" i="4"/>
  <c r="Z46" i="4"/>
  <c r="R38" i="4"/>
  <c r="Z38" i="4"/>
  <c r="R22" i="4"/>
  <c r="Z22" i="4"/>
  <c r="R14" i="4"/>
  <c r="Z14" i="4"/>
  <c r="R42" i="4"/>
  <c r="Z42" i="4"/>
  <c r="R18" i="4"/>
  <c r="Z18" i="4"/>
  <c r="R62" i="4"/>
  <c r="Z62" i="4"/>
  <c r="R30" i="4"/>
  <c r="Z30" i="4"/>
  <c r="R61" i="4"/>
  <c r="O61" i="4"/>
  <c r="Z61" i="4"/>
  <c r="R53" i="4"/>
  <c r="O53" i="4"/>
  <c r="Z53" i="4"/>
  <c r="R45" i="4"/>
  <c r="O45" i="4"/>
  <c r="Z45" i="4"/>
  <c r="R37" i="4"/>
  <c r="O37" i="4"/>
  <c r="Z37" i="4"/>
  <c r="R29" i="4"/>
  <c r="O29" i="4"/>
  <c r="Z29" i="4"/>
  <c r="R21" i="4"/>
  <c r="O21" i="4"/>
  <c r="Z21" i="4"/>
  <c r="R13" i="4"/>
  <c r="O13" i="4"/>
  <c r="Z13" i="4"/>
  <c r="R60" i="4"/>
  <c r="Z60" i="4"/>
  <c r="R52" i="4"/>
  <c r="Z52" i="4"/>
  <c r="R44" i="4"/>
  <c r="Z44" i="4"/>
  <c r="R36" i="4"/>
  <c r="Z36" i="4"/>
  <c r="R28" i="4"/>
  <c r="Z28" i="4"/>
  <c r="R20" i="4"/>
  <c r="Z20" i="4"/>
  <c r="R12" i="4"/>
  <c r="Z12" i="4"/>
  <c r="T3" i="4"/>
  <c r="K71" i="4"/>
  <c r="R10" i="4"/>
  <c r="R8" i="4"/>
  <c r="R11" i="4"/>
  <c r="R9" i="4"/>
  <c r="K10" i="3"/>
  <c r="O10" i="3" s="1"/>
  <c r="K9" i="3"/>
  <c r="O9" i="3" s="1"/>
  <c r="F10" i="3"/>
  <c r="I10" i="3" s="1"/>
  <c r="F9" i="3"/>
  <c r="I9" i="3" s="1"/>
  <c r="Q9" i="3"/>
  <c r="Q10" i="3"/>
  <c r="W10" i="3" s="1"/>
  <c r="X10" i="3" s="1"/>
  <c r="Y10" i="3" s="1"/>
  <c r="T9" i="3"/>
  <c r="T10" i="3"/>
  <c r="I8" i="3"/>
  <c r="J8" i="3"/>
  <c r="N8" i="3"/>
  <c r="O8" i="3"/>
  <c r="Q8" i="3"/>
  <c r="T8" i="3"/>
  <c r="O4" i="22"/>
  <c r="C14" i="4"/>
  <c r="N9" i="3" l="1"/>
  <c r="W9" i="3"/>
  <c r="N10" i="3"/>
  <c r="J9" i="3"/>
  <c r="J10" i="3"/>
  <c r="X9" i="3"/>
  <c r="Y9" i="3"/>
  <c r="W8" i="3"/>
  <c r="X8" i="3" s="1"/>
  <c r="Y8" i="3" s="1"/>
  <c r="J5" i="3" l="1"/>
  <c r="Z7" i="22" l="1"/>
  <c r="S3" i="4" l="1"/>
  <c r="S71" i="4"/>
  <c r="U71" i="4"/>
  <c r="V71" i="4"/>
  <c r="X71" i="4"/>
  <c r="Y71" i="4"/>
  <c r="T71" i="4"/>
  <c r="W71" i="4"/>
  <c r="V3" i="4" l="1"/>
  <c r="H7" i="22"/>
  <c r="J7" i="22" s="1"/>
  <c r="E7" i="22"/>
  <c r="K38" i="22" l="1"/>
  <c r="U3" i="22"/>
  <c r="S3" i="22"/>
  <c r="U2" i="22"/>
  <c r="G7" i="22" s="1"/>
  <c r="U3" i="4"/>
  <c r="U2" i="4"/>
  <c r="A8" i="22" l="1"/>
  <c r="R7" i="22"/>
  <c r="Z8" i="22" l="1"/>
  <c r="A9" i="22"/>
  <c r="R8" i="22"/>
  <c r="K7" i="3"/>
  <c r="K6" i="3"/>
  <c r="C9" i="22"/>
  <c r="H9" i="22"/>
  <c r="Z9" i="22" l="1"/>
  <c r="J9" i="22"/>
  <c r="E9" i="22"/>
  <c r="R9" i="22"/>
  <c r="A10" i="22"/>
  <c r="C10" i="22"/>
  <c r="H10" i="22"/>
  <c r="Z10" i="22" l="1"/>
  <c r="A11" i="22"/>
  <c r="E10" i="22"/>
  <c r="J10" i="22"/>
  <c r="R10" i="22"/>
  <c r="C11" i="22"/>
  <c r="H11" i="22"/>
  <c r="A12" i="22" l="1"/>
  <c r="Z11" i="22"/>
  <c r="R11" i="22"/>
  <c r="J11" i="22"/>
  <c r="E11" i="22"/>
  <c r="H12" i="22"/>
  <c r="C12" i="22"/>
  <c r="E12" i="22" l="1"/>
  <c r="J12" i="22"/>
  <c r="Z12" i="22"/>
  <c r="A13" i="22"/>
  <c r="A14" i="22" s="1"/>
  <c r="R12" i="22"/>
  <c r="C13" i="22"/>
  <c r="H13" i="22"/>
  <c r="R13" i="22" l="1"/>
  <c r="J13" i="22"/>
  <c r="E13" i="22"/>
  <c r="Z14" i="22"/>
  <c r="Z13" i="22"/>
  <c r="A15" i="22"/>
  <c r="R14" i="22"/>
  <c r="G7" i="4"/>
  <c r="M7" i="4" s="1"/>
  <c r="G8" i="4" s="1"/>
  <c r="M8" i="4" s="1"/>
  <c r="G9" i="4" s="1"/>
  <c r="H7" i="4"/>
  <c r="J7" i="4" s="1"/>
  <c r="C7" i="4"/>
  <c r="H15" i="22"/>
  <c r="H14" i="22"/>
  <c r="C15" i="22"/>
  <c r="C14" i="22"/>
  <c r="E14" i="22" l="1"/>
  <c r="J14" i="22"/>
  <c r="R15" i="22"/>
  <c r="Z15" i="22"/>
  <c r="A16" i="22"/>
  <c r="J15" i="22"/>
  <c r="E15" i="22"/>
  <c r="F7" i="3"/>
  <c r="F6" i="3"/>
  <c r="C16" i="22"/>
  <c r="H16" i="22"/>
  <c r="Z16" i="22" l="1"/>
  <c r="J16" i="22"/>
  <c r="E16" i="22"/>
  <c r="R16" i="22"/>
  <c r="A17" i="22"/>
  <c r="C17" i="22"/>
  <c r="H17" i="22"/>
  <c r="Z17" i="22" l="1"/>
  <c r="J17" i="22"/>
  <c r="E17" i="22"/>
  <c r="R17" i="22"/>
  <c r="A18" i="22"/>
  <c r="K70" i="4"/>
  <c r="T7" i="3"/>
  <c r="Q7" i="3"/>
  <c r="O7" i="3"/>
  <c r="N7" i="3"/>
  <c r="J7" i="3"/>
  <c r="I7" i="3"/>
  <c r="T6" i="3"/>
  <c r="Q6" i="3"/>
  <c r="O6" i="3"/>
  <c r="N6" i="3"/>
  <c r="J6" i="3"/>
  <c r="I6" i="3"/>
  <c r="T5" i="3"/>
  <c r="Q5" i="3"/>
  <c r="O5" i="3"/>
  <c r="N5" i="3"/>
  <c r="I5" i="3"/>
  <c r="H18" i="22"/>
  <c r="C18" i="22"/>
  <c r="Z18" i="22" l="1"/>
  <c r="F70" i="4"/>
  <c r="F7" i="22"/>
  <c r="F38" i="22" s="1"/>
  <c r="Y2" i="22"/>
  <c r="Y2" i="4"/>
  <c r="Z2" i="22"/>
  <c r="L17" i="22" s="1"/>
  <c r="Z2" i="4"/>
  <c r="L7" i="4" s="1"/>
  <c r="J18" i="22"/>
  <c r="E18" i="22"/>
  <c r="R18" i="22"/>
  <c r="A19" i="22"/>
  <c r="W5" i="3"/>
  <c r="X5" i="3" s="1"/>
  <c r="Y5" i="3" s="1"/>
  <c r="W6" i="3"/>
  <c r="X6" i="3" s="1"/>
  <c r="Y6" i="3" s="1"/>
  <c r="W7" i="3"/>
  <c r="X7" i="3" s="1"/>
  <c r="Y7" i="3"/>
  <c r="H19" i="22"/>
  <c r="C19" i="22"/>
  <c r="Z19" i="22" l="1"/>
  <c r="J11" i="4"/>
  <c r="J9" i="4"/>
  <c r="L9" i="4" s="1"/>
  <c r="F9" i="22"/>
  <c r="L18" i="22"/>
  <c r="N18" i="22" s="1"/>
  <c r="N17" i="22"/>
  <c r="N7" i="4"/>
  <c r="P7" i="4" s="1"/>
  <c r="L7" i="22"/>
  <c r="N7" i="22" s="1"/>
  <c r="L9" i="22"/>
  <c r="N9" i="22" s="1"/>
  <c r="L10" i="22"/>
  <c r="N10" i="22" s="1"/>
  <c r="L11" i="22"/>
  <c r="N11" i="22" s="1"/>
  <c r="L12" i="22"/>
  <c r="N12" i="22" s="1"/>
  <c r="L13" i="22"/>
  <c r="N13" i="22" s="1"/>
  <c r="L14" i="22"/>
  <c r="N14" i="22" s="1"/>
  <c r="L15" i="22"/>
  <c r="N15" i="22" s="1"/>
  <c r="L16" i="22"/>
  <c r="N16" i="22" s="1"/>
  <c r="J19" i="22"/>
  <c r="L19" i="22" s="1"/>
  <c r="E19" i="22"/>
  <c r="R19" i="22"/>
  <c r="A20" i="22"/>
  <c r="H20" i="22"/>
  <c r="C20" i="22"/>
  <c r="L11" i="4" l="1"/>
  <c r="N11" i="4" s="1"/>
  <c r="Z20" i="22"/>
  <c r="J59" i="4"/>
  <c r="J49" i="4"/>
  <c r="J45" i="4"/>
  <c r="N9" i="4"/>
  <c r="J13" i="4"/>
  <c r="J12" i="4"/>
  <c r="L12" i="4" s="1"/>
  <c r="N19" i="22"/>
  <c r="J20" i="22"/>
  <c r="L20" i="22" s="1"/>
  <c r="E20" i="22"/>
  <c r="R20" i="22"/>
  <c r="A21" i="22"/>
  <c r="C21" i="22"/>
  <c r="H21" i="22"/>
  <c r="L13" i="4" l="1"/>
  <c r="N13" i="4" s="1"/>
  <c r="L45" i="4"/>
  <c r="N45" i="4" s="1"/>
  <c r="L49" i="4"/>
  <c r="N49" i="4" s="1"/>
  <c r="L59" i="4"/>
  <c r="N59" i="4" s="1"/>
  <c r="Z21" i="22"/>
  <c r="J61" i="4"/>
  <c r="J51" i="4"/>
  <c r="J47" i="4"/>
  <c r="N12" i="4"/>
  <c r="O12" i="4" s="1"/>
  <c r="F11" i="22"/>
  <c r="N20" i="22"/>
  <c r="J21" i="22"/>
  <c r="L21" i="22" s="1"/>
  <c r="E21" i="22"/>
  <c r="R21" i="22"/>
  <c r="A22" i="22"/>
  <c r="C22" i="22"/>
  <c r="C16" i="4"/>
  <c r="H22" i="22"/>
  <c r="L47" i="4" l="1"/>
  <c r="N47" i="4" s="1"/>
  <c r="L51" i="4"/>
  <c r="N51" i="4" s="1"/>
  <c r="L61" i="4"/>
  <c r="N61" i="4" s="1"/>
  <c r="Z22" i="22"/>
  <c r="J63" i="4"/>
  <c r="J53" i="4"/>
  <c r="J16" i="4"/>
  <c r="L16" i="4" s="1"/>
  <c r="N21" i="22"/>
  <c r="J22" i="22"/>
  <c r="L22" i="22" s="1"/>
  <c r="E22" i="22"/>
  <c r="R22" i="22"/>
  <c r="A23" i="22"/>
  <c r="H23" i="22"/>
  <c r="C23" i="22"/>
  <c r="L53" i="4" l="1"/>
  <c r="N53" i="4" s="1"/>
  <c r="L63" i="4"/>
  <c r="N63" i="4" s="1"/>
  <c r="Z23" i="22"/>
  <c r="J65" i="4"/>
  <c r="J55" i="4"/>
  <c r="N16" i="4"/>
  <c r="O16" i="4" s="1"/>
  <c r="F13" i="22"/>
  <c r="N22" i="22"/>
  <c r="J23" i="22"/>
  <c r="L23" i="22" s="1"/>
  <c r="E23" i="22"/>
  <c r="R23" i="22"/>
  <c r="A24" i="22"/>
  <c r="C24" i="22"/>
  <c r="C19" i="4"/>
  <c r="H24" i="22"/>
  <c r="L55" i="4" l="1"/>
  <c r="N55" i="4" s="1"/>
  <c r="L65" i="4"/>
  <c r="N65" i="4" s="1"/>
  <c r="Z24" i="22"/>
  <c r="J19" i="4"/>
  <c r="L19" i="4" s="1"/>
  <c r="N23" i="22"/>
  <c r="J24" i="22"/>
  <c r="L24" i="22" s="1"/>
  <c r="E24" i="22"/>
  <c r="R24" i="22"/>
  <c r="A25" i="22"/>
  <c r="C25" i="22"/>
  <c r="H25" i="22"/>
  <c r="C20" i="4"/>
  <c r="Z25" i="22" l="1"/>
  <c r="N19" i="4"/>
  <c r="J20" i="4"/>
  <c r="L20" i="4" s="1"/>
  <c r="F15" i="22"/>
  <c r="N24" i="22"/>
  <c r="J25" i="22"/>
  <c r="L25" i="22" s="1"/>
  <c r="E25" i="22"/>
  <c r="R25" i="22"/>
  <c r="A26" i="22"/>
  <c r="C26" i="22"/>
  <c r="H26" i="22"/>
  <c r="A27" i="22" l="1"/>
  <c r="R27" i="22" s="1"/>
  <c r="Z26" i="22"/>
  <c r="N20" i="4"/>
  <c r="O20" i="4" s="1"/>
  <c r="N25" i="22"/>
  <c r="J26" i="22"/>
  <c r="L26" i="22" s="1"/>
  <c r="E26" i="22"/>
  <c r="R26" i="22"/>
  <c r="C22" i="4"/>
  <c r="C27" i="22"/>
  <c r="H27" i="22"/>
  <c r="E27" i="22" l="1"/>
  <c r="J27" i="22"/>
  <c r="L27" i="22" s="1"/>
  <c r="A28" i="22"/>
  <c r="R28" i="22" s="1"/>
  <c r="Z27" i="22"/>
  <c r="J22" i="4"/>
  <c r="L22" i="4" s="1"/>
  <c r="F17" i="22"/>
  <c r="N26" i="22"/>
  <c r="C28" i="22"/>
  <c r="C24" i="4"/>
  <c r="H28" i="22"/>
  <c r="N27" i="22" l="1"/>
  <c r="E28" i="22"/>
  <c r="J28" i="22"/>
  <c r="L28" i="22" s="1"/>
  <c r="A29" i="22"/>
  <c r="R29" i="22" s="1"/>
  <c r="Z28" i="22"/>
  <c r="N22" i="4"/>
  <c r="O22" i="4" s="1"/>
  <c r="J24" i="4"/>
  <c r="L24" i="4" s="1"/>
  <c r="F19" i="22"/>
  <c r="A30" i="22"/>
  <c r="H29" i="22"/>
  <c r="C29" i="22"/>
  <c r="N28" i="22" l="1"/>
  <c r="J29" i="22"/>
  <c r="L29" i="22" s="1"/>
  <c r="E29" i="22"/>
  <c r="A31" i="22"/>
  <c r="A32" i="22" s="1"/>
  <c r="Z30" i="22"/>
  <c r="Z29" i="22"/>
  <c r="N24" i="4"/>
  <c r="O24" i="4" s="1"/>
  <c r="R31" i="22"/>
  <c r="R30" i="22"/>
  <c r="C31" i="22"/>
  <c r="C27" i="4"/>
  <c r="H31" i="22"/>
  <c r="C30" i="22"/>
  <c r="H30" i="22"/>
  <c r="N29" i="22" l="1"/>
  <c r="E30" i="22"/>
  <c r="J30" i="22"/>
  <c r="L30" i="22" s="1"/>
  <c r="E31" i="22"/>
  <c r="J31" i="22"/>
  <c r="L31" i="22" s="1"/>
  <c r="A33" i="22"/>
  <c r="R33" i="22" s="1"/>
  <c r="Z32" i="22"/>
  <c r="Z31" i="22"/>
  <c r="J27" i="4"/>
  <c r="L27" i="4" s="1"/>
  <c r="F21" i="22"/>
  <c r="R32" i="22"/>
  <c r="C33" i="22"/>
  <c r="C32" i="22"/>
  <c r="H32" i="22"/>
  <c r="H33" i="22"/>
  <c r="C28" i="4"/>
  <c r="N30" i="22" l="1"/>
  <c r="N31" i="22"/>
  <c r="J32" i="22"/>
  <c r="L32" i="22" s="1"/>
  <c r="E33" i="22"/>
  <c r="J33" i="22"/>
  <c r="L33" i="22" s="1"/>
  <c r="E32" i="22"/>
  <c r="Z33" i="22"/>
  <c r="A34" i="22"/>
  <c r="N27" i="4"/>
  <c r="J28" i="4"/>
  <c r="L28" i="4" s="1"/>
  <c r="C34" i="22"/>
  <c r="H34" i="22"/>
  <c r="N33" i="22" l="1"/>
  <c r="N32" i="22"/>
  <c r="J34" i="22"/>
  <c r="L34" i="22" s="1"/>
  <c r="E34" i="22"/>
  <c r="Z34" i="22"/>
  <c r="R34" i="22"/>
  <c r="A35" i="22"/>
  <c r="A36" i="22" s="1"/>
  <c r="N28" i="4"/>
  <c r="O28" i="4" s="1"/>
  <c r="F23" i="22"/>
  <c r="C30" i="4"/>
  <c r="C35" i="22"/>
  <c r="H35" i="22"/>
  <c r="N34" i="22" l="1"/>
  <c r="J35" i="22"/>
  <c r="L35" i="22" s="1"/>
  <c r="E35" i="22"/>
  <c r="F36" i="22"/>
  <c r="O36" i="22"/>
  <c r="Z36" i="22"/>
  <c r="R35" i="22"/>
  <c r="F35" i="22"/>
  <c r="O35" i="22"/>
  <c r="Z35" i="22"/>
  <c r="J30" i="4"/>
  <c r="L30" i="4" s="1"/>
  <c r="R36" i="22"/>
  <c r="A37" i="22"/>
  <c r="C37" i="22"/>
  <c r="C36" i="22"/>
  <c r="H36" i="22"/>
  <c r="H37" i="22"/>
  <c r="N35" i="22" l="1"/>
  <c r="J36" i="22"/>
  <c r="L36" i="22" s="1"/>
  <c r="E36" i="22"/>
  <c r="T3" i="22"/>
  <c r="O37" i="22"/>
  <c r="F37" i="22"/>
  <c r="Z37" i="22"/>
  <c r="N30" i="4"/>
  <c r="O30" i="4" s="1"/>
  <c r="F25" i="22"/>
  <c r="J37" i="22"/>
  <c r="L37" i="22" s="1"/>
  <c r="E37" i="22"/>
  <c r="R37" i="22"/>
  <c r="C32" i="4"/>
  <c r="N36" i="22" l="1"/>
  <c r="P36" i="22" s="1"/>
  <c r="S4" i="22"/>
  <c r="W4" i="22" s="1"/>
  <c r="J32" i="4"/>
  <c r="L32" i="4" s="1"/>
  <c r="N37" i="22"/>
  <c r="K40" i="22"/>
  <c r="P35" i="22"/>
  <c r="Y39" i="22"/>
  <c r="T39" i="22"/>
  <c r="W39" i="22"/>
  <c r="X39" i="22"/>
  <c r="S39" i="22"/>
  <c r="U39" i="22"/>
  <c r="V39" i="22"/>
  <c r="N32" i="4" l="1"/>
  <c r="O32" i="4" s="1"/>
  <c r="F27" i="22"/>
  <c r="P37" i="22"/>
  <c r="C34" i="4"/>
  <c r="J34" i="4" l="1"/>
  <c r="L34" i="4" s="1"/>
  <c r="F29" i="22"/>
  <c r="C36" i="4"/>
  <c r="N34" i="4" l="1"/>
  <c r="O34" i="4" s="1"/>
  <c r="J36" i="4"/>
  <c r="L36" i="4" s="1"/>
  <c r="N36" i="4" l="1"/>
  <c r="O36" i="4" s="1"/>
  <c r="F31" i="22"/>
  <c r="C44" i="4"/>
  <c r="J39" i="4" l="1"/>
  <c r="J44" i="4"/>
  <c r="L44" i="4" s="1"/>
  <c r="L39" i="4" l="1"/>
  <c r="N39" i="4" s="1"/>
  <c r="N44" i="4"/>
  <c r="F33" i="22"/>
  <c r="J41" i="4" l="1"/>
  <c r="L41" i="4" l="1"/>
  <c r="N41" i="4" s="1"/>
  <c r="J43" i="4"/>
  <c r="C58" i="4"/>
  <c r="L43" i="4" l="1"/>
  <c r="N43" i="4" s="1"/>
  <c r="J58" i="4"/>
  <c r="L58" i="4" s="1"/>
  <c r="E70" i="4"/>
  <c r="N58" i="4" l="1"/>
  <c r="C68" i="4"/>
  <c r="J68" i="4" l="1"/>
  <c r="L68" i="4" s="1"/>
  <c r="P19" i="4" l="1"/>
  <c r="P9" i="4"/>
  <c r="N68" i="4"/>
  <c r="P41" i="4" l="1"/>
  <c r="P39" i="4"/>
  <c r="M9" i="4"/>
  <c r="G10" i="4" s="1"/>
  <c r="P27" i="4"/>
  <c r="P13" i="4"/>
  <c r="P11" i="4"/>
  <c r="M10" i="4" l="1"/>
  <c r="P65" i="4"/>
  <c r="P63" i="4"/>
  <c r="P61" i="4"/>
  <c r="P59" i="4"/>
  <c r="P55" i="4"/>
  <c r="P53" i="4"/>
  <c r="P51" i="4"/>
  <c r="P49" i="4"/>
  <c r="P47" i="4"/>
  <c r="P45" i="4"/>
  <c r="P43" i="4"/>
  <c r="G11" i="4" l="1"/>
  <c r="M11" i="4" s="1"/>
  <c r="G12" i="4" s="1"/>
  <c r="G35" i="22"/>
  <c r="G36" i="22"/>
  <c r="G37" i="22"/>
  <c r="C8" i="22"/>
  <c r="H8" i="22"/>
  <c r="J8" i="22" l="1"/>
  <c r="E8" i="22"/>
  <c r="F10" i="22"/>
  <c r="J10" i="4"/>
  <c r="F8" i="22"/>
  <c r="J8" i="4"/>
  <c r="L8" i="4" s="1"/>
  <c r="C15" i="4"/>
  <c r="L10" i="4" l="1"/>
  <c r="N10" i="4" s="1"/>
  <c r="O10" i="4" s="1"/>
  <c r="J15" i="4"/>
  <c r="L15" i="4" s="1"/>
  <c r="J38" i="22"/>
  <c r="L8" i="22"/>
  <c r="L38" i="22" s="1"/>
  <c r="F12" i="22"/>
  <c r="M12" i="4"/>
  <c r="E38" i="22"/>
  <c r="C21" i="4"/>
  <c r="C17" i="4"/>
  <c r="G13" i="4" l="1"/>
  <c r="M13" i="4" s="1"/>
  <c r="N8" i="22"/>
  <c r="N38" i="22" s="1"/>
  <c r="J21" i="4"/>
  <c r="L21" i="4" s="1"/>
  <c r="J17" i="4"/>
  <c r="L17" i="4" s="1"/>
  <c r="N15" i="4"/>
  <c r="P15" i="4" s="1"/>
  <c r="F20" i="22"/>
  <c r="N8" i="4"/>
  <c r="O8" i="4" s="1"/>
  <c r="F14" i="22"/>
  <c r="J14" i="4"/>
  <c r="F16" i="22"/>
  <c r="C23" i="4"/>
  <c r="G14" i="4" l="1"/>
  <c r="M14" i="4" s="1"/>
  <c r="L14" i="4"/>
  <c r="N14" i="4" s="1"/>
  <c r="O14" i="4" s="1"/>
  <c r="N17" i="4"/>
  <c r="P17" i="4" s="1"/>
  <c r="N21" i="4"/>
  <c r="P21" i="4" s="1"/>
  <c r="J23" i="4"/>
  <c r="L23" i="4" s="1"/>
  <c r="F22" i="22"/>
  <c r="V3" i="22" s="1"/>
  <c r="W3" i="22" s="1"/>
  <c r="J18" i="4"/>
  <c r="F18" i="22"/>
  <c r="G15" i="4" l="1"/>
  <c r="M15" i="4" s="1"/>
  <c r="G16" i="4" s="1"/>
  <c r="M16" i="4" s="1"/>
  <c r="L18" i="4"/>
  <c r="N18" i="4" s="1"/>
  <c r="O18" i="4" s="1"/>
  <c r="N23" i="4"/>
  <c r="P23" i="4" s="1"/>
  <c r="O22" i="22"/>
  <c r="P22" i="22" s="1"/>
  <c r="O23" i="22"/>
  <c r="P23" i="22" s="1"/>
  <c r="O25" i="22"/>
  <c r="P25" i="22" s="1"/>
  <c r="O32" i="22"/>
  <c r="P32" i="22" s="1"/>
  <c r="O34" i="22"/>
  <c r="P34" i="22" s="1"/>
  <c r="O29" i="22"/>
  <c r="P29" i="22" s="1"/>
  <c r="O27" i="22"/>
  <c r="P27" i="22" s="1"/>
  <c r="O24" i="22"/>
  <c r="P24" i="22" s="1"/>
  <c r="O30" i="22"/>
  <c r="P30" i="22" s="1"/>
  <c r="O33" i="22"/>
  <c r="P33" i="22" s="1"/>
  <c r="O31" i="22"/>
  <c r="P31" i="22" s="1"/>
  <c r="O26" i="22"/>
  <c r="P26" i="22" s="1"/>
  <c r="O28" i="22"/>
  <c r="P28" i="22" s="1"/>
  <c r="C25" i="4"/>
  <c r="G17" i="4" l="1"/>
  <c r="M17" i="4" s="1"/>
  <c r="J25" i="4"/>
  <c r="F24" i="22"/>
  <c r="X3" i="22"/>
  <c r="J26" i="4"/>
  <c r="F26" i="22"/>
  <c r="C29" i="4"/>
  <c r="G18" i="4" l="1"/>
  <c r="M18" i="4" s="1"/>
  <c r="L26" i="4"/>
  <c r="N26" i="4" s="1"/>
  <c r="O26" i="4" s="1"/>
  <c r="L25" i="4"/>
  <c r="J29" i="4"/>
  <c r="L29" i="4" s="1"/>
  <c r="F28" i="22"/>
  <c r="N25" i="4"/>
  <c r="P25" i="4" s="1"/>
  <c r="C31" i="4"/>
  <c r="G19" i="4" l="1"/>
  <c r="M19" i="4" s="1"/>
  <c r="G20" i="4" s="1"/>
  <c r="M20" i="4" s="1"/>
  <c r="J31" i="4"/>
  <c r="L31" i="4" s="1"/>
  <c r="N29" i="4"/>
  <c r="P29" i="4" s="1"/>
  <c r="F30" i="22"/>
  <c r="C33" i="4"/>
  <c r="G21" i="4" l="1"/>
  <c r="M21" i="4" s="1"/>
  <c r="N31" i="4"/>
  <c r="P31" i="4" s="1"/>
  <c r="J33" i="4"/>
  <c r="L33" i="4" s="1"/>
  <c r="F32" i="22"/>
  <c r="C35" i="4"/>
  <c r="G22" i="4" l="1"/>
  <c r="M22" i="4" s="1"/>
  <c r="N33" i="4"/>
  <c r="P33" i="4" s="1"/>
  <c r="J35" i="4"/>
  <c r="L35" i="4" s="1"/>
  <c r="F34" i="22"/>
  <c r="C37" i="4"/>
  <c r="G23" i="4" l="1"/>
  <c r="M23" i="4" s="1"/>
  <c r="G24" i="4" s="1"/>
  <c r="M24" i="4" s="1"/>
  <c r="N35" i="4"/>
  <c r="P35" i="4" s="1"/>
  <c r="J37" i="4"/>
  <c r="L37" i="4" s="1"/>
  <c r="G25" i="4" l="1"/>
  <c r="M25" i="4" s="1"/>
  <c r="N37" i="4"/>
  <c r="P37" i="4" s="1"/>
  <c r="J38" i="4"/>
  <c r="G26" i="4" l="1"/>
  <c r="M26" i="4" s="1"/>
  <c r="L38" i="4"/>
  <c r="N38" i="4" s="1"/>
  <c r="O38" i="4" s="1"/>
  <c r="J40" i="4"/>
  <c r="G27" i="4" l="1"/>
  <c r="M27" i="4" s="1"/>
  <c r="G28" i="4" s="1"/>
  <c r="M28" i="4" s="1"/>
  <c r="L40" i="4"/>
  <c r="N40" i="4" s="1"/>
  <c r="O40" i="4" s="1"/>
  <c r="J42" i="4"/>
  <c r="C56" i="4"/>
  <c r="G29" i="4" l="1"/>
  <c r="M29" i="4" s="1"/>
  <c r="G30" i="4" s="1"/>
  <c r="M30" i="4" s="1"/>
  <c r="L42" i="4"/>
  <c r="N42" i="4" s="1"/>
  <c r="O42" i="4" s="1"/>
  <c r="J56" i="4"/>
  <c r="L56" i="4" s="1"/>
  <c r="G31" i="4" l="1"/>
  <c r="M31" i="4" s="1"/>
  <c r="G32" i="4" s="1"/>
  <c r="M32" i="4" s="1"/>
  <c r="N56" i="4"/>
  <c r="J46" i="4"/>
  <c r="G33" i="4" l="1"/>
  <c r="M33" i="4" s="1"/>
  <c r="G34" i="4" s="1"/>
  <c r="M34" i="4" s="1"/>
  <c r="L46" i="4"/>
  <c r="N46" i="4" s="1"/>
  <c r="J48" i="4"/>
  <c r="G35" i="4" l="1"/>
  <c r="M35" i="4" s="1"/>
  <c r="G36" i="4" s="1"/>
  <c r="M36" i="4" s="1"/>
  <c r="L48" i="4"/>
  <c r="N48" i="4" s="1"/>
  <c r="J50" i="4"/>
  <c r="G37" i="4" l="1"/>
  <c r="M37" i="4" s="1"/>
  <c r="G38" i="4" s="1"/>
  <c r="M38" i="4" s="1"/>
  <c r="L50" i="4"/>
  <c r="N50" i="4" s="1"/>
  <c r="J52" i="4"/>
  <c r="G39" i="4" l="1"/>
  <c r="M39" i="4" s="1"/>
  <c r="L52" i="4"/>
  <c r="N52" i="4" s="1"/>
  <c r="J54" i="4"/>
  <c r="C57" i="4"/>
  <c r="G40" i="4" l="1"/>
  <c r="M40" i="4" s="1"/>
  <c r="L54" i="4"/>
  <c r="N54" i="4" s="1"/>
  <c r="J57" i="4"/>
  <c r="L57" i="4" s="1"/>
  <c r="C67" i="4"/>
  <c r="G41" i="4" l="1"/>
  <c r="M41" i="4" s="1"/>
  <c r="N57" i="4"/>
  <c r="P57" i="4" s="1"/>
  <c r="J67" i="4"/>
  <c r="L67" i="4" s="1"/>
  <c r="G42" i="4" l="1"/>
  <c r="M42" i="4" s="1"/>
  <c r="N67" i="4"/>
  <c r="P67" i="4" s="1"/>
  <c r="G43" i="4" l="1"/>
  <c r="M43" i="4" s="1"/>
  <c r="G44" i="4" s="1"/>
  <c r="M44" i="4" s="1"/>
  <c r="G45" i="4" s="1"/>
  <c r="M45" i="4" s="1"/>
  <c r="J60" i="4"/>
  <c r="G46" i="4" l="1"/>
  <c r="M46" i="4" s="1"/>
  <c r="L60" i="4"/>
  <c r="N60" i="4" s="1"/>
  <c r="J62" i="4"/>
  <c r="K72" i="4"/>
  <c r="S2" i="22"/>
  <c r="G47" i="4" l="1"/>
  <c r="M47" i="4" s="1"/>
  <c r="L62" i="4"/>
  <c r="N62" i="4" s="1"/>
  <c r="J69" i="4"/>
  <c r="V2" i="22"/>
  <c r="W2" i="22" s="1"/>
  <c r="O21" i="22" s="1"/>
  <c r="P21" i="22" s="1"/>
  <c r="M36" i="22"/>
  <c r="M35" i="22"/>
  <c r="M37" i="22"/>
  <c r="O12" i="22"/>
  <c r="P12" i="22" s="1"/>
  <c r="O13" i="22"/>
  <c r="P13" i="22" s="1"/>
  <c r="O19" i="22"/>
  <c r="P19" i="22" s="1"/>
  <c r="O20" i="22"/>
  <c r="P20" i="22" s="1"/>
  <c r="O16" i="22"/>
  <c r="P16" i="22" s="1"/>
  <c r="O11" i="22"/>
  <c r="P11" i="22" s="1"/>
  <c r="O18" i="22"/>
  <c r="P18" i="22" s="1"/>
  <c r="K39" i="22"/>
  <c r="O7" i="22"/>
  <c r="M7" i="22" s="1"/>
  <c r="G8" i="22" s="1"/>
  <c r="O14" i="22"/>
  <c r="P14" i="22" s="1"/>
  <c r="O10" i="22"/>
  <c r="P10" i="22" s="1"/>
  <c r="O17" i="22"/>
  <c r="P17" i="22" s="1"/>
  <c r="O9" i="22"/>
  <c r="P9" i="22" s="1"/>
  <c r="O15" i="22"/>
  <c r="P15" i="22" s="1"/>
  <c r="O8" i="22"/>
  <c r="P8" i="22" s="1"/>
  <c r="J66" i="4"/>
  <c r="J64" i="4"/>
  <c r="S4" i="4"/>
  <c r="V38" i="22"/>
  <c r="S38" i="22"/>
  <c r="T38" i="22"/>
  <c r="U38" i="22"/>
  <c r="X38" i="22"/>
  <c r="W38" i="22"/>
  <c r="Y38" i="22"/>
  <c r="G48" i="4" l="1"/>
  <c r="M48" i="4" s="1"/>
  <c r="L69" i="4"/>
  <c r="J70" i="4"/>
  <c r="L64" i="4"/>
  <c r="N64" i="4" s="1"/>
  <c r="L66" i="4"/>
  <c r="N66" i="4" s="1"/>
  <c r="N69" i="4"/>
  <c r="P69" i="4" s="1"/>
  <c r="W3" i="4"/>
  <c r="M8" i="22"/>
  <c r="G9" i="22" s="1"/>
  <c r="M9" i="22" s="1"/>
  <c r="G10" i="22" s="1"/>
  <c r="M10" i="22" s="1"/>
  <c r="G11" i="22" s="1"/>
  <c r="M11" i="22" s="1"/>
  <c r="G12" i="22" s="1"/>
  <c r="M12" i="22" s="1"/>
  <c r="G13" i="22" s="1"/>
  <c r="M13" i="22" s="1"/>
  <c r="G14" i="22" s="1"/>
  <c r="M14" i="22" s="1"/>
  <c r="G15" i="22" s="1"/>
  <c r="M15" i="22" s="1"/>
  <c r="G16" i="22" s="1"/>
  <c r="M16" i="22" s="1"/>
  <c r="G17" i="22" s="1"/>
  <c r="M17" i="22" s="1"/>
  <c r="G18" i="22" s="1"/>
  <c r="M18" i="22" s="1"/>
  <c r="G19" i="22" s="1"/>
  <c r="M19" i="22" s="1"/>
  <c r="G20" i="22" s="1"/>
  <c r="M20" i="22" s="1"/>
  <c r="G21" i="22" s="1"/>
  <c r="M21" i="22" s="1"/>
  <c r="G22" i="22" s="1"/>
  <c r="M22" i="22" s="1"/>
  <c r="G23" i="22" s="1"/>
  <c r="M23" i="22" s="1"/>
  <c r="G24" i="22" s="1"/>
  <c r="M24" i="22" s="1"/>
  <c r="G25" i="22" s="1"/>
  <c r="M25" i="22" s="1"/>
  <c r="G26" i="22" s="1"/>
  <c r="M26" i="22" s="1"/>
  <c r="G27" i="22" s="1"/>
  <c r="M27" i="22" s="1"/>
  <c r="G28" i="22" s="1"/>
  <c r="M28" i="22" s="1"/>
  <c r="G29" i="22" s="1"/>
  <c r="M29" i="22" s="1"/>
  <c r="G30" i="22" s="1"/>
  <c r="M30" i="22" s="1"/>
  <c r="G31" i="22" s="1"/>
  <c r="M31" i="22" s="1"/>
  <c r="G32" i="22" s="1"/>
  <c r="M32" i="22" s="1"/>
  <c r="G33" i="22" s="1"/>
  <c r="M33" i="22" s="1"/>
  <c r="G34" i="22" s="1"/>
  <c r="M34" i="22" s="1"/>
  <c r="W4" i="4"/>
  <c r="P7" i="22"/>
  <c r="O38" i="22"/>
  <c r="O44" i="4" l="1"/>
  <c r="O46" i="4"/>
  <c r="O48" i="4"/>
  <c r="P48" i="4" s="1"/>
  <c r="O50" i="4"/>
  <c r="P50" i="4" s="1"/>
  <c r="O52" i="4"/>
  <c r="P52" i="4" s="1"/>
  <c r="O54" i="4"/>
  <c r="P54" i="4" s="1"/>
  <c r="O56" i="4"/>
  <c r="P56" i="4" s="1"/>
  <c r="O58" i="4"/>
  <c r="O60" i="4"/>
  <c r="P60" i="4" s="1"/>
  <c r="O62" i="4"/>
  <c r="O64" i="4"/>
  <c r="P64" i="4" s="1"/>
  <c r="O66" i="4"/>
  <c r="O68" i="4"/>
  <c r="G49" i="4"/>
  <c r="M49" i="4" s="1"/>
  <c r="L70" i="4"/>
  <c r="N70" i="4"/>
  <c r="P18" i="4"/>
  <c r="P34" i="4"/>
  <c r="P8" i="4"/>
  <c r="P36" i="4"/>
  <c r="P32" i="4"/>
  <c r="P14" i="4"/>
  <c r="P30" i="4"/>
  <c r="P16" i="4"/>
  <c r="P22" i="4"/>
  <c r="P28" i="4"/>
  <c r="P20" i="4"/>
  <c r="P26" i="4"/>
  <c r="P10" i="4"/>
  <c r="P24" i="4"/>
  <c r="P12" i="4"/>
  <c r="P40" i="4"/>
  <c r="P38" i="22"/>
  <c r="X2" i="22"/>
  <c r="P42" i="4"/>
  <c r="P38" i="4"/>
  <c r="G50" i="4" l="1"/>
  <c r="M50" i="4" s="1"/>
  <c r="P66" i="4"/>
  <c r="P58" i="4"/>
  <c r="P62" i="4"/>
  <c r="P46" i="4"/>
  <c r="P68" i="4"/>
  <c r="P44" i="4"/>
  <c r="O70" i="4"/>
  <c r="X2" i="4"/>
  <c r="X3" i="4"/>
  <c r="G51" i="4" l="1"/>
  <c r="M51" i="4" s="1"/>
  <c r="P70" i="4"/>
  <c r="G52" i="4" l="1"/>
  <c r="M52" i="4" s="1"/>
  <c r="G53" i="4" l="1"/>
  <c r="M53" i="4" s="1"/>
  <c r="G54" i="4" l="1"/>
  <c r="M54" i="4" s="1"/>
  <c r="G55" i="4" l="1"/>
  <c r="M55" i="4" s="1"/>
  <c r="G56" i="4" s="1"/>
  <c r="M56" i="4" s="1"/>
  <c r="G57" i="4" l="1"/>
  <c r="M57" i="4" s="1"/>
  <c r="G58" i="4" s="1"/>
  <c r="M58" i="4" s="1"/>
  <c r="G59" i="4" l="1"/>
  <c r="M59" i="4" s="1"/>
  <c r="G60" i="4" l="1"/>
  <c r="M60" i="4" s="1"/>
  <c r="G61" i="4" l="1"/>
  <c r="M61" i="4" s="1"/>
  <c r="G62" i="4" l="1"/>
  <c r="M62" i="4" s="1"/>
  <c r="G63" i="4" l="1"/>
  <c r="M63" i="4" s="1"/>
  <c r="G64" i="4" l="1"/>
  <c r="M64" i="4" s="1"/>
  <c r="G65" i="4" l="1"/>
  <c r="M65" i="4" s="1"/>
  <c r="G66" i="4" l="1"/>
  <c r="M66" i="4" s="1"/>
  <c r="G67" i="4" l="1"/>
  <c r="M67" i="4" s="1"/>
  <c r="G68" i="4" l="1"/>
  <c r="M68" i="4" s="1"/>
  <c r="G69" i="4" l="1"/>
  <c r="M69" i="4" s="1"/>
</calcChain>
</file>

<file path=xl/sharedStrings.xml><?xml version="1.0" encoding="utf-8"?>
<sst xmlns="http://schemas.openxmlformats.org/spreadsheetml/2006/main" count="189" uniqueCount="91">
  <si>
    <t>Общество с ограниченной ответственностью  "Втормет Царицыно"</t>
  </si>
  <si>
    <t>Отчет водителя ломовоза с манипулятором</t>
  </si>
  <si>
    <t>за</t>
  </si>
  <si>
    <t>Дата</t>
  </si>
  <si>
    <t>ФИО водителя</t>
  </si>
  <si>
    <t>Показание одометра машины на начало дня, км</t>
  </si>
  <si>
    <t>Показание одометра машины на конец дня, км</t>
  </si>
  <si>
    <t>Пройдено за день, км</t>
  </si>
  <si>
    <t>Выдано топливо, литр</t>
  </si>
  <si>
    <t>Остаток топлива в баке на начало дня, литр</t>
  </si>
  <si>
    <t>Показание счетчика моточасов спецоборудования на начало дня, м/ч</t>
  </si>
  <si>
    <t>Показание счетчика моточасов  спецоборудования на конец дня, м/ч</t>
  </si>
  <si>
    <t>Работа спецоборудования за день, м/ч</t>
  </si>
  <si>
    <t>Количество ходок</t>
  </si>
  <si>
    <t>Расход топлива на работу спецоборудования, литр</t>
  </si>
  <si>
    <t>Остаток топлива в баке на конец дня, литр</t>
  </si>
  <si>
    <t>Расход топлива по норме, литр</t>
  </si>
  <si>
    <t>Фактический расход топлива, литр</t>
  </si>
  <si>
    <t>Отклонение от нормы (Перерасход(+), экономия(-)), литр</t>
  </si>
  <si>
    <t>Никляев В.А.</t>
  </si>
  <si>
    <t>№ п/п</t>
  </si>
  <si>
    <t>Ф.И.О.</t>
  </si>
  <si>
    <t>Зима :</t>
  </si>
  <si>
    <t>01.11 - 31.03</t>
  </si>
  <si>
    <t>Расчет максимальной нормы расхода ДТ (литр/100км)</t>
  </si>
  <si>
    <t>Лето:</t>
  </si>
  <si>
    <t>01.04 - 30.10</t>
  </si>
  <si>
    <t>доп.коэфф-т к норме</t>
  </si>
  <si>
    <t>Номер гос.регистрации / Заводской номер</t>
  </si>
  <si>
    <t>Километраж, км</t>
  </si>
  <si>
    <t>Спецоборудование, м/ч</t>
  </si>
  <si>
    <t>Топливо, л</t>
  </si>
  <si>
    <t>Базовая норма расхода на 100 км</t>
  </si>
  <si>
    <t>Зима</t>
  </si>
  <si>
    <t>Лето</t>
  </si>
  <si>
    <t>Итога норма а/м ЗИМА</t>
  </si>
  <si>
    <t>Итога норма а/м ЛЕТО</t>
  </si>
  <si>
    <t>Базовая норма расхода на 1 мото/час</t>
  </si>
  <si>
    <t>"Зима"</t>
  </si>
  <si>
    <t>"Лето"</t>
  </si>
  <si>
    <t>Итога норма а/м "ЗИМА"</t>
  </si>
  <si>
    <t>Итога норма а/м "ЛЕТО"</t>
  </si>
  <si>
    <t>Норма на 100 км, литров</t>
  </si>
  <si>
    <t>движение с манипулятором</t>
  </si>
  <si>
    <t>Тоннаж</t>
  </si>
  <si>
    <t>Литры</t>
  </si>
  <si>
    <t>На движение с грузом</t>
  </si>
  <si>
    <t>Тоннаж1</t>
  </si>
  <si>
    <t>К-т загрузки</t>
  </si>
  <si>
    <t>ИТОГ</t>
  </si>
  <si>
    <t>25% за работу в городе с населением свыше 3 млн. человек</t>
  </si>
  <si>
    <t>10 % за работу зимой</t>
  </si>
  <si>
    <t>Итог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</si>
  <si>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</si>
  <si>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</si>
  <si>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</si>
  <si>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</si>
  <si>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</si>
  <si>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</si>
  <si>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</si>
  <si>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</si>
  <si>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</si>
  <si>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</si>
  <si>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</si>
  <si>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</si>
  <si>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Экономия</t>
  </si>
  <si>
    <t>Ильин А.Г.</t>
  </si>
  <si>
    <t>Малышев О.С.</t>
  </si>
  <si>
    <t>Кобалян М.В.</t>
  </si>
  <si>
    <t>Норма 1</t>
  </si>
  <si>
    <t>Норма 2</t>
  </si>
  <si>
    <t>Норма 3</t>
  </si>
  <si>
    <t>Обнуление одометра, км</t>
  </si>
  <si>
    <t>Обнуление счетчика моточасов спецоборудования, м/ч</t>
  </si>
  <si>
    <t>1-я пол.</t>
  </si>
  <si>
    <t>2-я пол.</t>
  </si>
  <si>
    <t>Ильичев Ю.Ф.</t>
  </si>
  <si>
    <t>Зяблов А.А</t>
  </si>
  <si>
    <t>Ястребов Е.В.</t>
  </si>
  <si>
    <t>Ильин Е.Н.</t>
  </si>
  <si>
    <t>Сергеев Д.О.</t>
  </si>
  <si>
    <t>Лагутенко А.А.</t>
  </si>
  <si>
    <t>Переход 1</t>
  </si>
  <si>
    <t>Переход 2</t>
  </si>
  <si>
    <t>Переход 3</t>
  </si>
  <si>
    <t>Евстратов А.В.</t>
  </si>
  <si>
    <t>Фрук П.И.</t>
  </si>
  <si>
    <t>Дьяков В.М.</t>
  </si>
  <si>
    <t>Фукс 350 c</t>
  </si>
  <si>
    <t>Шумов С.А.</t>
  </si>
  <si>
    <t>Григоренко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</si>
</sst>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44" x14ac:knownFonts="1"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color indexed="56"/>
      <name val="Calibri"/>
      <family val="2"/>
      <charset val="204"/>
    </font>
    <font>
      <b/>
      <i/>
      <sz val="10"/>
      <name val="Arial Cyr"/>
      <charset val="204"/>
    </font>
    <font>
      <b/>
      <sz val="10"/>
      <color theme="3"/>
      <name val="Arial Cyr"/>
      <charset val="204"/>
    </font>
    <font>
      <b/>
      <sz val="10"/>
      <color rgb="FF00B050"/>
      <name val="Arial Cyr"/>
      <charset val="204"/>
    </font>
    <font>
      <b/>
      <sz val="10"/>
      <color theme="4"/>
      <name val="Arial Cyr"/>
      <charset val="204"/>
    </font>
    <font>
      <sz val="10"/>
      <color theme="5" tint="-0.249977111117893"/>
      <name val="Arial Cyr"/>
      <charset val="204"/>
    </font>
    <font>
      <sz val="10"/>
      <color theme="4"/>
      <name val="Arial Cyr"/>
      <charset val="204"/>
    </font>
    <font>
      <b/>
      <sz val="11"/>
      <color indexed="52"/>
      <name val="Calibri"/>
      <family val="2"/>
      <charset val="204"/>
    </font>
    <font>
      <sz val="12"/>
      <name val="Arial Cyr"/>
    </font>
    <font>
      <b/>
      <sz val="12"/>
      <name val="Arial Cyr"/>
    </font>
    <font>
      <b/>
      <sz val="10"/>
      <color theme="1"/>
      <name val="Arial Cyr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b/>
      <sz val="10"/>
      <color rgb="FF0070C0"/>
      <name val="Arial Cyr"/>
      <charset val="204"/>
    </font>
    <font>
      <b/>
      <sz val="9"/>
      <color theme="1"/>
      <name val="Arial Cyr"/>
      <charset val="204"/>
    </font>
    <font>
      <b/>
      <sz val="14"/>
      <color indexed="56"/>
      <name val="Cambria"/>
      <family val="2"/>
      <charset val="204"/>
    </font>
    <font>
      <b/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theme="3"/>
      <name val="Arial Cyr"/>
    </font>
    <font>
      <b/>
      <sz val="10"/>
      <color rgb="FF00B050"/>
      <name val="Arial Cyr"/>
    </font>
    <font>
      <b/>
      <sz val="10"/>
      <color theme="4"/>
      <name val="Arial Cyr"/>
    </font>
    <font>
      <sz val="10"/>
      <name val="Arial Cyr"/>
    </font>
    <font>
      <sz val="10"/>
      <color theme="5" tint="-0.249977111117893"/>
      <name val="Arial Cyr"/>
    </font>
    <font>
      <sz val="10"/>
      <color theme="4"/>
      <name val="Arial Cyr"/>
    </font>
    <font>
      <b/>
      <sz val="10"/>
      <color rgb="FF0070C0"/>
      <name val="Arial Cy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theme="0" tint="-0.14999847407452621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5" borderId="10" applyNumberFormat="0" applyAlignment="0" applyProtection="0"/>
    <xf numFmtId="0" fontId="2" fillId="7" borderId="16" applyNumberFormat="0" applyFont="0" applyAlignment="0" applyProtection="0"/>
    <xf numFmtId="0" fontId="16" fillId="8" borderId="0" applyNumberFormat="0" applyBorder="0" applyAlignment="0" applyProtection="0"/>
    <xf numFmtId="0" fontId="2" fillId="10" borderId="45" applyNumberFormat="0" applyFont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8" borderId="0" applyNumberFormat="0" applyBorder="0" applyAlignment="0" applyProtection="0"/>
    <xf numFmtId="0" fontId="26" fillId="16" borderId="10" applyNumberFormat="0" applyAlignment="0" applyProtection="0"/>
    <xf numFmtId="0" fontId="27" fillId="5" borderId="59" applyNumberFormat="0" applyAlignment="0" applyProtection="0"/>
    <xf numFmtId="0" fontId="28" fillId="0" borderId="60" applyNumberFormat="0" applyFill="0" applyAlignment="0" applyProtection="0"/>
    <xf numFmtId="0" fontId="29" fillId="0" borderId="61" applyNumberFormat="0" applyFill="0" applyAlignment="0" applyProtection="0"/>
    <xf numFmtId="0" fontId="5" fillId="0" borderId="62" applyNumberFormat="0" applyFill="0" applyAlignment="0" applyProtection="0"/>
    <xf numFmtId="0" fontId="30" fillId="0" borderId="63" applyNumberFormat="0" applyFill="0" applyAlignment="0" applyProtection="0"/>
    <xf numFmtId="0" fontId="31" fillId="29" borderId="64" applyNumberFormat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5" applyNumberFormat="0" applyFill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2" fontId="1" fillId="0" borderId="0" xfId="1" applyNumberFormat="1" applyFill="1" applyAlignment="1" applyProtection="1">
      <protection hidden="1"/>
    </xf>
    <xf numFmtId="2" fontId="1" fillId="0" borderId="0" xfId="1" applyNumberFormat="1" applyFill="1" applyAlignment="1" applyProtection="1">
      <alignment horizontal="right" vertical="center"/>
      <protection hidden="1"/>
    </xf>
    <xf numFmtId="14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25" xfId="0" applyNumberFormat="1" applyFont="1" applyBorder="1" applyProtection="1">
      <protection hidden="1"/>
    </xf>
    <xf numFmtId="3" fontId="0" fillId="0" borderId="17" xfId="0" applyNumberFormat="1" applyFill="1" applyBorder="1" applyAlignment="1" applyProtection="1">
      <alignment vertical="center"/>
      <protection hidden="1"/>
    </xf>
    <xf numFmtId="4" fontId="0" fillId="0" borderId="17" xfId="0" applyNumberFormat="1" applyFill="1" applyBorder="1" applyAlignment="1" applyProtection="1">
      <alignment vertical="center"/>
      <protection hidden="1"/>
    </xf>
    <xf numFmtId="165" fontId="0" fillId="0" borderId="17" xfId="0" applyNumberFormat="1" applyFill="1" applyBorder="1" applyAlignment="1" applyProtection="1">
      <alignment vertical="center"/>
      <protection hidden="1"/>
    </xf>
    <xf numFmtId="165" fontId="0" fillId="0" borderId="18" xfId="0" applyNumberFormat="1" applyFont="1" applyFill="1" applyBorder="1" applyAlignment="1" applyProtection="1">
      <alignment vertical="center"/>
      <protection hidden="1"/>
    </xf>
    <xf numFmtId="14" fontId="4" fillId="0" borderId="7" xfId="0" applyNumberFormat="1" applyFont="1" applyBorder="1" applyAlignment="1" applyProtection="1">
      <alignment horizontal="center" vertical="center"/>
      <protection hidden="1"/>
    </xf>
    <xf numFmtId="3" fontId="0" fillId="0" borderId="9" xfId="0" applyNumberFormat="1" applyFill="1" applyBorder="1" applyAlignment="1" applyProtection="1">
      <alignment vertical="center"/>
      <protection hidden="1"/>
    </xf>
    <xf numFmtId="0" fontId="0" fillId="0" borderId="9" xfId="0" applyNumberFormat="1" applyFont="1" applyBorder="1" applyProtection="1">
      <protection hidden="1"/>
    </xf>
    <xf numFmtId="4" fontId="0" fillId="0" borderId="9" xfId="0" applyNumberFormat="1" applyFill="1" applyBorder="1" applyAlignment="1" applyProtection="1">
      <alignment vertical="center"/>
      <protection hidden="1"/>
    </xf>
    <xf numFmtId="165" fontId="0" fillId="0" borderId="9" xfId="0" applyNumberFormat="1" applyFill="1" applyBorder="1" applyAlignment="1" applyProtection="1">
      <alignment vertical="center"/>
      <protection hidden="1"/>
    </xf>
    <xf numFmtId="165" fontId="0" fillId="0" borderId="20" xfId="0" applyNumberFormat="1" applyFont="1" applyFill="1" applyBorder="1" applyAlignment="1" applyProtection="1">
      <alignment vertical="center"/>
      <protection hidden="1"/>
    </xf>
    <xf numFmtId="14" fontId="4" fillId="0" borderId="32" xfId="0" applyNumberFormat="1" applyFont="1" applyBorder="1" applyAlignment="1" applyProtection="1">
      <alignment horizontal="center" vertical="center"/>
      <protection hidden="1"/>
    </xf>
    <xf numFmtId="3" fontId="0" fillId="0" borderId="25" xfId="0" applyNumberFormat="1" applyFill="1" applyBorder="1" applyAlignment="1" applyProtection="1">
      <alignment vertical="center"/>
      <protection hidden="1"/>
    </xf>
    <xf numFmtId="4" fontId="0" fillId="0" borderId="25" xfId="0" applyNumberFormat="1" applyFill="1" applyBorder="1" applyAlignment="1" applyProtection="1">
      <alignment vertical="center"/>
      <protection hidden="1"/>
    </xf>
    <xf numFmtId="165" fontId="0" fillId="0" borderId="25" xfId="0" applyNumberFormat="1" applyFill="1" applyBorder="1" applyAlignment="1" applyProtection="1">
      <alignment vertical="center"/>
      <protection hidden="1"/>
    </xf>
    <xf numFmtId="165" fontId="0" fillId="0" borderId="26" xfId="0" applyNumberFormat="1" applyFont="1" applyFill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2" xfId="0" applyFont="1" applyFill="1" applyBorder="1" applyAlignment="1" applyProtection="1">
      <alignment vertical="center"/>
      <protection hidden="1"/>
    </xf>
    <xf numFmtId="0" fontId="13" fillId="0" borderId="13" xfId="0" applyFont="1" applyFill="1" applyBorder="1" applyAlignment="1" applyProtection="1">
      <alignment vertical="center"/>
      <protection hidden="1"/>
    </xf>
    <xf numFmtId="0" fontId="13" fillId="6" borderId="13" xfId="0" applyFont="1" applyFill="1" applyBorder="1" applyAlignment="1" applyProtection="1">
      <alignment vertical="center"/>
      <protection hidden="1"/>
    </xf>
    <xf numFmtId="3" fontId="13" fillId="0" borderId="13" xfId="0" applyNumberFormat="1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6" borderId="13" xfId="0" applyFont="1" applyFill="1" applyBorder="1" applyAlignment="1" applyProtection="1">
      <alignment horizontal="center" vertical="center"/>
      <protection hidden="1"/>
    </xf>
    <xf numFmtId="3" fontId="13" fillId="6" borderId="21" xfId="0" applyNumberFormat="1" applyFont="1" applyFill="1" applyBorder="1" applyAlignment="1" applyProtection="1">
      <alignment horizontal="center" vertical="center"/>
      <protection hidden="1"/>
    </xf>
    <xf numFmtId="165" fontId="13" fillId="0" borderId="13" xfId="0" applyNumberFormat="1" applyFont="1" applyFill="1" applyBorder="1" applyAlignment="1" applyProtection="1">
      <alignment horizontal="center" vertical="center"/>
      <protection hidden="1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3" fontId="4" fillId="0" borderId="0" xfId="0" applyNumberFormat="1" applyFont="1" applyBorder="1" applyProtection="1">
      <protection hidden="1"/>
    </xf>
    <xf numFmtId="0" fontId="4" fillId="0" borderId="0" xfId="0" applyNumberFormat="1" applyFont="1" applyBorder="1" applyProtection="1">
      <protection hidden="1"/>
    </xf>
    <xf numFmtId="3" fontId="0" fillId="6" borderId="9" xfId="0" applyNumberFormat="1" applyFill="1" applyBorder="1" applyAlignment="1" applyProtection="1">
      <alignment vertical="center"/>
      <protection locked="0" hidden="1"/>
    </xf>
    <xf numFmtId="3" fontId="0" fillId="6" borderId="15" xfId="0" applyNumberFormat="1" applyFill="1" applyBorder="1" applyAlignment="1" applyProtection="1">
      <alignment vertical="center"/>
      <protection locked="0" hidden="1"/>
    </xf>
    <xf numFmtId="1" fontId="1" fillId="0" borderId="0" xfId="1" applyNumberFormat="1" applyFill="1" applyAlignment="1" applyProtection="1">
      <alignment horizontal="left" vertical="center"/>
      <protection locked="0" hidden="1"/>
    </xf>
    <xf numFmtId="165" fontId="4" fillId="0" borderId="17" xfId="0" applyNumberFormat="1" applyFont="1" applyFill="1" applyBorder="1" applyAlignment="1" applyProtection="1">
      <alignment vertical="center"/>
      <protection hidden="1"/>
    </xf>
    <xf numFmtId="165" fontId="4" fillId="0" borderId="9" xfId="0" applyNumberFormat="1" applyFont="1" applyFill="1" applyBorder="1" applyAlignment="1" applyProtection="1">
      <alignment vertical="center"/>
      <protection hidden="1"/>
    </xf>
    <xf numFmtId="165" fontId="4" fillId="0" borderId="25" xfId="0" applyNumberFormat="1" applyFont="1" applyFill="1" applyBorder="1" applyAlignment="1" applyProtection="1">
      <alignment vertical="center"/>
      <protection hidden="1"/>
    </xf>
    <xf numFmtId="4" fontId="18" fillId="6" borderId="9" xfId="0" applyNumberFormat="1" applyFont="1" applyFill="1" applyBorder="1" applyAlignment="1" applyProtection="1">
      <alignment vertical="center"/>
      <protection locked="0" hidden="1"/>
    </xf>
    <xf numFmtId="4" fontId="18" fillId="6" borderId="25" xfId="0" applyNumberFormat="1" applyFont="1" applyFill="1" applyBorder="1" applyAlignment="1" applyProtection="1">
      <alignment vertical="center"/>
      <protection locked="0" hidden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hidden="1"/>
    </xf>
    <xf numFmtId="3" fontId="0" fillId="6" borderId="17" xfId="0" applyNumberFormat="1" applyFont="1" applyFill="1" applyBorder="1" applyAlignment="1" applyProtection="1">
      <alignment vertical="center"/>
      <protection locked="0" hidden="1"/>
    </xf>
    <xf numFmtId="3" fontId="0" fillId="6" borderId="9" xfId="0" applyNumberFormat="1" applyFont="1" applyFill="1" applyBorder="1" applyAlignment="1" applyProtection="1">
      <alignment vertical="center"/>
      <protection locked="0" hidden="1"/>
    </xf>
    <xf numFmtId="3" fontId="0" fillId="6" borderId="25" xfId="0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hidden="1"/>
    </xf>
    <xf numFmtId="0" fontId="4" fillId="4" borderId="29" xfId="0" applyFont="1" applyFill="1" applyBorder="1" applyAlignment="1" applyProtection="1">
      <alignment horizontal="center" vertical="center"/>
      <protection hidden="1"/>
    </xf>
    <xf numFmtId="164" fontId="4" fillId="4" borderId="15" xfId="0" applyNumberFormat="1" applyFont="1" applyFill="1" applyBorder="1" applyAlignment="1" applyProtection="1">
      <alignment horizontal="center" vertical="center"/>
      <protection hidden="1"/>
    </xf>
    <xf numFmtId="164" fontId="4" fillId="4" borderId="18" xfId="0" applyNumberFormat="1" applyFont="1" applyFill="1" applyBorder="1" applyAlignment="1" applyProtection="1">
      <alignment horizontal="center" vertical="center"/>
      <protection hidden="1"/>
    </xf>
    <xf numFmtId="2" fontId="3" fillId="4" borderId="11" xfId="0" applyNumberFormat="1" applyFont="1" applyFill="1" applyBorder="1" applyAlignment="1" applyProtection="1">
      <alignment horizontal="center" vertical="center"/>
      <protection hidden="1"/>
    </xf>
    <xf numFmtId="2" fontId="3" fillId="4" borderId="12" xfId="0" applyNumberFormat="1" applyFont="1" applyFill="1" applyBorder="1" applyAlignment="1" applyProtection="1">
      <alignment horizontal="center" vertical="center"/>
      <protection hidden="1"/>
    </xf>
    <xf numFmtId="2" fontId="3" fillId="4" borderId="13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1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4" fillId="0" borderId="9" xfId="0" applyFont="1" applyBorder="1" applyAlignment="1" applyProtection="1">
      <alignment horizontal="center" vertical="center"/>
      <protection locked="0" hidden="1"/>
    </xf>
    <xf numFmtId="165" fontId="15" fillId="4" borderId="41" xfId="0" applyNumberFormat="1" applyFont="1" applyFill="1" applyBorder="1" applyAlignment="1" applyProtection="1">
      <alignment horizontal="center" vertical="center"/>
      <protection hidden="1"/>
    </xf>
    <xf numFmtId="165" fontId="15" fillId="4" borderId="42" xfId="0" applyNumberFormat="1" applyFont="1" applyFill="1" applyBorder="1" applyAlignment="1" applyProtection="1">
      <alignment horizontal="center" vertical="center"/>
      <protection hidden="1"/>
    </xf>
    <xf numFmtId="14" fontId="4" fillId="0" borderId="17" xfId="0" applyNumberFormat="1" applyFont="1" applyFill="1" applyBorder="1" applyAlignment="1" applyProtection="1">
      <alignment horizontal="center" vertical="center"/>
      <protection locked="0" hidden="1"/>
    </xf>
    <xf numFmtId="165" fontId="15" fillId="4" borderId="18" xfId="0" applyNumberFormat="1" applyFont="1" applyFill="1" applyBorder="1" applyAlignment="1" applyProtection="1">
      <alignment horizontal="center" vertical="center"/>
      <protection hidden="1"/>
    </xf>
    <xf numFmtId="3" fontId="15" fillId="4" borderId="17" xfId="0" applyNumberFormat="1" applyFont="1" applyFill="1" applyBorder="1" applyAlignment="1" applyProtection="1">
      <alignment horizontal="center" vertical="center"/>
      <protection hidden="1"/>
    </xf>
    <xf numFmtId="3" fontId="15" fillId="4" borderId="35" xfId="0" applyNumberFormat="1" applyFont="1" applyFill="1" applyBorder="1" applyAlignment="1" applyProtection="1">
      <alignment horizontal="center" vertical="center"/>
      <protection hidden="1"/>
    </xf>
    <xf numFmtId="0" fontId="4" fillId="4" borderId="43" xfId="0" applyNumberFormat="1" applyFont="1" applyFill="1" applyBorder="1" applyAlignment="1" applyProtection="1">
      <alignment horizontal="center" vertical="center"/>
      <protection hidden="1"/>
    </xf>
    <xf numFmtId="0" fontId="4" fillId="4" borderId="44" xfId="0" applyNumberFormat="1" applyFont="1" applyFill="1" applyBorder="1" applyAlignment="1" applyProtection="1">
      <alignment horizontal="center" vertical="center"/>
      <protection hidden="1"/>
    </xf>
    <xf numFmtId="0" fontId="0" fillId="4" borderId="40" xfId="0" applyFill="1" applyBorder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165" fontId="15" fillId="4" borderId="46" xfId="0" applyNumberFormat="1" applyFont="1" applyFill="1" applyBorder="1" applyAlignment="1" applyProtection="1">
      <alignment horizontal="center" vertical="center"/>
      <protection hidden="1"/>
    </xf>
    <xf numFmtId="165" fontId="15" fillId="4" borderId="2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hidden="1"/>
    </xf>
    <xf numFmtId="2" fontId="19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9" fillId="4" borderId="38" xfId="0" applyNumberFormat="1" applyFont="1" applyFill="1" applyBorder="1" applyAlignment="1" applyProtection="1">
      <alignment horizontal="center" vertical="center" wrapText="1"/>
      <protection hidden="1"/>
    </xf>
    <xf numFmtId="14" fontId="4" fillId="4" borderId="30" xfId="0" applyNumberFormat="1" applyFont="1" applyFill="1" applyBorder="1" applyAlignment="1" applyProtection="1">
      <alignment horizontal="center" vertical="center"/>
      <protection hidden="1"/>
    </xf>
    <xf numFmtId="4" fontId="18" fillId="4" borderId="17" xfId="0" applyNumberFormat="1" applyFont="1" applyFill="1" applyBorder="1" applyAlignment="1" applyProtection="1">
      <alignment horizontal="center" vertical="center"/>
      <protection hidden="1"/>
    </xf>
    <xf numFmtId="14" fontId="4" fillId="4" borderId="34" xfId="0" applyNumberFormat="1" applyFont="1" applyFill="1" applyBorder="1" applyAlignment="1" applyProtection="1">
      <alignment horizontal="center" vertical="center"/>
      <protection hidden="1"/>
    </xf>
    <xf numFmtId="14" fontId="4" fillId="4" borderId="35" xfId="0" applyNumberFormat="1" applyFont="1" applyFill="1" applyBorder="1" applyAlignment="1" applyProtection="1">
      <alignment horizontal="center" vertical="center"/>
      <protection hidden="1"/>
    </xf>
    <xf numFmtId="4" fontId="18" fillId="4" borderId="35" xfId="0" applyNumberFormat="1" applyFont="1" applyFill="1" applyBorder="1" applyAlignment="1" applyProtection="1">
      <alignment horizontal="center" vertical="center"/>
      <protection hidden="1"/>
    </xf>
    <xf numFmtId="14" fontId="4" fillId="4" borderId="46" xfId="0" applyNumberFormat="1" applyFont="1" applyFill="1" applyBorder="1" applyAlignment="1" applyProtection="1">
      <alignment horizontal="center" vertical="center"/>
      <protection hidden="1"/>
    </xf>
    <xf numFmtId="2" fontId="19" fillId="9" borderId="13" xfId="0" applyNumberFormat="1" applyFont="1" applyFill="1" applyBorder="1" applyAlignment="1" applyProtection="1">
      <alignment horizontal="center" vertical="center" wrapText="1"/>
      <protection hidden="1"/>
    </xf>
    <xf numFmtId="3" fontId="17" fillId="8" borderId="28" xfId="5" applyNumberFormat="1" applyFont="1" applyBorder="1" applyAlignment="1" applyProtection="1">
      <alignment vertical="center"/>
      <protection hidden="1"/>
    </xf>
    <xf numFmtId="14" fontId="4" fillId="6" borderId="31" xfId="0" applyNumberFormat="1" applyFont="1" applyFill="1" applyBorder="1" applyAlignment="1" applyProtection="1">
      <alignment vertical="center"/>
      <protection locked="0" hidden="1"/>
    </xf>
    <xf numFmtId="14" fontId="4" fillId="6" borderId="19" xfId="0" applyNumberFormat="1" applyFont="1" applyFill="1" applyBorder="1" applyAlignment="1" applyProtection="1">
      <alignment vertical="center"/>
      <protection locked="0" hidden="1"/>
    </xf>
    <xf numFmtId="14" fontId="4" fillId="6" borderId="9" xfId="0" applyNumberFormat="1" applyFont="1" applyFill="1" applyBorder="1" applyAlignment="1" applyProtection="1">
      <alignment vertical="center"/>
      <protection locked="0" hidden="1"/>
    </xf>
    <xf numFmtId="0" fontId="4" fillId="10" borderId="28" xfId="6" applyFont="1" applyBorder="1" applyAlignment="1" applyProtection="1">
      <alignment horizontal="center" vertical="center"/>
      <protection locked="0" hidden="1"/>
    </xf>
    <xf numFmtId="2" fontId="20" fillId="0" borderId="36" xfId="4" applyNumberFormat="1" applyFont="1" applyFill="1" applyBorder="1" applyAlignment="1" applyProtection="1">
      <alignment horizontal="center" vertical="center"/>
      <protection locked="0"/>
    </xf>
    <xf numFmtId="2" fontId="20" fillId="0" borderId="37" xfId="4" applyNumberFormat="1" applyFont="1" applyFill="1" applyBorder="1" applyAlignment="1" applyProtection="1">
      <alignment horizontal="center" vertical="center"/>
      <protection locked="0"/>
    </xf>
    <xf numFmtId="2" fontId="1" fillId="7" borderId="28" xfId="4" applyNumberFormat="1" applyFont="1" applyBorder="1" applyAlignment="1" applyProtection="1">
      <alignment horizontal="center" vertical="center"/>
      <protection locked="0"/>
    </xf>
    <xf numFmtId="2" fontId="19" fillId="9" borderId="28" xfId="0" applyNumberFormat="1" applyFont="1" applyFill="1" applyBorder="1" applyAlignment="1" applyProtection="1">
      <alignment horizontal="center" vertical="center"/>
      <protection hidden="1"/>
    </xf>
    <xf numFmtId="14" fontId="4" fillId="4" borderId="23" xfId="0" applyNumberFormat="1" applyFont="1" applyFill="1" applyBorder="1" applyAlignment="1" applyProtection="1">
      <alignment horizontal="center" vertical="center"/>
      <protection hidden="1"/>
    </xf>
    <xf numFmtId="14" fontId="4" fillId="4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2" fontId="19" fillId="9" borderId="33" xfId="0" applyNumberFormat="1" applyFont="1" applyFill="1" applyBorder="1" applyAlignment="1" applyProtection="1">
      <alignment horizontal="center" vertical="center"/>
      <protection hidden="1"/>
    </xf>
    <xf numFmtId="2" fontId="19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/>
      <protection locked="0" hidden="1"/>
    </xf>
    <xf numFmtId="4" fontId="18" fillId="6" borderId="48" xfId="0" applyNumberFormat="1" applyFont="1" applyFill="1" applyBorder="1" applyAlignment="1" applyProtection="1">
      <alignment vertical="center"/>
      <protection locked="0" hidden="1"/>
    </xf>
    <xf numFmtId="4" fontId="18" fillId="6" borderId="17" xfId="0" applyNumberFormat="1" applyFont="1" applyFill="1" applyBorder="1" applyAlignment="1" applyProtection="1">
      <alignment vertical="center"/>
      <protection locked="0" hidden="1"/>
    </xf>
    <xf numFmtId="2" fontId="19" fillId="9" borderId="50" xfId="0" applyNumberFormat="1" applyFont="1" applyFill="1" applyBorder="1" applyAlignment="1" applyProtection="1">
      <alignment horizontal="center" vertical="center" wrapText="1"/>
      <protection hidden="1"/>
    </xf>
    <xf numFmtId="14" fontId="4" fillId="4" borderId="53" xfId="0" applyNumberFormat="1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center" vertical="center"/>
      <protection hidden="1"/>
    </xf>
    <xf numFmtId="165" fontId="4" fillId="4" borderId="17" xfId="0" applyNumberFormat="1" applyFont="1" applyFill="1" applyBorder="1" applyAlignment="1" applyProtection="1">
      <alignment horizontal="center" vertical="center"/>
      <protection hidden="1"/>
    </xf>
    <xf numFmtId="165" fontId="4" fillId="4" borderId="54" xfId="0" applyNumberFormat="1" applyFont="1" applyFill="1" applyBorder="1" applyAlignment="1" applyProtection="1">
      <alignment horizontal="center" vertical="center"/>
      <protection hidden="1"/>
    </xf>
    <xf numFmtId="2" fontId="19" fillId="9" borderId="4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center" vertical="center"/>
      <protection locked="0" hidden="1"/>
    </xf>
    <xf numFmtId="0" fontId="4" fillId="0" borderId="51" xfId="0" applyFont="1" applyBorder="1" applyAlignment="1" applyProtection="1">
      <alignment horizontal="center" vertical="center"/>
      <protection locked="0" hidden="1"/>
    </xf>
    <xf numFmtId="14" fontId="4" fillId="4" borderId="56" xfId="0" applyNumberFormat="1" applyFont="1" applyFill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locked="0" hidden="1"/>
    </xf>
    <xf numFmtId="1" fontId="23" fillId="0" borderId="23" xfId="0" applyNumberFormat="1" applyFont="1" applyBorder="1" applyProtection="1">
      <protection hidden="1"/>
    </xf>
    <xf numFmtId="1" fontId="23" fillId="0" borderId="24" xfId="0" applyNumberFormat="1" applyFont="1" applyBorder="1" applyProtection="1">
      <protection hidden="1"/>
    </xf>
    <xf numFmtId="4" fontId="18" fillId="0" borderId="9" xfId="0" applyNumberFormat="1" applyFont="1" applyFill="1" applyBorder="1" applyAlignment="1" applyProtection="1">
      <alignment vertical="center"/>
      <protection hidden="1"/>
    </xf>
    <xf numFmtId="0" fontId="0" fillId="0" borderId="15" xfId="0" applyBorder="1" applyProtection="1">
      <protection locked="0" hidden="1"/>
    </xf>
    <xf numFmtId="0" fontId="0" fillId="0" borderId="17" xfId="0" applyBorder="1" applyProtection="1">
      <protection locked="0" hidden="1"/>
    </xf>
    <xf numFmtId="0" fontId="0" fillId="0" borderId="19" xfId="0" applyBorder="1" applyProtection="1">
      <protection locked="0" hidden="1"/>
    </xf>
    <xf numFmtId="0" fontId="0" fillId="0" borderId="9" xfId="0" applyBorder="1" applyProtection="1">
      <protection locked="0" hidden="1"/>
    </xf>
    <xf numFmtId="0" fontId="21" fillId="0" borderId="57" xfId="0" applyFont="1" applyBorder="1" applyProtection="1">
      <protection locked="0" hidden="1"/>
    </xf>
    <xf numFmtId="0" fontId="21" fillId="0" borderId="25" xfId="0" applyFont="1" applyBorder="1" applyProtection="1">
      <protection locked="0" hidden="1"/>
    </xf>
    <xf numFmtId="0" fontId="21" fillId="0" borderId="19" xfId="0" applyFont="1" applyBorder="1" applyProtection="1">
      <protection locked="0" hidden="1"/>
    </xf>
    <xf numFmtId="0" fontId="21" fillId="0" borderId="9" xfId="0" applyFont="1" applyBorder="1" applyProtection="1">
      <protection locked="0" hidden="1"/>
    </xf>
    <xf numFmtId="0" fontId="21" fillId="0" borderId="52" xfId="0" applyFont="1" applyBorder="1" applyProtection="1">
      <protection locked="0" hidden="1"/>
    </xf>
    <xf numFmtId="0" fontId="21" fillId="0" borderId="48" xfId="0" applyFont="1" applyBorder="1" applyProtection="1">
      <protection locked="0" hidden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 applyProtection="1">
      <alignment horizontal="center" vertical="center"/>
      <protection locked="0"/>
    </xf>
    <xf numFmtId="164" fontId="7" fillId="4" borderId="0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>
      <alignment horizontal="center" vertical="center"/>
    </xf>
    <xf numFmtId="3" fontId="0" fillId="6" borderId="15" xfId="0" applyNumberFormat="1" applyFont="1" applyFill="1" applyBorder="1" applyAlignment="1" applyProtection="1">
      <alignment vertical="center"/>
      <protection locked="0" hidden="1"/>
    </xf>
    <xf numFmtId="0" fontId="0" fillId="0" borderId="0" xfId="0" applyNumberFormat="1" applyFill="1" applyAlignment="1" applyProtection="1">
      <alignment horizontal="center" vertical="center"/>
      <protection locked="0"/>
    </xf>
    <xf numFmtId="3" fontId="0" fillId="0" borderId="8" xfId="0" applyNumberFormat="1" applyFill="1" applyBorder="1" applyAlignment="1" applyProtection="1">
      <alignment horizontal="center" vertical="center"/>
      <protection locked="0"/>
    </xf>
    <xf numFmtId="164" fontId="37" fillId="4" borderId="0" xfId="0" applyNumberFormat="1" applyFont="1" applyFill="1" applyBorder="1" applyAlignment="1">
      <alignment horizontal="center" vertical="center"/>
    </xf>
    <xf numFmtId="164" fontId="38" fillId="4" borderId="8" xfId="0" applyNumberFormat="1" applyFont="1" applyFill="1" applyBorder="1" applyAlignment="1">
      <alignment horizontal="center" vertical="center"/>
    </xf>
    <xf numFmtId="0" fontId="39" fillId="4" borderId="0" xfId="0" applyNumberFormat="1" applyFont="1" applyFill="1" applyBorder="1" applyAlignment="1">
      <alignment horizontal="center" vertical="center"/>
    </xf>
    <xf numFmtId="0" fontId="40" fillId="0" borderId="7" xfId="0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 applyProtection="1">
      <alignment horizontal="center" vertical="center"/>
      <protection locked="0"/>
    </xf>
    <xf numFmtId="0" fontId="38" fillId="0" borderId="0" xfId="0" applyNumberFormat="1" applyFont="1" applyFill="1" applyAlignment="1">
      <alignment horizontal="center" vertical="center"/>
    </xf>
    <xf numFmtId="164" fontId="4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Alignment="1">
      <alignment horizontal="center" vertical="center"/>
    </xf>
    <xf numFmtId="0" fontId="22" fillId="30" borderId="0" xfId="0" applyNumberFormat="1" applyFont="1" applyFill="1" applyAlignment="1">
      <alignment horizontal="center" vertical="center"/>
    </xf>
    <xf numFmtId="0" fontId="22" fillId="0" borderId="66" xfId="0" applyNumberFormat="1" applyFont="1" applyFill="1" applyBorder="1" applyAlignment="1">
      <alignment horizontal="center" vertical="center"/>
    </xf>
    <xf numFmtId="14" fontId="4" fillId="6" borderId="67" xfId="0" applyNumberFormat="1" applyFont="1" applyFill="1" applyBorder="1" applyAlignment="1" applyProtection="1">
      <alignment vertical="center"/>
      <protection locked="0" hidden="1"/>
    </xf>
    <xf numFmtId="3" fontId="0" fillId="6" borderId="57" xfId="0" applyNumberFormat="1" applyFill="1" applyBorder="1" applyAlignment="1" applyProtection="1">
      <alignment vertical="center"/>
      <protection locked="0" hidden="1"/>
    </xf>
    <xf numFmtId="0" fontId="0" fillId="0" borderId="57" xfId="0" applyBorder="1" applyProtection="1">
      <protection locked="0" hidden="1"/>
    </xf>
    <xf numFmtId="0" fontId="0" fillId="0" borderId="25" xfId="0" applyBorder="1" applyProtection="1">
      <protection locked="0" hidden="1"/>
    </xf>
    <xf numFmtId="0" fontId="40" fillId="0" borderId="9" xfId="0" applyNumberFormat="1" applyFont="1" applyBorder="1" applyProtection="1">
      <protection hidden="1"/>
    </xf>
    <xf numFmtId="4" fontId="43" fillId="0" borderId="9" xfId="0" applyNumberFormat="1" applyFont="1" applyFill="1" applyBorder="1" applyAlignment="1" applyProtection="1">
      <alignment vertical="center"/>
      <protection hidden="1"/>
    </xf>
    <xf numFmtId="3" fontId="0" fillId="6" borderId="57" xfId="0" applyNumberFormat="1" applyFill="1" applyBorder="1" applyAlignment="1" applyProtection="1">
      <alignment vertical="center"/>
      <protection hidden="1"/>
    </xf>
    <xf numFmtId="3" fontId="40" fillId="6" borderId="69" xfId="0" applyNumberFormat="1" applyFont="1" applyFill="1" applyBorder="1" applyAlignment="1" applyProtection="1">
      <alignment vertical="center"/>
      <protection locked="0" hidden="1"/>
    </xf>
    <xf numFmtId="4" fontId="0" fillId="0" borderId="69" xfId="0" applyNumberFormat="1" applyFill="1" applyBorder="1" applyAlignment="1" applyProtection="1">
      <alignment vertical="center"/>
      <protection hidden="1"/>
    </xf>
    <xf numFmtId="165" fontId="4" fillId="0" borderId="58" xfId="0" applyNumberFormat="1" applyFont="1" applyFill="1" applyBorder="1" applyAlignment="1" applyProtection="1">
      <alignment vertical="center"/>
      <protection hidden="1"/>
    </xf>
    <xf numFmtId="165" fontId="0" fillId="0" borderId="70" xfId="0" applyNumberFormat="1" applyFill="1" applyBorder="1" applyAlignment="1" applyProtection="1">
      <alignment vertical="center"/>
      <protection hidden="1"/>
    </xf>
    <xf numFmtId="165" fontId="40" fillId="0" borderId="26" xfId="0" applyNumberFormat="1" applyFont="1" applyFill="1" applyBorder="1" applyAlignment="1" applyProtection="1">
      <alignment vertical="center"/>
      <protection hidden="1"/>
    </xf>
    <xf numFmtId="3" fontId="0" fillId="0" borderId="68" xfId="0" applyNumberFormat="1" applyFill="1" applyBorder="1" applyAlignment="1" applyProtection="1">
      <alignment vertical="center"/>
      <protection hidden="1"/>
    </xf>
    <xf numFmtId="3" fontId="0" fillId="6" borderId="9" xfId="0" applyNumberFormat="1" applyFill="1" applyBorder="1" applyAlignment="1" applyProtection="1">
      <alignment vertical="center"/>
      <protection hidden="1"/>
    </xf>
    <xf numFmtId="4" fontId="0" fillId="0" borderId="52" xfId="0" applyNumberFormat="1" applyFill="1" applyBorder="1" applyAlignment="1" applyProtection="1">
      <alignment vertical="center"/>
      <protection hidden="1"/>
    </xf>
    <xf numFmtId="165" fontId="0" fillId="0" borderId="48" xfId="0" applyNumberFormat="1" applyFill="1" applyBorder="1" applyAlignment="1" applyProtection="1">
      <alignment vertical="center"/>
      <protection hidden="1"/>
    </xf>
    <xf numFmtId="165" fontId="40" fillId="0" borderId="20" xfId="0" applyNumberFormat="1" applyFont="1" applyFill="1" applyBorder="1" applyAlignment="1" applyProtection="1">
      <alignment vertical="center"/>
      <protection hidden="1"/>
    </xf>
    <xf numFmtId="3" fontId="0" fillId="0" borderId="58" xfId="0" applyNumberFormat="1" applyFill="1" applyBorder="1" applyAlignment="1" applyProtection="1">
      <alignment vertical="center"/>
      <protection hidden="1"/>
    </xf>
    <xf numFmtId="14" fontId="0" fillId="0" borderId="0" xfId="0" applyNumberFormat="1" applyProtection="1">
      <protection hidden="1"/>
    </xf>
    <xf numFmtId="2" fontId="3" fillId="4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vertical="center"/>
      <protection hidden="1"/>
    </xf>
    <xf numFmtId="14" fontId="4" fillId="0" borderId="9" xfId="0" applyNumberFormat="1" applyFont="1" applyBorder="1" applyAlignment="1" applyProtection="1">
      <alignment horizontal="center" vertical="center"/>
      <protection hidden="1"/>
    </xf>
    <xf numFmtId="3" fontId="0" fillId="0" borderId="68" xfId="0" applyNumberFormat="1" applyBorder="1" applyProtection="1">
      <protection hidden="1"/>
    </xf>
    <xf numFmtId="4" fontId="0" fillId="0" borderId="69" xfId="0" applyNumberFormat="1" applyBorder="1" applyProtection="1">
      <protection hidden="1"/>
    </xf>
    <xf numFmtId="165" fontId="4" fillId="0" borderId="68" xfId="0" applyNumberFormat="1" applyFont="1" applyBorder="1" applyProtection="1">
      <protection hidden="1"/>
    </xf>
    <xf numFmtId="165" fontId="0" fillId="0" borderId="70" xfId="0" applyNumberFormat="1" applyBorder="1" applyProtection="1">
      <protection hidden="1"/>
    </xf>
    <xf numFmtId="165" fontId="40" fillId="0" borderId="68" xfId="0" applyNumberFormat="1" applyFont="1" applyBorder="1" applyProtection="1">
      <protection hidden="1"/>
    </xf>
    <xf numFmtId="14" fontId="0" fillId="0" borderId="48" xfId="0" applyNumberFormat="1" applyBorder="1" applyProtection="1">
      <protection hidden="1"/>
    </xf>
    <xf numFmtId="2" fontId="4" fillId="6" borderId="0" xfId="0" applyNumberFormat="1" applyFont="1" applyFill="1" applyBorder="1" applyProtection="1">
      <protection locked="0" hidden="1"/>
    </xf>
    <xf numFmtId="3" fontId="0" fillId="0" borderId="0" xfId="0" applyNumberFormat="1" applyBorder="1" applyProtection="1">
      <protection hidden="1"/>
    </xf>
    <xf numFmtId="2" fontId="0" fillId="0" borderId="0" xfId="0" applyNumberFormat="1" applyBorder="1" applyProtection="1">
      <protection locked="0" hidden="1"/>
    </xf>
    <xf numFmtId="0" fontId="40" fillId="0" borderId="48" xfId="0" applyNumberFormat="1" applyFont="1" applyBorder="1" applyProtection="1">
      <protection hidden="1"/>
    </xf>
    <xf numFmtId="4" fontId="43" fillId="0" borderId="0" xfId="0" applyNumberFormat="1" applyFont="1" applyFill="1" applyBorder="1" applyProtection="1">
      <protection hidden="1"/>
    </xf>
    <xf numFmtId="0" fontId="40" fillId="0" borderId="69" xfId="0" applyFont="1" applyBorder="1" applyProtection="1">
      <protection locked="0" hidden="1"/>
    </xf>
    <xf numFmtId="0" fontId="4" fillId="0" borderId="71" xfId="0" applyFont="1" applyBorder="1" applyAlignment="1" applyProtection="1">
      <alignment horizontal="center" vertical="center"/>
      <protection locked="0" hidden="1"/>
    </xf>
    <xf numFmtId="0" fontId="0" fillId="0" borderId="52" xfId="0" applyBorder="1" applyProtection="1">
      <protection hidden="1"/>
    </xf>
    <xf numFmtId="0" fontId="0" fillId="0" borderId="48" xfId="0" applyBorder="1" applyProtection="1">
      <protection hidden="1"/>
    </xf>
    <xf numFmtId="0" fontId="0" fillId="0" borderId="58" xfId="0" applyBorder="1" applyProtection="1">
      <protection hidden="1"/>
    </xf>
    <xf numFmtId="0" fontId="0" fillId="0" borderId="72" xfId="0" applyBorder="1" applyProtection="1">
      <protection hidden="1"/>
    </xf>
    <xf numFmtId="0" fontId="4" fillId="4" borderId="54" xfId="0" applyNumberFormat="1" applyFont="1" applyFill="1" applyBorder="1" applyAlignment="1" applyProtection="1">
      <alignment horizontal="center" vertical="center"/>
      <protection hidden="1"/>
    </xf>
    <xf numFmtId="4" fontId="18" fillId="2" borderId="17" xfId="0" applyNumberFormat="1" applyFont="1" applyFill="1" applyBorder="1" applyAlignment="1" applyProtection="1">
      <alignment horizontal="center" vertical="center"/>
      <protection hidden="1"/>
    </xf>
    <xf numFmtId="2" fontId="1" fillId="0" borderId="0" xfId="1" applyNumberFormat="1" applyFill="1" applyAlignment="1" applyProtection="1">
      <alignment horizontal="center" vertical="center"/>
      <protection hidden="1"/>
    </xf>
    <xf numFmtId="2" fontId="1" fillId="7" borderId="9" xfId="4" applyNumberFormat="1" applyFont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3"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Акцент1" xfId="25"/>
    <cellStyle name="Акцент2" xfId="26"/>
    <cellStyle name="Акцент3" xfId="27"/>
    <cellStyle name="Акцент4" xfId="28"/>
    <cellStyle name="Акцент5" xfId="29"/>
    <cellStyle name="Акцент6" xfId="30"/>
    <cellStyle name="Ввод " xfId="31"/>
    <cellStyle name="Вывод" xfId="32"/>
    <cellStyle name="Вычисление 2" xfId="3"/>
    <cellStyle name="Заголовок 1" xfId="33"/>
    <cellStyle name="Заголовок 2" xfId="34"/>
    <cellStyle name="Заголовок 3" xfId="35"/>
    <cellStyle name="Заголовок 4 2" xfId="2"/>
    <cellStyle name="Итог" xfId="36"/>
    <cellStyle name="Контрольная ячейка" xfId="37"/>
    <cellStyle name="Название" xfId="1" builtinId="15" customBuiltin="1"/>
    <cellStyle name="Нейтральный" xfId="5"/>
    <cellStyle name="Обычный" xfId="0" builtinId="0"/>
    <cellStyle name="Плохой" xfId="38"/>
    <cellStyle name="Пояснение" xfId="39"/>
    <cellStyle name="Примечание" xfId="6" builtinId="10"/>
    <cellStyle name="Примечание 2" xfId="4"/>
    <cellStyle name="Связанная ячейка" xfId="40"/>
    <cellStyle name="Текст предупреждения" xfId="41"/>
    <cellStyle name="Хороший" xfId="42"/>
  </cellStyles>
  <dxfs count="111">
    <dxf>
      <font>
        <b val="0"/>
        <strike val="0"/>
        <outline val="0"/>
        <shadow val="0"/>
        <vertAlign val="baseline"/>
        <sz val="10"/>
        <color auto="1"/>
        <name val="Arial Cyr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strike val="0"/>
        <outline val="0"/>
        <shadow val="0"/>
        <vertAlign val="baseline"/>
        <sz val="10"/>
        <color auto="1"/>
        <name val="Arial Cyr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00B050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4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4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5" tint="-0.249977111117893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4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4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5" tint="-0.249977111117893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rgb="FF00B050"/>
        <name val="Arial Cyr"/>
        <scheme val="none"/>
      </font>
      <numFmt numFmtId="164" formatCode="0.0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4"/>
        <name val="Arial Cyr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rgb="FF00B050"/>
        <name val="Arial Cyr"/>
        <scheme val="none"/>
      </font>
      <numFmt numFmtId="164" formatCode="0.0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3"/>
        <name val="Arial Cyr"/>
        <scheme val="none"/>
      </font>
      <numFmt numFmtId="164" formatCode="0.0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outline="0">
        <right style="medium">
          <color indexed="64"/>
        </right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#,##0.00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 outline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 outline="0">
        <left style="thin">
          <color indexed="64"/>
        </left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>
        <left/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border diagonalUp="0" diagonalDown="0" outline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color rgb="FF0070C0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</font>
      <fill>
        <patternFill patternType="solid">
          <fgColor indexed="64"/>
          <bgColor theme="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general" vertical="center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numFmt numFmtId="19" formatCode="dd/mm/yyyy"/>
      <protection locked="1" hidden="1"/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  <numFmt numFmtId="2" formatCode="0.00"/>
      <fill>
        <patternFill>
          <fgColor rgb="FF000000"/>
        </patternFill>
      </fill>
      <alignment textRotation="0" indent="0" justifyLastLine="0" shrinkToFit="0" readingOrder="0"/>
      <border diagonalUp="0" diagonalDown="0">
        <right/>
        <bottom/>
      </border>
      <protection locked="1" hidden="1"/>
    </dxf>
    <dxf>
      <numFmt numFmtId="166" formatCode="#,000"/>
      <fill>
        <patternFill>
          <fgColor rgb="FF000000"/>
        </patternFill>
      </fill>
      <alignment vertical="center" textRotation="0" indent="0" justifyLastLine="0" shrinkToFit="0" readingOrder="0"/>
      <border diagonalUp="0" diagonalDown="0">
        <right/>
        <bottom/>
      </border>
      <protection locked="1" hidden="1"/>
    </dxf>
    <dxf>
      <border>
        <bottom style="medium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 Cyr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  <protection locked="1" hidden="1"/>
    </dxf>
    <dxf>
      <fill>
        <patternFill>
          <bgColor rgb="FFFFFF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#,##0.00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 outline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 outline="0">
        <left style="thin">
          <color indexed="64"/>
        </left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 outline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 outline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>
        <left/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border diagonalUp="0" diagonalDown="0" outline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color rgb="FF0070C0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</font>
      <fill>
        <patternFill patternType="solid">
          <fgColor indexed="64"/>
          <bgColor theme="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general" vertical="center" textRotation="0" wrapText="0" relative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1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  <numFmt numFmtId="2" formatCode="0.00"/>
      <fill>
        <patternFill>
          <fgColor indexed="64"/>
        </patternFill>
      </fill>
      <alignment textRotation="0" indent="0" justifyLastLine="0" shrinkToFit="0" readingOrder="0"/>
      <border diagonalUp="0" diagonalDown="0">
        <right/>
        <bottom/>
      </border>
      <protection locked="1" hidden="1"/>
    </dxf>
    <dxf>
      <numFmt numFmtId="166" formatCode="#,000"/>
      <fill>
        <patternFill>
          <fgColor indexed="64"/>
        </patternFill>
      </fill>
      <alignment vertical="center" textRotation="0" indent="0" justifyLastLine="0" shrinkToFit="0" readingOrder="0"/>
      <border diagonalUp="0" diagonalDown="0">
        <right/>
        <bottom/>
      </border>
      <protection locked="1" hidden="1"/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 Cyr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  <protection locked="1" hidden="1"/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ill>
        <patternFill>
          <bgColor rgb="FFFFFF00"/>
        </patternFill>
      </fill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45;&#1058;&#1040;&#1051;&#1054;%20&#1041;&#1040;&#1047;&#1040;%20&#1072;&#1074;&#1090;&#1086;&#1084;&#1072;&#1090;&#1080;&#1079;&#1072;&#1094;&#1080;&#1103;/&#1041;&#1072;&#1079;&#1072;/&#1044;&#1058;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отрудники"/>
      <sheetName val="ТС"/>
      <sheetName val="Номер"/>
    </sheetNames>
    <sheetDataSet>
      <sheetData sheetId="0" refreshError="1"/>
      <sheetData sheetId="1" refreshError="1">
        <row r="4">
          <cell r="D4">
            <v>43132</v>
          </cell>
          <cell r="E4">
            <v>180</v>
          </cell>
          <cell r="F4" t="str">
            <v>Фукс 350 д (Н)</v>
          </cell>
        </row>
        <row r="5">
          <cell r="D5">
            <v>43132</v>
          </cell>
          <cell r="E5">
            <v>250</v>
          </cell>
          <cell r="F5" t="str">
            <v>Погрузчик LG</v>
          </cell>
        </row>
        <row r="6">
          <cell r="D6">
            <v>43132</v>
          </cell>
        </row>
        <row r="7">
          <cell r="D7">
            <v>43132</v>
          </cell>
          <cell r="E7">
            <v>100</v>
          </cell>
          <cell r="F7" t="str">
            <v>Фукс 350 д (Н)</v>
          </cell>
        </row>
        <row r="8">
          <cell r="D8">
            <v>43133</v>
          </cell>
          <cell r="E8">
            <v>190</v>
          </cell>
          <cell r="F8" t="str">
            <v>Фукс 350 д (Н)</v>
          </cell>
        </row>
        <row r="9">
          <cell r="D9">
            <v>43133</v>
          </cell>
          <cell r="E9">
            <v>100</v>
          </cell>
          <cell r="F9" t="str">
            <v>Фукс 350 д (Н)</v>
          </cell>
        </row>
        <row r="10">
          <cell r="D10">
            <v>43134</v>
          </cell>
          <cell r="E10">
            <v>110</v>
          </cell>
          <cell r="F10" t="str">
            <v>Фукс 350 д (Н)</v>
          </cell>
        </row>
        <row r="11">
          <cell r="D11">
            <v>43134</v>
          </cell>
          <cell r="E11">
            <v>300</v>
          </cell>
          <cell r="F11" t="str">
            <v>Фукс 350 c</v>
          </cell>
        </row>
        <row r="12">
          <cell r="D12">
            <v>43135</v>
          </cell>
          <cell r="E12">
            <v>250</v>
          </cell>
          <cell r="F12" t="str">
            <v>Фукс 350 д (Н)</v>
          </cell>
        </row>
        <row r="13">
          <cell r="D13">
            <v>43136</v>
          </cell>
          <cell r="E13">
            <v>150</v>
          </cell>
          <cell r="F13" t="str">
            <v>Фукс 350 д (Н)</v>
          </cell>
        </row>
        <row r="14">
          <cell r="D14">
            <v>43136</v>
          </cell>
          <cell r="E14">
            <v>100</v>
          </cell>
          <cell r="F14" t="str">
            <v>Погрузчик LG</v>
          </cell>
        </row>
        <row r="15">
          <cell r="D15">
            <v>43137</v>
          </cell>
          <cell r="E15">
            <v>150</v>
          </cell>
          <cell r="F15" t="str">
            <v>Фукс 350 д (Н)</v>
          </cell>
        </row>
        <row r="16">
          <cell r="D16">
            <v>43137</v>
          </cell>
          <cell r="E16">
            <v>250</v>
          </cell>
          <cell r="F16" t="str">
            <v>Камаз 65115</v>
          </cell>
        </row>
        <row r="17">
          <cell r="D17">
            <v>43137</v>
          </cell>
          <cell r="E17">
            <v>150</v>
          </cell>
          <cell r="F17" t="str">
            <v>Погрузчик LG</v>
          </cell>
        </row>
        <row r="18">
          <cell r="D18">
            <v>43137</v>
          </cell>
          <cell r="E18">
            <v>270</v>
          </cell>
          <cell r="F18" t="str">
            <v>Фукс 350 c</v>
          </cell>
        </row>
        <row r="19">
          <cell r="D19">
            <v>43138</v>
          </cell>
          <cell r="E19">
            <v>170</v>
          </cell>
          <cell r="F19" t="str">
            <v>Фукс 350 д (Н)</v>
          </cell>
        </row>
        <row r="20">
          <cell r="D20">
            <v>43139</v>
          </cell>
          <cell r="E20">
            <v>300</v>
          </cell>
          <cell r="F20" t="str">
            <v>Фукс 350 д (Н)</v>
          </cell>
        </row>
        <row r="21">
          <cell r="D21">
            <v>43139</v>
          </cell>
          <cell r="E21">
            <v>100</v>
          </cell>
          <cell r="F21" t="str">
            <v>Погрузчик LG</v>
          </cell>
        </row>
        <row r="22">
          <cell r="D22">
            <v>43139</v>
          </cell>
          <cell r="E22">
            <v>300</v>
          </cell>
          <cell r="F22" t="str">
            <v>Камаз 65115</v>
          </cell>
        </row>
        <row r="23">
          <cell r="D23">
            <v>43139</v>
          </cell>
          <cell r="E23">
            <v>100</v>
          </cell>
          <cell r="F23" t="str">
            <v>Фукс 350 д (Н)</v>
          </cell>
        </row>
        <row r="24">
          <cell r="D24">
            <v>43140</v>
          </cell>
          <cell r="E24">
            <v>140</v>
          </cell>
          <cell r="F24" t="str">
            <v>Фукс 350 д (Н)</v>
          </cell>
        </row>
        <row r="25">
          <cell r="D25">
            <v>43140</v>
          </cell>
          <cell r="E25">
            <v>240</v>
          </cell>
          <cell r="F25" t="str">
            <v>Камаз 65115</v>
          </cell>
        </row>
        <row r="26">
          <cell r="D26">
            <v>43140</v>
          </cell>
          <cell r="E26">
            <v>335</v>
          </cell>
          <cell r="F26" t="str">
            <v>Камаз 65115</v>
          </cell>
        </row>
        <row r="27">
          <cell r="D27">
            <v>43140</v>
          </cell>
          <cell r="E27">
            <v>100</v>
          </cell>
          <cell r="F27" t="str">
            <v>Фукс 350 д (Н)</v>
          </cell>
        </row>
        <row r="28">
          <cell r="D28">
            <v>43141</v>
          </cell>
          <cell r="E28">
            <v>130</v>
          </cell>
          <cell r="F28" t="str">
            <v>Фукс 350 д (Н)</v>
          </cell>
        </row>
        <row r="29">
          <cell r="D29">
            <v>43141</v>
          </cell>
          <cell r="E29">
            <v>150</v>
          </cell>
          <cell r="F29" t="str">
            <v>Фукс 350 c</v>
          </cell>
        </row>
        <row r="30">
          <cell r="D30">
            <v>43142</v>
          </cell>
          <cell r="E30">
            <v>260</v>
          </cell>
          <cell r="F30" t="str">
            <v>Фукс 350 д (Н)</v>
          </cell>
        </row>
        <row r="31">
          <cell r="D31">
            <v>43142</v>
          </cell>
          <cell r="E31">
            <v>190</v>
          </cell>
          <cell r="F31" t="str">
            <v>Фукс 350 c</v>
          </cell>
        </row>
        <row r="32">
          <cell r="D32">
            <v>43143</v>
          </cell>
          <cell r="E32">
            <v>170</v>
          </cell>
          <cell r="F32" t="str">
            <v>Фукс 350 c</v>
          </cell>
        </row>
        <row r="33">
          <cell r="D33">
            <v>43143</v>
          </cell>
          <cell r="E33">
            <v>450</v>
          </cell>
          <cell r="F33" t="str">
            <v>Камаз 65115</v>
          </cell>
        </row>
        <row r="34">
          <cell r="D34">
            <v>43143</v>
          </cell>
          <cell r="E34">
            <v>290</v>
          </cell>
          <cell r="F34" t="str">
            <v>Камаз 65115</v>
          </cell>
        </row>
        <row r="35">
          <cell r="D35">
            <v>43144</v>
          </cell>
          <cell r="E35">
            <v>250</v>
          </cell>
          <cell r="F35" t="str">
            <v>Камаз 65115</v>
          </cell>
        </row>
        <row r="36">
          <cell r="D36">
            <v>43144</v>
          </cell>
        </row>
        <row r="37">
          <cell r="D37">
            <v>43144</v>
          </cell>
          <cell r="E37">
            <v>175</v>
          </cell>
          <cell r="F37" t="str">
            <v>Фукс 350 д (Н)</v>
          </cell>
        </row>
        <row r="38">
          <cell r="D38">
            <v>43144</v>
          </cell>
          <cell r="E38">
            <v>250</v>
          </cell>
          <cell r="F38" t="str">
            <v>Камаз 65115</v>
          </cell>
        </row>
        <row r="39">
          <cell r="D39">
            <v>43144</v>
          </cell>
          <cell r="E39">
            <v>100</v>
          </cell>
          <cell r="F39" t="str">
            <v>Погрузчик LG</v>
          </cell>
        </row>
        <row r="40">
          <cell r="D40">
            <v>43144</v>
          </cell>
          <cell r="E40">
            <v>150</v>
          </cell>
          <cell r="F40" t="str">
            <v>Фукс 350 д (Н)</v>
          </cell>
        </row>
        <row r="41">
          <cell r="D41">
            <v>43145</v>
          </cell>
          <cell r="E41">
            <v>260</v>
          </cell>
          <cell r="F41" t="str">
            <v>Фукс 350 д (Н)</v>
          </cell>
        </row>
        <row r="42">
          <cell r="D42">
            <v>43145</v>
          </cell>
          <cell r="E42">
            <v>200</v>
          </cell>
          <cell r="F42" t="str">
            <v>Погрузчик LG</v>
          </cell>
        </row>
        <row r="43">
          <cell r="D43">
            <v>43145</v>
          </cell>
          <cell r="E43">
            <v>310</v>
          </cell>
          <cell r="F43" t="str">
            <v>Камаз 65115</v>
          </cell>
        </row>
        <row r="44">
          <cell r="D44">
            <v>43145</v>
          </cell>
          <cell r="E44">
            <v>400</v>
          </cell>
          <cell r="F44" t="str">
            <v>Камаз 65115</v>
          </cell>
        </row>
        <row r="45">
          <cell r="D45">
            <v>43146</v>
          </cell>
          <cell r="E45">
            <v>240</v>
          </cell>
          <cell r="F45" t="str">
            <v>Фукс 350 д (Н)</v>
          </cell>
        </row>
        <row r="46">
          <cell r="D46">
            <v>43146</v>
          </cell>
          <cell r="E46">
            <v>90</v>
          </cell>
          <cell r="F46" t="str">
            <v>Камаз 65115</v>
          </cell>
        </row>
        <row r="47">
          <cell r="D47">
            <v>43146</v>
          </cell>
          <cell r="E47">
            <v>90</v>
          </cell>
          <cell r="F47" t="str">
            <v>Камаз 65115</v>
          </cell>
        </row>
        <row r="48">
          <cell r="D48">
            <v>43146</v>
          </cell>
          <cell r="E48">
            <v>300</v>
          </cell>
          <cell r="F48" t="str">
            <v>Камаз 65115</v>
          </cell>
        </row>
        <row r="49">
          <cell r="D49">
            <v>43146</v>
          </cell>
          <cell r="E49">
            <v>220</v>
          </cell>
          <cell r="F49" t="str">
            <v>Камаз 65115</v>
          </cell>
        </row>
        <row r="50">
          <cell r="D50">
            <v>43146</v>
          </cell>
          <cell r="E50">
            <v>110</v>
          </cell>
          <cell r="F50" t="str">
            <v>Камаз 65115</v>
          </cell>
        </row>
        <row r="51">
          <cell r="D51">
            <v>43146</v>
          </cell>
          <cell r="E51">
            <v>140</v>
          </cell>
          <cell r="F51" t="str">
            <v>Камаз 65115</v>
          </cell>
        </row>
        <row r="52">
          <cell r="D52">
            <v>43146</v>
          </cell>
          <cell r="F52" t="str">
            <v>прессножницы</v>
          </cell>
        </row>
        <row r="53">
          <cell r="D53">
            <v>43147</v>
          </cell>
          <cell r="E53">
            <v>180</v>
          </cell>
          <cell r="F53" t="str">
            <v>Фукс 350 д (Н)</v>
          </cell>
        </row>
        <row r="54">
          <cell r="D54">
            <v>43147</v>
          </cell>
          <cell r="E54">
            <v>80</v>
          </cell>
          <cell r="F54" t="str">
            <v>Камаз 65115</v>
          </cell>
        </row>
        <row r="55">
          <cell r="D55">
            <v>43147</v>
          </cell>
          <cell r="E55">
            <v>220</v>
          </cell>
          <cell r="F55" t="str">
            <v>Погрузчик LG</v>
          </cell>
        </row>
        <row r="56">
          <cell r="D56">
            <v>43148</v>
          </cell>
          <cell r="E56">
            <v>250</v>
          </cell>
          <cell r="F56" t="str">
            <v>Фукс 350 д (Н)</v>
          </cell>
        </row>
        <row r="57">
          <cell r="D57">
            <v>43148</v>
          </cell>
          <cell r="E57">
            <v>340</v>
          </cell>
          <cell r="F57" t="str">
            <v>Фукс 350 c</v>
          </cell>
        </row>
        <row r="58">
          <cell r="D58">
            <v>43148</v>
          </cell>
          <cell r="E58">
            <v>50</v>
          </cell>
          <cell r="F58" t="str">
            <v>Камаз 65115</v>
          </cell>
        </row>
        <row r="59">
          <cell r="D59">
            <v>43149</v>
          </cell>
          <cell r="E59">
            <v>250</v>
          </cell>
          <cell r="F59" t="str">
            <v>Фукс 350 д (Н)</v>
          </cell>
        </row>
        <row r="60">
          <cell r="D60">
            <v>43149</v>
          </cell>
        </row>
        <row r="61">
          <cell r="D61">
            <v>43150</v>
          </cell>
          <cell r="E61">
            <v>240</v>
          </cell>
          <cell r="F61" t="str">
            <v>Фукс 350 д (Н)</v>
          </cell>
        </row>
        <row r="62">
          <cell r="D62">
            <v>43150</v>
          </cell>
          <cell r="E62">
            <v>210</v>
          </cell>
          <cell r="F62" t="str">
            <v>Фукс 350 c</v>
          </cell>
        </row>
        <row r="63">
          <cell r="D63">
            <v>43150</v>
          </cell>
          <cell r="E63">
            <v>155</v>
          </cell>
          <cell r="F63" t="str">
            <v>Погрузчик LG</v>
          </cell>
        </row>
        <row r="64">
          <cell r="D64">
            <v>43150</v>
          </cell>
          <cell r="E64">
            <v>280</v>
          </cell>
          <cell r="F64" t="str">
            <v>Камаз 65115</v>
          </cell>
        </row>
        <row r="65">
          <cell r="D65">
            <v>43151</v>
          </cell>
          <cell r="E65">
            <v>350</v>
          </cell>
          <cell r="F65" t="str">
            <v>Камаз 65115</v>
          </cell>
        </row>
        <row r="66">
          <cell r="D66">
            <v>43151</v>
          </cell>
          <cell r="E66">
            <v>170</v>
          </cell>
          <cell r="F66" t="str">
            <v>Фукс 350 д (Н)</v>
          </cell>
        </row>
        <row r="67">
          <cell r="D67">
            <v>43151</v>
          </cell>
          <cell r="E67">
            <v>350</v>
          </cell>
          <cell r="F67" t="str">
            <v>Камаз 65115</v>
          </cell>
        </row>
        <row r="68">
          <cell r="D68">
            <v>43151</v>
          </cell>
          <cell r="E68">
            <v>380</v>
          </cell>
          <cell r="F68" t="str">
            <v>Камаз 65115</v>
          </cell>
        </row>
        <row r="69">
          <cell r="D69">
            <v>43152</v>
          </cell>
          <cell r="E69">
            <v>240</v>
          </cell>
          <cell r="F69" t="str">
            <v>Фукс 350 д (Н)</v>
          </cell>
        </row>
        <row r="70">
          <cell r="D70">
            <v>43153</v>
          </cell>
          <cell r="E70">
            <v>220</v>
          </cell>
          <cell r="F70" t="str">
            <v>Фукс 350 д (Н)</v>
          </cell>
        </row>
        <row r="71">
          <cell r="D71">
            <v>43153</v>
          </cell>
          <cell r="E71">
            <v>250</v>
          </cell>
          <cell r="F71" t="str">
            <v>Камаз 65115</v>
          </cell>
        </row>
        <row r="72">
          <cell r="D72">
            <v>43153</v>
          </cell>
          <cell r="E72">
            <v>240</v>
          </cell>
          <cell r="F72" t="str">
            <v>Камаз 65115</v>
          </cell>
        </row>
        <row r="73">
          <cell r="D73">
            <v>43153</v>
          </cell>
          <cell r="E73">
            <v>230</v>
          </cell>
          <cell r="F73" t="str">
            <v>Камаз 65115</v>
          </cell>
        </row>
        <row r="74">
          <cell r="D74">
            <v>43153</v>
          </cell>
          <cell r="E74">
            <v>190</v>
          </cell>
          <cell r="F74" t="str">
            <v>Фукс 350 c</v>
          </cell>
        </row>
        <row r="75">
          <cell r="D75">
            <v>43153</v>
          </cell>
          <cell r="E75">
            <v>250</v>
          </cell>
          <cell r="F75" t="str">
            <v>Погрузчик LG</v>
          </cell>
        </row>
        <row r="76">
          <cell r="D76">
            <v>43154</v>
          </cell>
          <cell r="E76">
            <v>190</v>
          </cell>
          <cell r="F76" t="str">
            <v>Фукс 350 д (Н)</v>
          </cell>
        </row>
        <row r="77">
          <cell r="D77">
            <v>43154</v>
          </cell>
        </row>
        <row r="78">
          <cell r="D78">
            <v>43155</v>
          </cell>
          <cell r="E78">
            <v>240</v>
          </cell>
          <cell r="F78" t="str">
            <v>Фукс 350 c</v>
          </cell>
        </row>
        <row r="79">
          <cell r="D79">
            <v>43156</v>
          </cell>
          <cell r="E79">
            <v>230</v>
          </cell>
          <cell r="F79" t="str">
            <v>Фукс 350 c</v>
          </cell>
        </row>
        <row r="80">
          <cell r="D80">
            <v>43156</v>
          </cell>
          <cell r="E80">
            <v>220</v>
          </cell>
          <cell r="F80" t="str">
            <v>Погрузчик LG</v>
          </cell>
        </row>
        <row r="81">
          <cell r="D81">
            <v>43157</v>
          </cell>
          <cell r="E81">
            <v>290</v>
          </cell>
          <cell r="F81" t="str">
            <v>Фукс 350 c</v>
          </cell>
        </row>
        <row r="82">
          <cell r="D82">
            <v>43158</v>
          </cell>
          <cell r="E82">
            <v>210</v>
          </cell>
          <cell r="F82" t="str">
            <v>Фукс 350 c</v>
          </cell>
        </row>
        <row r="83">
          <cell r="D83">
            <v>43158</v>
          </cell>
          <cell r="E83">
            <v>350</v>
          </cell>
          <cell r="F83" t="str">
            <v>Камаз 65115</v>
          </cell>
        </row>
        <row r="84">
          <cell r="D84">
            <v>43159</v>
          </cell>
          <cell r="E84">
            <v>270</v>
          </cell>
          <cell r="F84" t="str">
            <v>Фукс 350 c</v>
          </cell>
        </row>
        <row r="85">
          <cell r="D85">
            <v>43159</v>
          </cell>
          <cell r="E85">
            <v>360</v>
          </cell>
          <cell r="F85" t="str">
            <v>Камаз 65115</v>
          </cell>
        </row>
        <row r="86">
          <cell r="D86">
            <v>43159</v>
          </cell>
          <cell r="E86">
            <v>100</v>
          </cell>
          <cell r="F86" t="str">
            <v>Камаз 65115</v>
          </cell>
        </row>
        <row r="87">
          <cell r="D87">
            <v>43159</v>
          </cell>
          <cell r="E87">
            <v>290</v>
          </cell>
          <cell r="F87" t="str">
            <v>Камаз 65115</v>
          </cell>
        </row>
        <row r="88">
          <cell r="D88">
            <v>43159</v>
          </cell>
          <cell r="E88">
            <v>440</v>
          </cell>
          <cell r="F88" t="str">
            <v>Камаз 65115</v>
          </cell>
        </row>
        <row r="89">
          <cell r="D89">
            <v>43159</v>
          </cell>
          <cell r="E89">
            <v>285</v>
          </cell>
          <cell r="F89" t="str">
            <v>Камаз 65115</v>
          </cell>
        </row>
        <row r="90">
          <cell r="D90">
            <v>43159</v>
          </cell>
          <cell r="E90">
            <v>300</v>
          </cell>
          <cell r="F90" t="str">
            <v>Камаз 65115</v>
          </cell>
        </row>
        <row r="91">
          <cell r="D91">
            <v>43159</v>
          </cell>
          <cell r="E91">
            <v>190</v>
          </cell>
          <cell r="F91" t="str">
            <v>Погрузчик LG</v>
          </cell>
        </row>
        <row r="92">
          <cell r="D92">
            <v>43159</v>
          </cell>
          <cell r="F92" t="str">
            <v>прессножницы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4" name="Январь" displayName="Январь" ref="A6:P70" totalsRowCount="1" headerRowDxfId="105" dataDxfId="103" totalsRowDxfId="102" headerRowBorderDxfId="104" totalsRowBorderDxfId="101">
  <tableColumns count="16">
    <tableColumn id="1" name="Дата" totalsRowLabel="Итог" dataDxfId="100" totalsRowDxfId="99">
      <calculatedColumnFormula>IF(ISEVEN(ROW(A1)),IFERROR(--(ROW(A1)/2&amp;P$1&amp;I$4),""),"")</calculatedColumnFormula>
    </tableColumn>
    <tableColumn id="2" name="ФИО водителя" dataDxfId="98" totalsRowDxfId="97"/>
    <tableColumn id="3" name="Показание одометра машины на начало дня, км" dataDxfId="96" totalsRowDxfId="95"/>
    <tableColumn id="4" name="Показание одометра машины на конец дня, км" dataDxfId="94" totalsRowDxfId="93"/>
    <tableColumn id="5" name="Пройдено за день, км" totalsRowFunction="sum" dataDxfId="92" totalsRowDxfId="91"/>
    <tableColumn id="6" name="Выдано топливо, литр" totalsRowFunction="sum" dataDxfId="90" totalsRowDxfId="89">
      <calculatedColumnFormula>SUMPRODUCT([1]Январь!$E$4:$E$153*([1]Январь!$F$4:$F$153=$O$4)*([1]Январь!$D$4:$D$153=Январь[[#This Row],[Дата]]))</calculatedColumnFormula>
    </tableColumn>
    <tableColumn id="7" name="Остаток топлива в баке на начало дня, литр" dataDxfId="88" totalsRowDxfId="87">
      <calculatedColumnFormula>IF(Январь[[#This Row],[Дата]]="","",VLOOKUP($O$4,ТС!$B$5:$E$10,4,FALSE))</calculatedColumnFormula>
    </tableColumn>
    <tableColumn id="8" name="Показание счетчика моточасов спецоборудования на начало дня, м/ч" dataDxfId="86" totalsRowDxfId="85">
      <calculatedColumnFormula>IF(Январь[[#This Row],[Дата]]="","",VLOOKUP($O$4,ТС!$B$5:$E$10,3,FALSE))</calculatedColumnFormula>
    </tableColumn>
    <tableColumn id="9" name="Показание счетчика моточасов  спецоборудования на конец дня, м/ч" dataDxfId="84" totalsRowDxfId="83"/>
    <tableColumn id="10" name="Работа спецоборудования за день, м/ч" totalsRowFunction="sum" dataDxfId="82" totalsRowDxfId="81">
      <calculatedColumnFormula>IF(W7="",Январь[[#This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calculatedColumnFormula>
    </tableColumn>
    <tableColumn id="11" name="Количество ходок" totalsRowFunction="sum" dataDxfId="80" totalsRowDxfId="79"/>
    <tableColumn id="12" name="Расход топлива на работу спецоборудования, литр" totalsRowFunction="sum" dataDxfId="78" totalsRowDxfId="77">
      <calculatedColumnFormula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calculatedColumnFormula>
    </tableColumn>
    <tableColumn id="13" name="Остаток топлива в баке на конец дня, литр" dataDxfId="76" totalsRowDxfId="75">
      <calculatedColumnFormula>Январь[[#This Row],[Выдано топливо, литр]]+U7+Январь[[#This Row],[Остаток топлива в баке на начало дня, литр]]</calculatedColumnFormula>
    </tableColumn>
    <tableColumn id="14" name="Расход топлива по норме, литр" totalsRowFunction="sum" dataDxfId="74" totalsRowDxfId="73">
      <calculatedColumnFormula>IFERROR(ROUND((Январь[[#This Row],[Пройдено за день, км]]*0.01*$Y$2+Январь[[#This Row],[Расход топлива на работу спецоборудования, литр]]),3)+X7,)</calculatedColumnFormula>
    </tableColumn>
    <tableColumn id="15" name="Фактический расход топлива, литр" totalsRowFunction="sum" dataDxfId="72" totalsRowDxfId="71">
      <calculatedColumnFormula>IF(Январь[[#This Row],[Дата]]="","",IFERROR(ROUND(Январь[[#This Row],[Расход топлива по норме, литр]]/VLOOKUP(Январь[Дата],S$2:W$4,5),0)+Y7,))</calculatedColumnFormula>
    </tableColumn>
    <tableColumn id="16" name="Отклонение от нормы (Перерасход(+), экономия(-)), литр" totalsRowFunction="sum" dataDxfId="70" totalsRowDxfId="69">
      <calculatedColumnFormula>IFERROR(Январь[[#This Row],[Фактический расход топлива, литр]]-Январь[[#This Row],[Расход топлива по норме, литр]],"")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5" name="Февраль" displayName="Февраль" ref="A6:P38" totalsRowCount="1" headerRowDxfId="63" dataDxfId="61" totalsRowDxfId="60" headerRowBorderDxfId="62" totalsRowBorderDxfId="59">
  <tableColumns count="16">
    <tableColumn id="1" name="Дата" totalsRowLabel="Итог" dataDxfId="58" totalsRowDxfId="57">
      <calculatedColumnFormula>IFERROR(DATEVALUE((COUNT($A$6:A6)+1)&amp;$P$1&amp;$I$4),"")</calculatedColumnFormula>
    </tableColumn>
    <tableColumn id="2" name="ФИО водителя" dataDxfId="56" totalsRowDxfId="55"/>
    <tableColumn id="3" name="Показание одометра машины на начало дня, км" dataDxfId="54" totalsRowDxfId="53"/>
    <tableColumn id="4" name="Показание одометра машины на конец дня, км" dataDxfId="52" totalsRowDxfId="51"/>
    <tableColumn id="5" name="Пройдено за день, км" totalsRowFunction="sum" dataDxfId="50" totalsRowDxfId="49">
      <calculatedColumnFormula>IFERROR(Февраль[[#This Row],[Показание одометра машины на конец дня, км]]-Февраль[[#This Row],[Показание одометра машины на начало дня, км]]+T7,"")</calculatedColumnFormula>
    </tableColumn>
    <tableColumn id="6" name="Выдано топливо, литр" totalsRowFunction="sum" dataDxfId="48" totalsRowDxfId="47">
      <calculatedColumnFormula>IF(Февраль[[#This Row],[Дата]]="","",SUMPRODUCT([1]Февраль!$E$4:$E$153*([1]Февраль!$F$4:$F$153=$O$4)*([1]Февраль!$D$4:$D$153=Январь[[#This Row],[Дата]])))</calculatedColumnFormula>
    </tableColumn>
    <tableColumn id="7" name="Остаток топлива в баке на начало дня, литр" dataDxfId="46" totalsRowDxfId="45">
      <calculatedColumnFormula>IF(Февраль[[#This Row],[Дата]]="","",VLOOKUP($O$4,ТС!$B$5:$E$10,4,FALSE))</calculatedColumnFormula>
    </tableColumn>
    <tableColumn id="8" name="Показание счетчика моточасов спецоборудования на начало дня, м/ч" dataDxfId="44" totalsRowDxfId="43">
      <calculatedColumnFormula>IF(Февраль[[#This Row],[Дата]]="","",VLOOKUP($O$4,ТС!$B$5:$E$10,3,FALSE))</calculatedColumnFormula>
    </tableColumn>
    <tableColumn id="9" name="Показание счетчика моточасов  спецоборудования на конец дня, м/ч" dataDxfId="42" totalsRowDxfId="41"/>
    <tableColumn id="10" name="Работа спецоборудования за день, м/ч" totalsRowFunction="sum" dataDxfId="40" totalsRowDxfId="39">
      <calculatedColumnFormula>IFERROR(IF(W7="",Февраль[[#This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calculatedColumnFormula>
    </tableColumn>
    <tableColumn id="11" name="Количество ходок" totalsRowFunction="sum" dataDxfId="38" totalsRowDxfId="37"/>
    <tableColumn id="12" name="Расход топлива на работу спецоборудования, литр" totalsRowFunction="sum" dataDxfId="36" totalsRowDxfId="35">
      <calculatedColumnFormula>IF(Февраль[[#This Row],[Работа спецоборудования за день, м/ч]]="","",Февраль[[#This Row],[Работа спецоборудования за день, м/ч]]*$Z$2)</calculatedColumnFormula>
    </tableColumn>
    <tableColumn id="13" name="Остаток топлива в баке на конец дня, литр" dataDxfId="34" totalsRowDxfId="33">
      <calculatedColumnFormula>IFERROR(IF(VLOOKUP(Февраль[Дата],S$2:U$3,3),IFERROR(IF(U7="",Февраль[[#This Row],[Выдано топливо, литр]],Февраль[[#This Row],[Выдано топливо, литр]]+U7)+Февраль[[#This Row],[Остаток топлива в баке на начало дня, литр]]-Февраль[[#This Row],[Фактический расход топлива, литр]],""),""),"")</calculatedColumnFormula>
    </tableColumn>
    <tableColumn id="14" name="Расход топлива по норме, литр" totalsRowFunction="sum" dataDxfId="32" totalsRowDxfId="31">
      <calculatedColumnFormula>IFERROR(ROUND((Февраль[[#This Row],[Пройдено за день, км]]*0.01*$Y$2+Февраль[[#This Row],[Расход топлива на работу спецоборудования, литр]]),3)+X7,"")</calculatedColumnFormula>
    </tableColumn>
    <tableColumn id="15" name="Фактический расход топлива, литр" totalsRowFunction="sum" dataDxfId="30" totalsRowDxfId="29">
      <calculatedColumnFormula>IF(Февраль[[#This Row],[Дата]]="","",IFERROR(ROUND(Февраль[[#This Row],[Расход топлива по норме, литр]]/VLOOKUP(Февраль[Дата],S$2:W$4,5),0)+Y7,))</calculatedColumnFormula>
    </tableColumn>
    <tableColumn id="16" name="Отклонение от нормы (Перерасход(+), экономия(-)), литр" totalsRowFunction="sum" dataDxfId="28" totalsRowDxfId="27">
      <calculatedColumnFormula>IFERROR(Февраль[[#This Row],[Фактический расход топлива, литр]]-Февраль[[#This Row],[Расход топлива по норме, литр]],"")</calculatedColumnFormula>
    </tableColumn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id="3" name="Расчет" displayName="Расчет" ref="A4:Y10" totalsRowShown="0" headerRowDxfId="26" dataDxfId="25">
  <tableColumns count="25">
    <tableColumn id="3" name="№ п/п" dataDxfId="24"/>
    <tableColumn id="5" name="Номер гос.регистрации / Заводской номер" dataDxfId="23"/>
    <tableColumn id="6" name="Километраж, км" dataDxfId="22"/>
    <tableColumn id="7" name="Спецоборудование, м/ч" dataDxfId="21"/>
    <tableColumn id="8" name="Топливо, л" dataDxfId="20"/>
    <tableColumn id="9" name="Базовая норма расхода на 100 км" dataDxfId="19"/>
    <tableColumn id="10" name="Зима" dataDxfId="18"/>
    <tableColumn id="11" name="Лето" dataDxfId="17"/>
    <tableColumn id="12" name="Итога норма а/м ЗИМА" dataDxfId="16">
      <calculatedColumnFormula>F5*(100+G5)%</calculatedColumnFormula>
    </tableColumn>
    <tableColumn id="13" name="Итога норма а/м ЛЕТО" dataDxfId="15">
      <calculatedColumnFormula>F5*(100+H5)%</calculatedColumnFormula>
    </tableColumn>
    <tableColumn id="14" name="Базовая норма расхода на 1 мото/час" dataDxfId="14"/>
    <tableColumn id="15" name="&quot;Зима&quot;" dataDxfId="13"/>
    <tableColumn id="16" name="&quot;Лето&quot;" dataDxfId="12"/>
    <tableColumn id="17" name="Итога норма а/м &quot;ЗИМА&quot;" dataDxfId="11">
      <calculatedColumnFormula>K5*(100+L5)%</calculatedColumnFormula>
    </tableColumn>
    <tableColumn id="18" name="Итога норма а/м &quot;ЛЕТО&quot;" dataDxfId="10">
      <calculatedColumnFormula>K5*(100+M5)%</calculatedColumnFormula>
    </tableColumn>
    <tableColumn id="19" name="Норма на 100 км, литров" dataDxfId="9"/>
    <tableColumn id="20" name="движение с манипулятором" dataDxfId="8">
      <calculatedColumnFormula>R5*S5</calculatedColumnFormula>
    </tableColumn>
    <tableColumn id="21" name="Тоннаж" dataDxfId="7"/>
    <tableColumn id="22" name="Литры" dataDxfId="6"/>
    <tableColumn id="23" name="На движение с грузом" dataDxfId="5">
      <calculatedColumnFormula>U5*V5*S5</calculatedColumnFormula>
    </tableColumn>
    <tableColumn id="24" name="Тоннаж1" dataDxfId="4"/>
    <tableColumn id="25" name="К-т загрузки" dataDxfId="3"/>
    <tableColumn id="26" name="ИТОГ" dataDxfId="2">
      <calculatedColumnFormula>P5+Q5+T5</calculatedColumnFormula>
    </tableColumn>
    <tableColumn id="27" name="25% за работу в городе с населением свыше 3 млн. человек" dataDxfId="1">
      <calculatedColumnFormula>W5*25%+W5</calculatedColumnFormula>
    </tableColumn>
    <tableColumn id="28" name="10 % за работу зимой" dataDxfId="0">
      <calculatedColumnFormula>W5*10%+X5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72"/>
  <sheetViews>
    <sheetView tabSelected="1" zoomScale="60" zoomScaleNormal="60" workbookViewId="0">
      <pane xSplit="1" ySplit="6" topLeftCell="B7" activePane="bottomRight" state="frozen"/>
      <selection activeCell="O4" sqref="O4:P4"/>
      <selection pane="topRight" activeCell="O4" sqref="O4:P4"/>
      <selection pane="bottomLeft" activeCell="O4" sqref="O4:P4"/>
      <selection pane="bottomRight" activeCell="V2" sqref="V2"/>
    </sheetView>
  </sheetViews>
  <sheetFormatPr defaultColWidth="9.140625" defaultRowHeight="12.75" x14ac:dyDescent="0.2"/>
  <cols>
    <col min="1" max="1" width="12.7109375" style="23" customWidth="1"/>
    <col min="2" max="2" width="15.7109375" style="23" customWidth="1"/>
    <col min="3" max="15" width="12.7109375" style="23" customWidth="1"/>
    <col min="16" max="16" width="17.7109375" style="23" customWidth="1"/>
    <col min="17" max="17" width="3.140625" style="70" customWidth="1"/>
    <col min="18" max="26" width="11.7109375" style="23" customWidth="1"/>
    <col min="27" max="27" width="11" style="23" bestFit="1" customWidth="1"/>
    <col min="28" max="28" width="9.140625" style="23"/>
    <col min="29" max="29" width="13" style="196" customWidth="1"/>
    <col min="30" max="16384" width="9.140625" style="23"/>
  </cols>
  <sheetData>
    <row r="1" spans="1:26" ht="51" customHeight="1" thickBot="1" x14ac:dyDescent="0.25">
      <c r="P1" s="114" t="s">
        <v>53</v>
      </c>
      <c r="R1" s="74"/>
      <c r="S1" s="74"/>
      <c r="T1" s="111"/>
      <c r="V1" s="74"/>
      <c r="W1" s="74"/>
      <c r="X1" s="75" t="s">
        <v>65</v>
      </c>
      <c r="Y1" s="98" t="s">
        <v>32</v>
      </c>
      <c r="Z1" s="99" t="s">
        <v>37</v>
      </c>
    </row>
    <row r="2" spans="1:26" ht="22.5" x14ac:dyDescent="0.2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R2" s="91" t="s">
        <v>74</v>
      </c>
      <c r="S2" s="100">
        <v>43101</v>
      </c>
      <c r="T2" s="87">
        <v>43118</v>
      </c>
      <c r="U2" s="89">
        <f>ТС!E5</f>
        <v>350</v>
      </c>
      <c r="V2" s="218">
        <f ca="1">SUMIFS(Январь[Выдано топливо, литр],Январь[Дата],"&gt;="&amp;$S$2,Январь[Дата],"&lt;="&amp;$T$2)+IF(MONTH(T2)&lt;&gt;MONTH(S2),INDIRECT(TEXT(A7-1,"ММММ")&amp;"!F69")-SUM(INDIRECT(TEXT(A7-1,"ММММ")&amp;"!V1:V2")))+SUMIFS($U$7:$U$69,Январь[Дата],"&gt;="&amp;$S$2,Январь[Дата],"&lt;="&amp;$T$2)+IF(MONTH(T2)&lt;&gt;MONTH(S2),INDIRECT(TEXT(A7-1,"ММММ")&amp;"!F69")-SUM(INDIRECT(TEXT(A7-1,"ММММ")&amp;"!V1:V2")))</f>
        <v>2300</v>
      </c>
      <c r="W2" s="88">
        <f ca="1">IF(V2=0,0,(SUMIFS($N$7:$N$69,$A$7:$A$69,"&gt;="&amp;$S$2,$A$7:$A$69,"&lt;="&amp;$T$2))/(V2-U2+G7))</f>
        <v>0.78913043478260858</v>
      </c>
      <c r="X2" s="85">
        <f ca="1">SUMIFS(Январь[Отклонение от нормы (Перерасход(+), экономия(-)), литр],Январь[Дата],"&gt;="&amp;$S$2,Январь[Дата],"&lt;="&amp;$T$2)</f>
        <v>485</v>
      </c>
      <c r="Y2" s="76">
        <f>IF(Y4="Зима",VLOOKUP(Z4,Расчет[[Номер гос.регистрации / Заводской номер]:[Итога норма а/м "ЛЕТО"]],8,FALSE),VLOOKUP(Z4,Расчет[[Номер гос.регистрации / Заводской номер]:[Итога норма а/м "ЛЕТО"]],9,FALSE))</f>
        <v>0</v>
      </c>
      <c r="Z2" s="77">
        <f>IF(Y4="Зима",VLOOKUP(Z4,Расчет[[Номер гос.регистрации / Заводской номер]:[Итога норма а/м "ЛЕТО"]],13,FALSE),VLOOKUP(Z4,Расчет[[Номер гос.регистрации / Заводской номер]:[Итога норма а/м "ЛЕТО"]],14,FALSE))</f>
        <v>18.150000000000002</v>
      </c>
    </row>
    <row r="3" spans="1:26" ht="23.25" thickBot="1" x14ac:dyDescent="0.25">
      <c r="A3" s="219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R3" s="92" t="s">
        <v>75</v>
      </c>
      <c r="S3" s="102">
        <f>T2+1</f>
        <v>43119</v>
      </c>
      <c r="T3" s="103" t="str">
        <f>INDEX(Январь[Дата],COUNT(Январь[Дата]))</f>
        <v/>
      </c>
      <c r="U3" s="90">
        <f>ТС!E6</f>
        <v>350</v>
      </c>
      <c r="V3" s="104" t="e">
        <f ca="1">SUMIFS(Январь[Выдано топливо, литр],Январь[Дата],"&gt;="&amp;$S$3,Январь[Дата],"&lt;="&amp;$T$3)+IF(MONTH(T3)&lt;&gt;MONTH(S3),INDIRECT(TEXT(A7-1,"ММММ")&amp;"!F38")-SUM(INDIRECT(TEXT(A7-1,"ММММ")&amp;"!V1:V2")))+SUMIFS($U$7:$U$68,Январь[Дата],"&gt;="&amp;$S$3,Январь[Дата],"&lt;="&amp;$T$3)+IF(MONTH(T3)&lt;&gt;MONTH(S3),INDIRECT(TEXT(A7-1,"ММММ")&amp;"!F38")-SUM(INDIRECT(TEXT(A7-1,"ММММ")&amp;"!V1:V2")))</f>
        <v>#VALUE!</v>
      </c>
      <c r="W3" s="96" t="e">
        <f ca="1">IF(V3=0,0,(SUMIFS($N$7:$N$69,$A$7:$A$69,"&gt;="&amp;$S$3,$A$7:$A$69,"&lt;="&amp;$T$3))/(V3-U3+U3))</f>
        <v>#VALUE!</v>
      </c>
      <c r="X3" s="86">
        <f>SUMIFS(Январь[Отклонение от нормы (Перерасход(+), экономия(-)), литр],Январь[Дата],"&gt;="&amp;$S$3,Январь[Дата],"&lt;="&amp;$T$3)</f>
        <v>0</v>
      </c>
      <c r="Y3" s="93"/>
      <c r="Z3" s="94"/>
    </row>
    <row r="4" spans="1:26" ht="23.25" thickBot="1" x14ac:dyDescent="0.35">
      <c r="A4" s="24"/>
      <c r="D4" s="24"/>
      <c r="E4" s="24"/>
      <c r="F4" s="24"/>
      <c r="G4" s="24"/>
      <c r="H4" s="25" t="s">
        <v>2</v>
      </c>
      <c r="I4" s="58">
        <v>2018</v>
      </c>
      <c r="K4" s="24"/>
      <c r="L4" s="24"/>
      <c r="M4" s="24"/>
      <c r="N4" s="24"/>
      <c r="O4" s="220" t="s">
        <v>88</v>
      </c>
      <c r="P4" s="220"/>
      <c r="R4" s="74"/>
      <c r="S4" s="105" t="str">
        <f>IF(INDEX(Январь[Дата],COUNT(Январь[Дата]))=T3,"",T3+1)</f>
        <v/>
      </c>
      <c r="V4" s="74"/>
      <c r="W4" s="95" t="str">
        <f ca="1">IFERROR(IF(S4="","",INDIRECT(TEXT(A7+40,"ММММ")&amp;"!W2")),)</f>
        <v/>
      </c>
      <c r="X4" s="74"/>
      <c r="Y4" s="112" t="s">
        <v>33</v>
      </c>
      <c r="Z4" s="113" t="s">
        <v>69</v>
      </c>
    </row>
    <row r="5" spans="1:26" ht="8.25" customHeight="1" thickBot="1" x14ac:dyDescent="0.25"/>
    <row r="6" spans="1:26" ht="63.75" customHeight="1" thickBot="1" x14ac:dyDescent="0.25">
      <c r="A6" s="197" t="s">
        <v>3</v>
      </c>
      <c r="B6" s="79" t="s">
        <v>4</v>
      </c>
      <c r="C6" s="80" t="s">
        <v>5</v>
      </c>
      <c r="D6" s="80" t="s">
        <v>6</v>
      </c>
      <c r="E6" s="80" t="s">
        <v>7</v>
      </c>
      <c r="F6" s="80" t="s">
        <v>8</v>
      </c>
      <c r="G6" s="80" t="s">
        <v>9</v>
      </c>
      <c r="H6" s="80" t="s">
        <v>10</v>
      </c>
      <c r="I6" s="81" t="s">
        <v>11</v>
      </c>
      <c r="J6" s="81" t="s">
        <v>12</v>
      </c>
      <c r="K6" s="81" t="s">
        <v>13</v>
      </c>
      <c r="L6" s="81" t="s">
        <v>14</v>
      </c>
      <c r="M6" s="81" t="s">
        <v>15</v>
      </c>
      <c r="N6" s="81" t="s">
        <v>16</v>
      </c>
      <c r="O6" s="81" t="s">
        <v>17</v>
      </c>
      <c r="P6" s="82" t="s">
        <v>18</v>
      </c>
      <c r="R6" s="115" t="s">
        <v>3</v>
      </c>
      <c r="S6" s="124" t="s">
        <v>72</v>
      </c>
      <c r="T6" s="106" t="s">
        <v>7</v>
      </c>
      <c r="U6" s="106" t="s">
        <v>8</v>
      </c>
      <c r="V6" s="106" t="s">
        <v>73</v>
      </c>
      <c r="W6" s="106" t="s">
        <v>12</v>
      </c>
      <c r="X6" s="106" t="s">
        <v>16</v>
      </c>
      <c r="Y6" s="120" t="s">
        <v>17</v>
      </c>
      <c r="Z6" s="119" t="s">
        <v>3</v>
      </c>
    </row>
    <row r="7" spans="1:26" ht="15" customHeight="1" thickBot="1" x14ac:dyDescent="0.25">
      <c r="A7" s="199" t="str">
        <f>IF(ISEVEN(ROW(A1)),IFERROR(--(ROW(A1)/2&amp;P$1&amp;I$4),""),"")</f>
        <v/>
      </c>
      <c r="B7" s="108"/>
      <c r="C7" s="107">
        <f>ТС!C5</f>
        <v>0</v>
      </c>
      <c r="D7" s="57"/>
      <c r="E7" s="27"/>
      <c r="F7" s="137"/>
      <c r="G7" s="107">
        <f>ТС!E5</f>
        <v>350</v>
      </c>
      <c r="H7" s="107">
        <f>ТС!D5</f>
        <v>29170</v>
      </c>
      <c r="I7" s="57">
        <v>29170</v>
      </c>
      <c r="J7" s="28">
        <f>IF(W7="",Январь[[#This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7" s="71"/>
      <c r="L7" s="29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7" s="60">
        <f>Январь[[#This Row],[Выдано топливо, литр]]+U7+Январь[[#This Row],[Остаток топлива в баке на начало дня, литр]]</f>
        <v>350</v>
      </c>
      <c r="N7" s="30">
        <f>IFERROR(ROUND((Январь[[#This Row],[Пройдено за день, км]]*0.01*$Y$2+Январь[[#This Row],[Расход топлива на работу спецоборудования, литр]]),3)+X7,)</f>
        <v>0</v>
      </c>
      <c r="O7" s="29" t="str">
        <f>IF(Январь[[#This Row],[Дата]]="","",IFERROR(ROUND(Январь[[#This Row],[Расход топлива по норме, литр]]/VLOOKUP(Январь[Дата],S$2:W$4,5),0)+Y7,))</f>
        <v/>
      </c>
      <c r="P7" s="31" t="str">
        <f>IFERROR(Январь[[#This Row],[Фактический расход топлива, литр]]-Январь[[#This Row],[Расход топлива по норме, литр]],"")</f>
        <v/>
      </c>
      <c r="R7" s="116" t="str">
        <f>Январь[[#This Row],[Дата]]</f>
        <v/>
      </c>
      <c r="S7" s="138"/>
      <c r="T7" s="83"/>
      <c r="U7" s="123"/>
      <c r="V7" s="139"/>
      <c r="W7" s="83"/>
      <c r="X7" s="83"/>
      <c r="Y7" s="212"/>
      <c r="Z7" s="116" t="str">
        <f>Январь[[#This Row],[Дата]]</f>
        <v/>
      </c>
    </row>
    <row r="8" spans="1:26" ht="15" customHeight="1" x14ac:dyDescent="0.2">
      <c r="A8" s="199">
        <f>IF(ISEVEN(ROW(A2)),IFERROR(--(ROW(A2)/2&amp;P$1&amp;I$4),""),"")</f>
        <v>43101</v>
      </c>
      <c r="B8" s="178"/>
      <c r="C8" s="39"/>
      <c r="D8" s="179"/>
      <c r="E8" s="182"/>
      <c r="F8" s="183"/>
      <c r="G8" s="190">
        <f>M7</f>
        <v>350</v>
      </c>
      <c r="H8" s="39">
        <f>I7</f>
        <v>29170</v>
      </c>
      <c r="I8" s="184">
        <v>29170</v>
      </c>
      <c r="J8" s="39">
        <f>IF(W8="",Январь[[#This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8" s="185"/>
      <c r="L8" s="186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8" s="187">
        <f>Январь[[#This Row],[Выдано топливо, литр]]+U8+Январь[[#This Row],[Остаток топлива в баке на начало дня, литр]]</f>
        <v>350</v>
      </c>
      <c r="N8" s="188">
        <f>IFERROR(ROUND((Январь[[#This Row],[Пройдено за день, км]]*0.01*$Y$2+Январь[[#This Row],[Расход топлива на работу спецоборудования, литр]]),3)+X8,)</f>
        <v>0</v>
      </c>
      <c r="O8" s="186">
        <f ca="1">IF(Январь[[#This Row],[Дата]]="","",IFERROR(ROUND(Январь[[#This Row],[Расход топлива по норме, литр]]/VLOOKUP(Январь[Дата],S$2:W$4,5),0)+Y8,))</f>
        <v>0</v>
      </c>
      <c r="P8" s="189">
        <f ca="1">IFERROR(Январь[[#This Row],[Фактический расход топлива, литр]]-Январь[[#This Row],[Расход топлива по норме, литр]],"")</f>
        <v>0</v>
      </c>
      <c r="R8" s="133">
        <f>Январь[[#This Row],[Дата]]</f>
        <v>43101</v>
      </c>
      <c r="S8" s="180"/>
      <c r="T8" s="118"/>
      <c r="U8" s="63"/>
      <c r="V8" s="181"/>
      <c r="W8" s="118"/>
      <c r="X8" s="118"/>
      <c r="Y8" s="131"/>
      <c r="Z8" s="133">
        <f>Январь[[#This Row],[Дата]]</f>
        <v>43101</v>
      </c>
    </row>
    <row r="9" spans="1:26" ht="12.75" customHeight="1" x14ac:dyDescent="0.2">
      <c r="A9" s="199" t="str">
        <f t="shared" ref="A9:A68" si="0">IF(ISEVEN(ROW(A3)),IFERROR(--(ROW(A3)/2&amp;P$1&amp;I$4),""),"")</f>
        <v/>
      </c>
      <c r="B9" s="109"/>
      <c r="C9" s="39" t="str">
        <f t="shared" ref="C9:C14" ca="1" si="1">IFERROR(IF(INDIRECT(TEXT(A6,"ММММ")&amp;"!A7:A37")="","",IF(S6="",D6,S6)),"")</f>
        <v/>
      </c>
      <c r="D9" s="56"/>
      <c r="E9" s="34"/>
      <c r="F9" s="137"/>
      <c r="G9" s="39">
        <f t="shared" ref="G9:G69" si="2">M8</f>
        <v>350</v>
      </c>
      <c r="H9" s="39">
        <f t="shared" ref="H9:H69" si="3">I8</f>
        <v>29170</v>
      </c>
      <c r="I9" s="56">
        <v>29170</v>
      </c>
      <c r="J9" s="33">
        <f>IF(W9="",Январь[[#This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9" s="72"/>
      <c r="L9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9" s="60">
        <f>Январь[[#This Row],[Выдано топливо, литр]]+U9+Январь[[#This Row],[Остаток топлива в баке на начало дня, литр]]</f>
        <v>350</v>
      </c>
      <c r="N9" s="36">
        <f>IFERROR(ROUND((Январь[[#This Row],[Пройдено за день, км]]*0.01*$Y$2+Январь[[#This Row],[Расход топлива на работу спецоборудования, литр]]),3)+X9,)</f>
        <v>0</v>
      </c>
      <c r="O9" s="35" t="str">
        <f>IF(Январь[[#This Row],[Дата]]="","",IFERROR(ROUND(Январь[[#This Row],[Расход топлива по норме, литр]]/VLOOKUP(Январь[Дата],S$2:W$4,5),0)+Y9,))</f>
        <v/>
      </c>
      <c r="P9" s="37" t="str">
        <f>IFERROR(Январь[[#This Row],[Фактический расход топлива, литр]]-Январь[[#This Row],[Расход топлива по норме, литр]],"")</f>
        <v/>
      </c>
      <c r="R9" s="117" t="str">
        <f>Январь[[#This Row],[Дата]]</f>
        <v/>
      </c>
      <c r="S9" s="140"/>
      <c r="T9" s="84"/>
      <c r="U9" s="62"/>
      <c r="V9" s="141"/>
      <c r="W9" s="84"/>
      <c r="X9" s="84"/>
      <c r="Y9" s="132"/>
      <c r="Z9" s="117" t="str">
        <f>Январь[[#This Row],[Дата]]</f>
        <v/>
      </c>
    </row>
    <row r="10" spans="1:26" ht="12.75" customHeight="1" x14ac:dyDescent="0.2">
      <c r="A10" s="199">
        <f t="shared" si="0"/>
        <v>43102</v>
      </c>
      <c r="B10" s="109"/>
      <c r="C10" s="39" t="str">
        <f t="shared" ca="1" si="1"/>
        <v/>
      </c>
      <c r="D10" s="56"/>
      <c r="E10" s="182"/>
      <c r="F10" s="183"/>
      <c r="G10" s="190">
        <f t="shared" si="2"/>
        <v>350</v>
      </c>
      <c r="H10" s="39">
        <f t="shared" si="3"/>
        <v>29170</v>
      </c>
      <c r="I10" s="191">
        <v>29170</v>
      </c>
      <c r="J10" s="33">
        <f>IF(W10="",Январь[[#This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10" s="185"/>
      <c r="L10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10" s="187">
        <f>Январь[[#This Row],[Выдано топливо, литр]]+U10+Январь[[#This Row],[Остаток топлива в баке на начало дня, литр]]</f>
        <v>350</v>
      </c>
      <c r="N10" s="193">
        <f>IFERROR(ROUND((Январь[[#This Row],[Пройдено за день, км]]*0.01*$Y$2+Январь[[#This Row],[Расход топлива на работу спецоборудования, литр]]),3)+X10,)</f>
        <v>0</v>
      </c>
      <c r="O10" s="192">
        <f ca="1">IF(Январь[[#This Row],[Дата]]="","",IFERROR(ROUND(Январь[[#This Row],[Расход топлива по норме, литр]]/VLOOKUP(Январь[Дата],S$2:W$4,5),0)+Y10,))</f>
        <v>0</v>
      </c>
      <c r="P10" s="194">
        <f ca="1">IFERROR(Январь[[#This Row],[Фактический расход топлива, литр]]-Январь[[#This Row],[Расход топлива по норме, литр]],"")</f>
        <v>0</v>
      </c>
      <c r="R10" s="117">
        <f>Январь[[#This Row],[Дата]]</f>
        <v>43102</v>
      </c>
      <c r="S10" s="140"/>
      <c r="T10" s="84"/>
      <c r="U10" s="62"/>
      <c r="V10" s="141"/>
      <c r="W10" s="84"/>
      <c r="X10" s="84"/>
      <c r="Y10" s="132"/>
      <c r="Z10" s="117">
        <f>Январь[[#This Row],[Дата]]</f>
        <v>43102</v>
      </c>
    </row>
    <row r="11" spans="1:26" ht="12.75" customHeight="1" x14ac:dyDescent="0.2">
      <c r="A11" s="199" t="str">
        <f t="shared" si="0"/>
        <v/>
      </c>
      <c r="B11" s="109"/>
      <c r="C11" s="39" t="str">
        <f t="shared" ca="1" si="1"/>
        <v/>
      </c>
      <c r="D11" s="56"/>
      <c r="E11" s="182"/>
      <c r="F11" s="183"/>
      <c r="G11" s="190">
        <f t="shared" si="2"/>
        <v>350</v>
      </c>
      <c r="H11" s="39">
        <f t="shared" si="3"/>
        <v>29170</v>
      </c>
      <c r="I11" s="191">
        <v>29170</v>
      </c>
      <c r="J11" s="33">
        <f>IF(W11="",Январь[[#This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11" s="185"/>
      <c r="L11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11" s="187">
        <f>Январь[[#This Row],[Выдано топливо, литр]]+U11+Январь[[#This Row],[Остаток топлива в баке на начало дня, литр]]</f>
        <v>350</v>
      </c>
      <c r="N11" s="193">
        <f>IFERROR(ROUND((Январь[[#This Row],[Пройдено за день, км]]*0.01*$Y$2+Январь[[#This Row],[Расход топлива на работу спецоборудования, литр]]),3)+X11,)</f>
        <v>0</v>
      </c>
      <c r="O11" s="192" t="str">
        <f>IF(Январь[[#This Row],[Дата]]="","",IFERROR(ROUND(Январь[[#This Row],[Расход топлива по норме, литр]]/VLOOKUP(Январь[Дата],S$2:W$4,5),0)+Y11,))</f>
        <v/>
      </c>
      <c r="P11" s="194" t="str">
        <f>IFERROR(Январь[[#This Row],[Фактический расход топлива, литр]]-Январь[[#This Row],[Расход топлива по норме, литр]],"")</f>
        <v/>
      </c>
      <c r="R11" s="117" t="str">
        <f>Январь[[#This Row],[Дата]]</f>
        <v/>
      </c>
      <c r="S11" s="140"/>
      <c r="T11" s="84"/>
      <c r="U11" s="62"/>
      <c r="V11" s="141"/>
      <c r="W11" s="84"/>
      <c r="X11" s="84"/>
      <c r="Y11" s="132"/>
      <c r="Z11" s="117" t="str">
        <f>Январь[[#This Row],[Дата]]</f>
        <v/>
      </c>
    </row>
    <row r="12" spans="1:26" x14ac:dyDescent="0.2">
      <c r="A12" s="199">
        <f t="shared" si="0"/>
        <v>43103</v>
      </c>
      <c r="B12" s="109"/>
      <c r="C12" s="39" t="str">
        <f t="shared" ca="1" si="1"/>
        <v/>
      </c>
      <c r="D12" s="56"/>
      <c r="E12" s="34"/>
      <c r="F12" s="137"/>
      <c r="G12" s="33">
        <f t="shared" si="2"/>
        <v>350</v>
      </c>
      <c r="H12" s="39">
        <f t="shared" si="3"/>
        <v>29170</v>
      </c>
      <c r="I12" s="56">
        <v>29170</v>
      </c>
      <c r="J12" s="33">
        <f>IF(W12="",Январь[[#This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12" s="72"/>
      <c r="L12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12" s="60">
        <f>Январь[[#This Row],[Выдано топливо, литр]]+U12+Январь[[#This Row],[Остаток топлива в баке на начало дня, литр]]</f>
        <v>350</v>
      </c>
      <c r="N12" s="36">
        <f>IFERROR(ROUND((Январь[[#This Row],[Пройдено за день, км]]*0.01*$Y$2+Январь[[#This Row],[Расход топлива на работу спецоборудования, литр]]),3)+X12,)</f>
        <v>0</v>
      </c>
      <c r="O12" s="35">
        <f ca="1">IF(Январь[[#This Row],[Дата]]="","",IFERROR(ROUND(Январь[[#This Row],[Расход топлива по норме, литр]]/VLOOKUP(Январь[Дата],S$2:W$4,5),0)+Y12,))</f>
        <v>0</v>
      </c>
      <c r="P12" s="37">
        <f ca="1">IFERROR(Январь[[#This Row],[Фактический расход топлива, литр]]-Январь[[#This Row],[Расход топлива по норме, литр]],"")</f>
        <v>0</v>
      </c>
      <c r="R12" s="117">
        <f>Январь[[#This Row],[Дата]]</f>
        <v>43103</v>
      </c>
      <c r="S12" s="140"/>
      <c r="T12" s="84"/>
      <c r="U12" s="62"/>
      <c r="V12" s="141"/>
      <c r="W12" s="84"/>
      <c r="X12" s="84"/>
      <c r="Y12" s="132"/>
      <c r="Z12" s="117">
        <f>Январь[[#This Row],[Дата]]</f>
        <v>43103</v>
      </c>
    </row>
    <row r="13" spans="1:26" x14ac:dyDescent="0.2">
      <c r="A13" s="199" t="str">
        <f t="shared" si="0"/>
        <v/>
      </c>
      <c r="B13" s="109"/>
      <c r="C13" s="39" t="str">
        <f t="shared" ca="1" si="1"/>
        <v/>
      </c>
      <c r="D13" s="56"/>
      <c r="E13" s="182"/>
      <c r="F13" s="183"/>
      <c r="G13" s="195">
        <f t="shared" si="2"/>
        <v>350</v>
      </c>
      <c r="H13" s="39">
        <f t="shared" si="3"/>
        <v>29170</v>
      </c>
      <c r="I13" s="191">
        <v>29170</v>
      </c>
      <c r="J13" s="33">
        <f>IF(W13="",Январь[[#This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13" s="185"/>
      <c r="L13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13" s="187">
        <f>Январь[[#This Row],[Выдано топливо, литр]]+U13+Январь[[#This Row],[Остаток топлива в баке на начало дня, литр]]</f>
        <v>350</v>
      </c>
      <c r="N13" s="193">
        <f>IFERROR(ROUND((Январь[[#This Row],[Пройдено за день, км]]*0.01*$Y$2+Январь[[#This Row],[Расход топлива на работу спецоборудования, литр]]),3)+X13,)</f>
        <v>0</v>
      </c>
      <c r="O13" s="192" t="str">
        <f>IF(Январь[[#This Row],[Дата]]="","",IFERROR(ROUND(Январь[[#This Row],[Расход топлива по норме, литр]]/VLOOKUP(Январь[Дата],S$2:W$4,5),0)+Y13,))</f>
        <v/>
      </c>
      <c r="P13" s="194" t="str">
        <f>IFERROR(Январь[[#This Row],[Фактический расход топлива, литр]]-Январь[[#This Row],[Расход топлива по норме, литр]],"")</f>
        <v/>
      </c>
      <c r="R13" s="117" t="str">
        <f>Январь[[#This Row],[Дата]]</f>
        <v/>
      </c>
      <c r="S13" s="140"/>
      <c r="T13" s="84"/>
      <c r="U13" s="62"/>
      <c r="V13" s="141"/>
      <c r="W13" s="84"/>
      <c r="X13" s="84"/>
      <c r="Y13" s="132"/>
      <c r="Z13" s="117" t="str">
        <f>Январь[[#This Row],[Дата]]</f>
        <v/>
      </c>
    </row>
    <row r="14" spans="1:26" x14ac:dyDescent="0.2">
      <c r="A14" s="199">
        <f t="shared" si="0"/>
        <v>43104</v>
      </c>
      <c r="B14" s="109"/>
      <c r="C14" s="39" t="str">
        <f t="shared" ca="1" si="1"/>
        <v/>
      </c>
      <c r="D14" s="56"/>
      <c r="E14" s="182"/>
      <c r="F14" s="183"/>
      <c r="G14" s="195">
        <f t="shared" si="2"/>
        <v>350</v>
      </c>
      <c r="H14" s="39">
        <f t="shared" si="3"/>
        <v>29170</v>
      </c>
      <c r="I14" s="191">
        <v>29170</v>
      </c>
      <c r="J14" s="33">
        <f>IF(W14="",Январь[[#This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14" s="185"/>
      <c r="L14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14" s="187">
        <f>Январь[[#This Row],[Выдано топливо, литр]]+U14+Январь[[#This Row],[Остаток топлива в баке на начало дня, литр]]</f>
        <v>350</v>
      </c>
      <c r="N14" s="193">
        <f>IFERROR(ROUND((Январь[[#This Row],[Пройдено за день, км]]*0.01*$Y$2+Январь[[#This Row],[Расход топлива на работу спецоборудования, литр]]),3)+X14,)</f>
        <v>0</v>
      </c>
      <c r="O14" s="192">
        <f ca="1">IF(Январь[[#This Row],[Дата]]="","",IFERROR(ROUND(Январь[[#This Row],[Расход топлива по норме, литр]]/VLOOKUP(Январь[Дата],S$2:W$4,5),0)+Y14,))</f>
        <v>0</v>
      </c>
      <c r="P14" s="194">
        <f ca="1">IFERROR(Январь[[#This Row],[Фактический расход топлива, литр]]-Январь[[#This Row],[Расход топлива по норме, литр]],"")</f>
        <v>0</v>
      </c>
      <c r="R14" s="117">
        <f>Январь[[#This Row],[Дата]]</f>
        <v>43104</v>
      </c>
      <c r="S14" s="140"/>
      <c r="T14" s="84"/>
      <c r="U14" s="62"/>
      <c r="V14" s="141"/>
      <c r="W14" s="84"/>
      <c r="X14" s="84"/>
      <c r="Y14" s="132"/>
      <c r="Z14" s="117">
        <f>Январь[[#This Row],[Дата]]</f>
        <v>43104</v>
      </c>
    </row>
    <row r="15" spans="1:26" x14ac:dyDescent="0.2">
      <c r="A15" s="199" t="str">
        <f t="shared" si="0"/>
        <v/>
      </c>
      <c r="B15" s="109"/>
      <c r="C15" s="39" t="str">
        <f ca="1">IFERROR(IF(INDIRECT(TEXT(A12,"ММММ")&amp;"!A7:A37")="","",IF(S12="",D12,S12)),"")</f>
        <v/>
      </c>
      <c r="D15" s="56"/>
      <c r="E15" s="34"/>
      <c r="F15" s="137"/>
      <c r="G15" s="33">
        <f t="shared" si="2"/>
        <v>350</v>
      </c>
      <c r="H15" s="39">
        <f t="shared" si="3"/>
        <v>29170</v>
      </c>
      <c r="I15" s="56">
        <v>29170</v>
      </c>
      <c r="J15" s="33">
        <f>IF(W15="",Январь[[#This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15" s="72"/>
      <c r="L15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15" s="60">
        <f>Январь[[#This Row],[Выдано топливо, литр]]+U15+Январь[[#This Row],[Остаток топлива в баке на начало дня, литр]]</f>
        <v>350</v>
      </c>
      <c r="N15" s="36">
        <f>IFERROR(ROUND((Январь[[#This Row],[Пройдено за день, км]]*0.01*$Y$2+Январь[[#This Row],[Расход топлива на работу спецоборудования, литр]]),3)+X15,)</f>
        <v>0</v>
      </c>
      <c r="O15" s="35" t="str">
        <f>IF(Январь[[#This Row],[Дата]]="","",IFERROR(ROUND(Январь[[#This Row],[Расход топлива по норме, литр]]/VLOOKUP(Январь[Дата],S$2:W$4,5),0)+Y15,))</f>
        <v/>
      </c>
      <c r="P15" s="37" t="str">
        <f>IFERROR(Январь[[#This Row],[Фактический расход топлива, литр]]-Январь[[#This Row],[Расход топлива по норме, литр]],"")</f>
        <v/>
      </c>
      <c r="R15" s="117" t="str">
        <f>Январь[[#This Row],[Дата]]</f>
        <v/>
      </c>
      <c r="S15" s="140"/>
      <c r="T15" s="84"/>
      <c r="U15" s="62"/>
      <c r="V15" s="141"/>
      <c r="W15" s="84"/>
      <c r="X15" s="84"/>
      <c r="Y15" s="132"/>
      <c r="Z15" s="117" t="str">
        <f>Январь[[#This Row],[Дата]]</f>
        <v/>
      </c>
    </row>
    <row r="16" spans="1:26" x14ac:dyDescent="0.2">
      <c r="A16" s="199">
        <f t="shared" si="0"/>
        <v>43105</v>
      </c>
      <c r="B16" s="109"/>
      <c r="C16" s="39" t="str">
        <f t="shared" ref="C16:C58" ca="1" si="4">IFERROR(IF(INDIRECT(TEXT(A15,"ММММ")&amp;"!A7:A37")="","",IF(S15="",D15,S15)),"")</f>
        <v/>
      </c>
      <c r="D16" s="56"/>
      <c r="E16" s="34"/>
      <c r="F16" s="137"/>
      <c r="G16" s="33">
        <f t="shared" si="2"/>
        <v>350</v>
      </c>
      <c r="H16" s="39">
        <f t="shared" si="3"/>
        <v>29170</v>
      </c>
      <c r="I16" s="56">
        <v>29179</v>
      </c>
      <c r="J16" s="33">
        <f>IF(W16="",Январь[[#This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9</v>
      </c>
      <c r="K16" s="72"/>
      <c r="L16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163.35000000000002</v>
      </c>
      <c r="M16" s="60">
        <f>Январь[[#This Row],[Выдано топливо, литр]]+U16+Январь[[#This Row],[Остаток топлива в баке на начало дня, литр]]</f>
        <v>350</v>
      </c>
      <c r="N16" s="36">
        <f>IFERROR(ROUND((Январь[[#This Row],[Пройдено за день, км]]*0.01*$Y$2+Январь[[#This Row],[Расход топлива на работу спецоборудования, литр]]),3)+X16,)</f>
        <v>163.35</v>
      </c>
      <c r="O16" s="35">
        <f ca="1">IF(Январь[[#This Row],[Дата]]="","",IFERROR(ROUND(Январь[[#This Row],[Расход топлива по норме, литр]]/VLOOKUP(Январь[Дата],S$2:W$4,5),0)+Y16,))</f>
        <v>207</v>
      </c>
      <c r="P16" s="37">
        <f ca="1">IFERROR(Январь[[#This Row],[Фактический расход топлива, литр]]-Январь[[#This Row],[Расход топлива по норме, литр]],"")</f>
        <v>43.650000000000006</v>
      </c>
      <c r="R16" s="117">
        <f>Январь[[#This Row],[Дата]]</f>
        <v>43105</v>
      </c>
      <c r="S16" s="140"/>
      <c r="T16" s="84"/>
      <c r="U16" s="62"/>
      <c r="V16" s="141"/>
      <c r="W16" s="84"/>
      <c r="X16" s="84"/>
      <c r="Y16" s="132"/>
      <c r="Z16" s="117">
        <f>Январь[[#This Row],[Дата]]</f>
        <v>43105</v>
      </c>
    </row>
    <row r="17" spans="1:26" x14ac:dyDescent="0.2">
      <c r="A17" s="199" t="str">
        <f t="shared" si="0"/>
        <v/>
      </c>
      <c r="B17" s="109"/>
      <c r="C17" s="39" t="str">
        <f t="shared" ca="1" si="4"/>
        <v/>
      </c>
      <c r="D17" s="56"/>
      <c r="E17" s="34"/>
      <c r="F17" s="137"/>
      <c r="G17" s="33">
        <f t="shared" si="2"/>
        <v>350</v>
      </c>
      <c r="H17" s="39">
        <f t="shared" si="3"/>
        <v>29179</v>
      </c>
      <c r="I17" s="56">
        <v>29189</v>
      </c>
      <c r="J17" s="33">
        <f>IF(W17="",Январь[[#This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10</v>
      </c>
      <c r="K17" s="72"/>
      <c r="L17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181.50000000000003</v>
      </c>
      <c r="M17" s="60">
        <f>Январь[[#This Row],[Выдано топливо, литр]]+U17+Январь[[#This Row],[Остаток топлива в баке на начало дня, литр]]</f>
        <v>350</v>
      </c>
      <c r="N17" s="36">
        <f>IFERROR(ROUND((Январь[[#This Row],[Пройдено за день, км]]*0.01*$Y$2+Январь[[#This Row],[Расход топлива на работу спецоборудования, литр]]),3)+X17,)</f>
        <v>181.5</v>
      </c>
      <c r="O17" s="35" t="str">
        <f>IF(Январь[[#This Row],[Дата]]="","",IFERROR(ROUND(Январь[[#This Row],[Расход топлива по норме, литр]]/VLOOKUP(Январь[Дата],S$2:W$4,5),0)+Y17,))</f>
        <v/>
      </c>
      <c r="P17" s="37" t="str">
        <f>IFERROR(Январь[[#This Row],[Фактический расход топлива, литр]]-Январь[[#This Row],[Расход топлива по норме, литр]],"")</f>
        <v/>
      </c>
      <c r="R17" s="117" t="str">
        <f>Январь[[#This Row],[Дата]]</f>
        <v/>
      </c>
      <c r="S17" s="140"/>
      <c r="T17" s="84"/>
      <c r="U17" s="62"/>
      <c r="V17" s="141"/>
      <c r="W17" s="84"/>
      <c r="X17" s="84"/>
      <c r="Y17" s="132"/>
      <c r="Z17" s="117" t="str">
        <f>Январь[[#This Row],[Дата]]</f>
        <v/>
      </c>
    </row>
    <row r="18" spans="1:26" x14ac:dyDescent="0.2">
      <c r="A18" s="199">
        <f t="shared" si="0"/>
        <v>43106</v>
      </c>
      <c r="B18" s="109"/>
      <c r="C18" s="39"/>
      <c r="D18" s="56"/>
      <c r="E18" s="182"/>
      <c r="F18" s="183"/>
      <c r="G18" s="195">
        <f t="shared" si="2"/>
        <v>350</v>
      </c>
      <c r="H18" s="39">
        <f t="shared" si="3"/>
        <v>29189</v>
      </c>
      <c r="I18" s="191">
        <v>29189</v>
      </c>
      <c r="J18" s="33">
        <f>IF(W18="",Январь[[#This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18" s="185"/>
      <c r="L18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18" s="187">
        <f>Январь[[#This Row],[Выдано топливо, литр]]+U18+Январь[[#This Row],[Остаток топлива в баке на начало дня, литр]]</f>
        <v>500</v>
      </c>
      <c r="N18" s="193">
        <f>IFERROR(ROUND((Январь[[#This Row],[Пройдено за день, км]]*0.01*$Y$2+Январь[[#This Row],[Расход топлива на работу спецоборудования, литр]]),3)+X18,)</f>
        <v>0</v>
      </c>
      <c r="O18" s="192">
        <f ca="1">IF(Январь[[#This Row],[Дата]]="","",IFERROR(ROUND(Январь[[#This Row],[Расход топлива по норме, литр]]/VLOOKUP(Январь[Дата],S$2:W$4,5),0)+Y18,))</f>
        <v>0</v>
      </c>
      <c r="P18" s="194">
        <f ca="1">IFERROR(Январь[[#This Row],[Фактический расход топлива, литр]]-Январь[[#This Row],[Расход топлива по норме, литр]],"")</f>
        <v>0</v>
      </c>
      <c r="R18" s="117">
        <f>Январь[[#This Row],[Дата]]</f>
        <v>43106</v>
      </c>
      <c r="S18" s="140"/>
      <c r="T18" s="84"/>
      <c r="U18" s="62">
        <v>150</v>
      </c>
      <c r="V18" s="141"/>
      <c r="W18" s="84"/>
      <c r="X18" s="84"/>
      <c r="Y18" s="132"/>
      <c r="Z18" s="117">
        <f>Январь[[#This Row],[Дата]]</f>
        <v>43106</v>
      </c>
    </row>
    <row r="19" spans="1:26" x14ac:dyDescent="0.2">
      <c r="A19" s="199" t="str">
        <f t="shared" si="0"/>
        <v/>
      </c>
      <c r="B19" s="109"/>
      <c r="C19" s="39" t="str">
        <f ca="1">IFERROR(IF(INDIRECT(TEXT(A17,"ММММ")&amp;"!A7:A37")="","",IF(S17="",D17,S17)),"")</f>
        <v/>
      </c>
      <c r="D19" s="56"/>
      <c r="E19" s="34"/>
      <c r="F19" s="137"/>
      <c r="G19" s="33">
        <f t="shared" si="2"/>
        <v>500</v>
      </c>
      <c r="H19" s="39">
        <f t="shared" si="3"/>
        <v>29189</v>
      </c>
      <c r="I19" s="56">
        <v>29189</v>
      </c>
      <c r="J19" s="33">
        <f>IF(W19="",Январь[[#This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19" s="72"/>
      <c r="L19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19" s="60">
        <f>Январь[[#This Row],[Выдано топливо, литр]]+U19+Январь[[#This Row],[Остаток топлива в баке на начало дня, литр]]</f>
        <v>500</v>
      </c>
      <c r="N19" s="36">
        <f>IFERROR(ROUND((Январь[[#This Row],[Пройдено за день, км]]*0.01*$Y$2+Январь[[#This Row],[Расход топлива на работу спецоборудования, литр]]),3)+X19,)</f>
        <v>0</v>
      </c>
      <c r="O19" s="35" t="str">
        <f>IF(Январь[[#This Row],[Дата]]="","",IFERROR(ROUND(Январь[[#This Row],[Расход топлива по норме, литр]]/VLOOKUP(Январь[Дата],S$2:W$4,5),0)+Y19,))</f>
        <v/>
      </c>
      <c r="P19" s="37" t="str">
        <f>IFERROR(Январь[[#This Row],[Фактический расход топлива, литр]]-Январь[[#This Row],[Расход топлива по норме, литр]],"")</f>
        <v/>
      </c>
      <c r="R19" s="117" t="str">
        <f>Январь[[#This Row],[Дата]]</f>
        <v/>
      </c>
      <c r="S19" s="140"/>
      <c r="T19" s="84"/>
      <c r="U19" s="62"/>
      <c r="V19" s="141"/>
      <c r="W19" s="84"/>
      <c r="X19" s="84"/>
      <c r="Y19" s="132"/>
      <c r="Z19" s="117" t="str">
        <f>Январь[[#This Row],[Дата]]</f>
        <v/>
      </c>
    </row>
    <row r="20" spans="1:26" x14ac:dyDescent="0.2">
      <c r="A20" s="199">
        <f t="shared" si="0"/>
        <v>43107</v>
      </c>
      <c r="B20" s="109"/>
      <c r="C20" s="39" t="str">
        <f t="shared" ca="1" si="4"/>
        <v/>
      </c>
      <c r="D20" s="56"/>
      <c r="E20" s="34"/>
      <c r="F20" s="137"/>
      <c r="G20" s="33">
        <f t="shared" si="2"/>
        <v>500</v>
      </c>
      <c r="H20" s="39">
        <f t="shared" si="3"/>
        <v>29189</v>
      </c>
      <c r="I20" s="56">
        <v>29189</v>
      </c>
      <c r="J20" s="33">
        <f>IF(W20="",Январь[[#This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20" s="72"/>
      <c r="L20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20" s="60">
        <f>Январь[[#This Row],[Выдано топливо, литр]]+U20+Январь[[#This Row],[Остаток топлива в баке на начало дня, литр]]</f>
        <v>500</v>
      </c>
      <c r="N20" s="36">
        <f>IFERROR(ROUND((Январь[[#This Row],[Пройдено за день, км]]*0.01*$Y$2+Январь[[#This Row],[Расход топлива на работу спецоборудования, литр]]),3)+X20,)</f>
        <v>0</v>
      </c>
      <c r="O20" s="35">
        <f ca="1">IF(Январь[[#This Row],[Дата]]="","",IFERROR(ROUND(Январь[[#This Row],[Расход топлива по норме, литр]]/VLOOKUP(Январь[Дата],S$2:W$4,5),0)+Y20,))</f>
        <v>0</v>
      </c>
      <c r="P20" s="37">
        <f ca="1">IFERROR(Январь[[#This Row],[Фактический расход топлива, литр]]-Январь[[#This Row],[Расход топлива по норме, литр]],"")</f>
        <v>0</v>
      </c>
      <c r="R20" s="117">
        <f>Январь[[#This Row],[Дата]]</f>
        <v>43107</v>
      </c>
      <c r="S20" s="140"/>
      <c r="T20" s="84"/>
      <c r="U20" s="62"/>
      <c r="V20" s="141"/>
      <c r="W20" s="84"/>
      <c r="X20" s="84"/>
      <c r="Y20" s="132"/>
      <c r="Z20" s="117">
        <f>Январь[[#This Row],[Дата]]</f>
        <v>43107</v>
      </c>
    </row>
    <row r="21" spans="1:26" x14ac:dyDescent="0.2">
      <c r="A21" s="199" t="str">
        <f t="shared" si="0"/>
        <v/>
      </c>
      <c r="B21" s="109"/>
      <c r="C21" s="39" t="str">
        <f t="shared" ca="1" si="4"/>
        <v/>
      </c>
      <c r="D21" s="56"/>
      <c r="E21" s="34"/>
      <c r="F21" s="137"/>
      <c r="G21" s="33">
        <f t="shared" si="2"/>
        <v>500</v>
      </c>
      <c r="H21" s="39">
        <f t="shared" si="3"/>
        <v>29189</v>
      </c>
      <c r="I21" s="56">
        <v>29189</v>
      </c>
      <c r="J21" s="33">
        <f>IF(W21="",Январь[[#This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21" s="72"/>
      <c r="L21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21" s="60">
        <f>Январь[[#This Row],[Выдано топливо, литр]]+U21+Январь[[#This Row],[Остаток топлива в баке на начало дня, литр]]</f>
        <v>500</v>
      </c>
      <c r="N21" s="36">
        <f>IFERROR(ROUND((Январь[[#This Row],[Пройдено за день, км]]*0.01*$Y$2+Январь[[#This Row],[Расход топлива на работу спецоборудования, литр]]),3)+X21,)</f>
        <v>0</v>
      </c>
      <c r="O21" s="35" t="str">
        <f>IF(Январь[[#This Row],[Дата]]="","",IFERROR(ROUND(Январь[[#This Row],[Расход топлива по норме, литр]]/VLOOKUP(Январь[Дата],S$2:W$4,5),0)+Y21,))</f>
        <v/>
      </c>
      <c r="P21" s="37" t="str">
        <f>IFERROR(Январь[[#This Row],[Фактический расход топлива, литр]]-Январь[[#This Row],[Расход топлива по норме, литр]],"")</f>
        <v/>
      </c>
      <c r="R21" s="117" t="str">
        <f>Январь[[#This Row],[Дата]]</f>
        <v/>
      </c>
      <c r="S21" s="140"/>
      <c r="T21" s="84"/>
      <c r="U21" s="62"/>
      <c r="V21" s="141"/>
      <c r="W21" s="84"/>
      <c r="X21" s="84"/>
      <c r="Y21" s="132"/>
      <c r="Z21" s="117" t="str">
        <f>Январь[[#This Row],[Дата]]</f>
        <v/>
      </c>
    </row>
    <row r="22" spans="1:26" x14ac:dyDescent="0.2">
      <c r="A22" s="199">
        <f t="shared" si="0"/>
        <v>43108</v>
      </c>
      <c r="B22" s="109"/>
      <c r="C22" s="39" t="str">
        <f t="shared" ca="1" si="4"/>
        <v/>
      </c>
      <c r="D22" s="56"/>
      <c r="E22" s="34"/>
      <c r="F22" s="137"/>
      <c r="G22" s="33">
        <f t="shared" si="2"/>
        <v>500</v>
      </c>
      <c r="H22" s="39">
        <f t="shared" si="3"/>
        <v>29189</v>
      </c>
      <c r="I22" s="56">
        <v>29189</v>
      </c>
      <c r="J22" s="33">
        <f>IF(W22="",Январь[[#This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22" s="72"/>
      <c r="L22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22" s="60">
        <f>Январь[[#This Row],[Выдано топливо, литр]]+U22+Январь[[#This Row],[Остаток топлива в баке на начало дня, литр]]</f>
        <v>700</v>
      </c>
      <c r="N22" s="36">
        <f>IFERROR(ROUND((Январь[[#This Row],[Пройдено за день, км]]*0.01*$Y$2+Январь[[#This Row],[Расход топлива на работу спецоборудования, литр]]),3)+X22,)</f>
        <v>0</v>
      </c>
      <c r="O22" s="35">
        <f ca="1">IF(Январь[[#This Row],[Дата]]="","",IFERROR(ROUND(Январь[[#This Row],[Расход топлива по норме, литр]]/VLOOKUP(Январь[Дата],S$2:W$4,5),0)+Y22,))</f>
        <v>0</v>
      </c>
      <c r="P22" s="37">
        <f ca="1">IFERROR(Январь[[#This Row],[Фактический расход топлива, литр]]-Январь[[#This Row],[Расход топлива по норме, литр]],"")</f>
        <v>0</v>
      </c>
      <c r="R22" s="117">
        <f>Январь[[#This Row],[Дата]]</f>
        <v>43108</v>
      </c>
      <c r="S22" s="140"/>
      <c r="T22" s="84"/>
      <c r="U22" s="62">
        <v>200</v>
      </c>
      <c r="V22" s="141"/>
      <c r="W22" s="84"/>
      <c r="X22" s="84"/>
      <c r="Y22" s="132"/>
      <c r="Z22" s="117">
        <f>Январь[[#This Row],[Дата]]</f>
        <v>43108</v>
      </c>
    </row>
    <row r="23" spans="1:26" x14ac:dyDescent="0.2">
      <c r="A23" s="199" t="str">
        <f t="shared" si="0"/>
        <v/>
      </c>
      <c r="B23" s="109"/>
      <c r="C23" s="39" t="str">
        <f t="shared" ca="1" si="4"/>
        <v/>
      </c>
      <c r="D23" s="56"/>
      <c r="E23" s="34"/>
      <c r="F23" s="137"/>
      <c r="G23" s="33">
        <f t="shared" si="2"/>
        <v>700</v>
      </c>
      <c r="H23" s="39">
        <f t="shared" si="3"/>
        <v>29189</v>
      </c>
      <c r="I23" s="56">
        <v>29189</v>
      </c>
      <c r="J23" s="33">
        <f>IF(W23="",Январь[[#This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23" s="72"/>
      <c r="L23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23" s="60">
        <f>Январь[[#This Row],[Выдано топливо, литр]]+U23+Январь[[#This Row],[Остаток топлива в баке на начало дня, литр]]</f>
        <v>700</v>
      </c>
      <c r="N23" s="36">
        <f>IFERROR(ROUND((Январь[[#This Row],[Пройдено за день, км]]*0.01*$Y$2+Январь[[#This Row],[Расход топлива на работу спецоборудования, литр]]),3)+X23,)</f>
        <v>0</v>
      </c>
      <c r="O23" s="35" t="str">
        <f>IF(Январь[[#This Row],[Дата]]="","",IFERROR(ROUND(Январь[[#This Row],[Расход топлива по норме, литр]]/VLOOKUP(Январь[Дата],S$2:W$4,5),0)+Y23,))</f>
        <v/>
      </c>
      <c r="P23" s="37" t="str">
        <f>IFERROR(Январь[[#This Row],[Фактический расход топлива, литр]]-Январь[[#This Row],[Расход топлива по норме, литр]],"")</f>
        <v/>
      </c>
      <c r="R23" s="117" t="str">
        <f>Январь[[#This Row],[Дата]]</f>
        <v/>
      </c>
      <c r="S23" s="140"/>
      <c r="T23" s="84"/>
      <c r="U23" s="62"/>
      <c r="V23" s="141"/>
      <c r="W23" s="84"/>
      <c r="X23" s="84"/>
      <c r="Y23" s="132"/>
      <c r="Z23" s="117" t="str">
        <f>Январь[[#This Row],[Дата]]</f>
        <v/>
      </c>
    </row>
    <row r="24" spans="1:26" x14ac:dyDescent="0.2">
      <c r="A24" s="199">
        <f t="shared" si="0"/>
        <v>43109</v>
      </c>
      <c r="B24" s="109"/>
      <c r="C24" s="39" t="str">
        <f t="shared" ca="1" si="4"/>
        <v/>
      </c>
      <c r="D24" s="56"/>
      <c r="E24" s="34"/>
      <c r="F24" s="137"/>
      <c r="G24" s="33">
        <f t="shared" si="2"/>
        <v>700</v>
      </c>
      <c r="H24" s="39">
        <f t="shared" si="3"/>
        <v>29189</v>
      </c>
      <c r="I24" s="56">
        <v>29199</v>
      </c>
      <c r="J24" s="33">
        <f>IF(W24="",Январь[[#This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10</v>
      </c>
      <c r="K24" s="72"/>
      <c r="L24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181.50000000000003</v>
      </c>
      <c r="M24" s="60">
        <f>Январь[[#This Row],[Выдано топливо, литр]]+U24+Январь[[#This Row],[Остаток топлива в баке на начало дня, литр]]</f>
        <v>900</v>
      </c>
      <c r="N24" s="36">
        <f>IFERROR(ROUND((Январь[[#This Row],[Пройдено за день, км]]*0.01*$Y$2+Январь[[#This Row],[Расход топлива на работу спецоборудования, литр]]),3)+X24,)</f>
        <v>181.5</v>
      </c>
      <c r="O24" s="35">
        <f ca="1">IF(Январь[[#This Row],[Дата]]="","",IFERROR(ROUND(Январь[[#This Row],[Расход топлива по норме, литр]]/VLOOKUP(Январь[Дата],S$2:W$4,5),0)+Y24,))</f>
        <v>230</v>
      </c>
      <c r="P24" s="37">
        <f ca="1">IFERROR(Январь[[#This Row],[Фактический расход топлива, литр]]-Январь[[#This Row],[Расход топлива по норме, литр]],"")</f>
        <v>48.5</v>
      </c>
      <c r="R24" s="117">
        <f>Январь[[#This Row],[Дата]]</f>
        <v>43109</v>
      </c>
      <c r="S24" s="140"/>
      <c r="T24" s="84"/>
      <c r="U24" s="62">
        <v>200</v>
      </c>
      <c r="V24" s="141"/>
      <c r="W24" s="84"/>
      <c r="X24" s="84"/>
      <c r="Y24" s="132"/>
      <c r="Z24" s="117">
        <f>Январь[[#This Row],[Дата]]</f>
        <v>43109</v>
      </c>
    </row>
    <row r="25" spans="1:26" x14ac:dyDescent="0.2">
      <c r="A25" s="199" t="str">
        <f t="shared" si="0"/>
        <v/>
      </c>
      <c r="B25" s="109"/>
      <c r="C25" s="39" t="str">
        <f t="shared" ca="1" si="4"/>
        <v/>
      </c>
      <c r="D25" s="56"/>
      <c r="E25" s="34"/>
      <c r="F25" s="137"/>
      <c r="G25" s="33">
        <f t="shared" si="2"/>
        <v>900</v>
      </c>
      <c r="H25" s="39">
        <f t="shared" si="3"/>
        <v>29199</v>
      </c>
      <c r="I25" s="56">
        <v>29199</v>
      </c>
      <c r="J25" s="33">
        <f>IF(W25="",Январь[[#This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25" s="72"/>
      <c r="L25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25" s="60">
        <f>Январь[[#This Row],[Выдано топливо, литр]]+U25+Январь[[#This Row],[Остаток топлива в баке на начало дня, литр]]</f>
        <v>900</v>
      </c>
      <c r="N25" s="36">
        <f>IFERROR(ROUND((Январь[[#This Row],[Пройдено за день, км]]*0.01*$Y$2+Январь[[#This Row],[Расход топлива на работу спецоборудования, литр]]),3)+X25,)</f>
        <v>0</v>
      </c>
      <c r="O25" s="35" t="str">
        <f>IF(Январь[[#This Row],[Дата]]="","",IFERROR(ROUND(Январь[[#This Row],[Расход топлива по норме, литр]]/VLOOKUP(Январь[Дата],S$2:W$4,5),0)+Y25,))</f>
        <v/>
      </c>
      <c r="P25" s="37" t="str">
        <f>IFERROR(Январь[[#This Row],[Фактический расход топлива, литр]]-Январь[[#This Row],[Расход топлива по норме, литр]],"")</f>
        <v/>
      </c>
      <c r="R25" s="117" t="str">
        <f>Январь[[#This Row],[Дата]]</f>
        <v/>
      </c>
      <c r="S25" s="140"/>
      <c r="T25" s="84"/>
      <c r="U25" s="62"/>
      <c r="V25" s="141"/>
      <c r="W25" s="84"/>
      <c r="X25" s="84"/>
      <c r="Y25" s="132"/>
      <c r="Z25" s="117" t="str">
        <f>Январь[[#This Row],[Дата]]</f>
        <v/>
      </c>
    </row>
    <row r="26" spans="1:26" x14ac:dyDescent="0.2">
      <c r="A26" s="199">
        <f t="shared" si="0"/>
        <v>43110</v>
      </c>
      <c r="B26" s="109"/>
      <c r="C26" s="39"/>
      <c r="D26" s="56"/>
      <c r="E26" s="182"/>
      <c r="F26" s="183"/>
      <c r="G26" s="195">
        <f t="shared" si="2"/>
        <v>900</v>
      </c>
      <c r="H26" s="39">
        <f t="shared" si="3"/>
        <v>29199</v>
      </c>
      <c r="I26" s="191">
        <v>29210</v>
      </c>
      <c r="J26" s="33">
        <f>IF(W26="",Январь[[#This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11</v>
      </c>
      <c r="K26" s="185"/>
      <c r="L26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199.65000000000003</v>
      </c>
      <c r="M26" s="187">
        <f>Январь[[#This Row],[Выдано топливо, литр]]+U26+Январь[[#This Row],[Остаток топлива в баке на начало дня, литр]]</f>
        <v>1200</v>
      </c>
      <c r="N26" s="193">
        <f>IFERROR(ROUND((Январь[[#This Row],[Пройдено за день, км]]*0.01*$Y$2+Январь[[#This Row],[Расход топлива на работу спецоборудования, литр]]),3)+X26,)</f>
        <v>199.65</v>
      </c>
      <c r="O26" s="192">
        <f ca="1">IF(Январь[[#This Row],[Дата]]="","",IFERROR(ROUND(Январь[[#This Row],[Расход топлива по норме, литр]]/VLOOKUP(Январь[Дата],S$2:W$4,5),0)+Y26,))</f>
        <v>253</v>
      </c>
      <c r="P26" s="194">
        <f ca="1">IFERROR(Январь[[#This Row],[Фактический расход топлива, литр]]-Январь[[#This Row],[Расход топлива по норме, литр]],"")</f>
        <v>53.349999999999994</v>
      </c>
      <c r="R26" s="117">
        <f>Январь[[#This Row],[Дата]]</f>
        <v>43110</v>
      </c>
      <c r="S26" s="140"/>
      <c r="T26" s="84"/>
      <c r="U26" s="62">
        <v>300</v>
      </c>
      <c r="V26" s="141"/>
      <c r="W26" s="84"/>
      <c r="X26" s="84"/>
      <c r="Y26" s="132"/>
      <c r="Z26" s="117">
        <f>Январь[[#This Row],[Дата]]</f>
        <v>43110</v>
      </c>
    </row>
    <row r="27" spans="1:26" x14ac:dyDescent="0.2">
      <c r="A27" s="199" t="str">
        <f t="shared" si="0"/>
        <v/>
      </c>
      <c r="B27" s="109"/>
      <c r="C27" s="39" t="str">
        <f ca="1">IFERROR(IF(INDIRECT(TEXT(A25,"ММММ")&amp;"!A7:A37")="","",IF(S25="",D25,S25)),"")</f>
        <v/>
      </c>
      <c r="D27" s="56"/>
      <c r="E27" s="34"/>
      <c r="F27" s="137"/>
      <c r="G27" s="33">
        <f t="shared" si="2"/>
        <v>1200</v>
      </c>
      <c r="H27" s="39">
        <f t="shared" si="3"/>
        <v>29210</v>
      </c>
      <c r="I27" s="56">
        <v>29210</v>
      </c>
      <c r="J27" s="33">
        <f>IF(W27="",Январь[[#This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27" s="72"/>
      <c r="L27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27" s="60">
        <f>Январь[[#This Row],[Выдано топливо, литр]]+U27+Январь[[#This Row],[Остаток топлива в баке на начало дня, литр]]</f>
        <v>1200</v>
      </c>
      <c r="N27" s="36">
        <f>IFERROR(ROUND((Январь[[#This Row],[Пройдено за день, км]]*0.01*$Y$2+Январь[[#This Row],[Расход топлива на работу спецоборудования, литр]]),3)+X27,)</f>
        <v>0</v>
      </c>
      <c r="O27" s="35" t="str">
        <f>IF(Январь[[#This Row],[Дата]]="","",IFERROR(ROUND(Январь[[#This Row],[Расход топлива по норме, литр]]/VLOOKUP(Январь[Дата],S$2:W$4,5),0)+Y27,))</f>
        <v/>
      </c>
      <c r="P27" s="37" t="str">
        <f>IFERROR(Январь[[#This Row],[Фактический расход топлива, литр]]-Январь[[#This Row],[Расход топлива по норме, литр]],"")</f>
        <v/>
      </c>
      <c r="R27" s="117" t="str">
        <f>Январь[[#This Row],[Дата]]</f>
        <v/>
      </c>
      <c r="S27" s="140"/>
      <c r="T27" s="84"/>
      <c r="U27" s="62"/>
      <c r="V27" s="141"/>
      <c r="W27" s="84"/>
      <c r="X27" s="84"/>
      <c r="Y27" s="132"/>
      <c r="Z27" s="117" t="str">
        <f>Январь[[#This Row],[Дата]]</f>
        <v/>
      </c>
    </row>
    <row r="28" spans="1:26" x14ac:dyDescent="0.2">
      <c r="A28" s="199">
        <f t="shared" si="0"/>
        <v>43111</v>
      </c>
      <c r="B28" s="109"/>
      <c r="C28" s="39" t="str">
        <f t="shared" ca="1" si="4"/>
        <v/>
      </c>
      <c r="D28" s="56"/>
      <c r="E28" s="34"/>
      <c r="F28" s="137"/>
      <c r="G28" s="33">
        <f t="shared" si="2"/>
        <v>1200</v>
      </c>
      <c r="H28" s="39">
        <f t="shared" si="3"/>
        <v>29210</v>
      </c>
      <c r="I28" s="56">
        <v>29217</v>
      </c>
      <c r="J28" s="33">
        <f>IF(W28="",Январь[[#This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7</v>
      </c>
      <c r="K28" s="72"/>
      <c r="L28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127.05000000000001</v>
      </c>
      <c r="M28" s="60">
        <f>Январь[[#This Row],[Выдано топливо, литр]]+U28+Январь[[#This Row],[Остаток топлива в баке на начало дня, литр]]</f>
        <v>1200</v>
      </c>
      <c r="N28" s="36">
        <f>IFERROR(ROUND((Январь[[#This Row],[Пройдено за день, км]]*0.01*$Y$2+Январь[[#This Row],[Расход топлива на работу спецоборудования, литр]]),3)+X28,)</f>
        <v>127.05</v>
      </c>
      <c r="O28" s="35">
        <f ca="1">IF(Январь[[#This Row],[Дата]]="","",IFERROR(ROUND(Январь[[#This Row],[Расход топлива по норме, литр]]/VLOOKUP(Январь[Дата],S$2:W$4,5),0)+Y28,))</f>
        <v>161</v>
      </c>
      <c r="P28" s="37">
        <f ca="1">IFERROR(Январь[[#This Row],[Фактический расход топлива, литр]]-Январь[[#This Row],[Расход топлива по норме, литр]],"")</f>
        <v>33.950000000000003</v>
      </c>
      <c r="R28" s="117">
        <f>Январь[[#This Row],[Дата]]</f>
        <v>43111</v>
      </c>
      <c r="S28" s="140"/>
      <c r="T28" s="84"/>
      <c r="U28" s="62"/>
      <c r="V28" s="141"/>
      <c r="W28" s="84"/>
      <c r="X28" s="84"/>
      <c r="Y28" s="132"/>
      <c r="Z28" s="117">
        <f>Январь[[#This Row],[Дата]]</f>
        <v>43111</v>
      </c>
    </row>
    <row r="29" spans="1:26" x14ac:dyDescent="0.2">
      <c r="A29" s="199" t="str">
        <f t="shared" si="0"/>
        <v/>
      </c>
      <c r="B29" s="109"/>
      <c r="C29" s="39" t="str">
        <f t="shared" ca="1" si="4"/>
        <v/>
      </c>
      <c r="D29" s="56"/>
      <c r="E29" s="34"/>
      <c r="F29" s="137"/>
      <c r="G29" s="33">
        <f t="shared" si="2"/>
        <v>1200</v>
      </c>
      <c r="H29" s="39">
        <f t="shared" si="3"/>
        <v>29217</v>
      </c>
      <c r="I29" s="56">
        <v>29217</v>
      </c>
      <c r="J29" s="33">
        <f>IF(W29="",Январь[[#This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29" s="72"/>
      <c r="L29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29" s="60">
        <f>Январь[[#This Row],[Выдано топливо, литр]]+U29+Январь[[#This Row],[Остаток топлива в баке на начало дня, литр]]</f>
        <v>1200</v>
      </c>
      <c r="N29" s="36">
        <f>IFERROR(ROUND((Январь[[#This Row],[Пройдено за день, км]]*0.01*$Y$2+Январь[[#This Row],[Расход топлива на работу спецоборудования, литр]]),3)+X29,)</f>
        <v>0</v>
      </c>
      <c r="O29" s="35" t="str">
        <f>IF(Январь[[#This Row],[Дата]]="","",IFERROR(ROUND(Январь[[#This Row],[Расход топлива по норме, литр]]/VLOOKUP(Январь[Дата],S$2:W$4,5),0)+Y29,))</f>
        <v/>
      </c>
      <c r="P29" s="37" t="str">
        <f>IFERROR(Январь[[#This Row],[Фактический расход топлива, литр]]-Январь[[#This Row],[Расход топлива по норме, литр]],"")</f>
        <v/>
      </c>
      <c r="R29" s="117" t="str">
        <f>Январь[[#This Row],[Дата]]</f>
        <v/>
      </c>
      <c r="S29" s="140"/>
      <c r="T29" s="84"/>
      <c r="U29" s="62"/>
      <c r="V29" s="141"/>
      <c r="W29" s="84"/>
      <c r="X29" s="84"/>
      <c r="Y29" s="132"/>
      <c r="Z29" s="117" t="str">
        <f>Январь[[#This Row],[Дата]]</f>
        <v/>
      </c>
    </row>
    <row r="30" spans="1:26" x14ac:dyDescent="0.2">
      <c r="A30" s="199">
        <f t="shared" si="0"/>
        <v>43112</v>
      </c>
      <c r="B30" s="109"/>
      <c r="C30" s="39" t="str">
        <f t="shared" ca="1" si="4"/>
        <v/>
      </c>
      <c r="D30" s="56"/>
      <c r="E30" s="34"/>
      <c r="F30" s="137"/>
      <c r="G30" s="33">
        <f t="shared" si="2"/>
        <v>1200</v>
      </c>
      <c r="H30" s="39">
        <f t="shared" si="3"/>
        <v>29217</v>
      </c>
      <c r="I30" s="56">
        <v>29227</v>
      </c>
      <c r="J30" s="33">
        <f>IF(W30="",Январь[[#This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10</v>
      </c>
      <c r="K30" s="72"/>
      <c r="L30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181.50000000000003</v>
      </c>
      <c r="M30" s="60">
        <f>Январь[[#This Row],[Выдано топливо, литр]]+U30+Январь[[#This Row],[Остаток топлива в баке на начало дня, литр]]</f>
        <v>1350</v>
      </c>
      <c r="N30" s="36">
        <f>IFERROR(ROUND((Январь[[#This Row],[Пройдено за день, км]]*0.01*$Y$2+Январь[[#This Row],[Расход топлива на работу спецоборудования, литр]]),3)+X30,)</f>
        <v>181.5</v>
      </c>
      <c r="O30" s="35">
        <f ca="1">IF(Январь[[#This Row],[Дата]]="","",IFERROR(ROUND(Январь[[#This Row],[Расход топлива по норме, литр]]/VLOOKUP(Январь[Дата],S$2:W$4,5),0)+Y30,))</f>
        <v>230</v>
      </c>
      <c r="P30" s="37">
        <f ca="1">IFERROR(Январь[[#This Row],[Фактический расход топлива, литр]]-Январь[[#This Row],[Расход топлива по норме, литр]],"")</f>
        <v>48.5</v>
      </c>
      <c r="R30" s="117">
        <f>Январь[[#This Row],[Дата]]</f>
        <v>43112</v>
      </c>
      <c r="S30" s="140"/>
      <c r="T30" s="84"/>
      <c r="U30" s="62">
        <v>150</v>
      </c>
      <c r="V30" s="141"/>
      <c r="W30" s="84"/>
      <c r="X30" s="84"/>
      <c r="Y30" s="132"/>
      <c r="Z30" s="117">
        <f>Январь[[#This Row],[Дата]]</f>
        <v>43112</v>
      </c>
    </row>
    <row r="31" spans="1:26" x14ac:dyDescent="0.2">
      <c r="A31" s="199" t="str">
        <f t="shared" si="0"/>
        <v/>
      </c>
      <c r="B31" s="109"/>
      <c r="C31" s="39" t="str">
        <f t="shared" ca="1" si="4"/>
        <v/>
      </c>
      <c r="D31" s="56"/>
      <c r="E31" s="27"/>
      <c r="F31" s="137"/>
      <c r="G31" s="33">
        <f t="shared" si="2"/>
        <v>1350</v>
      </c>
      <c r="H31" s="39">
        <f t="shared" si="3"/>
        <v>29227</v>
      </c>
      <c r="I31" s="56">
        <v>29227</v>
      </c>
      <c r="J31" s="33">
        <f>IF(W31="",Январь[[#This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31" s="72"/>
      <c r="L31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31" s="60">
        <f>Январь[[#This Row],[Выдано топливо, литр]]+U31+Январь[[#This Row],[Остаток топлива в баке на начало дня, литр]]</f>
        <v>1350</v>
      </c>
      <c r="N31" s="36">
        <f>IFERROR(ROUND((Январь[[#This Row],[Пройдено за день, км]]*0.01*$Y$2+Январь[[#This Row],[Расход топлива на работу спецоборудования, литр]]),3)+X31,)</f>
        <v>0</v>
      </c>
      <c r="O31" s="35" t="str">
        <f>IF(Январь[[#This Row],[Дата]]="","",IFERROR(ROUND(Январь[[#This Row],[Расход топлива по норме, литр]]/VLOOKUP(Январь[Дата],S$2:W$4,5),0)+Y31,))</f>
        <v/>
      </c>
      <c r="P31" s="37" t="str">
        <f>IFERROR(Январь[[#This Row],[Фактический расход топлива, литр]]-Январь[[#This Row],[Расход топлива по норме, литр]],"")</f>
        <v/>
      </c>
      <c r="R31" s="117" t="str">
        <f>Январь[[#This Row],[Дата]]</f>
        <v/>
      </c>
      <c r="S31" s="140"/>
      <c r="T31" s="84"/>
      <c r="U31" s="62"/>
      <c r="V31" s="141"/>
      <c r="W31" s="84"/>
      <c r="X31" s="84"/>
      <c r="Y31" s="132"/>
      <c r="Z31" s="117" t="str">
        <f>Январь[[#This Row],[Дата]]</f>
        <v/>
      </c>
    </row>
    <row r="32" spans="1:26" x14ac:dyDescent="0.2">
      <c r="A32" s="199">
        <f t="shared" si="0"/>
        <v>43113</v>
      </c>
      <c r="B32" s="109"/>
      <c r="C32" s="39" t="str">
        <f t="shared" ca="1" si="4"/>
        <v/>
      </c>
      <c r="D32" s="56"/>
      <c r="E32" s="27"/>
      <c r="F32" s="137"/>
      <c r="G32" s="39">
        <f t="shared" si="2"/>
        <v>1350</v>
      </c>
      <c r="H32" s="39">
        <f t="shared" si="3"/>
        <v>29227</v>
      </c>
      <c r="I32" s="56">
        <v>29233</v>
      </c>
      <c r="J32" s="39">
        <f>IF(W32="",Январь[[#This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6</v>
      </c>
      <c r="K32" s="73"/>
      <c r="L32" s="40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108.9</v>
      </c>
      <c r="M32" s="61">
        <f>Январь[[#This Row],[Выдано топливо, литр]]+U32+Январь[[#This Row],[Остаток топлива в баке на начало дня, литр]]</f>
        <v>1650</v>
      </c>
      <c r="N32" s="41">
        <f>IFERROR(ROUND((Январь[[#This Row],[Пройдено за день, км]]*0.01*$Y$2+Январь[[#This Row],[Расход топлива на работу спецоборудования, литр]]),3)+X32,)</f>
        <v>108.9</v>
      </c>
      <c r="O32" s="40">
        <f ca="1">IF(Январь[[#This Row],[Дата]]="","",IFERROR(ROUND(Январь[[#This Row],[Расход топлива по норме, литр]]/VLOOKUP(Январь[Дата],S$2:W$4,5),0)+Y32,))</f>
        <v>138</v>
      </c>
      <c r="P32" s="42">
        <f ca="1">IFERROR(Январь[[#This Row],[Фактический расход топлива, литр]]-Январь[[#This Row],[Расход топлива по норме, литр]],"")</f>
        <v>29.099999999999994</v>
      </c>
      <c r="R32" s="117">
        <f>Январь[[#This Row],[Дата]]</f>
        <v>43113</v>
      </c>
      <c r="S32" s="140"/>
      <c r="T32" s="84"/>
      <c r="U32" s="62">
        <v>300</v>
      </c>
      <c r="V32" s="141"/>
      <c r="W32" s="84"/>
      <c r="X32" s="84"/>
      <c r="Y32" s="132"/>
      <c r="Z32" s="117">
        <f>Январь[[#This Row],[Дата]]</f>
        <v>43113</v>
      </c>
    </row>
    <row r="33" spans="1:29" x14ac:dyDescent="0.2">
      <c r="A33" s="199" t="str">
        <f t="shared" si="0"/>
        <v/>
      </c>
      <c r="B33" s="109"/>
      <c r="C33" s="39" t="str">
        <f t="shared" ca="1" si="4"/>
        <v/>
      </c>
      <c r="D33" s="56"/>
      <c r="E33" s="34"/>
      <c r="F33" s="137"/>
      <c r="G33" s="33">
        <f t="shared" si="2"/>
        <v>1650</v>
      </c>
      <c r="H33" s="39">
        <f t="shared" si="3"/>
        <v>29233</v>
      </c>
      <c r="I33" s="56">
        <v>29233</v>
      </c>
      <c r="J33" s="33">
        <f>IF(W33="",Январь[[#This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33" s="72"/>
      <c r="L33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33" s="60">
        <f>Январь[[#This Row],[Выдано топливо, литр]]+U33+Январь[[#This Row],[Остаток топлива в баке на начало дня, литр]]</f>
        <v>1650</v>
      </c>
      <c r="N33" s="36">
        <f>IFERROR(ROUND((Январь[[#This Row],[Пройдено за день, км]]*0.01*$Y$2+Январь[[#This Row],[Расход топлива на работу спецоборудования, литр]]),3)+X33,)</f>
        <v>0</v>
      </c>
      <c r="O33" s="35" t="str">
        <f>IF(Январь[[#This Row],[Дата]]="","",IFERROR(ROUND(Январь[[#This Row],[Расход топлива по норме, литр]]/VLOOKUP(Январь[Дата],S$2:W$4,5),0)+Y33,))</f>
        <v/>
      </c>
      <c r="P33" s="37" t="str">
        <f>IFERROR(Январь[[#This Row],[Фактический расход топлива, литр]]-Январь[[#This Row],[Расход топлива по норме, литр]],"")</f>
        <v/>
      </c>
      <c r="R33" s="117" t="str">
        <f>Январь[[#This Row],[Дата]]</f>
        <v/>
      </c>
      <c r="S33" s="140"/>
      <c r="T33" s="84"/>
      <c r="U33" s="62"/>
      <c r="V33" s="141"/>
      <c r="W33" s="84"/>
      <c r="X33" s="84"/>
      <c r="Y33" s="132"/>
      <c r="Z33" s="117" t="str">
        <f>Январь[[#This Row],[Дата]]</f>
        <v/>
      </c>
    </row>
    <row r="34" spans="1:29" x14ac:dyDescent="0.2">
      <c r="A34" s="199">
        <f t="shared" si="0"/>
        <v>43114</v>
      </c>
      <c r="B34" s="109"/>
      <c r="C34" s="39" t="str">
        <f t="shared" ca="1" si="4"/>
        <v/>
      </c>
      <c r="D34" s="56"/>
      <c r="E34" s="34"/>
      <c r="F34" s="137"/>
      <c r="G34" s="33">
        <f t="shared" si="2"/>
        <v>1650</v>
      </c>
      <c r="H34" s="39">
        <f t="shared" si="3"/>
        <v>29233</v>
      </c>
      <c r="I34" s="56">
        <v>29243</v>
      </c>
      <c r="J34" s="33">
        <f>IF(W34="",Январь[[#This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10</v>
      </c>
      <c r="K34" s="72"/>
      <c r="L34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181.50000000000003</v>
      </c>
      <c r="M34" s="60">
        <f>Январь[[#This Row],[Выдано топливо, литр]]+U34+Январь[[#This Row],[Остаток топлива в баке на начало дня, литр]]</f>
        <v>1850</v>
      </c>
      <c r="N34" s="36">
        <f>IFERROR(ROUND((Январь[[#This Row],[Пройдено за день, км]]*0.01*$Y$2+Январь[[#This Row],[Расход топлива на работу спецоборудования, литр]]),3)+X34,)</f>
        <v>181.5</v>
      </c>
      <c r="O34" s="35">
        <f ca="1">IF(Январь[[#This Row],[Дата]]="","",IFERROR(ROUND(Январь[[#This Row],[Расход топлива по норме, литр]]/VLOOKUP(Январь[Дата],S$2:W$4,5),0)+Y34,))</f>
        <v>230</v>
      </c>
      <c r="P34" s="37">
        <f ca="1">IFERROR(Январь[[#This Row],[Фактический расход топлива, литр]]-Январь[[#This Row],[Расход топлива по норме, литр]],"")</f>
        <v>48.5</v>
      </c>
      <c r="R34" s="117">
        <f>Январь[[#This Row],[Дата]]</f>
        <v>43114</v>
      </c>
      <c r="S34" s="140"/>
      <c r="T34" s="84"/>
      <c r="U34" s="62">
        <v>200</v>
      </c>
      <c r="V34" s="141"/>
      <c r="W34" s="84"/>
      <c r="X34" s="84"/>
      <c r="Y34" s="132"/>
      <c r="Z34" s="117">
        <f>Январь[[#This Row],[Дата]]</f>
        <v>43114</v>
      </c>
    </row>
    <row r="35" spans="1:29" x14ac:dyDescent="0.2">
      <c r="A35" s="199" t="str">
        <f t="shared" si="0"/>
        <v/>
      </c>
      <c r="B35" s="109"/>
      <c r="C35" s="39" t="str">
        <f t="shared" ca="1" si="4"/>
        <v/>
      </c>
      <c r="D35" s="56"/>
      <c r="E35" s="34"/>
      <c r="F35" s="137"/>
      <c r="G35" s="33">
        <f t="shared" si="2"/>
        <v>1850</v>
      </c>
      <c r="H35" s="39">
        <f t="shared" si="3"/>
        <v>29243</v>
      </c>
      <c r="I35" s="56">
        <v>29243</v>
      </c>
      <c r="J35" s="33">
        <f>IF(W35="",Январь[[#This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35" s="72"/>
      <c r="L35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35" s="60">
        <f>Январь[[#This Row],[Выдано топливо, литр]]+U35+Январь[[#This Row],[Остаток топлива в баке на начало дня, литр]]</f>
        <v>1850</v>
      </c>
      <c r="N35" s="36">
        <f>IFERROR(ROUND((Январь[[#This Row],[Пройдено за день, км]]*0.01*$Y$2+Январь[[#This Row],[Расход топлива на работу спецоборудования, литр]]),3)+X35,)</f>
        <v>0</v>
      </c>
      <c r="O35" s="35" t="str">
        <f>IF(Январь[[#This Row],[Дата]]="","",IFERROR(ROUND(Январь[[#This Row],[Расход топлива по норме, литр]]/VLOOKUP(Январь[Дата],S$2:W$4,5),0)+Y35,))</f>
        <v/>
      </c>
      <c r="P35" s="37" t="str">
        <f>IFERROR(Январь[[#This Row],[Фактический расход топлива, литр]]-Январь[[#This Row],[Расход топлива по норме, литр]],"")</f>
        <v/>
      </c>
      <c r="R35" s="117" t="str">
        <f>Январь[[#This Row],[Дата]]</f>
        <v/>
      </c>
      <c r="S35" s="140"/>
      <c r="T35" s="84"/>
      <c r="U35" s="62"/>
      <c r="V35" s="141"/>
      <c r="W35" s="84"/>
      <c r="X35" s="84"/>
      <c r="Y35" s="132"/>
      <c r="Z35" s="117" t="str">
        <f>Январь[[#This Row],[Дата]]</f>
        <v/>
      </c>
    </row>
    <row r="36" spans="1:29" x14ac:dyDescent="0.2">
      <c r="A36" s="199">
        <f t="shared" si="0"/>
        <v>43115</v>
      </c>
      <c r="B36" s="109"/>
      <c r="C36" s="39" t="str">
        <f t="shared" ca="1" si="4"/>
        <v/>
      </c>
      <c r="D36" s="56"/>
      <c r="E36" s="34"/>
      <c r="F36" s="137"/>
      <c r="G36" s="33">
        <f t="shared" si="2"/>
        <v>1850</v>
      </c>
      <c r="H36" s="39">
        <f t="shared" si="3"/>
        <v>29243</v>
      </c>
      <c r="I36" s="56">
        <v>29251</v>
      </c>
      <c r="J36" s="33">
        <f>IF(W36="",Январь[[#This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8</v>
      </c>
      <c r="K36" s="72"/>
      <c r="L36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145.20000000000002</v>
      </c>
      <c r="M36" s="60">
        <f>Январь[[#This Row],[Выдано топливо, литр]]+U36+Январь[[#This Row],[Остаток топлива в баке на начало дня, литр]]</f>
        <v>2050</v>
      </c>
      <c r="N36" s="36">
        <f>IFERROR(ROUND((Январь[[#This Row],[Пройдено за день, км]]*0.01*$Y$2+Январь[[#This Row],[Расход топлива на работу спецоборудования, литр]]),3)+X36,)</f>
        <v>145.19999999999999</v>
      </c>
      <c r="O36" s="35">
        <f ca="1">IF(Январь[[#This Row],[Дата]]="","",IFERROR(ROUND(Январь[[#This Row],[Расход топлива по норме, литр]]/VLOOKUP(Январь[Дата],S$2:W$4,5),0)+Y36,))</f>
        <v>184</v>
      </c>
      <c r="P36" s="37">
        <f ca="1">IFERROR(Январь[[#This Row],[Фактический расход топлива, литр]]-Январь[[#This Row],[Расход топлива по норме, литр]],"")</f>
        <v>38.800000000000011</v>
      </c>
      <c r="R36" s="117">
        <f>Январь[[#This Row],[Дата]]</f>
        <v>43115</v>
      </c>
      <c r="S36" s="140"/>
      <c r="T36" s="84"/>
      <c r="U36" s="62">
        <v>200</v>
      </c>
      <c r="V36" s="141"/>
      <c r="W36" s="84"/>
      <c r="X36" s="84"/>
      <c r="Y36" s="132"/>
      <c r="Z36" s="117">
        <f>Январь[[#This Row],[Дата]]</f>
        <v>43115</v>
      </c>
    </row>
    <row r="37" spans="1:29" x14ac:dyDescent="0.2">
      <c r="A37" s="199" t="str">
        <f t="shared" si="0"/>
        <v/>
      </c>
      <c r="B37" s="109"/>
      <c r="C37" s="39" t="str">
        <f t="shared" ca="1" si="4"/>
        <v/>
      </c>
      <c r="D37" s="56"/>
      <c r="E37" s="34"/>
      <c r="F37" s="137"/>
      <c r="G37" s="33">
        <f t="shared" si="2"/>
        <v>2050</v>
      </c>
      <c r="H37" s="39">
        <f t="shared" si="3"/>
        <v>29251</v>
      </c>
      <c r="I37" s="56">
        <v>29251</v>
      </c>
      <c r="J37" s="33">
        <f>IF(W37="",Январь[[#This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37" s="72"/>
      <c r="L37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37" s="60">
        <f>Январь[[#This Row],[Выдано топливо, литр]]+U37+Январь[[#This Row],[Остаток топлива в баке на начало дня, литр]]</f>
        <v>2050</v>
      </c>
      <c r="N37" s="36">
        <f>IFERROR(ROUND((Январь[[#This Row],[Пройдено за день, км]]*0.01*$Y$2+Январь[[#This Row],[Расход топлива на работу спецоборудования, литр]]),3)+X37,)</f>
        <v>0</v>
      </c>
      <c r="O37" s="35" t="str">
        <f>IF(Январь[[#This Row],[Дата]]="","",IFERROR(ROUND(Январь[[#This Row],[Расход топлива по норме, литр]]/VLOOKUP(Январь[Дата],S$2:W$4,5),0)+Y37,))</f>
        <v/>
      </c>
      <c r="P37" s="37" t="str">
        <f>IFERROR(Январь[[#This Row],[Фактический расход топлива, литр]]-Январь[[#This Row],[Расход топлива по норме, литр]],"")</f>
        <v/>
      </c>
      <c r="R37" s="117" t="str">
        <f>Январь[[#This Row],[Дата]]</f>
        <v/>
      </c>
      <c r="S37" s="140"/>
      <c r="T37" s="84"/>
      <c r="U37" s="62"/>
      <c r="V37" s="141"/>
      <c r="W37" s="84"/>
      <c r="X37" s="84"/>
      <c r="Y37" s="132"/>
      <c r="Z37" s="117" t="str">
        <f>Январь[[#This Row],[Дата]]</f>
        <v/>
      </c>
    </row>
    <row r="38" spans="1:29" x14ac:dyDescent="0.2">
      <c r="A38" s="199">
        <f t="shared" si="0"/>
        <v>43116</v>
      </c>
      <c r="B38" s="109"/>
      <c r="C38" s="39"/>
      <c r="D38" s="56"/>
      <c r="E38" s="182"/>
      <c r="F38" s="183"/>
      <c r="G38" s="195">
        <f t="shared" si="2"/>
        <v>2050</v>
      </c>
      <c r="H38" s="39">
        <f t="shared" si="3"/>
        <v>29251</v>
      </c>
      <c r="I38" s="191">
        <v>29261</v>
      </c>
      <c r="J38" s="33">
        <f>IF(W38="",Январь[[#This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10</v>
      </c>
      <c r="K38" s="185"/>
      <c r="L38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181.50000000000003</v>
      </c>
      <c r="M38" s="187">
        <f>Январь[[#This Row],[Выдано топливо, литр]]+U38+Январь[[#This Row],[Остаток топлива в баке на начало дня, литр]]</f>
        <v>2250</v>
      </c>
      <c r="N38" s="193">
        <f>IFERROR(ROUND((Январь[[#This Row],[Пройдено за день, км]]*0.01*$Y$2+Январь[[#This Row],[Расход топлива на работу спецоборудования, литр]]),3)+X38,)</f>
        <v>181.5</v>
      </c>
      <c r="O38" s="192">
        <f ca="1">IF(Январь[[#This Row],[Дата]]="","",IFERROR(ROUND(Январь[[#This Row],[Расход топлива по норме, литр]]/VLOOKUP(Январь[Дата],S$2:W$4,5),0)+Y38,))</f>
        <v>230</v>
      </c>
      <c r="P38" s="194">
        <f ca="1">IFERROR(Январь[[#This Row],[Фактический расход топлива, литр]]-Январь[[#This Row],[Расход топлива по норме, литр]],"")</f>
        <v>48.5</v>
      </c>
      <c r="R38" s="117">
        <f>Январь[[#This Row],[Дата]]</f>
        <v>43116</v>
      </c>
      <c r="S38" s="140"/>
      <c r="T38" s="84"/>
      <c r="U38" s="62">
        <v>200</v>
      </c>
      <c r="V38" s="141"/>
      <c r="W38" s="84"/>
      <c r="X38" s="84"/>
      <c r="Y38" s="132"/>
      <c r="Z38" s="117">
        <f>Январь[[#This Row],[Дата]]</f>
        <v>43116</v>
      </c>
      <c r="AC38" s="23"/>
    </row>
    <row r="39" spans="1:29" x14ac:dyDescent="0.2">
      <c r="A39" s="199" t="str">
        <f t="shared" si="0"/>
        <v/>
      </c>
      <c r="B39" s="109"/>
      <c r="C39" s="39"/>
      <c r="D39" s="56"/>
      <c r="E39" s="182"/>
      <c r="F39" s="183"/>
      <c r="G39" s="195">
        <f t="shared" si="2"/>
        <v>2250</v>
      </c>
      <c r="H39" s="39">
        <f t="shared" si="3"/>
        <v>29261</v>
      </c>
      <c r="I39" s="191">
        <v>29261</v>
      </c>
      <c r="J39" s="33">
        <f>IF(W39="",Январь[[#This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39" s="185"/>
      <c r="L39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39" s="187">
        <f>Январь[[#This Row],[Выдано топливо, литр]]+U39+Январь[[#This Row],[Остаток топлива в баке на начало дня, литр]]</f>
        <v>2250</v>
      </c>
      <c r="N39" s="193">
        <f>IFERROR(ROUND((Январь[[#This Row],[Пройдено за день, км]]*0.01*$Y$2+Январь[[#This Row],[Расход топлива на работу спецоборудования, литр]]),3)+X39,)</f>
        <v>0</v>
      </c>
      <c r="O39" s="192" t="str">
        <f>IF(Январь[[#This Row],[Дата]]="","",IFERROR(ROUND(Январь[[#This Row],[Расход топлива по норме, литр]]/VLOOKUP(Январь[Дата],S$2:W$4,5),0)+Y39,))</f>
        <v/>
      </c>
      <c r="P39" s="194" t="str">
        <f>IFERROR(Январь[[#This Row],[Фактический расход топлива, литр]]-Январь[[#This Row],[Расход топлива по норме, литр]],"")</f>
        <v/>
      </c>
      <c r="R39" s="117" t="str">
        <f>Январь[[#This Row],[Дата]]</f>
        <v/>
      </c>
      <c r="S39" s="140"/>
      <c r="T39" s="84"/>
      <c r="U39" s="62"/>
      <c r="V39" s="141"/>
      <c r="W39" s="84"/>
      <c r="X39" s="84"/>
      <c r="Y39" s="132"/>
      <c r="Z39" s="117" t="str">
        <f>Январь[[#This Row],[Дата]]</f>
        <v/>
      </c>
      <c r="AC39" s="23"/>
    </row>
    <row r="40" spans="1:29" x14ac:dyDescent="0.2">
      <c r="A40" s="199">
        <f t="shared" si="0"/>
        <v>43117</v>
      </c>
      <c r="B40" s="109"/>
      <c r="C40" s="39"/>
      <c r="D40" s="56"/>
      <c r="E40" s="182"/>
      <c r="F40" s="183"/>
      <c r="G40" s="195">
        <f t="shared" si="2"/>
        <v>2250</v>
      </c>
      <c r="H40" s="39">
        <f t="shared" si="3"/>
        <v>29261</v>
      </c>
      <c r="I40" s="191">
        <v>29271</v>
      </c>
      <c r="J40" s="33">
        <f>IF(W40="",Январь[[#This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10</v>
      </c>
      <c r="K40" s="185"/>
      <c r="L40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181.50000000000003</v>
      </c>
      <c r="M40" s="187">
        <f>Январь[[#This Row],[Выдано топливо, литр]]+U40+Январь[[#This Row],[Остаток топлива в баке на начало дня, литр]]</f>
        <v>2450</v>
      </c>
      <c r="N40" s="193">
        <f>IFERROR(ROUND((Январь[[#This Row],[Пройдено за день, км]]*0.01*$Y$2+Январь[[#This Row],[Расход топлива на работу спецоборудования, литр]]),3)+X40,)</f>
        <v>181.5</v>
      </c>
      <c r="O40" s="192">
        <f ca="1">IF(Январь[[#This Row],[Дата]]="","",IFERROR(ROUND(Январь[[#This Row],[Расход топлива по норме, литр]]/VLOOKUP(Январь[Дата],S$2:W$4,5),0)+Y40,))</f>
        <v>230</v>
      </c>
      <c r="P40" s="194">
        <f ca="1">IFERROR(Январь[[#This Row],[Фактический расход топлива, литр]]-Январь[[#This Row],[Расход топлива по норме, литр]],"")</f>
        <v>48.5</v>
      </c>
      <c r="R40" s="117">
        <f>Январь[[#This Row],[Дата]]</f>
        <v>43117</v>
      </c>
      <c r="S40" s="140"/>
      <c r="T40" s="84"/>
      <c r="U40" s="62">
        <v>200</v>
      </c>
      <c r="V40" s="141"/>
      <c r="W40" s="84"/>
      <c r="X40" s="84"/>
      <c r="Y40" s="132"/>
      <c r="Z40" s="117">
        <f>Январь[[#This Row],[Дата]]</f>
        <v>43117</v>
      </c>
      <c r="AC40" s="23"/>
    </row>
    <row r="41" spans="1:29" x14ac:dyDescent="0.2">
      <c r="A41" s="199" t="str">
        <f t="shared" si="0"/>
        <v/>
      </c>
      <c r="B41" s="109"/>
      <c r="C41" s="39"/>
      <c r="D41" s="56"/>
      <c r="E41" s="182"/>
      <c r="F41" s="183"/>
      <c r="G41" s="195">
        <f t="shared" si="2"/>
        <v>2450</v>
      </c>
      <c r="H41" s="39">
        <f t="shared" si="3"/>
        <v>29271</v>
      </c>
      <c r="I41" s="191">
        <v>29271</v>
      </c>
      <c r="J41" s="33">
        <f>IF(W41="",Январь[[#This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41" s="185"/>
      <c r="L41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41" s="187">
        <f>Январь[[#This Row],[Выдано топливо, литр]]+U41+Январь[[#This Row],[Остаток топлива в баке на начало дня, литр]]</f>
        <v>2450</v>
      </c>
      <c r="N41" s="193">
        <f>IFERROR(ROUND((Январь[[#This Row],[Пройдено за день, км]]*0.01*$Y$2+Январь[[#This Row],[Расход топлива на работу спецоборудования, литр]]),3)+X41,)</f>
        <v>0</v>
      </c>
      <c r="O41" s="192" t="str">
        <f>IF(Январь[[#This Row],[Дата]]="","",IFERROR(ROUND(Январь[[#This Row],[Расход топлива по норме, литр]]/VLOOKUP(Январь[Дата],S$2:W$4,5),0)+Y41,))</f>
        <v/>
      </c>
      <c r="P41" s="194" t="str">
        <f>IFERROR(Январь[[#This Row],[Фактический расход топлива, литр]]-Январь[[#This Row],[Расход топлива по норме, литр]],"")</f>
        <v/>
      </c>
      <c r="R41" s="117" t="str">
        <f>Январь[[#This Row],[Дата]]</f>
        <v/>
      </c>
      <c r="S41" s="140"/>
      <c r="T41" s="84"/>
      <c r="U41" s="62"/>
      <c r="V41" s="141"/>
      <c r="W41" s="84"/>
      <c r="X41" s="84"/>
      <c r="Y41" s="132"/>
      <c r="Z41" s="117" t="str">
        <f>Январь[[#This Row],[Дата]]</f>
        <v/>
      </c>
    </row>
    <row r="42" spans="1:29" x14ac:dyDescent="0.2">
      <c r="A42" s="199">
        <f t="shared" si="0"/>
        <v>43118</v>
      </c>
      <c r="B42" s="109"/>
      <c r="C42" s="39"/>
      <c r="D42" s="56"/>
      <c r="E42" s="182"/>
      <c r="F42" s="183"/>
      <c r="G42" s="195">
        <f t="shared" si="2"/>
        <v>2450</v>
      </c>
      <c r="H42" s="39">
        <f t="shared" si="3"/>
        <v>29271</v>
      </c>
      <c r="I42" s="191">
        <v>29280</v>
      </c>
      <c r="J42" s="33">
        <f>IF(W42="",Январь[[#This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9</v>
      </c>
      <c r="K42" s="185"/>
      <c r="L42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163.35000000000002</v>
      </c>
      <c r="M42" s="187">
        <f>Январь[[#This Row],[Выдано топливо, литр]]+U42+Январь[[#This Row],[Остаток топлива в баке на начало дня, литр]]</f>
        <v>2650</v>
      </c>
      <c r="N42" s="193">
        <f>IFERROR(ROUND((Январь[[#This Row],[Пройдено за день, км]]*0.01*$Y$2+Январь[[#This Row],[Расход топлива на работу спецоборудования, литр]]),3)+X42,)</f>
        <v>163.35</v>
      </c>
      <c r="O42" s="192">
        <f ca="1">IF(Январь[[#This Row],[Дата]]="","",IFERROR(ROUND(Январь[[#This Row],[Расход топлива по норме, литр]]/VLOOKUP(Январь[Дата],S$2:W$4,5),0)+Y42,))</f>
        <v>207</v>
      </c>
      <c r="P42" s="194">
        <f ca="1">IFERROR(Январь[[#This Row],[Фактический расход топлива, литр]]-Январь[[#This Row],[Расход топлива по норме, литр]],"")</f>
        <v>43.650000000000006</v>
      </c>
      <c r="R42" s="117">
        <f>Январь[[#This Row],[Дата]]</f>
        <v>43118</v>
      </c>
      <c r="S42" s="140"/>
      <c r="T42" s="84"/>
      <c r="U42" s="62">
        <v>200</v>
      </c>
      <c r="V42" s="141"/>
      <c r="W42" s="84"/>
      <c r="X42" s="84"/>
      <c r="Y42" s="132"/>
      <c r="Z42" s="117">
        <f>Январь[[#This Row],[Дата]]</f>
        <v>43118</v>
      </c>
    </row>
    <row r="43" spans="1:29" x14ac:dyDescent="0.2">
      <c r="A43" s="199" t="str">
        <f t="shared" si="0"/>
        <v/>
      </c>
      <c r="B43" s="109"/>
      <c r="C43" s="39"/>
      <c r="D43" s="56"/>
      <c r="E43" s="182"/>
      <c r="F43" s="183"/>
      <c r="G43" s="195">
        <f t="shared" si="2"/>
        <v>2650</v>
      </c>
      <c r="H43" s="39">
        <f t="shared" si="3"/>
        <v>29280</v>
      </c>
      <c r="I43" s="191">
        <v>29280</v>
      </c>
      <c r="J43" s="33">
        <f>IF(W43="",Январь[[#This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43" s="185"/>
      <c r="L43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43" s="187">
        <f>Январь[[#This Row],[Выдано топливо, литр]]+U43+Январь[[#This Row],[Остаток топлива в баке на начало дня, литр]]</f>
        <v>2650</v>
      </c>
      <c r="N43" s="193">
        <f>IFERROR(ROUND((Январь[[#This Row],[Пройдено за день, км]]*0.01*$Y$2+Январь[[#This Row],[Расход топлива на работу спецоборудования, литр]]),3)+X43,)</f>
        <v>0</v>
      </c>
      <c r="O43" s="192" t="str">
        <f>IF(Январь[[#This Row],[Дата]]="","",IFERROR(ROUND(Январь[[#This Row],[Расход топлива по норме, литр]]/VLOOKUP(Январь[Дата],S$2:W$4,5),0)+Y43,))</f>
        <v/>
      </c>
      <c r="P43" s="194" t="str">
        <f>IFERROR(Январь[[#This Row],[Фактический расход топлива, литр]]-Январь[[#This Row],[Расход топлива по норме, литр]],"")</f>
        <v/>
      </c>
      <c r="R43" s="117" t="str">
        <f>Январь[[#This Row],[Дата]]</f>
        <v/>
      </c>
      <c r="S43" s="140"/>
      <c r="T43" s="84"/>
      <c r="U43" s="62"/>
      <c r="V43" s="141"/>
      <c r="W43" s="84"/>
      <c r="X43" s="84"/>
      <c r="Y43" s="132"/>
      <c r="Z43" s="117" t="str">
        <f>Январь[[#This Row],[Дата]]</f>
        <v/>
      </c>
    </row>
    <row r="44" spans="1:29" x14ac:dyDescent="0.2">
      <c r="A44" s="199">
        <f t="shared" si="0"/>
        <v>43119</v>
      </c>
      <c r="B44" s="109"/>
      <c r="C44" s="39" t="str">
        <f ca="1">IFERROR(IF(INDIRECT(TEXT(A37,"ММММ")&amp;"!A7:A37")="","",IF(S37="",D37,S37)),"")</f>
        <v/>
      </c>
      <c r="D44" s="56"/>
      <c r="E44" s="34"/>
      <c r="F44" s="137"/>
      <c r="G44" s="33">
        <f t="shared" si="2"/>
        <v>2650</v>
      </c>
      <c r="H44" s="39">
        <f t="shared" si="3"/>
        <v>29280</v>
      </c>
      <c r="I44" s="56">
        <v>29286</v>
      </c>
      <c r="J44" s="33">
        <f>IF(W44="",Январь[[#This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6</v>
      </c>
      <c r="K44" s="72"/>
      <c r="L44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108.9</v>
      </c>
      <c r="M44" s="60">
        <f>Январь[[#This Row],[Выдано топливо, литр]]+U44+Январь[[#This Row],[Остаток топлива в баке на начало дня, литр]]</f>
        <v>2650</v>
      </c>
      <c r="N44" s="36">
        <f>IFERROR(ROUND((Январь[[#This Row],[Пройдено за день, км]]*0.01*$Y$2+Январь[[#This Row],[Расход топлива на работу спецоборудования, литр]]),3)+X44,)</f>
        <v>108.9</v>
      </c>
      <c r="O44" s="35">
        <f ca="1">IF(Январь[[#This Row],[Дата]]="","",IFERROR(ROUND(Январь[[#This Row],[Расход топлива по норме, литр]]/VLOOKUP(Январь[Дата],S$2:W$4,5),0)+Y44,))</f>
        <v>0</v>
      </c>
      <c r="P44" s="37">
        <f ca="1">IFERROR(Январь[[#This Row],[Фактический расход топлива, литр]]-Январь[[#This Row],[Расход топлива по норме, литр]],"")</f>
        <v>-108.9</v>
      </c>
      <c r="R44" s="117">
        <f>Январь[[#This Row],[Дата]]</f>
        <v>43119</v>
      </c>
      <c r="S44" s="140"/>
      <c r="T44" s="84"/>
      <c r="U44" s="62"/>
      <c r="V44" s="141"/>
      <c r="W44" s="84"/>
      <c r="X44" s="84"/>
      <c r="Y44" s="132"/>
      <c r="Z44" s="117">
        <f>Январь[[#This Row],[Дата]]</f>
        <v>43119</v>
      </c>
    </row>
    <row r="45" spans="1:29" x14ac:dyDescent="0.2">
      <c r="A45" s="199" t="str">
        <f t="shared" si="0"/>
        <v/>
      </c>
      <c r="B45" s="109"/>
      <c r="C45" s="39"/>
      <c r="D45" s="56"/>
      <c r="E45" s="182"/>
      <c r="F45" s="183"/>
      <c r="G45" s="195">
        <f t="shared" si="2"/>
        <v>2650</v>
      </c>
      <c r="H45" s="39">
        <f t="shared" si="3"/>
        <v>29286</v>
      </c>
      <c r="I45" s="191">
        <v>29286</v>
      </c>
      <c r="J45" s="33">
        <f>IF(W45="",Январь[[#This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45" s="185"/>
      <c r="L45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45" s="187">
        <f>Январь[[#This Row],[Выдано топливо, литр]]+U45+Январь[[#This Row],[Остаток топлива в баке на начало дня, литр]]</f>
        <v>2650</v>
      </c>
      <c r="N45" s="193">
        <f>IFERROR(ROUND((Январь[[#This Row],[Пройдено за день, км]]*0.01*$Y$2+Январь[[#This Row],[Расход топлива на работу спецоборудования, литр]]),3)+X45,)</f>
        <v>0</v>
      </c>
      <c r="O45" s="192" t="str">
        <f>IF(Январь[[#This Row],[Дата]]="","",IFERROR(ROUND(Январь[[#This Row],[Расход топлива по норме, литр]]/VLOOKUP(Январь[Дата],S$2:W$4,5),0)+Y45,))</f>
        <v/>
      </c>
      <c r="P45" s="194" t="str">
        <f>IFERROR(Январь[[#This Row],[Фактический расход топлива, литр]]-Январь[[#This Row],[Расход топлива по норме, литр]],"")</f>
        <v/>
      </c>
      <c r="R45" s="117" t="str">
        <f>Январь[[#This Row],[Дата]]</f>
        <v/>
      </c>
      <c r="S45" s="140"/>
      <c r="T45" s="84"/>
      <c r="U45" s="62"/>
      <c r="V45" s="141"/>
      <c r="W45" s="84"/>
      <c r="X45" s="84"/>
      <c r="Y45" s="132"/>
      <c r="Z45" s="117" t="str">
        <f>Январь[[#This Row],[Дата]]</f>
        <v/>
      </c>
    </row>
    <row r="46" spans="1:29" x14ac:dyDescent="0.2">
      <c r="A46" s="199">
        <f t="shared" si="0"/>
        <v>43120</v>
      </c>
      <c r="B46" s="109"/>
      <c r="C46" s="39"/>
      <c r="D46" s="56"/>
      <c r="E46" s="182"/>
      <c r="F46" s="183"/>
      <c r="G46" s="195">
        <f t="shared" si="2"/>
        <v>2650</v>
      </c>
      <c r="H46" s="39">
        <f t="shared" si="3"/>
        <v>29286</v>
      </c>
      <c r="I46" s="191">
        <v>29297</v>
      </c>
      <c r="J46" s="33">
        <f>IF(W46="",Январь[[#This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11</v>
      </c>
      <c r="K46" s="185"/>
      <c r="L46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199.65000000000003</v>
      </c>
      <c r="M46" s="187">
        <f>Январь[[#This Row],[Выдано топливо, литр]]+U46+Январь[[#This Row],[Остаток топлива в баке на начало дня, литр]]</f>
        <v>2900</v>
      </c>
      <c r="N46" s="193">
        <f>IFERROR(ROUND((Январь[[#This Row],[Пройдено за день, км]]*0.01*$Y$2+Январь[[#This Row],[Расход топлива на работу спецоборудования, литр]]),3)+X46,)</f>
        <v>199.65</v>
      </c>
      <c r="O46" s="192">
        <f ca="1">IF(Январь[[#This Row],[Дата]]="","",IFERROR(ROUND(Январь[[#This Row],[Расход топлива по норме, литр]]/VLOOKUP(Январь[Дата],S$2:W$4,5),0)+Y46,))</f>
        <v>0</v>
      </c>
      <c r="P46" s="194">
        <f ca="1">IFERROR(Январь[[#This Row],[Фактический расход топлива, литр]]-Январь[[#This Row],[Расход топлива по норме, литр]],"")</f>
        <v>-199.65</v>
      </c>
      <c r="R46" s="117">
        <f>Январь[[#This Row],[Дата]]</f>
        <v>43120</v>
      </c>
      <c r="S46" s="140"/>
      <c r="T46" s="84"/>
      <c r="U46" s="62">
        <v>250</v>
      </c>
      <c r="V46" s="141"/>
      <c r="W46" s="84"/>
      <c r="X46" s="84"/>
      <c r="Y46" s="132"/>
      <c r="Z46" s="117">
        <f>Январь[[#This Row],[Дата]]</f>
        <v>43120</v>
      </c>
    </row>
    <row r="47" spans="1:29" x14ac:dyDescent="0.2">
      <c r="A47" s="199" t="str">
        <f t="shared" si="0"/>
        <v/>
      </c>
      <c r="B47" s="109"/>
      <c r="C47" s="39"/>
      <c r="D47" s="56"/>
      <c r="E47" s="182"/>
      <c r="F47" s="183"/>
      <c r="G47" s="195">
        <f t="shared" si="2"/>
        <v>2900</v>
      </c>
      <c r="H47" s="39">
        <f t="shared" si="3"/>
        <v>29297</v>
      </c>
      <c r="I47" s="191">
        <v>29307</v>
      </c>
      <c r="J47" s="33">
        <f>IF(W47="",Январь[[#This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10</v>
      </c>
      <c r="K47" s="185"/>
      <c r="L47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181.50000000000003</v>
      </c>
      <c r="M47" s="187">
        <f>Январь[[#This Row],[Выдано топливо, литр]]+U47+Январь[[#This Row],[Остаток топлива в баке на начало дня, литр]]</f>
        <v>2900</v>
      </c>
      <c r="N47" s="193">
        <f>IFERROR(ROUND((Январь[[#This Row],[Пройдено за день, км]]*0.01*$Y$2+Январь[[#This Row],[Расход топлива на работу спецоборудования, литр]]),3)+X47,)</f>
        <v>181.5</v>
      </c>
      <c r="O47" s="192" t="str">
        <f>IF(Январь[[#This Row],[Дата]]="","",IFERROR(ROUND(Январь[[#This Row],[Расход топлива по норме, литр]]/VLOOKUP(Январь[Дата],S$2:W$4,5),0)+Y47,))</f>
        <v/>
      </c>
      <c r="P47" s="194" t="str">
        <f>IFERROR(Январь[[#This Row],[Фактический расход топлива, литр]]-Январь[[#This Row],[Расход топлива по норме, литр]],"")</f>
        <v/>
      </c>
      <c r="R47" s="117" t="str">
        <f>Январь[[#This Row],[Дата]]</f>
        <v/>
      </c>
      <c r="S47" s="140"/>
      <c r="T47" s="84"/>
      <c r="U47" s="62"/>
      <c r="V47" s="141"/>
      <c r="W47" s="84"/>
      <c r="X47" s="84"/>
      <c r="Y47" s="132"/>
      <c r="Z47" s="117" t="str">
        <f>Январь[[#This Row],[Дата]]</f>
        <v/>
      </c>
    </row>
    <row r="48" spans="1:29" x14ac:dyDescent="0.2">
      <c r="A48" s="199">
        <f t="shared" si="0"/>
        <v>43121</v>
      </c>
      <c r="B48" s="109"/>
      <c r="C48" s="39"/>
      <c r="D48" s="56"/>
      <c r="E48" s="182"/>
      <c r="F48" s="183"/>
      <c r="G48" s="195">
        <f t="shared" si="2"/>
        <v>2900</v>
      </c>
      <c r="H48" s="39">
        <f t="shared" si="3"/>
        <v>29307</v>
      </c>
      <c r="I48" s="191">
        <v>29308</v>
      </c>
      <c r="J48" s="33">
        <f>IF(W48="",Январь[[#This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</v>
      </c>
      <c r="K48" s="185"/>
      <c r="L48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18.150000000000002</v>
      </c>
      <c r="M48" s="187">
        <f>Январь[[#This Row],[Выдано топливо, литр]]+U48+Январь[[#This Row],[Остаток топлива в баке на начало дня, литр]]</f>
        <v>3150</v>
      </c>
      <c r="N48" s="193">
        <f>IFERROR(ROUND((Январь[[#This Row],[Пройдено за день, км]]*0.01*$Y$2+Январь[[#This Row],[Расход топлива на работу спецоборудования, литр]]),3)+X48,)</f>
        <v>18.149999999999999</v>
      </c>
      <c r="O48" s="192">
        <f ca="1">IF(Январь[[#This Row],[Дата]]="","",IFERROR(ROUND(Январь[[#This Row],[Расход топлива по норме, литр]]/VLOOKUP(Январь[Дата],S$2:W$4,5),0)+Y48,))</f>
        <v>0</v>
      </c>
      <c r="P48" s="194">
        <f ca="1">IFERROR(Январь[[#This Row],[Фактический расход топлива, литр]]-Январь[[#This Row],[Расход топлива по норме, литр]],"")</f>
        <v>-18.149999999999999</v>
      </c>
      <c r="R48" s="117">
        <f>Январь[[#This Row],[Дата]]</f>
        <v>43121</v>
      </c>
      <c r="S48" s="140"/>
      <c r="T48" s="84"/>
      <c r="U48" s="62">
        <v>250</v>
      </c>
      <c r="V48" s="141"/>
      <c r="W48" s="84"/>
      <c r="X48" s="84"/>
      <c r="Y48" s="132"/>
      <c r="Z48" s="117">
        <f>Январь[[#This Row],[Дата]]</f>
        <v>43121</v>
      </c>
    </row>
    <row r="49" spans="1:26" x14ac:dyDescent="0.2">
      <c r="A49" s="199" t="str">
        <f t="shared" si="0"/>
        <v/>
      </c>
      <c r="B49" s="109"/>
      <c r="C49" s="39"/>
      <c r="D49" s="56"/>
      <c r="E49" s="182"/>
      <c r="F49" s="183"/>
      <c r="G49" s="195">
        <f t="shared" si="2"/>
        <v>3150</v>
      </c>
      <c r="H49" s="39">
        <f t="shared" si="3"/>
        <v>29308</v>
      </c>
      <c r="I49" s="191">
        <v>29308</v>
      </c>
      <c r="J49" s="33">
        <f>IF(W49="",Январь[[#This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49" s="185"/>
      <c r="L49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49" s="187">
        <f>Январь[[#This Row],[Выдано топливо, литр]]+U49+Январь[[#This Row],[Остаток топлива в баке на начало дня, литр]]</f>
        <v>3150</v>
      </c>
      <c r="N49" s="193">
        <f>IFERROR(ROUND((Январь[[#This Row],[Пройдено за день, км]]*0.01*$Y$2+Январь[[#This Row],[Расход топлива на работу спецоборудования, литр]]),3)+X49,)</f>
        <v>0</v>
      </c>
      <c r="O49" s="192" t="str">
        <f>IF(Январь[[#This Row],[Дата]]="","",IFERROR(ROUND(Январь[[#This Row],[Расход топлива по норме, литр]]/VLOOKUP(Январь[Дата],S$2:W$4,5),0)+Y49,))</f>
        <v/>
      </c>
      <c r="P49" s="194" t="str">
        <f>IFERROR(Январь[[#This Row],[Фактический расход топлива, литр]]-Январь[[#This Row],[Расход топлива по норме, литр]],"")</f>
        <v/>
      </c>
      <c r="R49" s="117" t="str">
        <f>Январь[[#This Row],[Дата]]</f>
        <v/>
      </c>
      <c r="S49" s="140"/>
      <c r="T49" s="84"/>
      <c r="U49" s="62"/>
      <c r="V49" s="141"/>
      <c r="W49" s="84"/>
      <c r="X49" s="84"/>
      <c r="Y49" s="132"/>
      <c r="Z49" s="117" t="str">
        <f>Январь[[#This Row],[Дата]]</f>
        <v/>
      </c>
    </row>
    <row r="50" spans="1:26" x14ac:dyDescent="0.2">
      <c r="A50" s="199">
        <f t="shared" si="0"/>
        <v>43122</v>
      </c>
      <c r="B50" s="109"/>
      <c r="C50" s="39"/>
      <c r="D50" s="56"/>
      <c r="E50" s="182"/>
      <c r="F50" s="183"/>
      <c r="G50" s="195">
        <f t="shared" si="2"/>
        <v>3150</v>
      </c>
      <c r="H50" s="39">
        <f t="shared" si="3"/>
        <v>29308</v>
      </c>
      <c r="I50" s="191">
        <v>29321</v>
      </c>
      <c r="J50" s="33">
        <f>IF(W50="",Январь[[#This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13</v>
      </c>
      <c r="K50" s="185"/>
      <c r="L50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235.95000000000002</v>
      </c>
      <c r="M50" s="187">
        <f>Январь[[#This Row],[Выдано топливо, литр]]+U50+Январь[[#This Row],[Остаток топлива в баке на начало дня, литр]]</f>
        <v>3300</v>
      </c>
      <c r="N50" s="193">
        <f>IFERROR(ROUND((Январь[[#This Row],[Пройдено за день, км]]*0.01*$Y$2+Январь[[#This Row],[Расход топлива на работу спецоборудования, литр]]),3)+X50,)</f>
        <v>235.95</v>
      </c>
      <c r="O50" s="192">
        <f ca="1">IF(Январь[[#This Row],[Дата]]="","",IFERROR(ROUND(Январь[[#This Row],[Расход топлива по норме, литр]]/VLOOKUP(Январь[Дата],S$2:W$4,5),0)+Y50,))</f>
        <v>0</v>
      </c>
      <c r="P50" s="194">
        <f ca="1">IFERROR(Январь[[#This Row],[Фактический расход топлива, литр]]-Январь[[#This Row],[Расход топлива по норме, литр]],"")</f>
        <v>-235.95</v>
      </c>
      <c r="R50" s="117">
        <f>Январь[[#This Row],[Дата]]</f>
        <v>43122</v>
      </c>
      <c r="S50" s="140"/>
      <c r="T50" s="84"/>
      <c r="U50" s="62">
        <v>150</v>
      </c>
      <c r="V50" s="141"/>
      <c r="W50" s="84"/>
      <c r="X50" s="84"/>
      <c r="Y50" s="132"/>
      <c r="Z50" s="117">
        <f>Январь[[#This Row],[Дата]]</f>
        <v>43122</v>
      </c>
    </row>
    <row r="51" spans="1:26" x14ac:dyDescent="0.2">
      <c r="A51" s="199" t="str">
        <f t="shared" si="0"/>
        <v/>
      </c>
      <c r="B51" s="109"/>
      <c r="C51" s="39"/>
      <c r="D51" s="56"/>
      <c r="E51" s="182"/>
      <c r="F51" s="183"/>
      <c r="G51" s="195">
        <f t="shared" si="2"/>
        <v>3300</v>
      </c>
      <c r="H51" s="39">
        <f t="shared" si="3"/>
        <v>29321</v>
      </c>
      <c r="I51" s="191">
        <v>29321</v>
      </c>
      <c r="J51" s="33">
        <f>IF(W51="",Январь[[#This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51" s="185"/>
      <c r="L51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51" s="187">
        <f>Январь[[#This Row],[Выдано топливо, литр]]+U51+Январь[[#This Row],[Остаток топлива в баке на начало дня, литр]]</f>
        <v>3300</v>
      </c>
      <c r="N51" s="193">
        <f>IFERROR(ROUND((Январь[[#This Row],[Пройдено за день, км]]*0.01*$Y$2+Январь[[#This Row],[Расход топлива на работу спецоборудования, литр]]),3)+X51,)</f>
        <v>0</v>
      </c>
      <c r="O51" s="192" t="str">
        <f>IF(Январь[[#This Row],[Дата]]="","",IFERROR(ROUND(Январь[[#This Row],[Расход топлива по норме, литр]]/VLOOKUP(Январь[Дата],S$2:W$4,5),0)+Y51,))</f>
        <v/>
      </c>
      <c r="P51" s="194" t="str">
        <f>IFERROR(Январь[[#This Row],[Фактический расход топлива, литр]]-Январь[[#This Row],[Расход топлива по норме, литр]],"")</f>
        <v/>
      </c>
      <c r="R51" s="117" t="str">
        <f>Январь[[#This Row],[Дата]]</f>
        <v/>
      </c>
      <c r="S51" s="140"/>
      <c r="T51" s="84"/>
      <c r="U51" s="62"/>
      <c r="V51" s="141"/>
      <c r="W51" s="84"/>
      <c r="X51" s="84"/>
      <c r="Y51" s="132"/>
      <c r="Z51" s="117" t="str">
        <f>Январь[[#This Row],[Дата]]</f>
        <v/>
      </c>
    </row>
    <row r="52" spans="1:26" x14ac:dyDescent="0.2">
      <c r="A52" s="199">
        <f t="shared" si="0"/>
        <v>43123</v>
      </c>
      <c r="B52" s="109"/>
      <c r="C52" s="39"/>
      <c r="D52" s="56"/>
      <c r="E52" s="182"/>
      <c r="F52" s="183"/>
      <c r="G52" s="195">
        <f t="shared" si="2"/>
        <v>3300</v>
      </c>
      <c r="H52" s="39">
        <f t="shared" si="3"/>
        <v>29321</v>
      </c>
      <c r="I52" s="191">
        <v>29332</v>
      </c>
      <c r="J52" s="33">
        <f>IF(W52="",Январь[[#This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11</v>
      </c>
      <c r="K52" s="185"/>
      <c r="L52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199.65000000000003</v>
      </c>
      <c r="M52" s="187">
        <f>Январь[[#This Row],[Выдано топливо, литр]]+U52+Январь[[#This Row],[Остаток топлива в баке на начало дня, литр]]</f>
        <v>3610</v>
      </c>
      <c r="N52" s="193">
        <f>IFERROR(ROUND((Январь[[#This Row],[Пройдено за день, км]]*0.01*$Y$2+Январь[[#This Row],[Расход топлива на работу спецоборудования, литр]]),3)+X52,)</f>
        <v>199.65</v>
      </c>
      <c r="O52" s="192">
        <f ca="1">IF(Январь[[#This Row],[Дата]]="","",IFERROR(ROUND(Январь[[#This Row],[Расход топлива по норме, литр]]/VLOOKUP(Январь[Дата],S$2:W$4,5),0)+Y52,))</f>
        <v>0</v>
      </c>
      <c r="P52" s="194">
        <f ca="1">IFERROR(Январь[[#This Row],[Фактический расход топлива, литр]]-Январь[[#This Row],[Расход топлива по норме, литр]],"")</f>
        <v>-199.65</v>
      </c>
      <c r="R52" s="117">
        <f>Январь[[#This Row],[Дата]]</f>
        <v>43123</v>
      </c>
      <c r="S52" s="140"/>
      <c r="T52" s="84"/>
      <c r="U52" s="62">
        <v>310</v>
      </c>
      <c r="V52" s="141"/>
      <c r="W52" s="84"/>
      <c r="X52" s="84"/>
      <c r="Y52" s="132"/>
      <c r="Z52" s="117">
        <f>Январь[[#This Row],[Дата]]</f>
        <v>43123</v>
      </c>
    </row>
    <row r="53" spans="1:26" x14ac:dyDescent="0.2">
      <c r="A53" s="199" t="str">
        <f t="shared" si="0"/>
        <v/>
      </c>
      <c r="B53" s="109"/>
      <c r="C53" s="39"/>
      <c r="D53" s="56"/>
      <c r="E53" s="182"/>
      <c r="F53" s="183"/>
      <c r="G53" s="195">
        <f t="shared" si="2"/>
        <v>3610</v>
      </c>
      <c r="H53" s="39">
        <f t="shared" si="3"/>
        <v>29332</v>
      </c>
      <c r="I53" s="191">
        <v>29332</v>
      </c>
      <c r="J53" s="33">
        <f>IF(W53="",Январь[[#This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53" s="185"/>
      <c r="L53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53" s="187">
        <f>Январь[[#This Row],[Выдано топливо, литр]]+U53+Январь[[#This Row],[Остаток топлива в баке на начало дня, литр]]</f>
        <v>3610</v>
      </c>
      <c r="N53" s="193">
        <f>IFERROR(ROUND((Январь[[#This Row],[Пройдено за день, км]]*0.01*$Y$2+Январь[[#This Row],[Расход топлива на работу спецоборудования, литр]]),3)+X53,)</f>
        <v>0</v>
      </c>
      <c r="O53" s="192" t="str">
        <f>IF(Январь[[#This Row],[Дата]]="","",IFERROR(ROUND(Январь[[#This Row],[Расход топлива по норме, литр]]/VLOOKUP(Январь[Дата],S$2:W$4,5),0)+Y53,))</f>
        <v/>
      </c>
      <c r="P53" s="194" t="str">
        <f>IFERROR(Январь[[#This Row],[Фактический расход топлива, литр]]-Январь[[#This Row],[Расход топлива по норме, литр]],"")</f>
        <v/>
      </c>
      <c r="R53" s="117" t="str">
        <f>Январь[[#This Row],[Дата]]</f>
        <v/>
      </c>
      <c r="S53" s="140"/>
      <c r="T53" s="84"/>
      <c r="U53" s="62"/>
      <c r="V53" s="141"/>
      <c r="W53" s="84"/>
      <c r="X53" s="84"/>
      <c r="Y53" s="132"/>
      <c r="Z53" s="117" t="str">
        <f>Январь[[#This Row],[Дата]]</f>
        <v/>
      </c>
    </row>
    <row r="54" spans="1:26" x14ac:dyDescent="0.2">
      <c r="A54" s="199">
        <f t="shared" si="0"/>
        <v>43124</v>
      </c>
      <c r="B54" s="109"/>
      <c r="C54" s="39"/>
      <c r="D54" s="56"/>
      <c r="E54" s="182"/>
      <c r="F54" s="183"/>
      <c r="G54" s="195">
        <f t="shared" si="2"/>
        <v>3610</v>
      </c>
      <c r="H54" s="39">
        <f t="shared" si="3"/>
        <v>29332</v>
      </c>
      <c r="I54" s="191">
        <v>29343</v>
      </c>
      <c r="J54" s="33">
        <f>IF(W54="",Январь[[#This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11</v>
      </c>
      <c r="K54" s="185"/>
      <c r="L54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199.65000000000003</v>
      </c>
      <c r="M54" s="187">
        <f>Январь[[#This Row],[Выдано топливо, литр]]+U54+Январь[[#This Row],[Остаток топлива в баке на начало дня, литр]]</f>
        <v>3610</v>
      </c>
      <c r="N54" s="193">
        <f>IFERROR(ROUND((Январь[[#This Row],[Пройдено за день, км]]*0.01*$Y$2+Январь[[#This Row],[Расход топлива на работу спецоборудования, литр]]),3)+X54,)</f>
        <v>199.65</v>
      </c>
      <c r="O54" s="192">
        <f ca="1">IF(Январь[[#This Row],[Дата]]="","",IFERROR(ROUND(Январь[[#This Row],[Расход топлива по норме, литр]]/VLOOKUP(Январь[Дата],S$2:W$4,5),0)+Y54,))</f>
        <v>0</v>
      </c>
      <c r="P54" s="194">
        <f ca="1">IFERROR(Январь[[#This Row],[Фактический расход топлива, литр]]-Январь[[#This Row],[Расход топлива по норме, литр]],"")</f>
        <v>-199.65</v>
      </c>
      <c r="R54" s="117">
        <f>Январь[[#This Row],[Дата]]</f>
        <v>43124</v>
      </c>
      <c r="S54" s="140"/>
      <c r="T54" s="84"/>
      <c r="U54" s="62"/>
      <c r="V54" s="141"/>
      <c r="W54" s="84"/>
      <c r="X54" s="84"/>
      <c r="Y54" s="132"/>
      <c r="Z54" s="117">
        <f>Январь[[#This Row],[Дата]]</f>
        <v>43124</v>
      </c>
    </row>
    <row r="55" spans="1:26" x14ac:dyDescent="0.2">
      <c r="A55" s="199" t="str">
        <f t="shared" si="0"/>
        <v/>
      </c>
      <c r="B55" s="109"/>
      <c r="C55" s="39"/>
      <c r="D55" s="56"/>
      <c r="E55" s="182"/>
      <c r="F55" s="183"/>
      <c r="G55" s="195">
        <f t="shared" si="2"/>
        <v>3610</v>
      </c>
      <c r="H55" s="39">
        <f t="shared" si="3"/>
        <v>29343</v>
      </c>
      <c r="I55" s="191">
        <v>29343</v>
      </c>
      <c r="J55" s="33">
        <f>IF(W55="",Январь[[#This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55" s="185"/>
      <c r="L55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55" s="187">
        <f>Январь[[#This Row],[Выдано топливо, литр]]+U55+Январь[[#This Row],[Остаток топлива в баке на начало дня, литр]]</f>
        <v>3610</v>
      </c>
      <c r="N55" s="193">
        <f>IFERROR(ROUND((Январь[[#This Row],[Пройдено за день, км]]*0.01*$Y$2+Январь[[#This Row],[Расход топлива на работу спецоборудования, литр]]),3)+X55,)</f>
        <v>0</v>
      </c>
      <c r="O55" s="192" t="str">
        <f>IF(Январь[[#This Row],[Дата]]="","",IFERROR(ROUND(Январь[[#This Row],[Расход топлива по норме, литр]]/VLOOKUP(Январь[Дата],S$2:W$4,5),0)+Y55,))</f>
        <v/>
      </c>
      <c r="P55" s="194" t="str">
        <f>IFERROR(Январь[[#This Row],[Фактический расход топлива, литр]]-Январь[[#This Row],[Расход топлива по норме, литр]],"")</f>
        <v/>
      </c>
      <c r="R55" s="117" t="str">
        <f>Январь[[#This Row],[Дата]]</f>
        <v/>
      </c>
      <c r="S55" s="140"/>
      <c r="T55" s="84"/>
      <c r="U55" s="62"/>
      <c r="V55" s="141"/>
      <c r="W55" s="84"/>
      <c r="X55" s="84"/>
      <c r="Y55" s="132"/>
      <c r="Z55" s="117" t="str">
        <f>Январь[[#This Row],[Дата]]</f>
        <v/>
      </c>
    </row>
    <row r="56" spans="1:26" x14ac:dyDescent="0.2">
      <c r="A56" s="199">
        <f t="shared" si="0"/>
        <v>43125</v>
      </c>
      <c r="B56" s="109"/>
      <c r="C56" s="39" t="str">
        <f ca="1">IFERROR(IF(INDIRECT(TEXT(A44,"ММММ")&amp;"!A7:A37")="","",IF(S44="",D44,S44)),"")</f>
        <v/>
      </c>
      <c r="D56" s="56"/>
      <c r="E56" s="34"/>
      <c r="F56" s="137"/>
      <c r="G56" s="33">
        <f t="shared" si="2"/>
        <v>3610</v>
      </c>
      <c r="H56" s="39">
        <f t="shared" si="3"/>
        <v>29343</v>
      </c>
      <c r="I56" s="56">
        <v>29353</v>
      </c>
      <c r="J56" s="33">
        <f>IF(W56="",Январь[[#This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10</v>
      </c>
      <c r="K56" s="72"/>
      <c r="L56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181.50000000000003</v>
      </c>
      <c r="M56" s="60">
        <f>Январь[[#This Row],[Выдано топливо, литр]]+U56+Январь[[#This Row],[Остаток топлива в баке на начало дня, литр]]</f>
        <v>3850</v>
      </c>
      <c r="N56" s="36">
        <f>IFERROR(ROUND((Январь[[#This Row],[Пройдено за день, км]]*0.01*$Y$2+Январь[[#This Row],[Расход топлива на работу спецоборудования, литр]]),3)+X56,)</f>
        <v>181.5</v>
      </c>
      <c r="O56" s="35">
        <f ca="1">IF(Январь[[#This Row],[Дата]]="","",IFERROR(ROUND(Январь[[#This Row],[Расход топлива по норме, литр]]/VLOOKUP(Январь[Дата],S$2:W$4,5),0)+Y56,))</f>
        <v>0</v>
      </c>
      <c r="P56" s="37">
        <f ca="1">IFERROR(Январь[[#This Row],[Фактический расход топлива, литр]]-Январь[[#This Row],[Расход топлива по норме, литр]],"")</f>
        <v>-181.5</v>
      </c>
      <c r="R56" s="117">
        <f>Январь[[#This Row],[Дата]]</f>
        <v>43125</v>
      </c>
      <c r="S56" s="140"/>
      <c r="T56" s="84"/>
      <c r="U56" s="62">
        <v>240</v>
      </c>
      <c r="V56" s="141"/>
      <c r="W56" s="84"/>
      <c r="X56" s="84"/>
      <c r="Y56" s="132"/>
      <c r="Z56" s="117">
        <f>Январь[[#This Row],[Дата]]</f>
        <v>43125</v>
      </c>
    </row>
    <row r="57" spans="1:26" x14ac:dyDescent="0.2">
      <c r="A57" s="199" t="str">
        <f t="shared" si="0"/>
        <v/>
      </c>
      <c r="B57" s="109"/>
      <c r="C57" s="39" t="str">
        <f t="shared" ca="1" si="4"/>
        <v/>
      </c>
      <c r="D57" s="56"/>
      <c r="E57" s="34"/>
      <c r="F57" s="137"/>
      <c r="G57" s="33">
        <f t="shared" si="2"/>
        <v>3850</v>
      </c>
      <c r="H57" s="39">
        <f t="shared" si="3"/>
        <v>29353</v>
      </c>
      <c r="I57" s="56">
        <v>29353</v>
      </c>
      <c r="J57" s="33">
        <f>IF(W57="",Январь[[#This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57" s="72"/>
      <c r="L57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57" s="60">
        <f>Январь[[#This Row],[Выдано топливо, литр]]+U57+Январь[[#This Row],[Остаток топлива в баке на начало дня, литр]]</f>
        <v>3850</v>
      </c>
      <c r="N57" s="36">
        <f>IFERROR(ROUND((Январь[[#This Row],[Пройдено за день, км]]*0.01*$Y$2+Январь[[#This Row],[Расход топлива на работу спецоборудования, литр]]),3)+X57,)</f>
        <v>0</v>
      </c>
      <c r="O57" s="35" t="str">
        <f>IF(Январь[[#This Row],[Дата]]="","",IFERROR(ROUND(Январь[[#This Row],[Расход топлива по норме, литр]]/VLOOKUP(Январь[Дата],S$2:W$4,5),0)+Y57,))</f>
        <v/>
      </c>
      <c r="P57" s="37" t="str">
        <f>IFERROR(Январь[[#This Row],[Фактический расход топлива, литр]]-Январь[[#This Row],[Расход топлива по норме, литр]],"")</f>
        <v/>
      </c>
      <c r="R57" s="117" t="str">
        <f>Январь[[#This Row],[Дата]]</f>
        <v/>
      </c>
      <c r="S57" s="140"/>
      <c r="T57" s="84"/>
      <c r="U57" s="62"/>
      <c r="V57" s="141"/>
      <c r="W57" s="84"/>
      <c r="X57" s="84"/>
      <c r="Y57" s="132"/>
      <c r="Z57" s="117" t="str">
        <f>Январь[[#This Row],[Дата]]</f>
        <v/>
      </c>
    </row>
    <row r="58" spans="1:26" x14ac:dyDescent="0.2">
      <c r="A58" s="199">
        <f t="shared" si="0"/>
        <v>43126</v>
      </c>
      <c r="B58" s="109"/>
      <c r="C58" s="39" t="str">
        <f t="shared" ca="1" si="4"/>
        <v/>
      </c>
      <c r="D58" s="56"/>
      <c r="E58" s="34"/>
      <c r="F58" s="137"/>
      <c r="G58" s="33">
        <f t="shared" si="2"/>
        <v>3850</v>
      </c>
      <c r="H58" s="39">
        <f t="shared" si="3"/>
        <v>29353</v>
      </c>
      <c r="I58" s="56">
        <v>29361</v>
      </c>
      <c r="J58" s="33">
        <f>IF(W58="",Январь[[#This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8</v>
      </c>
      <c r="K58" s="72"/>
      <c r="L58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145.20000000000002</v>
      </c>
      <c r="M58" s="60">
        <f>Январь[[#This Row],[Выдано топливо, литр]]+U58+Январь[[#This Row],[Остаток топлива в баке на начало дня, литр]]</f>
        <v>3850</v>
      </c>
      <c r="N58" s="36">
        <f>IFERROR(ROUND((Январь[[#This Row],[Пройдено за день, км]]*0.01*$Y$2+Январь[[#This Row],[Расход топлива на работу спецоборудования, литр]]),3)+X58,)</f>
        <v>145.19999999999999</v>
      </c>
      <c r="O58" s="35">
        <f ca="1">IF(Январь[[#This Row],[Дата]]="","",IFERROR(ROUND(Январь[[#This Row],[Расход топлива по норме, литр]]/VLOOKUP(Январь[Дата],S$2:W$4,5),0)+Y58,))</f>
        <v>0</v>
      </c>
      <c r="P58" s="37">
        <f ca="1">IFERROR(Январь[[#This Row],[Фактический расход топлива, литр]]-Январь[[#This Row],[Расход топлива по норме, литр]],"")</f>
        <v>-145.19999999999999</v>
      </c>
      <c r="R58" s="117">
        <f>Январь[[#This Row],[Дата]]</f>
        <v>43126</v>
      </c>
      <c r="S58" s="140"/>
      <c r="T58" s="84"/>
      <c r="U58" s="62"/>
      <c r="V58" s="141"/>
      <c r="W58" s="84"/>
      <c r="X58" s="84"/>
      <c r="Y58" s="132"/>
      <c r="Z58" s="117">
        <f>Январь[[#This Row],[Дата]]</f>
        <v>43126</v>
      </c>
    </row>
    <row r="59" spans="1:26" x14ac:dyDescent="0.2">
      <c r="A59" s="199" t="str">
        <f t="shared" si="0"/>
        <v/>
      </c>
      <c r="B59" s="109"/>
      <c r="C59" s="39"/>
      <c r="D59" s="56"/>
      <c r="E59" s="182"/>
      <c r="F59" s="183"/>
      <c r="G59" s="195">
        <f t="shared" si="2"/>
        <v>3850</v>
      </c>
      <c r="H59" s="39">
        <f t="shared" si="3"/>
        <v>29361</v>
      </c>
      <c r="I59" s="191">
        <v>29361</v>
      </c>
      <c r="J59" s="33">
        <f>IF(W59="",Январь[[#This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59" s="185"/>
      <c r="L59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59" s="187">
        <f>Январь[[#This Row],[Выдано топливо, литр]]+U59+Январь[[#This Row],[Остаток топлива в баке на начало дня, литр]]</f>
        <v>3850</v>
      </c>
      <c r="N59" s="193">
        <f>IFERROR(ROUND((Январь[[#This Row],[Пройдено за день, км]]*0.01*$Y$2+Январь[[#This Row],[Расход топлива на работу спецоборудования, литр]]),3)+X59,)</f>
        <v>0</v>
      </c>
      <c r="O59" s="192" t="str">
        <f>IF(Январь[[#This Row],[Дата]]="","",IFERROR(ROUND(Январь[[#This Row],[Расход топлива по норме, литр]]/VLOOKUP(Январь[Дата],S$2:W$4,5),0)+Y59,))</f>
        <v/>
      </c>
      <c r="P59" s="194" t="str">
        <f>IFERROR(Январь[[#This Row],[Фактический расход топлива, литр]]-Январь[[#This Row],[Расход топлива по норме, литр]],"")</f>
        <v/>
      </c>
      <c r="R59" s="117" t="str">
        <f>Январь[[#This Row],[Дата]]</f>
        <v/>
      </c>
      <c r="S59" s="140"/>
      <c r="T59" s="84"/>
      <c r="U59" s="62"/>
      <c r="V59" s="141"/>
      <c r="W59" s="84"/>
      <c r="X59" s="84"/>
      <c r="Y59" s="132"/>
      <c r="Z59" s="117" t="str">
        <f>Январь[[#This Row],[Дата]]</f>
        <v/>
      </c>
    </row>
    <row r="60" spans="1:26" x14ac:dyDescent="0.2">
      <c r="A60" s="199">
        <f t="shared" si="0"/>
        <v>43127</v>
      </c>
      <c r="B60" s="109"/>
      <c r="C60" s="39"/>
      <c r="D60" s="56"/>
      <c r="E60" s="182"/>
      <c r="F60" s="183"/>
      <c r="G60" s="195">
        <f t="shared" si="2"/>
        <v>3850</v>
      </c>
      <c r="H60" s="39">
        <f t="shared" si="3"/>
        <v>29361</v>
      </c>
      <c r="I60" s="191">
        <v>29372</v>
      </c>
      <c r="J60" s="33">
        <f>IF(W60="",Январь[[#This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11</v>
      </c>
      <c r="K60" s="185"/>
      <c r="L60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199.65000000000003</v>
      </c>
      <c r="M60" s="187">
        <f>Январь[[#This Row],[Выдано топливо, литр]]+U60+Январь[[#This Row],[Остаток топлива в баке на начало дня, литр]]</f>
        <v>4120</v>
      </c>
      <c r="N60" s="193">
        <f>IFERROR(ROUND((Январь[[#This Row],[Пройдено за день, км]]*0.01*$Y$2+Январь[[#This Row],[Расход топлива на работу спецоборудования, литр]]),3)+X60,)</f>
        <v>199.65</v>
      </c>
      <c r="O60" s="192">
        <f ca="1">IF(Январь[[#This Row],[Дата]]="","",IFERROR(ROUND(Январь[[#This Row],[Расход топлива по норме, литр]]/VLOOKUP(Январь[Дата],S$2:W$4,5),0)+Y60,))</f>
        <v>0</v>
      </c>
      <c r="P60" s="194">
        <f ca="1">IFERROR(Январь[[#This Row],[Фактический расход топлива, литр]]-Январь[[#This Row],[Расход топлива по норме, литр]],"")</f>
        <v>-199.65</v>
      </c>
      <c r="R60" s="117">
        <f>Январь[[#This Row],[Дата]]</f>
        <v>43127</v>
      </c>
      <c r="S60" s="140"/>
      <c r="T60" s="84"/>
      <c r="U60" s="62">
        <v>270</v>
      </c>
      <c r="V60" s="141"/>
      <c r="W60" s="84"/>
      <c r="X60" s="84"/>
      <c r="Y60" s="132"/>
      <c r="Z60" s="117">
        <f>Январь[[#This Row],[Дата]]</f>
        <v>43127</v>
      </c>
    </row>
    <row r="61" spans="1:26" x14ac:dyDescent="0.2">
      <c r="A61" s="199" t="str">
        <f t="shared" si="0"/>
        <v/>
      </c>
      <c r="B61" s="109"/>
      <c r="C61" s="39"/>
      <c r="D61" s="56"/>
      <c r="E61" s="182"/>
      <c r="F61" s="183"/>
      <c r="G61" s="195">
        <f t="shared" si="2"/>
        <v>4120</v>
      </c>
      <c r="H61" s="39">
        <f t="shared" si="3"/>
        <v>29372</v>
      </c>
      <c r="I61" s="191">
        <v>29372</v>
      </c>
      <c r="J61" s="33">
        <f>IF(W61="",Январь[[#This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61" s="185"/>
      <c r="L61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61" s="187">
        <f>Январь[[#This Row],[Выдано топливо, литр]]+U61+Январь[[#This Row],[Остаток топлива в баке на начало дня, литр]]</f>
        <v>4120</v>
      </c>
      <c r="N61" s="193">
        <f>IFERROR(ROUND((Январь[[#This Row],[Пройдено за день, км]]*0.01*$Y$2+Январь[[#This Row],[Расход топлива на работу спецоборудования, литр]]),3)+X61,)</f>
        <v>0</v>
      </c>
      <c r="O61" s="192" t="str">
        <f>IF(Январь[[#This Row],[Дата]]="","",IFERROR(ROUND(Январь[[#This Row],[Расход топлива по норме, литр]]/VLOOKUP(Январь[Дата],S$2:W$4,5),0)+Y61,))</f>
        <v/>
      </c>
      <c r="P61" s="194" t="str">
        <f>IFERROR(Январь[[#This Row],[Фактический расход топлива, литр]]-Январь[[#This Row],[Расход топлива по норме, литр]],"")</f>
        <v/>
      </c>
      <c r="R61" s="117" t="str">
        <f>Январь[[#This Row],[Дата]]</f>
        <v/>
      </c>
      <c r="S61" s="140"/>
      <c r="T61" s="84"/>
      <c r="U61" s="62"/>
      <c r="V61" s="141"/>
      <c r="W61" s="84"/>
      <c r="X61" s="84"/>
      <c r="Y61" s="132"/>
      <c r="Z61" s="117" t="str">
        <f>Январь[[#This Row],[Дата]]</f>
        <v/>
      </c>
    </row>
    <row r="62" spans="1:26" x14ac:dyDescent="0.2">
      <c r="A62" s="199">
        <f t="shared" si="0"/>
        <v>43128</v>
      </c>
      <c r="B62" s="109"/>
      <c r="C62" s="39"/>
      <c r="D62" s="56"/>
      <c r="E62" s="182"/>
      <c r="F62" s="183"/>
      <c r="G62" s="195">
        <f t="shared" si="2"/>
        <v>4120</v>
      </c>
      <c r="H62" s="39">
        <f t="shared" si="3"/>
        <v>29372</v>
      </c>
      <c r="I62" s="191">
        <v>29382</v>
      </c>
      <c r="J62" s="33">
        <f>IF(W62="",Январь[[#This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10</v>
      </c>
      <c r="K62" s="185"/>
      <c r="L62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181.50000000000003</v>
      </c>
      <c r="M62" s="187">
        <f>Январь[[#This Row],[Выдано топливо, литр]]+U62+Январь[[#This Row],[Остаток топлива в баке на начало дня, литр]]</f>
        <v>4370</v>
      </c>
      <c r="N62" s="193">
        <f>IFERROR(ROUND((Январь[[#This Row],[Пройдено за день, км]]*0.01*$Y$2+Январь[[#This Row],[Расход топлива на работу спецоборудования, литр]]),3)+X62,)</f>
        <v>181.5</v>
      </c>
      <c r="O62" s="192">
        <f ca="1">IF(Январь[[#This Row],[Дата]]="","",IFERROR(ROUND(Январь[[#This Row],[Расход топлива по норме, литр]]/VLOOKUP(Январь[Дата],S$2:W$4,5),0)+Y62,))</f>
        <v>0</v>
      </c>
      <c r="P62" s="194">
        <f ca="1">IFERROR(Январь[[#This Row],[Фактический расход топлива, литр]]-Январь[[#This Row],[Расход топлива по норме, литр]],"")</f>
        <v>-181.5</v>
      </c>
      <c r="R62" s="117">
        <f>Январь[[#This Row],[Дата]]</f>
        <v>43128</v>
      </c>
      <c r="S62" s="140"/>
      <c r="T62" s="84"/>
      <c r="U62" s="62">
        <v>250</v>
      </c>
      <c r="V62" s="141"/>
      <c r="W62" s="84"/>
      <c r="X62" s="84"/>
      <c r="Y62" s="132"/>
      <c r="Z62" s="117">
        <f>Январь[[#This Row],[Дата]]</f>
        <v>43128</v>
      </c>
    </row>
    <row r="63" spans="1:26" x14ac:dyDescent="0.2">
      <c r="A63" s="199" t="str">
        <f t="shared" si="0"/>
        <v/>
      </c>
      <c r="B63" s="109"/>
      <c r="C63" s="39"/>
      <c r="D63" s="56"/>
      <c r="E63" s="182"/>
      <c r="F63" s="183"/>
      <c r="G63" s="195">
        <f t="shared" si="2"/>
        <v>4370</v>
      </c>
      <c r="H63" s="39">
        <f t="shared" si="3"/>
        <v>29382</v>
      </c>
      <c r="I63" s="191">
        <v>29382</v>
      </c>
      <c r="J63" s="33">
        <f>IF(W63="",Январь[[#This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63" s="185"/>
      <c r="L63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63" s="187">
        <f>Январь[[#This Row],[Выдано топливо, литр]]+U63+Январь[[#This Row],[Остаток топлива в баке на начало дня, литр]]</f>
        <v>4370</v>
      </c>
      <c r="N63" s="193">
        <f>IFERROR(ROUND((Январь[[#This Row],[Пройдено за день, км]]*0.01*$Y$2+Январь[[#This Row],[Расход топлива на работу спецоборудования, литр]]),3)+X63,)</f>
        <v>0</v>
      </c>
      <c r="O63" s="192" t="str">
        <f>IF(Январь[[#This Row],[Дата]]="","",IFERROR(ROUND(Январь[[#This Row],[Расход топлива по норме, литр]]/VLOOKUP(Январь[Дата],S$2:W$4,5),0)+Y63,))</f>
        <v/>
      </c>
      <c r="P63" s="194" t="str">
        <f>IFERROR(Январь[[#This Row],[Фактический расход топлива, литр]]-Январь[[#This Row],[Расход топлива по норме, литр]],"")</f>
        <v/>
      </c>
      <c r="R63" s="117" t="str">
        <f>Январь[[#This Row],[Дата]]</f>
        <v/>
      </c>
      <c r="S63" s="140"/>
      <c r="T63" s="84"/>
      <c r="U63" s="62"/>
      <c r="V63" s="141"/>
      <c r="W63" s="84"/>
      <c r="X63" s="84"/>
      <c r="Y63" s="132"/>
      <c r="Z63" s="117" t="str">
        <f>Январь[[#This Row],[Дата]]</f>
        <v/>
      </c>
    </row>
    <row r="64" spans="1:26" x14ac:dyDescent="0.2">
      <c r="A64" s="199">
        <f t="shared" si="0"/>
        <v>43129</v>
      </c>
      <c r="B64" s="109"/>
      <c r="C64" s="39"/>
      <c r="D64" s="56"/>
      <c r="E64" s="182"/>
      <c r="F64" s="183"/>
      <c r="G64" s="195">
        <f t="shared" si="2"/>
        <v>4370</v>
      </c>
      <c r="H64" s="39">
        <f t="shared" si="3"/>
        <v>29382</v>
      </c>
      <c r="I64" s="191">
        <v>29393</v>
      </c>
      <c r="J64" s="33">
        <f>IF(W64="",Январь[[#This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11</v>
      </c>
      <c r="K64" s="185"/>
      <c r="L64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199.65000000000003</v>
      </c>
      <c r="M64" s="187">
        <f>Январь[[#This Row],[Выдано топливо, литр]]+U64+Январь[[#This Row],[Остаток топлива в баке на начало дня, литр]]</f>
        <v>4600</v>
      </c>
      <c r="N64" s="193">
        <f>IFERROR(ROUND((Январь[[#This Row],[Пройдено за день, км]]*0.01*$Y$2+Январь[[#This Row],[Расход топлива на работу спецоборудования, литр]]),3)+X64,)</f>
        <v>199.65</v>
      </c>
      <c r="O64" s="192">
        <f ca="1">IF(Январь[[#This Row],[Дата]]="","",IFERROR(ROUND(Январь[[#This Row],[Расход топлива по норме, литр]]/VLOOKUP(Январь[Дата],S$2:W$4,5),0)+Y64,))</f>
        <v>0</v>
      </c>
      <c r="P64" s="194">
        <f ca="1">IFERROR(Январь[[#This Row],[Фактический расход топлива, литр]]-Январь[[#This Row],[Расход топлива по норме, литр]],"")</f>
        <v>-199.65</v>
      </c>
      <c r="R64" s="117">
        <f>Январь[[#This Row],[Дата]]</f>
        <v>43129</v>
      </c>
      <c r="S64" s="140"/>
      <c r="T64" s="84"/>
      <c r="U64" s="62">
        <v>230</v>
      </c>
      <c r="V64" s="141"/>
      <c r="W64" s="84"/>
      <c r="X64" s="84"/>
      <c r="Y64" s="132"/>
      <c r="Z64" s="117">
        <f>Январь[[#This Row],[Дата]]</f>
        <v>43129</v>
      </c>
    </row>
    <row r="65" spans="1:26" x14ac:dyDescent="0.2">
      <c r="A65" s="199" t="str">
        <f t="shared" si="0"/>
        <v/>
      </c>
      <c r="B65" s="109"/>
      <c r="C65" s="39"/>
      <c r="D65" s="56"/>
      <c r="E65" s="182"/>
      <c r="F65" s="183"/>
      <c r="G65" s="195">
        <f t="shared" si="2"/>
        <v>4600</v>
      </c>
      <c r="H65" s="39">
        <f t="shared" si="3"/>
        <v>29393</v>
      </c>
      <c r="I65" s="191">
        <v>29393</v>
      </c>
      <c r="J65" s="33">
        <f>IF(W65="",Январь[[#This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65" s="185"/>
      <c r="L65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65" s="187">
        <f>Январь[[#This Row],[Выдано топливо, литр]]+U65+Январь[[#This Row],[Остаток топлива в баке на начало дня, литр]]</f>
        <v>4600</v>
      </c>
      <c r="N65" s="193">
        <f>IFERROR(ROUND((Январь[[#This Row],[Пройдено за день, км]]*0.01*$Y$2+Январь[[#This Row],[Расход топлива на работу спецоборудования, литр]]),3)+X65,)</f>
        <v>0</v>
      </c>
      <c r="O65" s="192" t="str">
        <f>IF(Январь[[#This Row],[Дата]]="","",IFERROR(ROUND(Январь[[#This Row],[Расход топлива по норме, литр]]/VLOOKUP(Январь[Дата],S$2:W$4,5),0)+Y65,))</f>
        <v/>
      </c>
      <c r="P65" s="194" t="str">
        <f>IFERROR(Январь[[#This Row],[Фактический расход топлива, литр]]-Январь[[#This Row],[Расход топлива по норме, литр]],"")</f>
        <v/>
      </c>
      <c r="R65" s="117" t="str">
        <f>Январь[[#This Row],[Дата]]</f>
        <v/>
      </c>
      <c r="S65" s="140"/>
      <c r="T65" s="84"/>
      <c r="U65" s="62"/>
      <c r="V65" s="141"/>
      <c r="W65" s="84"/>
      <c r="X65" s="84"/>
      <c r="Y65" s="132"/>
      <c r="Z65" s="117" t="str">
        <f>Январь[[#This Row],[Дата]]</f>
        <v/>
      </c>
    </row>
    <row r="66" spans="1:26" x14ac:dyDescent="0.2">
      <c r="A66" s="199">
        <f t="shared" si="0"/>
        <v>43130</v>
      </c>
      <c r="B66" s="109"/>
      <c r="C66" s="39"/>
      <c r="D66" s="56"/>
      <c r="E66" s="182"/>
      <c r="F66" s="183"/>
      <c r="G66" s="195">
        <f t="shared" si="2"/>
        <v>4600</v>
      </c>
      <c r="H66" s="39">
        <f t="shared" si="3"/>
        <v>29393</v>
      </c>
      <c r="I66" s="191">
        <v>29404</v>
      </c>
      <c r="J66" s="33">
        <f>IF(W66="",Январь[[#This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11</v>
      </c>
      <c r="K66" s="185"/>
      <c r="L66" s="192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199.65000000000003</v>
      </c>
      <c r="M66" s="187">
        <f>Январь[[#This Row],[Выдано топливо, литр]]+U66+Январь[[#This Row],[Остаток топлива в баке на начало дня, литр]]</f>
        <v>4800</v>
      </c>
      <c r="N66" s="193">
        <f>IFERROR(ROUND((Январь[[#This Row],[Пройдено за день, км]]*0.01*$Y$2+Январь[[#This Row],[Расход топлива на работу спецоборудования, литр]]),3)+X66,)</f>
        <v>199.65</v>
      </c>
      <c r="O66" s="192">
        <f ca="1">IF(Январь[[#This Row],[Дата]]="","",IFERROR(ROUND(Январь[[#This Row],[Расход топлива по норме, литр]]/VLOOKUP(Январь[Дата],S$2:W$4,5),0)+Y66,))</f>
        <v>0</v>
      </c>
      <c r="P66" s="194">
        <f ca="1">IFERROR(Январь[[#This Row],[Фактический расход топлива, литр]]-Январь[[#This Row],[Расход топлива по норме, литр]],"")</f>
        <v>-199.65</v>
      </c>
      <c r="R66" s="117">
        <f>Январь[[#This Row],[Дата]]</f>
        <v>43130</v>
      </c>
      <c r="S66" s="140"/>
      <c r="T66" s="84"/>
      <c r="U66" s="62">
        <v>200</v>
      </c>
      <c r="V66" s="141"/>
      <c r="W66" s="84"/>
      <c r="X66" s="84"/>
      <c r="Y66" s="132"/>
      <c r="Z66" s="117">
        <f>Январь[[#This Row],[Дата]]</f>
        <v>43130</v>
      </c>
    </row>
    <row r="67" spans="1:26" x14ac:dyDescent="0.2">
      <c r="A67" s="199" t="str">
        <f t="shared" si="0"/>
        <v/>
      </c>
      <c r="B67" s="109"/>
      <c r="C67" s="39" t="str">
        <f ca="1">IFERROR(IF(INDIRECT(TEXT(A58,"ММММ")&amp;"!A7:A37")="","",IF(S58="",D58,S58)),"")</f>
        <v/>
      </c>
      <c r="D67" s="56"/>
      <c r="E67" s="34"/>
      <c r="F67" s="137"/>
      <c r="G67" s="33">
        <f t="shared" si="2"/>
        <v>4800</v>
      </c>
      <c r="H67" s="39">
        <f t="shared" si="3"/>
        <v>29404</v>
      </c>
      <c r="I67" s="56">
        <v>29404</v>
      </c>
      <c r="J67" s="33">
        <f>IF(W67="",Январь[[#This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0</v>
      </c>
      <c r="K67" s="72"/>
      <c r="L67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0</v>
      </c>
      <c r="M67" s="60">
        <f>Январь[[#This Row],[Выдано топливо, литр]]+U67+Январь[[#This Row],[Остаток топлива в баке на начало дня, литр]]</f>
        <v>4800</v>
      </c>
      <c r="N67" s="36">
        <f>IFERROR(ROUND((Январь[[#This Row],[Пройдено за день, км]]*0.01*$Y$2+Январь[[#This Row],[Расход топлива на работу спецоборудования, литр]]),3)+X67,)</f>
        <v>0</v>
      </c>
      <c r="O67" s="35" t="str">
        <f>IF(Январь[[#This Row],[Дата]]="","",IFERROR(ROUND(Январь[[#This Row],[Расход топлива по норме, литр]]/VLOOKUP(Январь[Дата],S$2:W$4,5),0)+Y67,))</f>
        <v/>
      </c>
      <c r="P67" s="37" t="str">
        <f>IFERROR(Январь[[#This Row],[Фактический расход топлива, литр]]-Январь[[#This Row],[Расход топлива по норме, литр]],"")</f>
        <v/>
      </c>
      <c r="R67" s="117" t="str">
        <f>Январь[[#This Row],[Дата]]</f>
        <v/>
      </c>
      <c r="S67" s="140"/>
      <c r="T67" s="84"/>
      <c r="U67" s="62"/>
      <c r="V67" s="141"/>
      <c r="W67" s="84"/>
      <c r="X67" s="84"/>
      <c r="Y67" s="132"/>
      <c r="Z67" s="117" t="str">
        <f>Январь[[#This Row],[Дата]]</f>
        <v/>
      </c>
    </row>
    <row r="68" spans="1:26" x14ac:dyDescent="0.2">
      <c r="A68" s="199">
        <f t="shared" si="0"/>
        <v>43131</v>
      </c>
      <c r="B68" s="109"/>
      <c r="C68" s="39" t="str">
        <f ca="1">IFERROR(IF(INDIRECT(TEXT(#REF!,"ММММ")&amp;"!A7:A37")="","",IF(#REF!="",#REF!,#REF!)),"")</f>
        <v/>
      </c>
      <c r="D68" s="56"/>
      <c r="E68" s="34"/>
      <c r="F68" s="137"/>
      <c r="G68" s="33">
        <f t="shared" si="2"/>
        <v>4800</v>
      </c>
      <c r="H68" s="39">
        <f t="shared" si="3"/>
        <v>29404</v>
      </c>
      <c r="I68" s="56">
        <v>29409</v>
      </c>
      <c r="J68" s="33">
        <f>IF(W68="",Январь[[#This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5</v>
      </c>
      <c r="K68" s="72"/>
      <c r="L68" s="35">
        <f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90.750000000000014</v>
      </c>
      <c r="M68" s="60">
        <f>Январь[[#This Row],[Выдано топливо, литр]]+U68+Январь[[#This Row],[Остаток топлива в баке на начало дня, литр]]</f>
        <v>4980</v>
      </c>
      <c r="N68" s="36">
        <f>IFERROR(ROUND((Январь[[#This Row],[Пройдено за день, км]]*0.01*$Y$2+Январь[[#This Row],[Расход топлива на работу спецоборудования, литр]]),3)+X68,)</f>
        <v>90.75</v>
      </c>
      <c r="O68" s="35">
        <f ca="1">IF(Январь[[#This Row],[Дата]]="","",IFERROR(ROUND(Январь[[#This Row],[Расход топлива по норме, литр]]/VLOOKUP(Январь[Дата],S$2:W$4,5),0)+Y68,))</f>
        <v>0</v>
      </c>
      <c r="P68" s="37">
        <f ca="1">IFERROR(Январь[[#This Row],[Фактический расход топлива, литр]]-Январь[[#This Row],[Расход топлива по норме, литр]],"")</f>
        <v>-90.75</v>
      </c>
      <c r="R68" s="117">
        <f>Январь[[#This Row],[Дата]]</f>
        <v>43131</v>
      </c>
      <c r="S68" s="140"/>
      <c r="T68" s="84"/>
      <c r="U68" s="62">
        <v>180</v>
      </c>
      <c r="V68" s="141"/>
      <c r="W68" s="84"/>
      <c r="X68" s="84"/>
      <c r="Y68" s="132"/>
      <c r="Z68" s="117">
        <f>Январь[[#This Row],[Дата]]</f>
        <v>43131</v>
      </c>
    </row>
    <row r="69" spans="1:26" ht="13.5" thickBot="1" x14ac:dyDescent="0.25">
      <c r="A69" s="205" t="str">
        <f>IF(ISEVEN(ROW(A63)),IFERROR(--(ROW(A63)/2&amp;P$1&amp;I$4),""),"")</f>
        <v/>
      </c>
      <c r="B69" s="206"/>
      <c r="C69" s="207"/>
      <c r="D69" s="208"/>
      <c r="E69" s="209"/>
      <c r="F69" s="210"/>
      <c r="G69" s="200">
        <f t="shared" si="2"/>
        <v>4980</v>
      </c>
      <c r="H69" s="207">
        <f t="shared" si="3"/>
        <v>29409</v>
      </c>
      <c r="I69" s="56">
        <v>29416</v>
      </c>
      <c r="J69" s="207">
        <f ca="1">IF(W70="",Январь[[#This Row],[Показание счетчика моточасов  спецоборудования на конец дня, м/ч]],Январь[[#This Row],[Показание счетчика моточасов  спецоборудования на конец дня, м/ч]]+1)-Январь[[#This Row],[Показание счетчика моточасов спецоборудования на начало дня, м/ч]]</f>
        <v>8</v>
      </c>
      <c r="K69" s="211"/>
      <c r="L69" s="201">
        <f ca="1">IF(Январь[[#This Row],[Работа спецоборудования за день, м/ч]]="",Январь[[#This Row],[Остаток топлива в баке на начало дня, литр]],Январь[[#This Row],[Работа спецоборудования за день, м/ч]]*$Z$2)</f>
        <v>145.20000000000002</v>
      </c>
      <c r="M69" s="202">
        <f ca="1">Январь[[#This Row],[Выдано топливо, литр]]+U70+Январь[[#This Row],[Остаток топлива в баке на начало дня, литр]]</f>
        <v>7280</v>
      </c>
      <c r="N69" s="203">
        <f ca="1">IFERROR(ROUND((Январь[[#This Row],[Пройдено за день, км]]*0.01*$Y$2+Январь[[#This Row],[Расход топлива на работу спецоборудования, литр]]),3)+X70,)</f>
        <v>145.19999999999999</v>
      </c>
      <c r="O69" s="201" t="str">
        <f>IF(Январь[[#This Row],[Дата]]="","",IFERROR(ROUND(Январь[[#This Row],[Расход топлива по норме, литр]]/VLOOKUP(Январь[Дата],S$2:W$4,5),0)+Y69,))</f>
        <v/>
      </c>
      <c r="P69" s="204" t="str">
        <f ca="1">IFERROR(Январь[[#This Row],[Фактический расход топлива, литр]]-Январь[[#This Row],[Расход топлива по норме, литр]],"")</f>
        <v/>
      </c>
      <c r="R69" s="125" t="str">
        <f>Январь[[#This Row],[Дата]]</f>
        <v/>
      </c>
      <c r="S69" s="213"/>
      <c r="T69" s="214"/>
      <c r="U69" s="214"/>
      <c r="V69" s="214"/>
      <c r="W69" s="214"/>
      <c r="X69" s="214"/>
      <c r="Y69" s="215"/>
      <c r="Z69" s="216" t="str">
        <f>Январь[[#This Row],[Дата]]</f>
        <v/>
      </c>
    </row>
    <row r="70" spans="1:26" ht="16.5" thickBot="1" x14ac:dyDescent="0.25">
      <c r="A70" s="198" t="s">
        <v>52</v>
      </c>
      <c r="B70" s="44"/>
      <c r="C70" s="45"/>
      <c r="D70" s="46"/>
      <c r="E70" s="47">
        <f>SUBTOTAL(109,Январь[Пройдено за день, км])</f>
        <v>0</v>
      </c>
      <c r="F70" s="47">
        <f>SUBTOTAL(109,Январь[Выдано топливо, литр])</f>
        <v>0</v>
      </c>
      <c r="G70" s="48"/>
      <c r="H70" s="48"/>
      <c r="I70" s="49"/>
      <c r="J70" s="47">
        <f ca="1">SUBTOTAL(109,Январь[Работа спецоборудования за день, м/ч])</f>
        <v>247</v>
      </c>
      <c r="K70" s="50">
        <f>SUBTOTAL(109,Январь[Количество ходок])</f>
        <v>0</v>
      </c>
      <c r="L70" s="51">
        <f ca="1">SUBTOTAL(109,Январь[Расход топлива на работу спецоборудования, литр])</f>
        <v>4483.05</v>
      </c>
      <c r="M70" s="48"/>
      <c r="N70" s="51">
        <f ca="1">SUBTOTAL(109,Январь[Расход топлива по норме, литр])</f>
        <v>4483.05</v>
      </c>
      <c r="O70" s="47">
        <f ca="1">SUBTOTAL(109,Январь[Фактический расход топлива, литр])</f>
        <v>2300</v>
      </c>
      <c r="P70" s="52">
        <f ca="1">SUBTOTAL(109,Январь[Отклонение от нормы (Перерасход(+), экономия(-)), литр])</f>
        <v>-1674.85</v>
      </c>
      <c r="R70" s="126" t="s">
        <v>74</v>
      </c>
      <c r="S70" s="128">
        <f t="shared" ref="S70:Y70" ca="1" si="5">SUMIFS(S$7:S$69,INDIRECT("Январь[Дата]"),"&gt;="&amp;$S$2,INDIRECT("Январь[Дата]"),"&lt;="&amp;$T$2)+IF(MONTH($T$2)&lt;&gt;MONTH($S$2),INDIRECT(TEXT($A$7-1,"ММММ")&amp;"!F38")-SUM(INDIRECT(TEXT($A$7-1,"ММММ")&amp;"!V1:V2")))</f>
        <v>0</v>
      </c>
      <c r="T70" s="128">
        <f t="shared" ca="1" si="5"/>
        <v>0</v>
      </c>
      <c r="U70" s="128">
        <f t="shared" ca="1" si="5"/>
        <v>2300</v>
      </c>
      <c r="V70" s="128">
        <f t="shared" ca="1" si="5"/>
        <v>0</v>
      </c>
      <c r="W70" s="128">
        <f t="shared" ca="1" si="5"/>
        <v>0</v>
      </c>
      <c r="X70" s="128">
        <f t="shared" ca="1" si="5"/>
        <v>0</v>
      </c>
      <c r="Y70" s="128">
        <f t="shared" ca="1" si="5"/>
        <v>0</v>
      </c>
      <c r="Z70" s="126" t="s">
        <v>74</v>
      </c>
    </row>
    <row r="71" spans="1:26" ht="16.5" thickBot="1" x14ac:dyDescent="0.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135">
        <f>SUMIFS(K7:K69,A7:A69,"&gt;="&amp;$S$2,A7:A69,"&lt;="&amp;$T$2)</f>
        <v>0</v>
      </c>
      <c r="L71" s="53"/>
      <c r="M71" s="55"/>
      <c r="N71" s="53"/>
      <c r="O71" s="97"/>
      <c r="P71" s="53"/>
      <c r="R71" s="127" t="s">
        <v>75</v>
      </c>
      <c r="S71" s="129" t="e">
        <f t="shared" ref="S71:Y71" ca="1" si="6">SUMIFS(S$7:S$69,INDIRECT("Январь[Дата]"),"&gt;="&amp;$S$3,INDIRECT("Январь[Дата]"),"&lt;="&amp;$T$3)+IF(MONTH($T$3)&lt;&gt;MONTH($S$3),INDIRECT(TEXT($A$7-1,"ММММ")&amp;"!F38")-SUM(INDIRECT(TEXT($A$7-1,"ММММ")&amp;"!V1:V2")))</f>
        <v>#VALUE!</v>
      </c>
      <c r="T71" s="129" t="e">
        <f t="shared" ca="1" si="6"/>
        <v>#VALUE!</v>
      </c>
      <c r="U71" s="217" t="e">
        <f t="shared" ca="1" si="6"/>
        <v>#VALUE!</v>
      </c>
      <c r="V71" s="129" t="e">
        <f t="shared" ca="1" si="6"/>
        <v>#VALUE!</v>
      </c>
      <c r="W71" s="129" t="e">
        <f t="shared" ca="1" si="6"/>
        <v>#VALUE!</v>
      </c>
      <c r="X71" s="129" t="e">
        <f t="shared" ca="1" si="6"/>
        <v>#VALUE!</v>
      </c>
      <c r="Y71" s="129" t="e">
        <f t="shared" ca="1" si="6"/>
        <v>#VALUE!</v>
      </c>
      <c r="Z71" s="127" t="s">
        <v>75</v>
      </c>
    </row>
    <row r="72" spans="1:26" ht="16.5" thickBot="1" x14ac:dyDescent="0.3">
      <c r="A72" s="53"/>
      <c r="I72" s="53"/>
      <c r="K72" s="136">
        <f>SUMIFS(K7:K69,A7:A69,"&gt;="&amp;$S$3,A7:A69,"&lt;="&amp;$T$3)</f>
        <v>0</v>
      </c>
      <c r="O72" s="97"/>
      <c r="R72" s="53"/>
      <c r="S72" s="70"/>
      <c r="T72" s="70"/>
      <c r="U72" s="70"/>
      <c r="V72" s="70"/>
      <c r="W72" s="70"/>
    </row>
  </sheetData>
  <mergeCells count="3">
    <mergeCell ref="A2:P2"/>
    <mergeCell ref="A3:P3"/>
    <mergeCell ref="O4:P4"/>
  </mergeCells>
  <conditionalFormatting sqref="G7:G69">
    <cfRule type="cellIs" dxfId="110" priority="3" operator="equal">
      <formula>$U$2</formula>
    </cfRule>
  </conditionalFormatting>
  <conditionalFormatting sqref="A7:Z69">
    <cfRule type="expression" dxfId="109" priority="2">
      <formula>OR(CELL("строка")=ROW(A7),CELL("столбец")=COLUMN(A7))</formula>
    </cfRule>
  </conditionalFormatting>
  <conditionalFormatting sqref="M7:M69">
    <cfRule type="cellIs" dxfId="108" priority="4" operator="lessThan">
      <formula>10</formula>
    </cfRule>
    <cfRule type="cellIs" dxfId="107" priority="5" operator="equal">
      <formula>$U$2</formula>
    </cfRule>
    <cfRule type="cellIs" dxfId="106" priority="6" operator="greaterThan">
      <formula>$U$2</formula>
    </cfRule>
  </conditionalFormatting>
  <dataValidations count="4">
    <dataValidation type="list" allowBlank="1" showInputMessage="1" showErrorMessage="1" sqref="Z4">
      <formula1>ТС</formula1>
    </dataValidation>
    <dataValidation type="list" allowBlank="1" showInputMessage="1" showErrorMessage="1" sqref="Y4">
      <formula1>Сезон</formula1>
    </dataValidation>
    <dataValidation type="list" allowBlank="1" showInputMessage="1" showErrorMessage="1" sqref="P1">
      <formula1>Месяц</formula1>
    </dataValidation>
    <dataValidation type="list" allowBlank="1" sqref="B7:B69">
      <formula1>Сотрудники</formula1>
    </dataValidation>
  </dataValidations>
  <printOptions horizontalCentered="1"/>
  <pageMargins left="0.23622047244094491" right="0" top="0.39370078740157483" bottom="0.39370078740157483" header="0" footer="0"/>
  <pageSetup paperSize="9"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Сотрудники!$B$2:$B$25</xm:f>
          </x14:formula1>
          <xm:sqref>B7:B68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41"/>
  <sheetViews>
    <sheetView zoomScale="60" zoomScaleNormal="60" workbookViewId="0">
      <pane xSplit="1" ySplit="6" topLeftCell="B7" activePane="bottomRight" state="frozen"/>
      <selection activeCell="O4" sqref="O4:P4"/>
      <selection pane="topRight" activeCell="O4" sqref="O4:P4"/>
      <selection pane="bottomLeft" activeCell="O4" sqref="O4:P4"/>
      <selection pane="bottomRight" activeCell="A8" sqref="A8"/>
    </sheetView>
  </sheetViews>
  <sheetFormatPr defaultColWidth="9.140625" defaultRowHeight="12.75" x14ac:dyDescent="0.2"/>
  <cols>
    <col min="1" max="1" width="12.7109375" style="23" customWidth="1"/>
    <col min="2" max="2" width="15.7109375" style="23" customWidth="1"/>
    <col min="3" max="15" width="12.7109375" style="23" customWidth="1"/>
    <col min="16" max="16" width="17.7109375" style="23" customWidth="1"/>
    <col min="17" max="17" width="3.140625" style="70" customWidth="1"/>
    <col min="18" max="26" width="11.7109375" style="23" customWidth="1"/>
    <col min="27" max="27" width="11" style="23" bestFit="1" customWidth="1"/>
    <col min="28" max="16384" width="9.140625" style="23"/>
  </cols>
  <sheetData>
    <row r="1" spans="1:26" ht="51" customHeight="1" thickBot="1" x14ac:dyDescent="0.25">
      <c r="P1" s="114" t="s">
        <v>54</v>
      </c>
      <c r="R1" s="74"/>
      <c r="S1" s="74"/>
      <c r="T1" s="111"/>
      <c r="V1" s="74"/>
      <c r="W1" s="74"/>
      <c r="X1" s="75" t="s">
        <v>65</v>
      </c>
      <c r="Y1" s="98" t="s">
        <v>32</v>
      </c>
      <c r="Z1" s="99" t="s">
        <v>37</v>
      </c>
    </row>
    <row r="2" spans="1:26" ht="22.5" x14ac:dyDescent="0.2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R2" s="91" t="s">
        <v>74</v>
      </c>
      <c r="S2" s="100" t="e">
        <f ca="1">INDIRECT(TEXT(A7-1,"ММММ")&amp;"!T3")+1</f>
        <v>#VALUE!</v>
      </c>
      <c r="T2" s="87">
        <v>43146</v>
      </c>
      <c r="U2" s="89">
        <f>ТС!E5</f>
        <v>350</v>
      </c>
      <c r="V2" s="101" t="e">
        <f ca="1">SUMIFS(Февраль[Выдано топливо, литр],Февраль[Дата],"&gt;="&amp;$S$2,Февраль[Дата],"&lt;="&amp;$T$2)+IF(MONTH(T2)&lt;&gt;MONTH(S2),INDIRECT(TEXT(A7-1,"ММММ")&amp;"!F38")-SUM(INDIRECT(TEXT(A7-1,"ММММ")&amp;"!V1:V2")))+SUMIFS($U$7:$U$37,Февраль[Дата],"&gt;="&amp;$S$2,Февраль[Дата],"&lt;="&amp;$T$2)+IF(MONTH(T2)&lt;&gt;MONTH(S2),INDIRECT(TEXT(A7-1,"ММММ")&amp;"!F38")-SUM(INDIRECT(TEXT(A7-1,"ММММ")&amp;"!V1:V2")))</f>
        <v>#VALUE!</v>
      </c>
      <c r="W2" s="88" t="e">
        <f ca="1">IF(V2=0,0,(SUMIFS(N7:N37,A7:A37,"&gt;="&amp;S2,A7:A37,"&lt;="&amp;T2)+SUMIFS(INDIRECT(TEXT(A7-1,"ММММ")&amp;"!N7:N37"),INDIRECT(TEXT(A7-1,"ММММ")&amp;"!A7:A37"),"&gt;="&amp;S2))/(V2-U2+IF(MONTH(T2)=MONTH(S2),G7,INDEX(INDIRECT(TEXT(A7-1,"ММММ")&amp;"!G7:G37"),DAY(S2)))))</f>
        <v>#VALUE!</v>
      </c>
      <c r="X2" s="85">
        <f ca="1">SUMIFS(Февраль[Отклонение от нормы (Перерасход(+), экономия(-)), литр],Февраль[Дата],"&gt;="&amp;$S$2,Февраль[Дата],"&lt;="&amp;$T$2)</f>
        <v>0</v>
      </c>
      <c r="Y2" s="76">
        <f>IF(Y4="Зима",VLOOKUP(Z4,Расчет[[Номер гос.регистрации / Заводской номер]:[Итога норма а/м "ЛЕТО"]],8,FALSE),VLOOKUP(Z4,Расчет[[Номер гос.регистрации / Заводской номер]:[Итога норма а/м "ЛЕТО"]],9,FALSE))</f>
        <v>0</v>
      </c>
      <c r="Z2" s="77">
        <f>IF(Y4="Зима",VLOOKUP(Z4,Расчет[[Номер гос.регистрации / Заводской номер]:[Итога норма а/м "ЛЕТО"]],13,FALSE),VLOOKUP(Z4,Расчет[[Номер гос.регистрации / Заводской номер]:[Итога норма а/м "ЛЕТО"]],14,FALSE))</f>
        <v>18.150000000000002</v>
      </c>
    </row>
    <row r="3" spans="1:26" ht="23.25" thickBot="1" x14ac:dyDescent="0.25">
      <c r="A3" s="219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R3" s="92" t="s">
        <v>75</v>
      </c>
      <c r="S3" s="102">
        <f>T2+1</f>
        <v>43147</v>
      </c>
      <c r="T3" s="103">
        <f>INDEX(Февраль[Дата],COUNT(Февраль[Дата]))-T1</f>
        <v>43159</v>
      </c>
      <c r="U3" s="90">
        <f>ТС!E6</f>
        <v>350</v>
      </c>
      <c r="V3" s="104" t="e">
        <f ca="1">SUMIFS(Февраль[Выдано топливо, литр],Февраль[Дата],"&gt;="&amp;$S$3,Февраль[Дата],"&lt;="&amp;$T$3)+IF(MONTH(T3)&lt;&gt;MONTH(S3),INDIRECT(TEXT(A7-1,"ММММ")&amp;"!F38")-SUM(INDIRECT(TEXT(A7-1,"ММММ")&amp;"!V1:V2")))+SUMIFS($U$7:$U$37,Февраль[Дата],"&gt;="&amp;$S$3,Февраль[Дата],"&lt;="&amp;$T$3)+IF(MONTH(T3)&lt;&gt;MONTH(S3),INDIRECT(TEXT(A7-1,"ММММ")&amp;"!F38")-SUM(INDIRECT(TEXT(A7-1,"ММММ")&amp;"!V1:V2")))</f>
        <v>#REF!</v>
      </c>
      <c r="W3" s="96" t="e">
        <f ca="1">IF(V3=0,0,(SUMIFS(N7:N37,A7:A37,"&gt;="&amp;S3,A7:A37,"&lt;="&amp;T3)+SUMIFS(INDIRECT(TEXT(A7-1,"ММММ")&amp;"!N7:N37"),INDIRECT(TEXT(A7-1,"ММММ")&amp;"!A7:A37"),"&gt;="&amp;S3))/(V3-U3+IF(MONTH(T3)=MONTH(S3),G7,INDEX(INDIRECT(TEXT(A7-1,"ММММ")&amp;"!G7:G37"),DAY(S3)))))</f>
        <v>#REF!</v>
      </c>
      <c r="X3" s="86">
        <f ca="1">SUMIFS(Февраль[Отклонение от нормы (Перерасход(+), экономия(-)), литр],Февраль[Дата],"&gt;="&amp;$S$3,Февраль[Дата],"&lt;="&amp;$T$3)</f>
        <v>-2559.1499999999996</v>
      </c>
      <c r="Y3" s="93"/>
      <c r="Z3" s="94"/>
    </row>
    <row r="4" spans="1:26" ht="23.25" thickBot="1" x14ac:dyDescent="0.35">
      <c r="A4" s="24"/>
      <c r="D4" s="24"/>
      <c r="E4" s="24"/>
      <c r="F4" s="24"/>
      <c r="G4" s="24"/>
      <c r="H4" s="25" t="s">
        <v>2</v>
      </c>
      <c r="I4" s="58">
        <v>2018</v>
      </c>
      <c r="K4" s="24"/>
      <c r="L4" s="24"/>
      <c r="M4" s="24"/>
      <c r="N4" s="24"/>
      <c r="O4" s="220" t="str">
        <f>Январь!O4</f>
        <v>Фукс 350 c</v>
      </c>
      <c r="P4" s="220"/>
      <c r="R4" s="74"/>
      <c r="S4" s="105" t="str">
        <f>IF(INDEX(Февраль[Дата],COUNT(Февраль[Дата]))=T3,"",T3+1)</f>
        <v/>
      </c>
      <c r="V4" s="74"/>
      <c r="W4" s="95" t="str">
        <f ca="1">IFERROR(IF(S4="","",INDIRECT(TEXT(A7+40,"ММММ")&amp;"!W2")),)</f>
        <v/>
      </c>
      <c r="X4" s="74"/>
      <c r="Y4" s="112" t="s">
        <v>33</v>
      </c>
      <c r="Z4" s="113" t="s">
        <v>69</v>
      </c>
    </row>
    <row r="5" spans="1:26" ht="8.25" customHeight="1" thickBot="1" x14ac:dyDescent="0.25"/>
    <row r="6" spans="1:26" ht="63.75" customHeight="1" thickBot="1" x14ac:dyDescent="0.25">
      <c r="A6" s="78" t="s">
        <v>3</v>
      </c>
      <c r="B6" s="79" t="s">
        <v>4</v>
      </c>
      <c r="C6" s="80" t="s">
        <v>5</v>
      </c>
      <c r="D6" s="80" t="s">
        <v>6</v>
      </c>
      <c r="E6" s="80" t="s">
        <v>7</v>
      </c>
      <c r="F6" s="80" t="s">
        <v>8</v>
      </c>
      <c r="G6" s="80" t="s">
        <v>9</v>
      </c>
      <c r="H6" s="80" t="s">
        <v>10</v>
      </c>
      <c r="I6" s="81" t="s">
        <v>11</v>
      </c>
      <c r="J6" s="81" t="s">
        <v>12</v>
      </c>
      <c r="K6" s="81" t="s">
        <v>13</v>
      </c>
      <c r="L6" s="81" t="s">
        <v>14</v>
      </c>
      <c r="M6" s="81" t="s">
        <v>15</v>
      </c>
      <c r="N6" s="81" t="s">
        <v>16</v>
      </c>
      <c r="O6" s="81" t="s">
        <v>17</v>
      </c>
      <c r="P6" s="82" t="s">
        <v>18</v>
      </c>
      <c r="R6" s="115" t="s">
        <v>3</v>
      </c>
      <c r="S6" s="124" t="s">
        <v>72</v>
      </c>
      <c r="T6" s="106" t="s">
        <v>7</v>
      </c>
      <c r="U6" s="106" t="s">
        <v>8</v>
      </c>
      <c r="V6" s="106" t="s">
        <v>73</v>
      </c>
      <c r="W6" s="106" t="s">
        <v>12</v>
      </c>
      <c r="X6" s="106" t="s">
        <v>16</v>
      </c>
      <c r="Y6" s="130" t="s">
        <v>17</v>
      </c>
      <c r="Z6" s="115" t="s">
        <v>3</v>
      </c>
    </row>
    <row r="7" spans="1:26" ht="15" customHeight="1" thickBot="1" x14ac:dyDescent="0.25">
      <c r="A7" s="26">
        <f>IFERROR(DATEVALUE((COUNT($A$6:A6)+1)&amp;$P$1&amp;$I$4),"")</f>
        <v>43132</v>
      </c>
      <c r="B7" s="108" t="s">
        <v>89</v>
      </c>
      <c r="C7" s="107">
        <f>INDEX(Январь!D7:D69,COUNT(Январь!D7:D69))</f>
        <v>0</v>
      </c>
      <c r="D7" s="156"/>
      <c r="E7" s="27">
        <f>IFERROR(Февраль[[#This Row],[Показание одометра машины на конец дня, км]]-Февраль[[#This Row],[Показание одометра машины на начало дня, км]]+T7,"")</f>
        <v>0</v>
      </c>
      <c r="F7" s="137" t="e">
        <f>IF(Февраль[[#This Row],[Дата]]="","",SUMPRODUCT([1]Февраль!$E$4:$E$153*([1]Февраль!$F$4:$F$153=$O$4)*([1]Февраль!$D$4:$D$153=Январь[[#This Row],[Дата]])))</f>
        <v>#REF!</v>
      </c>
      <c r="G7" s="107">
        <f>U2</f>
        <v>350</v>
      </c>
      <c r="H7" s="107">
        <f>INDEX(Январь!I7:I68,COUNT(Январь!I7:I68))</f>
        <v>29409</v>
      </c>
      <c r="I7" s="57">
        <v>29425</v>
      </c>
      <c r="J7" s="28">
        <f>IFERROR(IF(W7="",Февраль[[#This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16</v>
      </c>
      <c r="K7" s="71"/>
      <c r="L7" s="29">
        <f>IF(Февраль[[#This Row],[Работа спецоборудования за день, м/ч]]="","",Февраль[[#This Row],[Работа спецоборудования за день, м/ч]]*$Z$2)</f>
        <v>290.40000000000003</v>
      </c>
      <c r="M7" s="59" t="str">
        <f ca="1">IFERROR(IF(VLOOKUP(Февраль[Дата],S$2:U$3,3),IFERROR(IF(U7="",Февраль[[#This Row],[Выдано топливо, литр]],Февраль[[#This Row],[Выдано топливо, литр]]+U7)+Февраль[[#This Row],[Остаток топлива в баке на начало дня, литр]]-Февраль[[#This Row],[Фактический расход топлива, литр]],""),""),"")</f>
        <v/>
      </c>
      <c r="N7" s="30">
        <f>IFERROR(ROUND((Февраль[[#This Row],[Пройдено за день, км]]*0.01*$Y$2+Февраль[[#This Row],[Расход топлива на работу спецоборудования, литр]]),3)+X7,"")</f>
        <v>290.39999999999998</v>
      </c>
      <c r="O7" s="29">
        <f ca="1">IF(Февраль[[#This Row],[Дата]]="","",IFERROR(ROUND(Февраль[[#This Row],[Расход топлива по норме, литр]]/VLOOKUP(Февраль[Дата],S$2:W$4,5),0)+Y7,))</f>
        <v>0</v>
      </c>
      <c r="P7" s="31">
        <f ca="1">IFERROR(Февраль[[#This Row],[Фактический расход топлива, литр]]-Февраль[[#This Row],[Расход топлива по норме, литр]],"")</f>
        <v>-290.39999999999998</v>
      </c>
      <c r="R7" s="133">
        <f>Февраль[[#This Row],[Дата]]</f>
        <v>43132</v>
      </c>
      <c r="S7" s="142"/>
      <c r="T7" s="118"/>
      <c r="U7" s="63"/>
      <c r="V7" s="143"/>
      <c r="W7" s="118"/>
      <c r="X7" s="118"/>
      <c r="Y7" s="131"/>
      <c r="Z7" s="133">
        <f>Февраль[[#This Row],[Дата]]</f>
        <v>43132</v>
      </c>
    </row>
    <row r="8" spans="1:26" ht="12.75" customHeight="1" x14ac:dyDescent="0.2">
      <c r="A8" s="32">
        <f>IFERROR(DATEVALUE((COUNT($A$6:A7)+1)&amp;$P$1&amp;$I$4),"")</f>
        <v>43133</v>
      </c>
      <c r="B8" s="109" t="s">
        <v>89</v>
      </c>
      <c r="C8" s="39">
        <f ca="1">IFERROR(IF(INDIRECT(TEXT(A7-1,"ММММ")&amp;"!A7:A37")="","",IF(S7="",D7,S7)),"")</f>
        <v>0</v>
      </c>
      <c r="D8" s="72"/>
      <c r="E8" s="34">
        <f ca="1">IFERROR(Февраль[[#This Row],[Показание одометра машины на конец дня, км]]-Февраль[[#This Row],[Показание одометра машины на начало дня, км]]+T8,"")</f>
        <v>0</v>
      </c>
      <c r="F8" s="137" t="e">
        <f>IF(Февраль[[#This Row],[Дата]]="","",SUMPRODUCT([1]Февраль!$E$4:$E$153*([1]Февраль!$F$4:$F$153=$O$4)*([1]Февраль!$D$4:$D$153=Январь[[#This Row],[Дата]])))</f>
        <v>#REF!</v>
      </c>
      <c r="G8" s="39" t="str">
        <f ca="1">IF(Февраль[[#This Row],[Дата]]="","",M7)</f>
        <v/>
      </c>
      <c r="H8" s="39">
        <f ca="1">IFERROR(IF(INDIRECT(TEXT(A7-1,"ММММ")&amp;"!A7:A37")="","",IF(V7="",I7,V7)),"")</f>
        <v>29425</v>
      </c>
      <c r="I8" s="56">
        <v>29434</v>
      </c>
      <c r="J8" s="33">
        <f ca="1">IFERROR(IF(W8="",Февраль[[#This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9</v>
      </c>
      <c r="K8" s="72"/>
      <c r="L8" s="35">
        <f ca="1">IF(Февраль[[#This Row],[Работа спецоборудования за день, м/ч]]="","",Февраль[[#This Row],[Работа спецоборудования за день, м/ч]]*$Z$2)</f>
        <v>163.35000000000002</v>
      </c>
      <c r="M8" s="60" t="str">
        <f ca="1">IFERROR(IF(VLOOKUP(Февраль[Дата],S$2:U$3,3),IFERROR(IF(U8="",Февраль[[#This Row],[Выдано топливо, литр]],Февраль[[#This Row],[Выдано топливо, литр]]+U8)+Февраль[[#This Row],[Остаток топлива в баке на начало дня, литр]]-Февраль[[#This Row],[Фактический расход топлива, литр]],""),""),"")</f>
        <v/>
      </c>
      <c r="N8" s="36">
        <f ca="1">IFERROR(ROUND((Февраль[[#This Row],[Пройдено за день, км]]*0.01*$Y$2+Февраль[[#This Row],[Расход топлива на работу спецоборудования, литр]]),3)+X8,"")</f>
        <v>163.35</v>
      </c>
      <c r="O8" s="35">
        <f ca="1">IF(Февраль[[#This Row],[Дата]]="","",IFERROR(ROUND(Февраль[[#This Row],[Расход топлива по норме, литр]]/VLOOKUP(Февраль[Дата],S$2:W$4,5),0)+Y8,))</f>
        <v>0</v>
      </c>
      <c r="P8" s="37">
        <f ca="1">IFERROR(Февраль[[#This Row],[Фактический расход топлива, литр]]-Февраль[[#This Row],[Расход топлива по норме, литр]],"")</f>
        <v>-163.35</v>
      </c>
      <c r="R8" s="117">
        <f>Февраль[[#This Row],[Дата]]</f>
        <v>43133</v>
      </c>
      <c r="S8" s="144"/>
      <c r="T8" s="84"/>
      <c r="U8" s="62"/>
      <c r="V8" s="145"/>
      <c r="W8" s="84"/>
      <c r="X8" s="84"/>
      <c r="Y8" s="132"/>
      <c r="Z8" s="117">
        <f>Февраль[[#This Row],[Дата]]</f>
        <v>43133</v>
      </c>
    </row>
    <row r="9" spans="1:26" x14ac:dyDescent="0.2">
      <c r="A9" s="32">
        <f>IFERROR(DATEVALUE((COUNT($A$6:A8)+1)&amp;$P$1&amp;$I$4),"")</f>
        <v>43134</v>
      </c>
      <c r="B9" s="109" t="s">
        <v>89</v>
      </c>
      <c r="C9" s="39">
        <f t="shared" ref="C9:C37" ca="1" si="0">IFERROR(IF(INDIRECT(TEXT(A8-1,"ММММ")&amp;"!A7:A37")="","",IF(S8="",D8,S8)),"")</f>
        <v>0</v>
      </c>
      <c r="D9" s="72"/>
      <c r="E9" s="34">
        <f ca="1">IFERROR(Февраль[[#This Row],[Показание одометра машины на конец дня, км]]-Февраль[[#This Row],[Показание одометра машины на начало дня, км]]+T9,"")</f>
        <v>0</v>
      </c>
      <c r="F9" s="137" t="e">
        <f>IF(Февраль[[#This Row],[Дата]]="","",SUMPRODUCT([1]Февраль!$E$4:$E$153*([1]Февраль!$F$4:$F$153=$O$4)*([1]Февраль!$D$4:$D$153=Январь[[#This Row],[Дата]])))</f>
        <v>#REF!</v>
      </c>
      <c r="G9" s="33" t="str">
        <f ca="1">IF(Февраль[[#This Row],[Дата]]="","",M8)</f>
        <v/>
      </c>
      <c r="H9" s="39">
        <f t="shared" ref="H9:H37" ca="1" si="1">IFERROR(IF(INDIRECT(TEXT(A8-1,"ММММ")&amp;"!A7:A37")="","",IF(V8="",I8,V8)),"")</f>
        <v>29434</v>
      </c>
      <c r="I9" s="56">
        <v>29441</v>
      </c>
      <c r="J9" s="33">
        <f ca="1">IFERROR(IF(W9="",Февраль[[#This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7</v>
      </c>
      <c r="K9" s="72"/>
      <c r="L9" s="35">
        <f ca="1">IF(Февраль[[#This Row],[Работа спецоборудования за день, м/ч]]="","",Февраль[[#This Row],[Работа спецоборудования за день, м/ч]]*$Z$2)</f>
        <v>127.05000000000001</v>
      </c>
      <c r="M9" s="60" t="str">
        <f ca="1">IFERROR(IF(VLOOKUP(Февраль[Дата],S$2:U$3,3),IFERROR(IF(U9="",Февраль[[#This Row],[Выдано топливо, литр]],Февраль[[#This Row],[Выдано топливо, литр]]+U9)+Февраль[[#This Row],[Остаток топлива в баке на начало дня, литр]]-Февраль[[#This Row],[Фактический расход топлива, литр]],""),""),"")</f>
        <v/>
      </c>
      <c r="N9" s="36">
        <f ca="1">IFERROR(ROUND((Февраль[[#This Row],[Пройдено за день, км]]*0.01*$Y$2+Февраль[[#This Row],[Расход топлива на работу спецоборудования, литр]]),3)+X9,"")</f>
        <v>127.05</v>
      </c>
      <c r="O9" s="35">
        <f ca="1">IF(Февраль[[#This Row],[Дата]]="","",IFERROR(ROUND(Февраль[[#This Row],[Расход топлива по норме, литр]]/VLOOKUP(Февраль[Дата],S$2:W$4,5),0)+Y9,))</f>
        <v>0</v>
      </c>
      <c r="P9" s="37">
        <f ca="1">IFERROR(Февраль[[#This Row],[Фактический расход топлива, литр]]-Февраль[[#This Row],[Расход топлива по норме, литр]],"")</f>
        <v>-127.05</v>
      </c>
      <c r="R9" s="117">
        <f>Февраль[[#This Row],[Дата]]</f>
        <v>43134</v>
      </c>
      <c r="S9" s="144"/>
      <c r="T9" s="84"/>
      <c r="U9" s="62">
        <v>300</v>
      </c>
      <c r="V9" s="145"/>
      <c r="W9" s="84"/>
      <c r="X9" s="84"/>
      <c r="Y9" s="132"/>
      <c r="Z9" s="117">
        <f>Февраль[[#This Row],[Дата]]</f>
        <v>43134</v>
      </c>
    </row>
    <row r="10" spans="1:26" x14ac:dyDescent="0.2">
      <c r="A10" s="32">
        <f>IFERROR(DATEVALUE((COUNT($A$6:A9)+1)&amp;$P$1&amp;$I$4),"")</f>
        <v>43135</v>
      </c>
      <c r="B10" s="109" t="s">
        <v>89</v>
      </c>
      <c r="C10" s="39">
        <f t="shared" ca="1" si="0"/>
        <v>0</v>
      </c>
      <c r="D10" s="72"/>
      <c r="E10" s="34">
        <f ca="1">IFERROR(Февраль[[#This Row],[Показание одометра машины на конец дня, км]]-Февраль[[#This Row],[Показание одометра машины на начало дня, км]]+T10,"")</f>
        <v>0</v>
      </c>
      <c r="F10" s="137" t="e">
        <f>IF(Февраль[[#This Row],[Дата]]="","",SUMPRODUCT([1]Февраль!$E$4:$E$153*([1]Февраль!$F$4:$F$153=$O$4)*([1]Февраль!$D$4:$D$153=Январь[[#This Row],[Дата]])))</f>
        <v>#REF!</v>
      </c>
      <c r="G10" s="33" t="str">
        <f ca="1">IF(Февраль[[#This Row],[Дата]]="","",M9)</f>
        <v/>
      </c>
      <c r="H10" s="39">
        <f t="shared" ca="1" si="1"/>
        <v>29441</v>
      </c>
      <c r="I10" s="56">
        <v>29447</v>
      </c>
      <c r="J10" s="33">
        <f ca="1">IFERROR(IF(W10="",Февраль[[#This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6</v>
      </c>
      <c r="K10" s="72"/>
      <c r="L10" s="35">
        <f ca="1">IF(Февраль[[#This Row],[Работа спецоборудования за день, м/ч]]="","",Февраль[[#This Row],[Работа спецоборудования за день, м/ч]]*$Z$2)</f>
        <v>108.9</v>
      </c>
      <c r="M10" s="60" t="str">
        <f ca="1">IFERROR(IF(VLOOKUP(Февраль[Дата],S$2:U$3,3),IFERROR(IF(U10="",Февраль[[#This Row],[Выдано топливо, литр]],Февраль[[#This Row],[Выдано топливо, литр]]+U10)+Февраль[[#This Row],[Остаток топлива в баке на начало дня, литр]]-Февраль[[#This Row],[Фактический расход топлива, литр]],""),""),"")</f>
        <v/>
      </c>
      <c r="N10" s="36">
        <f ca="1">IFERROR(ROUND((Февраль[[#This Row],[Пройдено за день, км]]*0.01*$Y$2+Февраль[[#This Row],[Расход топлива на работу спецоборудования, литр]]),3)+X10,"")</f>
        <v>108.9</v>
      </c>
      <c r="O10" s="35">
        <f ca="1">IF(Февраль[[#This Row],[Дата]]="","",IFERROR(ROUND(Февраль[[#This Row],[Расход топлива по норме, литр]]/VLOOKUP(Февраль[Дата],S$2:W$4,5),0)+Y10,))</f>
        <v>0</v>
      </c>
      <c r="P10" s="37">
        <f ca="1">IFERROR(Февраль[[#This Row],[Фактический расход топлива, литр]]-Февраль[[#This Row],[Расход топлива по норме, литр]],"")</f>
        <v>-108.9</v>
      </c>
      <c r="R10" s="117">
        <f>Февраль[[#This Row],[Дата]]</f>
        <v>43135</v>
      </c>
      <c r="S10" s="144"/>
      <c r="T10" s="84"/>
      <c r="U10" s="62"/>
      <c r="V10" s="145"/>
      <c r="W10" s="84"/>
      <c r="X10" s="84"/>
      <c r="Y10" s="132"/>
      <c r="Z10" s="117">
        <f>Февраль[[#This Row],[Дата]]</f>
        <v>43135</v>
      </c>
    </row>
    <row r="11" spans="1:26" x14ac:dyDescent="0.2">
      <c r="A11" s="32">
        <f>IFERROR(DATEVALUE((COUNT($A$6:A10)+1)&amp;$P$1&amp;$I$4),"")</f>
        <v>43136</v>
      </c>
      <c r="B11" s="109" t="s">
        <v>89</v>
      </c>
      <c r="C11" s="39">
        <f t="shared" ca="1" si="0"/>
        <v>0</v>
      </c>
      <c r="D11" s="72"/>
      <c r="E11" s="34">
        <f ca="1">IFERROR(Февраль[[#This Row],[Показание одометра машины на конец дня, км]]-Февраль[[#This Row],[Показание одометра машины на начало дня, км]]+T11,"")</f>
        <v>0</v>
      </c>
      <c r="F11" s="137" t="e">
        <f>IF(Февраль[[#This Row],[Дата]]="","",SUMPRODUCT([1]Февраль!$E$4:$E$153*([1]Февраль!$F$4:$F$153=$O$4)*([1]Февраль!$D$4:$D$153=Январь[[#This Row],[Дата]])))</f>
        <v>#REF!</v>
      </c>
      <c r="G11" s="33" t="str">
        <f ca="1">IF(Февраль[[#This Row],[Дата]]="","",M10)</f>
        <v/>
      </c>
      <c r="H11" s="39">
        <f t="shared" ca="1" si="1"/>
        <v>29447</v>
      </c>
      <c r="I11" s="56">
        <v>29456</v>
      </c>
      <c r="J11" s="33">
        <f ca="1">IFERROR(IF(W11="",Февраль[[#This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9</v>
      </c>
      <c r="K11" s="72"/>
      <c r="L11" s="35">
        <f ca="1">IF(Февраль[[#This Row],[Работа спецоборудования за день, м/ч]]="","",Февраль[[#This Row],[Работа спецоборудования за день, м/ч]]*$Z$2)</f>
        <v>163.35000000000002</v>
      </c>
      <c r="M11" s="60" t="str">
        <f ca="1">IFERROR(IF(VLOOKUP(Февраль[Дата],S$2:U$3,3),IFERROR(IF(U11="",Февраль[[#This Row],[Выдано топливо, литр]],Февраль[[#This Row],[Выдано топливо, литр]]+U11)+Февраль[[#This Row],[Остаток топлива в баке на начало дня, литр]]-Февраль[[#This Row],[Фактический расход топлива, литр]],""),""),"")</f>
        <v/>
      </c>
      <c r="N11" s="36">
        <f ca="1">IFERROR(ROUND((Февраль[[#This Row],[Пройдено за день, км]]*0.01*$Y$2+Февраль[[#This Row],[Расход топлива на работу спецоборудования, литр]]),3)+X11,"")</f>
        <v>163.35</v>
      </c>
      <c r="O11" s="35">
        <f ca="1">IF(Февраль[[#This Row],[Дата]]="","",IFERROR(ROUND(Февраль[[#This Row],[Расход топлива по норме, литр]]/VLOOKUP(Февраль[Дата],S$2:W$4,5),0)+Y11,))</f>
        <v>0</v>
      </c>
      <c r="P11" s="37">
        <f ca="1">IFERROR(Февраль[[#This Row],[Фактический расход топлива, литр]]-Февраль[[#This Row],[Расход топлива по норме, литр]],"")</f>
        <v>-163.35</v>
      </c>
      <c r="R11" s="117">
        <f>Февраль[[#This Row],[Дата]]</f>
        <v>43136</v>
      </c>
      <c r="S11" s="144"/>
      <c r="T11" s="84"/>
      <c r="U11" s="62"/>
      <c r="V11" s="145"/>
      <c r="W11" s="84"/>
      <c r="X11" s="84"/>
      <c r="Y11" s="132"/>
      <c r="Z11" s="117">
        <f>Февраль[[#This Row],[Дата]]</f>
        <v>43136</v>
      </c>
    </row>
    <row r="12" spans="1:26" x14ac:dyDescent="0.2">
      <c r="A12" s="32">
        <f>IFERROR(DATEVALUE((COUNT($A$6:A11)+1)&amp;$P$1&amp;$I$4),"")</f>
        <v>43137</v>
      </c>
      <c r="B12" s="109" t="s">
        <v>89</v>
      </c>
      <c r="C12" s="39">
        <f t="shared" ca="1" si="0"/>
        <v>0</v>
      </c>
      <c r="D12" s="72"/>
      <c r="E12" s="34">
        <f ca="1">IFERROR(Февраль[[#This Row],[Показание одометра машины на конец дня, км]]-Февраль[[#This Row],[Показание одометра машины на начало дня, км]]+T12,"")</f>
        <v>0</v>
      </c>
      <c r="F12" s="137" t="e">
        <f>IF(Февраль[[#This Row],[Дата]]="","",SUMPRODUCT([1]Февраль!$E$4:$E$153*([1]Февраль!$F$4:$F$153=$O$4)*([1]Февраль!$D$4:$D$153=Январь[[#This Row],[Дата]])))</f>
        <v>#REF!</v>
      </c>
      <c r="G12" s="33" t="str">
        <f ca="1">IF(Февраль[[#This Row],[Дата]]="","",M11)</f>
        <v/>
      </c>
      <c r="H12" s="39">
        <f t="shared" ca="1" si="1"/>
        <v>29456</v>
      </c>
      <c r="I12" s="56">
        <v>29463</v>
      </c>
      <c r="J12" s="33">
        <f ca="1">IFERROR(IF(W12="",Февраль[[#This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7</v>
      </c>
      <c r="K12" s="72"/>
      <c r="L12" s="35">
        <f ca="1">IF(Февраль[[#This Row],[Работа спецоборудования за день, м/ч]]="","",Февраль[[#This Row],[Работа спецоборудования за день, м/ч]]*$Z$2)</f>
        <v>127.05000000000001</v>
      </c>
      <c r="M12" s="60" t="str">
        <f ca="1">IFERROR(IF(VLOOKUP(Февраль[Дата],S$2:U$3,3),IFERROR(IF(U12="",Февраль[[#This Row],[Выдано топливо, литр]],Февраль[[#This Row],[Выдано топливо, литр]]+U12)+Февраль[[#This Row],[Остаток топлива в баке на начало дня, литр]]-Февраль[[#This Row],[Фактический расход топлива, литр]],""),""),"")</f>
        <v/>
      </c>
      <c r="N12" s="36">
        <f ca="1">IFERROR(ROUND((Февраль[[#This Row],[Пройдено за день, км]]*0.01*$Y$2+Февраль[[#This Row],[Расход топлива на работу спецоборудования, литр]]),3)+X12,"")</f>
        <v>127.05</v>
      </c>
      <c r="O12" s="35">
        <f ca="1">IF(Февраль[[#This Row],[Дата]]="","",IFERROR(ROUND(Февраль[[#This Row],[Расход топлива по норме, литр]]/VLOOKUP(Февраль[Дата],S$2:W$4,5),0)+Y12,))</f>
        <v>0</v>
      </c>
      <c r="P12" s="37">
        <f ca="1">IFERROR(Февраль[[#This Row],[Фактический расход топлива, литр]]-Февраль[[#This Row],[Расход топлива по норме, литр]],"")</f>
        <v>-127.05</v>
      </c>
      <c r="R12" s="117">
        <f>Февраль[[#This Row],[Дата]]</f>
        <v>43137</v>
      </c>
      <c r="S12" s="144"/>
      <c r="T12" s="84"/>
      <c r="U12" s="62">
        <v>270</v>
      </c>
      <c r="V12" s="145"/>
      <c r="W12" s="84"/>
      <c r="X12" s="84"/>
      <c r="Y12" s="132"/>
      <c r="Z12" s="117">
        <f>Февраль[[#This Row],[Дата]]</f>
        <v>43137</v>
      </c>
    </row>
    <row r="13" spans="1:26" x14ac:dyDescent="0.2">
      <c r="A13" s="32">
        <f>IFERROR(DATEVALUE((COUNT($A$6:A12)+1)&amp;$P$1&amp;$I$4),"")</f>
        <v>43138</v>
      </c>
      <c r="B13" s="109" t="s">
        <v>89</v>
      </c>
      <c r="C13" s="39">
        <f t="shared" ca="1" si="0"/>
        <v>0</v>
      </c>
      <c r="D13" s="72"/>
      <c r="E13" s="34">
        <f ca="1">IFERROR(Февраль[[#This Row],[Показание одометра машины на конец дня, км]]-Февраль[[#This Row],[Показание одометра машины на начало дня, км]]+T13,"")</f>
        <v>0</v>
      </c>
      <c r="F13" s="137" t="e">
        <f>IF(Февраль[[#This Row],[Дата]]="","",SUMPRODUCT([1]Февраль!$E$4:$E$153*([1]Февраль!$F$4:$F$153=$O$4)*([1]Февраль!$D$4:$D$153=Январь[[#This Row],[Дата]])))</f>
        <v>#REF!</v>
      </c>
      <c r="G13" s="33" t="str">
        <f ca="1">IF(Февраль[[#This Row],[Дата]]="","",M12)</f>
        <v/>
      </c>
      <c r="H13" s="39">
        <f t="shared" ca="1" si="1"/>
        <v>29463</v>
      </c>
      <c r="I13" s="56">
        <v>29475</v>
      </c>
      <c r="J13" s="33">
        <f ca="1">IFERROR(IF(W13="",Февраль[[#This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12</v>
      </c>
      <c r="K13" s="72"/>
      <c r="L13" s="35">
        <f ca="1">IF(Февраль[[#This Row],[Работа спецоборудования за день, м/ч]]="","",Февраль[[#This Row],[Работа спецоборудования за день, м/ч]]*$Z$2)</f>
        <v>217.8</v>
      </c>
      <c r="M13" s="60" t="str">
        <f ca="1">IFERROR(IF(VLOOKUP(Февраль[Дата],S$2:U$3,3),IFERROR(IF(U13="",Февраль[[#This Row],[Выдано топливо, литр]],Февраль[[#This Row],[Выдано топливо, литр]]+U13)+Февраль[[#This Row],[Остаток топлива в баке на начало дня, литр]]-Февраль[[#This Row],[Фактический расход топлива, литр]],""),""),"")</f>
        <v/>
      </c>
      <c r="N13" s="36">
        <f ca="1">IFERROR(ROUND((Февраль[[#This Row],[Пройдено за день, км]]*0.01*$Y$2+Февраль[[#This Row],[Расход топлива на работу спецоборудования, литр]]),3)+X13,"")</f>
        <v>217.8</v>
      </c>
      <c r="O13" s="35">
        <f ca="1">IF(Февраль[[#This Row],[Дата]]="","",IFERROR(ROUND(Февраль[[#This Row],[Расход топлива по норме, литр]]/VLOOKUP(Февраль[Дата],S$2:W$4,5),0)+Y13,))</f>
        <v>0</v>
      </c>
      <c r="P13" s="37">
        <f ca="1">IFERROR(Февраль[[#This Row],[Фактический расход топлива, литр]]-Февраль[[#This Row],[Расход топлива по норме, литр]],"")</f>
        <v>-217.8</v>
      </c>
      <c r="R13" s="117">
        <f>Февраль[[#This Row],[Дата]]</f>
        <v>43138</v>
      </c>
      <c r="S13" s="144"/>
      <c r="T13" s="84"/>
      <c r="U13" s="62"/>
      <c r="V13" s="145"/>
      <c r="W13" s="84"/>
      <c r="X13" s="84"/>
      <c r="Y13" s="132"/>
      <c r="Z13" s="117">
        <f>Февраль[[#This Row],[Дата]]</f>
        <v>43138</v>
      </c>
    </row>
    <row r="14" spans="1:26" x14ac:dyDescent="0.2">
      <c r="A14" s="32">
        <f>IFERROR(DATEVALUE((COUNT($A$6:A13)+1)&amp;$P$1&amp;$I$4),"")</f>
        <v>43139</v>
      </c>
      <c r="B14" s="109" t="s">
        <v>89</v>
      </c>
      <c r="C14" s="39">
        <f t="shared" ca="1" si="0"/>
        <v>0</v>
      </c>
      <c r="D14" s="72"/>
      <c r="E14" s="34">
        <f ca="1">IFERROR(Февраль[[#This Row],[Показание одометра машины на конец дня, км]]-Февраль[[#This Row],[Показание одометра машины на начало дня, км]]+T14,"")</f>
        <v>0</v>
      </c>
      <c r="F14" s="137" t="e">
        <f>IF(Февраль[[#This Row],[Дата]]="","",SUMPRODUCT([1]Февраль!$E$4:$E$153*([1]Февраль!$F$4:$F$153=$O$4)*([1]Февраль!$D$4:$D$153=Январь[[#This Row],[Дата]])))</f>
        <v>#REF!</v>
      </c>
      <c r="G14" s="33" t="str">
        <f ca="1">IF(Февраль[[#This Row],[Дата]]="","",M13)</f>
        <v/>
      </c>
      <c r="H14" s="39">
        <f t="shared" ca="1" si="1"/>
        <v>29475</v>
      </c>
      <c r="I14" s="56">
        <v>29483</v>
      </c>
      <c r="J14" s="33">
        <f ca="1">IFERROR(IF(W14="",Февраль[[#This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8</v>
      </c>
      <c r="K14" s="72"/>
      <c r="L14" s="35">
        <f ca="1">IF(Февраль[[#This Row],[Работа спецоборудования за день, м/ч]]="","",Февраль[[#This Row],[Работа спецоборудования за день, м/ч]]*$Z$2)</f>
        <v>145.20000000000002</v>
      </c>
      <c r="M14" s="60" t="str">
        <f ca="1">IFERROR(IF(VLOOKUP(Февраль[Дата],S$2:U$3,3),IFERROR(IF(U14="",Февраль[[#This Row],[Выдано топливо, литр]],Февраль[[#This Row],[Выдано топливо, литр]]+U14)+Февраль[[#This Row],[Остаток топлива в баке на начало дня, литр]]-Февраль[[#This Row],[Фактический расход топлива, литр]],""),""),"")</f>
        <v/>
      </c>
      <c r="N14" s="36">
        <f ca="1">IFERROR(ROUND((Февраль[[#This Row],[Пройдено за день, км]]*0.01*$Y$2+Февраль[[#This Row],[Расход топлива на работу спецоборудования, литр]]),3)+X14,"")</f>
        <v>145.19999999999999</v>
      </c>
      <c r="O14" s="35">
        <f ca="1">IF(Февраль[[#This Row],[Дата]]="","",IFERROR(ROUND(Февраль[[#This Row],[Расход топлива по норме, литр]]/VLOOKUP(Февраль[Дата],S$2:W$4,5),0)+Y14,))</f>
        <v>0</v>
      </c>
      <c r="P14" s="37">
        <f ca="1">IFERROR(Февраль[[#This Row],[Фактический расход топлива, литр]]-Февраль[[#This Row],[Расход топлива по норме, литр]],"")</f>
        <v>-145.19999999999999</v>
      </c>
      <c r="R14" s="117">
        <f>Февраль[[#This Row],[Дата]]</f>
        <v>43139</v>
      </c>
      <c r="S14" s="144"/>
      <c r="T14" s="84"/>
      <c r="U14" s="62"/>
      <c r="V14" s="145"/>
      <c r="W14" s="84"/>
      <c r="X14" s="84"/>
      <c r="Y14" s="132"/>
      <c r="Z14" s="117">
        <f>Февраль[[#This Row],[Дата]]</f>
        <v>43139</v>
      </c>
    </row>
    <row r="15" spans="1:26" x14ac:dyDescent="0.2">
      <c r="A15" s="32">
        <f>IFERROR(DATEVALUE((COUNT($A$6:A14)+1)&amp;$P$1&amp;$I$4),"")</f>
        <v>43140</v>
      </c>
      <c r="B15" s="109" t="s">
        <v>89</v>
      </c>
      <c r="C15" s="39">
        <f t="shared" ca="1" si="0"/>
        <v>0</v>
      </c>
      <c r="D15" s="72"/>
      <c r="E15" s="34">
        <f ca="1">IFERROR(Февраль[[#This Row],[Показание одометра машины на конец дня, км]]-Февраль[[#This Row],[Показание одометра машины на начало дня, км]]+T15,"")</f>
        <v>0</v>
      </c>
      <c r="F15" s="137" t="e">
        <f>IF(Февраль[[#This Row],[Дата]]="","",SUMPRODUCT([1]Февраль!$E$4:$E$153*([1]Февраль!$F$4:$F$153=$O$4)*([1]Февраль!$D$4:$D$153=Январь[[#This Row],[Дата]])))</f>
        <v>#REF!</v>
      </c>
      <c r="G15" s="33" t="str">
        <f ca="1">IF(Февраль[[#This Row],[Дата]]="","",M14)</f>
        <v/>
      </c>
      <c r="H15" s="39">
        <f t="shared" ca="1" si="1"/>
        <v>29483</v>
      </c>
      <c r="I15" s="56">
        <v>29488</v>
      </c>
      <c r="J15" s="33">
        <f ca="1">IFERROR(IF(W15="",Февраль[[#This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5</v>
      </c>
      <c r="K15" s="72"/>
      <c r="L15" s="35">
        <f ca="1">IF(Февраль[[#This Row],[Работа спецоборудования за день, м/ч]]="","",Февраль[[#This Row],[Работа спецоборудования за день, м/ч]]*$Z$2)</f>
        <v>90.750000000000014</v>
      </c>
      <c r="M15" s="60" t="str">
        <f ca="1">IFERROR(IF(VLOOKUP(Февраль[Дата],S$2:U$3,3),IFERROR(IF(U15="",Февраль[[#This Row],[Выдано топливо, литр]],Февраль[[#This Row],[Выдано топливо, литр]]+U15)+Февраль[[#This Row],[Остаток топлива в баке на начало дня, литр]]-Февраль[[#This Row],[Фактический расход топлива, литр]],""),""),"")</f>
        <v/>
      </c>
      <c r="N15" s="36">
        <f ca="1">IFERROR(ROUND((Февраль[[#This Row],[Пройдено за день, км]]*0.01*$Y$2+Февраль[[#This Row],[Расход топлива на работу спецоборудования, литр]]),3)+X15,"")</f>
        <v>90.75</v>
      </c>
      <c r="O15" s="35">
        <f ca="1">IF(Февраль[[#This Row],[Дата]]="","",IFERROR(ROUND(Февраль[[#This Row],[Расход топлива по норме, литр]]/VLOOKUP(Февраль[Дата],S$2:W$4,5),0)+Y15,))</f>
        <v>0</v>
      </c>
      <c r="P15" s="37">
        <f ca="1">IFERROR(Февраль[[#This Row],[Фактический расход топлива, литр]]-Февраль[[#This Row],[Расход топлива по норме, литр]],"")</f>
        <v>-90.75</v>
      </c>
      <c r="R15" s="117">
        <f>Февраль[[#This Row],[Дата]]</f>
        <v>43140</v>
      </c>
      <c r="S15" s="144"/>
      <c r="T15" s="84"/>
      <c r="U15" s="62"/>
      <c r="V15" s="145"/>
      <c r="W15" s="84"/>
      <c r="X15" s="84"/>
      <c r="Y15" s="132"/>
      <c r="Z15" s="117">
        <f>Февраль[[#This Row],[Дата]]</f>
        <v>43140</v>
      </c>
    </row>
    <row r="16" spans="1:26" x14ac:dyDescent="0.2">
      <c r="A16" s="32">
        <f>IFERROR(DATEVALUE((COUNT($A$6:A15)+1)&amp;$P$1&amp;$I$4),"")</f>
        <v>43141</v>
      </c>
      <c r="B16" s="109" t="s">
        <v>89</v>
      </c>
      <c r="C16" s="39">
        <f t="shared" ca="1" si="0"/>
        <v>0</v>
      </c>
      <c r="D16" s="72"/>
      <c r="E16" s="34">
        <f ca="1">IFERROR(Февраль[[#This Row],[Показание одометра машины на конец дня, км]]-Февраль[[#This Row],[Показание одометра машины на начало дня, км]]+T16,"")</f>
        <v>0</v>
      </c>
      <c r="F16" s="137" t="e">
        <f>IF(Февраль[[#This Row],[Дата]]="","",SUMPRODUCT([1]Февраль!$E$4:$E$153*([1]Февраль!$F$4:$F$153=$O$4)*([1]Февраль!$D$4:$D$153=Январь[[#This Row],[Дата]])))</f>
        <v>#REF!</v>
      </c>
      <c r="G16" s="33" t="str">
        <f ca="1">IF(Февраль[[#This Row],[Дата]]="","",M15)</f>
        <v/>
      </c>
      <c r="H16" s="39">
        <f t="shared" ca="1" si="1"/>
        <v>29488</v>
      </c>
      <c r="I16" s="56">
        <v>29496</v>
      </c>
      <c r="J16" s="33">
        <f ca="1">IFERROR(IF(W16="",Февраль[[#This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8</v>
      </c>
      <c r="K16" s="72"/>
      <c r="L16" s="35">
        <f ca="1">IF(Февраль[[#This Row],[Работа спецоборудования за день, м/ч]]="","",Февраль[[#This Row],[Работа спецоборудования за день, м/ч]]*$Z$2)</f>
        <v>145.20000000000002</v>
      </c>
      <c r="M16" s="60" t="str">
        <f ca="1">IFERROR(IF(VLOOKUP(Февраль[Дата],S$2:U$3,3),IFERROR(IF(U16="",Февраль[[#This Row],[Выдано топливо, литр]],Февраль[[#This Row],[Выдано топливо, литр]]+U16)+Февраль[[#This Row],[Остаток топлива в баке на начало дня, литр]]-Февраль[[#This Row],[Фактический расход топлива, литр]],""),""),"")</f>
        <v/>
      </c>
      <c r="N16" s="36">
        <f ca="1">IFERROR(ROUND((Февраль[[#This Row],[Пройдено за день, км]]*0.01*$Y$2+Февраль[[#This Row],[Расход топлива на работу спецоборудования, литр]]),3)+X16,"")</f>
        <v>145.19999999999999</v>
      </c>
      <c r="O16" s="35">
        <f ca="1">IF(Февраль[[#This Row],[Дата]]="","",IFERROR(ROUND(Февраль[[#This Row],[Расход топлива по норме, литр]]/VLOOKUP(Февраль[Дата],S$2:W$4,5),0)+Y16,))</f>
        <v>0</v>
      </c>
      <c r="P16" s="37">
        <f ca="1">IFERROR(Февраль[[#This Row],[Фактический расход топлива, литр]]-Февраль[[#This Row],[Расход топлива по норме, литр]],"")</f>
        <v>-145.19999999999999</v>
      </c>
      <c r="R16" s="117">
        <f>Февраль[[#This Row],[Дата]]</f>
        <v>43141</v>
      </c>
      <c r="S16" s="144"/>
      <c r="T16" s="84"/>
      <c r="U16" s="62">
        <v>150</v>
      </c>
      <c r="V16" s="145"/>
      <c r="W16" s="84"/>
      <c r="X16" s="84"/>
      <c r="Y16" s="132"/>
      <c r="Z16" s="117">
        <f>Февраль[[#This Row],[Дата]]</f>
        <v>43141</v>
      </c>
    </row>
    <row r="17" spans="1:26" x14ac:dyDescent="0.2">
      <c r="A17" s="32">
        <f>IFERROR(DATEVALUE((COUNT($A$6:A16)+1)&amp;$P$1&amp;$I$4),"")</f>
        <v>43142</v>
      </c>
      <c r="B17" s="109" t="s">
        <v>89</v>
      </c>
      <c r="C17" s="39">
        <f t="shared" ca="1" si="0"/>
        <v>0</v>
      </c>
      <c r="D17" s="72"/>
      <c r="E17" s="34">
        <f ca="1">IFERROR(Февраль[[#This Row],[Показание одометра машины на конец дня, км]]-Февраль[[#This Row],[Показание одометра машины на начало дня, км]]+T17,"")</f>
        <v>0</v>
      </c>
      <c r="F17" s="137" t="e">
        <f>IF(Февраль[[#This Row],[Дата]]="","",SUMPRODUCT([1]Февраль!$E$4:$E$153*([1]Февраль!$F$4:$F$153=$O$4)*([1]Февраль!$D$4:$D$153=Январь[[#This Row],[Дата]])))</f>
        <v>#REF!</v>
      </c>
      <c r="G17" s="33" t="str">
        <f ca="1">IF(Февраль[[#This Row],[Дата]]="","",M16)</f>
        <v/>
      </c>
      <c r="H17" s="39">
        <f t="shared" ca="1" si="1"/>
        <v>29496</v>
      </c>
      <c r="I17" s="56">
        <v>29506</v>
      </c>
      <c r="J17" s="33">
        <f ca="1">IFERROR(IF(W17="",Февраль[[#This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10</v>
      </c>
      <c r="K17" s="72"/>
      <c r="L17" s="35">
        <f ca="1">IF(Февраль[[#This Row],[Работа спецоборудования за день, м/ч]]="","",Февраль[[#This Row],[Работа спецоборудования за день, м/ч]]*$Z$2)</f>
        <v>181.50000000000003</v>
      </c>
      <c r="M17" s="60" t="str">
        <f ca="1">IFERROR(IF(VLOOKUP(Февраль[Дата],S$2:U$3,3),IFERROR(IF(U17="",Февраль[[#This Row],[Выдано топливо, литр]],Февраль[[#This Row],[Выдано топливо, литр]]+U17)+Февраль[[#This Row],[Остаток топлива в баке на начало дня, литр]]-Февраль[[#This Row],[Фактический расход топлива, литр]],""),""),"")</f>
        <v/>
      </c>
      <c r="N17" s="36">
        <f ca="1">IFERROR(ROUND((Февраль[[#This Row],[Пройдено за день, км]]*0.01*$Y$2+Февраль[[#This Row],[Расход топлива на работу спецоборудования, литр]]),3)+X17,"")</f>
        <v>181.5</v>
      </c>
      <c r="O17" s="35">
        <f ca="1">IF(Февраль[[#This Row],[Дата]]="","",IFERROR(ROUND(Февраль[[#This Row],[Расход топлива по норме, литр]]/VLOOKUP(Февраль[Дата],S$2:W$4,5),0)+Y17,))</f>
        <v>0</v>
      </c>
      <c r="P17" s="37">
        <f ca="1">IFERROR(Февраль[[#This Row],[Фактический расход топлива, литр]]-Февраль[[#This Row],[Расход топлива по норме, литр]],"")</f>
        <v>-181.5</v>
      </c>
      <c r="R17" s="117">
        <f>Февраль[[#This Row],[Дата]]</f>
        <v>43142</v>
      </c>
      <c r="S17" s="144"/>
      <c r="T17" s="84"/>
      <c r="U17" s="62">
        <v>190</v>
      </c>
      <c r="V17" s="145"/>
      <c r="W17" s="84"/>
      <c r="X17" s="84"/>
      <c r="Y17" s="132"/>
      <c r="Z17" s="117">
        <f>Февраль[[#This Row],[Дата]]</f>
        <v>43142</v>
      </c>
    </row>
    <row r="18" spans="1:26" x14ac:dyDescent="0.2">
      <c r="A18" s="32">
        <f>IFERROR(DATEVALUE((COUNT($A$6:A17)+1)&amp;$P$1&amp;$I$4),"")</f>
        <v>43143</v>
      </c>
      <c r="B18" s="109" t="s">
        <v>89</v>
      </c>
      <c r="C18" s="39">
        <f t="shared" ca="1" si="0"/>
        <v>0</v>
      </c>
      <c r="D18" s="72"/>
      <c r="E18" s="34">
        <f ca="1">IFERROR(Февраль[[#This Row],[Показание одометра машины на конец дня, км]]-Февраль[[#This Row],[Показание одометра машины на начало дня, км]]+T18,"")</f>
        <v>0</v>
      </c>
      <c r="F18" s="137" t="e">
        <f>IF(Февраль[[#This Row],[Дата]]="","",SUMPRODUCT([1]Февраль!$E$4:$E$153*([1]Февраль!$F$4:$F$153=$O$4)*([1]Февраль!$D$4:$D$153=Январь[[#This Row],[Дата]])))</f>
        <v>#REF!</v>
      </c>
      <c r="G18" s="33" t="str">
        <f ca="1">IF(Февраль[[#This Row],[Дата]]="","",M17)</f>
        <v/>
      </c>
      <c r="H18" s="39">
        <f t="shared" ca="1" si="1"/>
        <v>29506</v>
      </c>
      <c r="I18" s="56">
        <v>29511</v>
      </c>
      <c r="J18" s="33">
        <f ca="1">IFERROR(IF(W18="",Февраль[[#This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5</v>
      </c>
      <c r="K18" s="72"/>
      <c r="L18" s="35">
        <f ca="1">IF(Февраль[[#This Row],[Работа спецоборудования за день, м/ч]]="","",Февраль[[#This Row],[Работа спецоборудования за день, м/ч]]*$Z$2)</f>
        <v>90.750000000000014</v>
      </c>
      <c r="M18" s="60" t="str">
        <f ca="1">IFERROR(IF(VLOOKUP(Февраль[Дата],S$2:U$3,3),IFERROR(IF(U18="",Февраль[[#This Row],[Выдано топливо, литр]],Февраль[[#This Row],[Выдано топливо, литр]]+U18)+Февраль[[#This Row],[Остаток топлива в баке на начало дня, литр]]-Февраль[[#This Row],[Фактический расход топлива, литр]],""),""),"")</f>
        <v/>
      </c>
      <c r="N18" s="36">
        <f ca="1">IFERROR(ROUND((Февраль[[#This Row],[Пройдено за день, км]]*0.01*$Y$2+Февраль[[#This Row],[Расход топлива на работу спецоборудования, литр]]),3)+X18,"")</f>
        <v>90.75</v>
      </c>
      <c r="O18" s="35">
        <f ca="1">IF(Февраль[[#This Row],[Дата]]="","",IFERROR(ROUND(Февраль[[#This Row],[Расход топлива по норме, литр]]/VLOOKUP(Февраль[Дата],S$2:W$4,5),0)+Y18,))</f>
        <v>0</v>
      </c>
      <c r="P18" s="37">
        <f ca="1">IFERROR(Февраль[[#This Row],[Фактический расход топлива, литр]]-Февраль[[#This Row],[Расход топлива по норме, литр]],"")</f>
        <v>-90.75</v>
      </c>
      <c r="R18" s="117">
        <f>Февраль[[#This Row],[Дата]]</f>
        <v>43143</v>
      </c>
      <c r="S18" s="144"/>
      <c r="T18" s="84"/>
      <c r="U18" s="62">
        <v>170</v>
      </c>
      <c r="V18" s="145"/>
      <c r="W18" s="84"/>
      <c r="X18" s="84"/>
      <c r="Y18" s="132"/>
      <c r="Z18" s="117">
        <f>Февраль[[#This Row],[Дата]]</f>
        <v>43143</v>
      </c>
    </row>
    <row r="19" spans="1:26" x14ac:dyDescent="0.2">
      <c r="A19" s="32">
        <f>IFERROR(DATEVALUE((COUNT($A$6:A18)+1)&amp;$P$1&amp;$I$4),"")</f>
        <v>43144</v>
      </c>
      <c r="B19" s="109" t="s">
        <v>89</v>
      </c>
      <c r="C19" s="39">
        <f t="shared" ca="1" si="0"/>
        <v>0</v>
      </c>
      <c r="D19" s="72"/>
      <c r="E19" s="34">
        <f ca="1">IFERROR(Февраль[[#This Row],[Показание одометра машины на конец дня, км]]-Февраль[[#This Row],[Показание одометра машины на начало дня, км]]+T19,"")</f>
        <v>0</v>
      </c>
      <c r="F19" s="137" t="e">
        <f>IF(Февраль[[#This Row],[Дата]]="","",SUMPRODUCT([1]Февраль!$E$4:$E$153*([1]Февраль!$F$4:$F$153=$O$4)*([1]Февраль!$D$4:$D$153=Январь[[#This Row],[Дата]])))</f>
        <v>#REF!</v>
      </c>
      <c r="G19" s="33" t="str">
        <f ca="1">IF(Февраль[[#This Row],[Дата]]="","",M18)</f>
        <v/>
      </c>
      <c r="H19" s="39">
        <f t="shared" ca="1" si="1"/>
        <v>29511</v>
      </c>
      <c r="I19" s="56">
        <v>29516</v>
      </c>
      <c r="J19" s="33">
        <f ca="1">IFERROR(IF(W19="",Февраль[[#This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5</v>
      </c>
      <c r="K19" s="72"/>
      <c r="L19" s="35">
        <f ca="1">IF(Февраль[[#This Row],[Работа спецоборудования за день, м/ч]]="","",Февраль[[#This Row],[Работа спецоборудования за день, м/ч]]*$Z$2)</f>
        <v>90.750000000000014</v>
      </c>
      <c r="M19" s="60" t="str">
        <f ca="1">IFERROR(IF(VLOOKUP(Февраль[Дата],S$2:U$3,3),IFERROR(IF(U19="",Февраль[[#This Row],[Выдано топливо, литр]],Февраль[[#This Row],[Выдано топливо, литр]]+U19)+Февраль[[#This Row],[Остаток топлива в баке на начало дня, литр]]-Февраль[[#This Row],[Фактический расход топлива, литр]],""),""),"")</f>
        <v/>
      </c>
      <c r="N19" s="36">
        <f ca="1">IFERROR(ROUND((Февраль[[#This Row],[Пройдено за день, км]]*0.01*$Y$2+Февраль[[#This Row],[Расход топлива на работу спецоборудования, литр]]),3)+X19,"")</f>
        <v>90.75</v>
      </c>
      <c r="O19" s="35">
        <f ca="1">IF(Февраль[[#This Row],[Дата]]="","",IFERROR(ROUND(Февраль[[#This Row],[Расход топлива по норме, литр]]/VLOOKUP(Февраль[Дата],S$2:W$4,5),0)+Y19,))</f>
        <v>0</v>
      </c>
      <c r="P19" s="37">
        <f ca="1">IFERROR(Февраль[[#This Row],[Фактический расход топлива, литр]]-Февраль[[#This Row],[Расход топлива по норме, литр]],"")</f>
        <v>-90.75</v>
      </c>
      <c r="R19" s="117">
        <f>Февраль[[#This Row],[Дата]]</f>
        <v>43144</v>
      </c>
      <c r="S19" s="144"/>
      <c r="T19" s="84"/>
      <c r="U19" s="62"/>
      <c r="V19" s="145"/>
      <c r="W19" s="84"/>
      <c r="X19" s="84"/>
      <c r="Y19" s="132"/>
      <c r="Z19" s="117">
        <f>Февраль[[#This Row],[Дата]]</f>
        <v>43144</v>
      </c>
    </row>
    <row r="20" spans="1:26" x14ac:dyDescent="0.2">
      <c r="A20" s="32">
        <f>IFERROR(DATEVALUE((COUNT($A$6:A19)+1)&amp;$P$1&amp;$I$4),"")</f>
        <v>43145</v>
      </c>
      <c r="B20" s="109" t="s">
        <v>89</v>
      </c>
      <c r="C20" s="39">
        <f t="shared" ca="1" si="0"/>
        <v>0</v>
      </c>
      <c r="D20" s="72"/>
      <c r="E20" s="34">
        <f ca="1">IFERROR(Февраль[[#This Row],[Показание одометра машины на конец дня, км]]-Февраль[[#This Row],[Показание одометра машины на начало дня, км]]+T20,"")</f>
        <v>0</v>
      </c>
      <c r="F20" s="137" t="e">
        <f>IF(Февраль[[#This Row],[Дата]]="","",SUMPRODUCT([1]Февраль!$E$4:$E$153*([1]Февраль!$F$4:$F$153=$O$4)*([1]Февраль!$D$4:$D$153=Январь[[#This Row],[Дата]])))</f>
        <v>#REF!</v>
      </c>
      <c r="G20" s="33" t="str">
        <f ca="1">IF(Февраль[[#This Row],[Дата]]="","",M19)</f>
        <v/>
      </c>
      <c r="H20" s="39">
        <f t="shared" ca="1" si="1"/>
        <v>29516</v>
      </c>
      <c r="I20" s="56">
        <v>29523</v>
      </c>
      <c r="J20" s="33">
        <f ca="1">IFERROR(IF(W20="",Февраль[[#This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7</v>
      </c>
      <c r="K20" s="72"/>
      <c r="L20" s="35">
        <f ca="1">IF(Февраль[[#This Row],[Работа спецоборудования за день, м/ч]]="","",Февраль[[#This Row],[Работа спецоборудования за день, м/ч]]*$Z$2)</f>
        <v>127.05000000000001</v>
      </c>
      <c r="M20" s="60" t="str">
        <f ca="1">IFERROR(IF(VLOOKUP(Февраль[Дата],S$2:U$3,3),IFERROR(IF(U20="",Февраль[[#This Row],[Выдано топливо, литр]],Февраль[[#This Row],[Выдано топливо, литр]]+U20)+Февраль[[#This Row],[Остаток топлива в баке на начало дня, литр]]-Февраль[[#This Row],[Фактический расход топлива, литр]],""),""),"")</f>
        <v/>
      </c>
      <c r="N20" s="36">
        <f ca="1">IFERROR(ROUND((Февраль[[#This Row],[Пройдено за день, км]]*0.01*$Y$2+Февраль[[#This Row],[Расход топлива на работу спецоборудования, литр]]),3)+X20,"")</f>
        <v>127.05</v>
      </c>
      <c r="O20" s="35">
        <f ca="1">IF(Февраль[[#This Row],[Дата]]="","",IFERROR(ROUND(Февраль[[#This Row],[Расход топлива по норме, литр]]/VLOOKUP(Февраль[Дата],S$2:W$4,5),0)+Y20,))</f>
        <v>0</v>
      </c>
      <c r="P20" s="37">
        <f ca="1">IFERROR(Февраль[[#This Row],[Фактический расход топлива, литр]]-Февраль[[#This Row],[Расход топлива по норме, литр]],"")</f>
        <v>-127.05</v>
      </c>
      <c r="R20" s="117">
        <f>Февраль[[#This Row],[Дата]]</f>
        <v>43145</v>
      </c>
      <c r="S20" s="144"/>
      <c r="T20" s="84"/>
      <c r="U20" s="62"/>
      <c r="V20" s="145"/>
      <c r="W20" s="84"/>
      <c r="X20" s="84"/>
      <c r="Y20" s="132"/>
      <c r="Z20" s="117">
        <f>Февраль[[#This Row],[Дата]]</f>
        <v>43145</v>
      </c>
    </row>
    <row r="21" spans="1:26" x14ac:dyDescent="0.2">
      <c r="A21" s="32">
        <f>IFERROR(DATEVALUE((COUNT($A$6:A20)+1)&amp;$P$1&amp;$I$4),"")</f>
        <v>43146</v>
      </c>
      <c r="B21" s="109" t="s">
        <v>89</v>
      </c>
      <c r="C21" s="39">
        <f t="shared" ca="1" si="0"/>
        <v>0</v>
      </c>
      <c r="D21" s="72"/>
      <c r="E21" s="34">
        <f ca="1">IFERROR(Февраль[[#This Row],[Показание одометра машины на конец дня, км]]-Февраль[[#This Row],[Показание одометра машины на начало дня, км]]+T21,"")</f>
        <v>0</v>
      </c>
      <c r="F21" s="137" t="e">
        <f>IF(Февраль[[#This Row],[Дата]]="","",SUMPRODUCT([1]Февраль!$E$4:$E$153*([1]Февраль!$F$4:$F$153=$O$4)*([1]Февраль!$D$4:$D$153=Январь[[#This Row],[Дата]])))</f>
        <v>#REF!</v>
      </c>
      <c r="G21" s="33" t="str">
        <f ca="1">IF(Февраль[[#This Row],[Дата]]="","",M20)</f>
        <v/>
      </c>
      <c r="H21" s="39">
        <f t="shared" ca="1" si="1"/>
        <v>29523</v>
      </c>
      <c r="I21" s="56">
        <v>29527</v>
      </c>
      <c r="J21" s="33">
        <f ca="1">IFERROR(IF(W21="",Февраль[[#This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4</v>
      </c>
      <c r="K21" s="72"/>
      <c r="L21" s="35">
        <f ca="1">IF(Февраль[[#This Row],[Работа спецоборудования за день, м/ч]]="","",Февраль[[#This Row],[Работа спецоборудования за день, м/ч]]*$Z$2)</f>
        <v>72.600000000000009</v>
      </c>
      <c r="M21" s="60" t="str">
        <f ca="1">IFERROR(IF(VLOOKUP(Февраль[Дата],S$2:U$3,3),IFERROR(IF(U21="",Февраль[[#This Row],[Выдано топливо, литр]],Февраль[[#This Row],[Выдано топливо, литр]]+U21)+Февраль[[#This Row],[Остаток топлива в баке на начало дня, литр]]-Февраль[[#This Row],[Фактический расход топлива, литр]],""),""),"")</f>
        <v/>
      </c>
      <c r="N21" s="36">
        <f ca="1">IFERROR(ROUND((Февраль[[#This Row],[Пройдено за день, км]]*0.01*$Y$2+Февраль[[#This Row],[Расход топлива на работу спецоборудования, литр]]),3)+X21,"")</f>
        <v>72.599999999999994</v>
      </c>
      <c r="O21" s="35">
        <f ca="1">IF(Февраль[[#This Row],[Дата]]="","",IFERROR(ROUND(Февраль[[#This Row],[Расход топлива по норме, литр]]/VLOOKUP(Февраль[Дата],S$2:W$4,5),0)+Y21,))</f>
        <v>0</v>
      </c>
      <c r="P21" s="37">
        <f ca="1">IFERROR(Февраль[[#This Row],[Фактический расход топлива, литр]]-Февраль[[#This Row],[Расход топлива по норме, литр]],"")</f>
        <v>-72.599999999999994</v>
      </c>
      <c r="R21" s="117">
        <f>Февраль[[#This Row],[Дата]]</f>
        <v>43146</v>
      </c>
      <c r="S21" s="144"/>
      <c r="T21" s="84"/>
      <c r="U21" s="62"/>
      <c r="V21" s="145"/>
      <c r="W21" s="84"/>
      <c r="X21" s="84"/>
      <c r="Y21" s="132">
        <v>-2</v>
      </c>
      <c r="Z21" s="117">
        <f>Февраль[[#This Row],[Дата]]</f>
        <v>43146</v>
      </c>
    </row>
    <row r="22" spans="1:26" x14ac:dyDescent="0.2">
      <c r="A22" s="32">
        <f>IFERROR(DATEVALUE((COUNT($A$6:A21)+1)&amp;$P$1&amp;$I$4),"")</f>
        <v>43147</v>
      </c>
      <c r="B22" s="110" t="s">
        <v>90</v>
      </c>
      <c r="C22" s="39">
        <f t="shared" ca="1" si="0"/>
        <v>0</v>
      </c>
      <c r="D22" s="72"/>
      <c r="E22" s="34">
        <f ca="1">IFERROR(Февраль[[#This Row],[Показание одометра машины на конец дня, км]]-Февраль[[#This Row],[Показание одометра машины на начало дня, км]]+T22,"")</f>
        <v>0</v>
      </c>
      <c r="F22" s="137" t="e">
        <f>IF(Февраль[[#This Row],[Дата]]="","",SUMPRODUCT([1]Февраль!$E$4:$E$153*([1]Февраль!$F$4:$F$153=$O$4)*([1]Февраль!$D$4:$D$153=Январь[[#This Row],[Дата]])))</f>
        <v>#REF!</v>
      </c>
      <c r="G22" s="33" t="str">
        <f ca="1">IF(Февраль[[#This Row],[Дата]]="","",M21)</f>
        <v/>
      </c>
      <c r="H22" s="39">
        <f t="shared" ca="1" si="1"/>
        <v>29527</v>
      </c>
      <c r="I22" s="56">
        <v>29538</v>
      </c>
      <c r="J22" s="33">
        <f ca="1">IFERROR(IF(W22="",Февраль[[#This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11</v>
      </c>
      <c r="K22" s="72"/>
      <c r="L22" s="35">
        <f ca="1">IF(Февраль[[#This Row],[Работа спецоборудования за день, м/ч]]="","",Февраль[[#This Row],[Работа спецоборудования за день, м/ч]]*$Z$2)</f>
        <v>199.65000000000003</v>
      </c>
      <c r="M22" s="60" t="str">
        <f ca="1">IFERROR(IF(VLOOKUP(Февраль[Дата],S$2:U$3,3),IFERROR(IF(U22="",Февраль[[#This Row],[Выдано топливо, литр]],Февраль[[#This Row],[Выдано топливо, литр]]+U22)+Февраль[[#This Row],[Остаток топлива в баке на начало дня, литр]]-Февраль[[#This Row],[Фактический расход топлива, литр]],""),""),"")</f>
        <v/>
      </c>
      <c r="N22" s="36">
        <f ca="1">IFERROR(ROUND((Февраль[[#This Row],[Пройдено за день, км]]*0.01*$Y$2+Февраль[[#This Row],[Расход топлива на работу спецоборудования, литр]]),3)+X22,"")</f>
        <v>199.65</v>
      </c>
      <c r="O22" s="35">
        <f ca="1">IF(Февраль[[#This Row],[Дата]]="","",IFERROR(ROUND(Февраль[[#This Row],[Расход топлива по норме, литр]]/VLOOKUP(Февраль[Дата],S$2:W$4,5),0)+Y22,))</f>
        <v>0</v>
      </c>
      <c r="P22" s="37">
        <f ca="1">IFERROR(Февраль[[#This Row],[Фактический расход топлива, литр]]-Февраль[[#This Row],[Расход топлива по норме, литр]],"")</f>
        <v>-199.65</v>
      </c>
      <c r="R22" s="117">
        <f>Февраль[[#This Row],[Дата]]</f>
        <v>43147</v>
      </c>
      <c r="S22" s="144"/>
      <c r="T22" s="84"/>
      <c r="U22" s="62"/>
      <c r="V22" s="145"/>
      <c r="W22" s="84"/>
      <c r="X22" s="84"/>
      <c r="Y22" s="132"/>
      <c r="Z22" s="117">
        <f>Февраль[[#This Row],[Дата]]</f>
        <v>43147</v>
      </c>
    </row>
    <row r="23" spans="1:26" x14ac:dyDescent="0.2">
      <c r="A23" s="32">
        <f>IFERROR(DATEVALUE((COUNT($A$6:A22)+1)&amp;$P$1&amp;$I$4),"")</f>
        <v>43148</v>
      </c>
      <c r="B23" s="110" t="s">
        <v>90</v>
      </c>
      <c r="C23" s="39">
        <f t="shared" ca="1" si="0"/>
        <v>0</v>
      </c>
      <c r="D23" s="72"/>
      <c r="E23" s="34">
        <f ca="1">IFERROR(Февраль[[#This Row],[Показание одометра машины на конец дня, км]]-Февраль[[#This Row],[Показание одометра машины на начало дня, км]]+T23,"")</f>
        <v>0</v>
      </c>
      <c r="F23" s="137" t="e">
        <f>IF(Февраль[[#This Row],[Дата]]="","",SUMPRODUCT([1]Февраль!$E$4:$E$153*([1]Февраль!$F$4:$F$153=$O$4)*([1]Февраль!$D$4:$D$153=Январь[[#This Row],[Дата]])))</f>
        <v>#REF!</v>
      </c>
      <c r="G23" s="33" t="str">
        <f ca="1">IF(Февраль[[#This Row],[Дата]]="","",M22)</f>
        <v/>
      </c>
      <c r="H23" s="39">
        <f t="shared" ca="1" si="1"/>
        <v>29538</v>
      </c>
      <c r="I23" s="56">
        <v>29548</v>
      </c>
      <c r="J23" s="33">
        <f ca="1">IFERROR(IF(W23="",Февраль[[#This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10</v>
      </c>
      <c r="K23" s="72"/>
      <c r="L23" s="35">
        <f ca="1">IF(Февраль[[#This Row],[Работа спецоборудования за день, м/ч]]="","",Февраль[[#This Row],[Работа спецоборудования за день, м/ч]]*$Z$2)</f>
        <v>181.50000000000003</v>
      </c>
      <c r="M23" s="60" t="str">
        <f ca="1">IFERROR(IF(VLOOKUP(Февраль[Дата],S$2:U$3,3),IFERROR(IF(U23="",Февраль[[#This Row],[Выдано топливо, литр]],Февраль[[#This Row],[Выдано топливо, литр]]+U23)+Февраль[[#This Row],[Остаток топлива в баке на начало дня, литр]]-Февраль[[#This Row],[Фактический расход топлива, литр]],""),""),"")</f>
        <v/>
      </c>
      <c r="N23" s="36">
        <f ca="1">IFERROR(ROUND((Февраль[[#This Row],[Пройдено за день, км]]*0.01*$Y$2+Февраль[[#This Row],[Расход топлива на работу спецоборудования, литр]]),3)+X23,"")</f>
        <v>181.5</v>
      </c>
      <c r="O23" s="35">
        <f ca="1">IF(Февраль[[#This Row],[Дата]]="","",IFERROR(ROUND(Февраль[[#This Row],[Расход топлива по норме, литр]]/VLOOKUP(Февраль[Дата],S$2:W$4,5),0)+Y23,))</f>
        <v>0</v>
      </c>
      <c r="P23" s="37">
        <f ca="1">IFERROR(Февраль[[#This Row],[Фактический расход топлива, литр]]-Февраль[[#This Row],[Расход топлива по норме, литр]],"")</f>
        <v>-181.5</v>
      </c>
      <c r="R23" s="117">
        <f>Февраль[[#This Row],[Дата]]</f>
        <v>43148</v>
      </c>
      <c r="S23" s="144"/>
      <c r="T23" s="84"/>
      <c r="U23" s="62">
        <v>340</v>
      </c>
      <c r="V23" s="145"/>
      <c r="W23" s="84"/>
      <c r="X23" s="84"/>
      <c r="Y23" s="132">
        <v>6</v>
      </c>
      <c r="Z23" s="117">
        <f>Февраль[[#This Row],[Дата]]</f>
        <v>43148</v>
      </c>
    </row>
    <row r="24" spans="1:26" x14ac:dyDescent="0.2">
      <c r="A24" s="38">
        <f>IFERROR(DATEVALUE((COUNT($A$6:A23)+1)&amp;$P$1&amp;$I$4),"")</f>
        <v>43149</v>
      </c>
      <c r="B24" s="110" t="s">
        <v>90</v>
      </c>
      <c r="C24" s="39">
        <f t="shared" ca="1" si="0"/>
        <v>0</v>
      </c>
      <c r="D24" s="72"/>
      <c r="E24" s="27">
        <f ca="1">IFERROR(Февраль[[#This Row],[Показание одометра машины на конец дня, км]]-Февраль[[#This Row],[Показание одометра машины на начало дня, км]]+T24,"")</f>
        <v>0</v>
      </c>
      <c r="F24" s="137" t="e">
        <f>IF(Февраль[[#This Row],[Дата]]="","",SUMPRODUCT([1]Февраль!$E$4:$E$153*([1]Февраль!$F$4:$F$153=$O$4)*([1]Февраль!$D$4:$D$153=Январь[[#This Row],[Дата]])))</f>
        <v>#REF!</v>
      </c>
      <c r="G24" s="33" t="str">
        <f ca="1">IF(Февраль[[#This Row],[Дата]]="","",M23)</f>
        <v/>
      </c>
      <c r="H24" s="39">
        <f t="shared" ca="1" si="1"/>
        <v>29548</v>
      </c>
      <c r="I24" s="56">
        <v>29559</v>
      </c>
      <c r="J24" s="33">
        <f ca="1">IFERROR(IF(W24="",Февраль[[#This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11</v>
      </c>
      <c r="K24" s="72"/>
      <c r="L24" s="35">
        <f ca="1">IF(Февраль[[#This Row],[Работа спецоборудования за день, м/ч]]="","",Февраль[[#This Row],[Работа спецоборудования за день, м/ч]]*$Z$2)</f>
        <v>199.65000000000003</v>
      </c>
      <c r="M24" s="60" t="str">
        <f ca="1">IFERROR(IF(VLOOKUP(Февраль[Дата],S$2:U$3,3),IFERROR(IF(U24="",Февраль[[#This Row],[Выдано топливо, литр]],Февраль[[#This Row],[Выдано топливо, литр]]+U24)+Февраль[[#This Row],[Остаток топлива в баке на начало дня, литр]]-Февраль[[#This Row],[Фактический расход топлива, литр]],""),""),"")</f>
        <v/>
      </c>
      <c r="N24" s="36">
        <f ca="1">IFERROR(ROUND((Февраль[[#This Row],[Пройдено за день, км]]*0.01*$Y$2+Февраль[[#This Row],[Расход топлива на работу спецоборудования, литр]]),3)+X24,"")</f>
        <v>199.65</v>
      </c>
      <c r="O24" s="35">
        <f ca="1">IF(Февраль[[#This Row],[Дата]]="","",IFERROR(ROUND(Февраль[[#This Row],[Расход топлива по норме, литр]]/VLOOKUP(Февраль[Дата],S$2:W$4,5),0)+Y24,))</f>
        <v>0</v>
      </c>
      <c r="P24" s="37">
        <f ca="1">IFERROR(Февраль[[#This Row],[Фактический расход топлива, литр]]-Февраль[[#This Row],[Расход топлива по норме, литр]],"")</f>
        <v>-199.65</v>
      </c>
      <c r="R24" s="117">
        <f>Февраль[[#This Row],[Дата]]</f>
        <v>43149</v>
      </c>
      <c r="S24" s="144"/>
      <c r="T24" s="84"/>
      <c r="U24" s="62"/>
      <c r="V24" s="145"/>
      <c r="W24" s="84"/>
      <c r="X24" s="84"/>
      <c r="Y24" s="132"/>
      <c r="Z24" s="117">
        <f>Февраль[[#This Row],[Дата]]</f>
        <v>43149</v>
      </c>
    </row>
    <row r="25" spans="1:26" x14ac:dyDescent="0.2">
      <c r="A25" s="32">
        <f>IFERROR(DATEVALUE((COUNT($A$6:A24)+1)&amp;$P$1&amp;$I$4),"")</f>
        <v>43150</v>
      </c>
      <c r="B25" s="110" t="s">
        <v>90</v>
      </c>
      <c r="C25" s="39">
        <f t="shared" ca="1" si="0"/>
        <v>0</v>
      </c>
      <c r="D25" s="72"/>
      <c r="E25" s="27">
        <f ca="1">IFERROR(Февраль[[#This Row],[Показание одометра машины на конец дня, км]]-Февраль[[#This Row],[Показание одометра машины на начало дня, км]]+T25,"")</f>
        <v>0</v>
      </c>
      <c r="F25" s="137" t="e">
        <f>IF(Февраль[[#This Row],[Дата]]="","",SUMPRODUCT([1]Февраль!$E$4:$E$153*([1]Февраль!$F$4:$F$153=$O$4)*([1]Февраль!$D$4:$D$153=Январь[[#This Row],[Дата]])))</f>
        <v>#REF!</v>
      </c>
      <c r="G25" s="39" t="str">
        <f ca="1">IF(Февраль[[#This Row],[Дата]]="","",M24)</f>
        <v/>
      </c>
      <c r="H25" s="39">
        <f t="shared" ca="1" si="1"/>
        <v>29559</v>
      </c>
      <c r="I25" s="56">
        <v>29561</v>
      </c>
      <c r="J25" s="39">
        <f ca="1">IFERROR(IF(W25="",Февраль[[#This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2</v>
      </c>
      <c r="K25" s="73"/>
      <c r="L25" s="40">
        <f ca="1">IF(Февраль[[#This Row],[Работа спецоборудования за день, м/ч]]="","",Февраль[[#This Row],[Работа спецоборудования за день, м/ч]]*$Z$2)</f>
        <v>36.300000000000004</v>
      </c>
      <c r="M25" s="61" t="str">
        <f ca="1">IFERROR(IF(VLOOKUP(Февраль[Дата],S$2:U$3,3),IFERROR(IF(U25="",Февраль[[#This Row],[Выдано топливо, литр]],Февраль[[#This Row],[Выдано топливо, литр]]+U25)+Февраль[[#This Row],[Остаток топлива в баке на начало дня, литр]]-Февраль[[#This Row],[Фактический расход топлива, литр]],""),""),"")</f>
        <v/>
      </c>
      <c r="N25" s="41">
        <f ca="1">IFERROR(ROUND((Февраль[[#This Row],[Пройдено за день, км]]*0.01*$Y$2+Февраль[[#This Row],[Расход топлива на работу спецоборудования, литр]]),3)+X25,"")</f>
        <v>36.299999999999997</v>
      </c>
      <c r="O25" s="40">
        <f ca="1">IF(Февраль[[#This Row],[Дата]]="","",IFERROR(ROUND(Февраль[[#This Row],[Расход топлива по норме, литр]]/VLOOKUP(Февраль[Дата],S$2:W$4,5),0)+Y25,))</f>
        <v>0</v>
      </c>
      <c r="P25" s="42">
        <f ca="1">IFERROR(Февраль[[#This Row],[Фактический расход топлива, литр]]-Февраль[[#This Row],[Расход топлива по норме, литр]],"")</f>
        <v>-36.299999999999997</v>
      </c>
      <c r="R25" s="117">
        <f>Февраль[[#This Row],[Дата]]</f>
        <v>43150</v>
      </c>
      <c r="S25" s="144"/>
      <c r="T25" s="84"/>
      <c r="U25" s="62">
        <v>210</v>
      </c>
      <c r="V25" s="145"/>
      <c r="W25" s="84"/>
      <c r="X25" s="84"/>
      <c r="Y25" s="132"/>
      <c r="Z25" s="117">
        <f>Февраль[[#This Row],[Дата]]</f>
        <v>43150</v>
      </c>
    </row>
    <row r="26" spans="1:26" x14ac:dyDescent="0.2">
      <c r="A26" s="32">
        <f>IFERROR(DATEVALUE((COUNT($A$6:A25)+1)&amp;$P$1&amp;$I$4),"")</f>
        <v>43151</v>
      </c>
      <c r="B26" s="110" t="s">
        <v>90</v>
      </c>
      <c r="C26" s="39">
        <f t="shared" ca="1" si="0"/>
        <v>0</v>
      </c>
      <c r="D26" s="72"/>
      <c r="E26" s="34">
        <f ca="1">IFERROR(Февраль[[#This Row],[Показание одометра машины на конец дня, км]]-Февраль[[#This Row],[Показание одометра машины на начало дня, км]]+T26,"")</f>
        <v>0</v>
      </c>
      <c r="F26" s="137" t="e">
        <f>IF(Февраль[[#This Row],[Дата]]="","",SUMPRODUCT([1]Февраль!$E$4:$E$153*([1]Февраль!$F$4:$F$153=$O$4)*([1]Февраль!$D$4:$D$153=Январь[[#This Row],[Дата]])))</f>
        <v>#REF!</v>
      </c>
      <c r="G26" s="33" t="str">
        <f ca="1">IF(Февраль[[#This Row],[Дата]]="","",M25)</f>
        <v/>
      </c>
      <c r="H26" s="39">
        <f t="shared" ca="1" si="1"/>
        <v>29561</v>
      </c>
      <c r="I26" s="56">
        <v>29561</v>
      </c>
      <c r="J26" s="33">
        <f ca="1">IFERROR(IF(W26="",Февраль[[#This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0</v>
      </c>
      <c r="K26" s="72"/>
      <c r="L26" s="35">
        <f ca="1">IF(Февраль[[#This Row],[Работа спецоборудования за день, м/ч]]="","",Февраль[[#This Row],[Работа спецоборудования за день, м/ч]]*$Z$2)</f>
        <v>0</v>
      </c>
      <c r="M26" s="60" t="str">
        <f ca="1">IFERROR(IF(VLOOKUP(Февраль[Дата],S$2:U$3,3),IFERROR(IF(U26="",Февраль[[#This Row],[Выдано топливо, литр]],Февраль[[#This Row],[Выдано топливо, литр]]+U26)+Февраль[[#This Row],[Остаток топлива в баке на начало дня, литр]]-Февраль[[#This Row],[Фактический расход топлива, литр]],""),""),"")</f>
        <v/>
      </c>
      <c r="N26" s="36">
        <f ca="1">IFERROR(ROUND((Февраль[[#This Row],[Пройдено за день, км]]*0.01*$Y$2+Февраль[[#This Row],[Расход топлива на работу спецоборудования, литр]]),3)+X26,"")</f>
        <v>0</v>
      </c>
      <c r="O26" s="35">
        <f ca="1">IF(Февраль[[#This Row],[Дата]]="","",IFERROR(ROUND(Февраль[[#This Row],[Расход топлива по норме, литр]]/VLOOKUP(Февраль[Дата],S$2:W$4,5),0)+Y26,))</f>
        <v>0</v>
      </c>
      <c r="P26" s="37">
        <f ca="1">IFERROR(Февраль[[#This Row],[Фактический расход топлива, литр]]-Февраль[[#This Row],[Расход топлива по норме, литр]],"")</f>
        <v>0</v>
      </c>
      <c r="R26" s="117">
        <f>Февраль[[#This Row],[Дата]]</f>
        <v>43151</v>
      </c>
      <c r="S26" s="144"/>
      <c r="T26" s="84"/>
      <c r="U26" s="62"/>
      <c r="V26" s="145"/>
      <c r="W26" s="84"/>
      <c r="X26" s="84"/>
      <c r="Y26" s="132"/>
      <c r="Z26" s="117">
        <f>Февраль[[#This Row],[Дата]]</f>
        <v>43151</v>
      </c>
    </row>
    <row r="27" spans="1:26" x14ac:dyDescent="0.2">
      <c r="A27" s="32">
        <f>IFERROR(DATEVALUE((COUNT($A$6:A26)+1)&amp;$P$1&amp;$I$4),"")</f>
        <v>43152</v>
      </c>
      <c r="B27" s="110" t="s">
        <v>90</v>
      </c>
      <c r="C27" s="39">
        <f t="shared" ca="1" si="0"/>
        <v>0</v>
      </c>
      <c r="D27" s="72"/>
      <c r="E27" s="34">
        <f ca="1">IFERROR(Февраль[[#This Row],[Показание одометра машины на конец дня, км]]-Февраль[[#This Row],[Показание одометра машины на начало дня, км]]+T27,"")</f>
        <v>0</v>
      </c>
      <c r="F27" s="137" t="e">
        <f>IF(Февраль[[#This Row],[Дата]]="","",SUMPRODUCT([1]Февраль!$E$4:$E$153*([1]Февраль!$F$4:$F$153=$O$4)*([1]Февраль!$D$4:$D$153=Январь[[#This Row],[Дата]])))</f>
        <v>#REF!</v>
      </c>
      <c r="G27" s="33" t="str">
        <f ca="1">IF(Февраль[[#This Row],[Дата]]="","",M26)</f>
        <v/>
      </c>
      <c r="H27" s="39">
        <f t="shared" ca="1" si="1"/>
        <v>29561</v>
      </c>
      <c r="I27" s="56">
        <v>29570</v>
      </c>
      <c r="J27" s="33">
        <f ca="1">IFERROR(IF(W27="",Февраль[[#This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9</v>
      </c>
      <c r="K27" s="72"/>
      <c r="L27" s="35">
        <f ca="1">IF(Февраль[[#This Row],[Работа спецоборудования за день, м/ч]]="","",Февраль[[#This Row],[Работа спецоборудования за день, м/ч]]*$Z$2)</f>
        <v>163.35000000000002</v>
      </c>
      <c r="M27" s="60" t="str">
        <f ca="1">IFERROR(IF(VLOOKUP(Февраль[Дата],S$2:U$3,3),IFERROR(IF(U27="",Февраль[[#This Row],[Выдано топливо, литр]],Февраль[[#This Row],[Выдано топливо, литр]]+U27)+Февраль[[#This Row],[Остаток топлива в баке на начало дня, литр]]-Февраль[[#This Row],[Фактический расход топлива, литр]],""),""),"")</f>
        <v/>
      </c>
      <c r="N27" s="36">
        <f ca="1">IFERROR(ROUND((Февраль[[#This Row],[Пройдено за день, км]]*0.01*$Y$2+Февраль[[#This Row],[Расход топлива на работу спецоборудования, литр]]),3)+X27,"")</f>
        <v>163.35</v>
      </c>
      <c r="O27" s="35">
        <f ca="1">IF(Февраль[[#This Row],[Дата]]="","",IFERROR(ROUND(Февраль[[#This Row],[Расход топлива по норме, литр]]/VLOOKUP(Февраль[Дата],S$2:W$4,5),0)+Y27,))</f>
        <v>0</v>
      </c>
      <c r="P27" s="37">
        <f ca="1">IFERROR(Февраль[[#This Row],[Фактический расход топлива, литр]]-Февраль[[#This Row],[Расход топлива по норме, литр]],"")</f>
        <v>-163.35</v>
      </c>
      <c r="R27" s="117">
        <f>Февраль[[#This Row],[Дата]]</f>
        <v>43152</v>
      </c>
      <c r="S27" s="144"/>
      <c r="T27" s="84"/>
      <c r="U27" s="62"/>
      <c r="V27" s="145"/>
      <c r="W27" s="84"/>
      <c r="X27" s="84"/>
      <c r="Y27" s="132"/>
      <c r="Z27" s="117">
        <f>Февраль[[#This Row],[Дата]]</f>
        <v>43152</v>
      </c>
    </row>
    <row r="28" spans="1:26" x14ac:dyDescent="0.2">
      <c r="A28" s="32">
        <f>IFERROR(DATEVALUE((COUNT($A$6:A27)+1)&amp;$P$1&amp;$I$4),"")</f>
        <v>43153</v>
      </c>
      <c r="B28" s="110" t="s">
        <v>90</v>
      </c>
      <c r="C28" s="39">
        <f t="shared" ca="1" si="0"/>
        <v>0</v>
      </c>
      <c r="D28" s="72"/>
      <c r="E28" s="34">
        <f ca="1">IFERROR(Февраль[[#This Row],[Показание одометра машины на конец дня, км]]-Февраль[[#This Row],[Показание одометра машины на начало дня, км]]+T28,"")</f>
        <v>0</v>
      </c>
      <c r="F28" s="137" t="e">
        <f>IF(Февраль[[#This Row],[Дата]]="","",SUMPRODUCT([1]Февраль!$E$4:$E$153*([1]Февраль!$F$4:$F$153=$O$4)*([1]Февраль!$D$4:$D$153=Январь[[#This Row],[Дата]])))</f>
        <v>#REF!</v>
      </c>
      <c r="G28" s="33" t="str">
        <f ca="1">IF(Февраль[[#This Row],[Дата]]="","",M27)</f>
        <v/>
      </c>
      <c r="H28" s="39">
        <f t="shared" ca="1" si="1"/>
        <v>29570</v>
      </c>
      <c r="I28" s="56">
        <v>29581</v>
      </c>
      <c r="J28" s="33">
        <f ca="1">IFERROR(IF(W28="",Февраль[[#This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11</v>
      </c>
      <c r="K28" s="72"/>
      <c r="L28" s="35">
        <f ca="1">IF(Февраль[[#This Row],[Работа спецоборудования за день, м/ч]]="","",Февраль[[#This Row],[Работа спецоборудования за день, м/ч]]*$Z$2)</f>
        <v>199.65000000000003</v>
      </c>
      <c r="M28" s="60" t="str">
        <f ca="1">IFERROR(IF(VLOOKUP(Февраль[Дата],S$2:U$3,3),IFERROR(IF(U28="",Февраль[[#This Row],[Выдано топливо, литр]],Февраль[[#This Row],[Выдано топливо, литр]]+U28)+Февраль[[#This Row],[Остаток топлива в баке на начало дня, литр]]-Февраль[[#This Row],[Фактический расход топлива, литр]],""),""),"")</f>
        <v/>
      </c>
      <c r="N28" s="36">
        <f ca="1">IFERROR(ROUND((Февраль[[#This Row],[Пройдено за день, км]]*0.01*$Y$2+Февраль[[#This Row],[Расход топлива на работу спецоборудования, литр]]),3)+X28,"")</f>
        <v>199.65</v>
      </c>
      <c r="O28" s="35">
        <f ca="1">IF(Февраль[[#This Row],[Дата]]="","",IFERROR(ROUND(Февраль[[#This Row],[Расход топлива по норме, литр]]/VLOOKUP(Февраль[Дата],S$2:W$4,5),0)+Y28,))</f>
        <v>0</v>
      </c>
      <c r="P28" s="37">
        <f ca="1">IFERROR(Февраль[[#This Row],[Фактический расход топлива, литр]]-Февраль[[#This Row],[Расход топлива по норме, литр]],"")</f>
        <v>-199.65</v>
      </c>
      <c r="R28" s="117">
        <f>Февраль[[#This Row],[Дата]]</f>
        <v>43153</v>
      </c>
      <c r="S28" s="144"/>
      <c r="T28" s="84"/>
      <c r="U28" s="62">
        <v>190</v>
      </c>
      <c r="V28" s="145"/>
      <c r="W28" s="84"/>
      <c r="X28" s="84"/>
      <c r="Y28" s="132"/>
      <c r="Z28" s="117">
        <f>Февраль[[#This Row],[Дата]]</f>
        <v>43153</v>
      </c>
    </row>
    <row r="29" spans="1:26" x14ac:dyDescent="0.2">
      <c r="A29" s="32">
        <f>IFERROR(DATEVALUE((COUNT($A$6:A28)+1)&amp;$P$1&amp;$I$4),"")</f>
        <v>43154</v>
      </c>
      <c r="B29" s="110" t="s">
        <v>90</v>
      </c>
      <c r="C29" s="39">
        <f t="shared" ca="1" si="0"/>
        <v>0</v>
      </c>
      <c r="D29" s="72"/>
      <c r="E29" s="34">
        <f ca="1">IFERROR(Февраль[[#This Row],[Показание одометра машины на конец дня, км]]-Февраль[[#This Row],[Показание одометра машины на начало дня, км]]+T29,"")</f>
        <v>0</v>
      </c>
      <c r="F29" s="137" t="e">
        <f>IF(Февраль[[#This Row],[Дата]]="","",SUMPRODUCT([1]Февраль!$E$4:$E$153*([1]Февраль!$F$4:$F$153=$O$4)*([1]Февраль!$D$4:$D$153=Январь[[#This Row],[Дата]])))</f>
        <v>#REF!</v>
      </c>
      <c r="G29" s="33" t="str">
        <f ca="1">IF(Февраль[[#This Row],[Дата]]="","",M28)</f>
        <v/>
      </c>
      <c r="H29" s="39">
        <f t="shared" ca="1" si="1"/>
        <v>29581</v>
      </c>
      <c r="I29" s="56">
        <v>29592</v>
      </c>
      <c r="J29" s="33">
        <f ca="1">IFERROR(IF(W29="",Февраль[[#This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11</v>
      </c>
      <c r="K29" s="72"/>
      <c r="L29" s="35">
        <f ca="1">IF(Февраль[[#This Row],[Работа спецоборудования за день, м/ч]]="","",Февраль[[#This Row],[Работа спецоборудования за день, м/ч]]*$Z$2)</f>
        <v>199.65000000000003</v>
      </c>
      <c r="M29" s="60" t="str">
        <f ca="1">IFERROR(IF(VLOOKUP(Февраль[Дата],S$2:U$3,3),IFERROR(IF(U29="",Февраль[[#This Row],[Выдано топливо, литр]],Февраль[[#This Row],[Выдано топливо, литр]]+U29)+Февраль[[#This Row],[Остаток топлива в баке на начало дня, литр]]-Февраль[[#This Row],[Фактический расход топлива, литр]],""),""),"")</f>
        <v/>
      </c>
      <c r="N29" s="36">
        <f ca="1">IFERROR(ROUND((Февраль[[#This Row],[Пройдено за день, км]]*0.01*$Y$2+Февраль[[#This Row],[Расход топлива на работу спецоборудования, литр]]),3)+X29,"")</f>
        <v>199.65</v>
      </c>
      <c r="O29" s="35">
        <f ca="1">IF(Февраль[[#This Row],[Дата]]="","",IFERROR(ROUND(Февраль[[#This Row],[Расход топлива по норме, литр]]/VLOOKUP(Февраль[Дата],S$2:W$4,5),0)+Y29,))</f>
        <v>0</v>
      </c>
      <c r="P29" s="37">
        <f ca="1">IFERROR(Февраль[[#This Row],[Фактический расход топлива, литр]]-Февраль[[#This Row],[Расход топлива по норме, литр]],"")</f>
        <v>-199.65</v>
      </c>
      <c r="R29" s="117">
        <f>Февраль[[#This Row],[Дата]]</f>
        <v>43154</v>
      </c>
      <c r="S29" s="144"/>
      <c r="T29" s="84"/>
      <c r="U29" s="62"/>
      <c r="V29" s="145"/>
      <c r="W29" s="84"/>
      <c r="X29" s="84"/>
      <c r="Y29" s="132"/>
      <c r="Z29" s="117">
        <f>Февраль[[#This Row],[Дата]]</f>
        <v>43154</v>
      </c>
    </row>
    <row r="30" spans="1:26" x14ac:dyDescent="0.2">
      <c r="A30" s="32">
        <f>IFERROR(DATEVALUE((COUNT($A$6:A29)+1)&amp;$P$1&amp;$I$4),"")</f>
        <v>43155</v>
      </c>
      <c r="B30" s="110" t="s">
        <v>90</v>
      </c>
      <c r="C30" s="39">
        <f t="shared" ca="1" si="0"/>
        <v>0</v>
      </c>
      <c r="D30" s="72"/>
      <c r="E30" s="34">
        <f ca="1">IFERROR(Февраль[[#This Row],[Показание одометра машины на конец дня, км]]-Февраль[[#This Row],[Показание одометра машины на начало дня, км]]+T30,"")</f>
        <v>0</v>
      </c>
      <c r="F30" s="137" t="e">
        <f>IF(Февраль[[#This Row],[Дата]]="","",SUMPRODUCT([1]Февраль!$E$4:$E$153*([1]Февраль!$F$4:$F$153=$O$4)*([1]Февраль!$D$4:$D$153=Январь[[#This Row],[Дата]])))</f>
        <v>#REF!</v>
      </c>
      <c r="G30" s="33" t="str">
        <f ca="1">IF(Февраль[[#This Row],[Дата]]="","",M29)</f>
        <v/>
      </c>
      <c r="H30" s="39">
        <f t="shared" ca="1" si="1"/>
        <v>29592</v>
      </c>
      <c r="I30" s="56">
        <v>29604</v>
      </c>
      <c r="J30" s="33">
        <f ca="1">IFERROR(IF(W30="",Февраль[[#This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12</v>
      </c>
      <c r="K30" s="72"/>
      <c r="L30" s="35">
        <f ca="1">IF(Февраль[[#This Row],[Работа спецоборудования за день, м/ч]]="","",Февраль[[#This Row],[Работа спецоборудования за день, м/ч]]*$Z$2)</f>
        <v>217.8</v>
      </c>
      <c r="M30" s="60" t="str">
        <f ca="1">IFERROR(IF(VLOOKUP(Февраль[Дата],S$2:U$3,3),IFERROR(IF(U30="",Февраль[[#This Row],[Выдано топливо, литр]],Февраль[[#This Row],[Выдано топливо, литр]]+U30)+Февраль[[#This Row],[Остаток топлива в баке на начало дня, литр]]-Февраль[[#This Row],[Фактический расход топлива, литр]],""),""),"")</f>
        <v/>
      </c>
      <c r="N30" s="36">
        <f ca="1">IFERROR(ROUND((Февраль[[#This Row],[Пройдено за день, км]]*0.01*$Y$2+Февраль[[#This Row],[Расход топлива на работу спецоборудования, литр]]),3)+X30,"")</f>
        <v>217.8</v>
      </c>
      <c r="O30" s="35">
        <f ca="1">IF(Февраль[[#This Row],[Дата]]="","",IFERROR(ROUND(Февраль[[#This Row],[Расход топлива по норме, литр]]/VLOOKUP(Февраль[Дата],S$2:W$4,5),0)+Y30,))</f>
        <v>0</v>
      </c>
      <c r="P30" s="37">
        <f ca="1">IFERROR(Февраль[[#This Row],[Фактический расход топлива, литр]]-Февраль[[#This Row],[Расход топлива по норме, литр]],"")</f>
        <v>-217.8</v>
      </c>
      <c r="R30" s="117">
        <f>Февраль[[#This Row],[Дата]]</f>
        <v>43155</v>
      </c>
      <c r="S30" s="144"/>
      <c r="T30" s="84"/>
      <c r="U30" s="62">
        <v>240</v>
      </c>
      <c r="V30" s="145"/>
      <c r="W30" s="84"/>
      <c r="X30" s="84"/>
      <c r="Y30" s="132"/>
      <c r="Z30" s="117">
        <f>Февраль[[#This Row],[Дата]]</f>
        <v>43155</v>
      </c>
    </row>
    <row r="31" spans="1:26" x14ac:dyDescent="0.2">
      <c r="A31" s="32">
        <f>IFERROR(DATEVALUE((COUNT($A$6:A30)+1)&amp;$P$1&amp;$I$4),"")</f>
        <v>43156</v>
      </c>
      <c r="B31" s="110" t="s">
        <v>90</v>
      </c>
      <c r="C31" s="39">
        <f t="shared" ca="1" si="0"/>
        <v>0</v>
      </c>
      <c r="D31" s="72"/>
      <c r="E31" s="34">
        <f ca="1">IFERROR(Февраль[[#This Row],[Показание одометра машины на конец дня, км]]-Февраль[[#This Row],[Показание одометра машины на начало дня, км]]+T31,"")</f>
        <v>0</v>
      </c>
      <c r="F31" s="137" t="e">
        <f>IF(Февраль[[#This Row],[Дата]]="","",SUMPRODUCT([1]Февраль!$E$4:$E$153*([1]Февраль!$F$4:$F$153=$O$4)*([1]Февраль!$D$4:$D$153=Январь[[#This Row],[Дата]])))</f>
        <v>#REF!</v>
      </c>
      <c r="G31" s="33" t="str">
        <f ca="1">IF(Февраль[[#This Row],[Дата]]="","",M30)</f>
        <v/>
      </c>
      <c r="H31" s="39">
        <f t="shared" ca="1" si="1"/>
        <v>29604</v>
      </c>
      <c r="I31" s="56">
        <v>29621</v>
      </c>
      <c r="J31" s="33">
        <f ca="1">IFERROR(IF(W31="",Февраль[[#This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17</v>
      </c>
      <c r="K31" s="72"/>
      <c r="L31" s="35">
        <f ca="1">IF(Февраль[[#This Row],[Работа спецоборудования за день, м/ч]]="","",Февраль[[#This Row],[Работа спецоборудования за день, м/ч]]*$Z$2)</f>
        <v>308.55</v>
      </c>
      <c r="M31" s="60" t="str">
        <f ca="1">IFERROR(IF(VLOOKUP(Февраль[Дата],S$2:U$3,3),IFERROR(IF(U31="",Февраль[[#This Row],[Выдано топливо, литр]],Февраль[[#This Row],[Выдано топливо, литр]]+U31)+Февраль[[#This Row],[Остаток топлива в баке на начало дня, литр]]-Февраль[[#This Row],[Фактический расход топлива, литр]],""),""),"")</f>
        <v/>
      </c>
      <c r="N31" s="36">
        <f ca="1">IFERROR(ROUND((Февраль[[#This Row],[Пройдено за день, км]]*0.01*$Y$2+Февраль[[#This Row],[Расход топлива на работу спецоборудования, литр]]),3)+X31,"")</f>
        <v>308.55</v>
      </c>
      <c r="O31" s="35">
        <f ca="1">IF(Февраль[[#This Row],[Дата]]="","",IFERROR(ROUND(Февраль[[#This Row],[Расход топлива по норме, литр]]/VLOOKUP(Февраль[Дата],S$2:W$4,5),0)+Y31,))</f>
        <v>0</v>
      </c>
      <c r="P31" s="37">
        <f ca="1">IFERROR(Февраль[[#This Row],[Фактический расход топлива, литр]]-Февраль[[#This Row],[Расход топлива по норме, литр]],"")</f>
        <v>-308.55</v>
      </c>
      <c r="R31" s="117">
        <f>Февраль[[#This Row],[Дата]]</f>
        <v>43156</v>
      </c>
      <c r="S31" s="144"/>
      <c r="T31" s="84"/>
      <c r="U31" s="62">
        <v>230</v>
      </c>
      <c r="V31" s="145"/>
      <c r="W31" s="84"/>
      <c r="X31" s="84"/>
      <c r="Y31" s="132"/>
      <c r="Z31" s="117">
        <f>Февраль[[#This Row],[Дата]]</f>
        <v>43156</v>
      </c>
    </row>
    <row r="32" spans="1:26" x14ac:dyDescent="0.2">
      <c r="A32" s="32">
        <f>IFERROR(DATEVALUE((COUNT($A$6:A31)+1)&amp;$P$1&amp;$I$4),"")</f>
        <v>43157</v>
      </c>
      <c r="B32" s="110" t="s">
        <v>90</v>
      </c>
      <c r="C32" s="39">
        <f t="shared" ca="1" si="0"/>
        <v>0</v>
      </c>
      <c r="D32" s="72"/>
      <c r="E32" s="34">
        <f ca="1">IFERROR(Февраль[[#This Row],[Показание одометра машины на конец дня, км]]-Февраль[[#This Row],[Показание одометра машины на начало дня, км]]+T32,"")</f>
        <v>0</v>
      </c>
      <c r="F32" s="137" t="e">
        <f>IF(Февраль[[#This Row],[Дата]]="","",SUMPRODUCT([1]Февраль!$E$4:$E$153*([1]Февраль!$F$4:$F$153=$O$4)*([1]Февраль!$D$4:$D$153=Январь[[#This Row],[Дата]])))</f>
        <v>#REF!</v>
      </c>
      <c r="G32" s="33" t="str">
        <f ca="1">IF(Февраль[[#This Row],[Дата]]="","",M31)</f>
        <v/>
      </c>
      <c r="H32" s="39">
        <f t="shared" ca="1" si="1"/>
        <v>29621</v>
      </c>
      <c r="I32" s="56">
        <v>29633</v>
      </c>
      <c r="J32" s="33">
        <f ca="1">IFERROR(IF(W32="",Февраль[[#This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12</v>
      </c>
      <c r="K32" s="72"/>
      <c r="L32" s="35">
        <f ca="1">IF(Февраль[[#This Row],[Работа спецоборудования за день, м/ч]]="","",Февраль[[#This Row],[Работа спецоборудования за день, м/ч]]*$Z$2)</f>
        <v>217.8</v>
      </c>
      <c r="M32" s="60" t="str">
        <f ca="1">IFERROR(IF(VLOOKUP(Февраль[Дата],S$2:U$3,3),IFERROR(IF(U32="",Февраль[[#This Row],[Выдано топливо, литр]],Февраль[[#This Row],[Выдано топливо, литр]]+U32)+Февраль[[#This Row],[Остаток топлива в баке на начало дня, литр]]-Февраль[[#This Row],[Фактический расход топлива, литр]],""),""),"")</f>
        <v/>
      </c>
      <c r="N32" s="36">
        <f ca="1">IFERROR(ROUND((Февраль[[#This Row],[Пройдено за день, км]]*0.01*$Y$2+Февраль[[#This Row],[Расход топлива на работу спецоборудования, литр]]),3)+X32,"")</f>
        <v>217.8</v>
      </c>
      <c r="O32" s="35">
        <f ca="1">IF(Февраль[[#This Row],[Дата]]="","",IFERROR(ROUND(Февраль[[#This Row],[Расход топлива по норме, литр]]/VLOOKUP(Февраль[Дата],S$2:W$4,5),0)+Y32,))</f>
        <v>0</v>
      </c>
      <c r="P32" s="37">
        <f ca="1">IFERROR(Февраль[[#This Row],[Фактический расход топлива, литр]]-Февраль[[#This Row],[Расход топлива по норме, литр]],"")</f>
        <v>-217.8</v>
      </c>
      <c r="R32" s="117">
        <f>Февраль[[#This Row],[Дата]]</f>
        <v>43157</v>
      </c>
      <c r="S32" s="144"/>
      <c r="T32" s="84"/>
      <c r="U32" s="62">
        <v>290</v>
      </c>
      <c r="V32" s="145"/>
      <c r="W32" s="84"/>
      <c r="X32" s="84"/>
      <c r="Y32" s="132"/>
      <c r="Z32" s="117">
        <f>Февраль[[#This Row],[Дата]]</f>
        <v>43157</v>
      </c>
    </row>
    <row r="33" spans="1:26" x14ac:dyDescent="0.2">
      <c r="A33" s="32">
        <f>IFERROR(DATEVALUE((COUNT($A$6:A32)+1)&amp;$P$1&amp;$I$4),"")</f>
        <v>43158</v>
      </c>
      <c r="B33" s="110" t="s">
        <v>90</v>
      </c>
      <c r="C33" s="39">
        <f t="shared" ca="1" si="0"/>
        <v>0</v>
      </c>
      <c r="D33" s="72"/>
      <c r="E33" s="34">
        <f ca="1">IFERROR(Февраль[[#This Row],[Показание одометра машины на конец дня, км]]-Февраль[[#This Row],[Показание одометра машины на начало дня, км]]+T33,"")</f>
        <v>0</v>
      </c>
      <c r="F33" s="137" t="e">
        <f>IF(Февраль[[#This Row],[Дата]]="","",SUMPRODUCT([1]Февраль!$E$4:$E$153*([1]Февраль!$F$4:$F$153=$O$4)*([1]Февраль!$D$4:$D$153=Январь[[#This Row],[Дата]])))</f>
        <v>#REF!</v>
      </c>
      <c r="G33" s="33" t="str">
        <f ca="1">IF(Февраль[[#This Row],[Дата]]="","",M32)</f>
        <v/>
      </c>
      <c r="H33" s="39">
        <f t="shared" ca="1" si="1"/>
        <v>29633</v>
      </c>
      <c r="I33" s="56">
        <v>29648</v>
      </c>
      <c r="J33" s="33">
        <f ca="1">IFERROR(IF(W33="",Февраль[[#This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15</v>
      </c>
      <c r="K33" s="72"/>
      <c r="L33" s="35">
        <f ca="1">IF(Февраль[[#This Row],[Работа спецоборудования за день, м/ч]]="","",Февраль[[#This Row],[Работа спецоборудования за день, м/ч]]*$Z$2)</f>
        <v>272.25000000000006</v>
      </c>
      <c r="M33" s="60" t="str">
        <f ca="1">IFERROR(IF(VLOOKUP(Февраль[Дата],S$2:U$3,3),IFERROR(IF(U33="",Февраль[[#This Row],[Выдано топливо, литр]],Февраль[[#This Row],[Выдано топливо, литр]]+U33)+Февраль[[#This Row],[Остаток топлива в баке на начало дня, литр]]-Февраль[[#This Row],[Фактический расход топлива, литр]],""),""),"")</f>
        <v/>
      </c>
      <c r="N33" s="36">
        <f ca="1">IFERROR(ROUND((Февраль[[#This Row],[Пройдено за день, км]]*0.01*$Y$2+Февраль[[#This Row],[Расход топлива на работу спецоборудования, литр]]),3)+X33,"")</f>
        <v>272.25</v>
      </c>
      <c r="O33" s="35">
        <f ca="1">IF(Февраль[[#This Row],[Дата]]="","",IFERROR(ROUND(Февраль[[#This Row],[Расход топлива по норме, литр]]/VLOOKUP(Февраль[Дата],S$2:W$4,5),0)+Y33,))</f>
        <v>0</v>
      </c>
      <c r="P33" s="37">
        <f ca="1">IFERROR(Февраль[[#This Row],[Фактический расход топлива, литр]]-Февраль[[#This Row],[Расход топлива по норме, литр]],"")</f>
        <v>-272.25</v>
      </c>
      <c r="R33" s="117">
        <f>Февраль[[#This Row],[Дата]]</f>
        <v>43158</v>
      </c>
      <c r="S33" s="144"/>
      <c r="T33" s="84"/>
      <c r="U33" s="62">
        <v>210</v>
      </c>
      <c r="V33" s="145"/>
      <c r="W33" s="84"/>
      <c r="X33" s="84"/>
      <c r="Y33" s="132"/>
      <c r="Z33" s="117">
        <f>Февраль[[#This Row],[Дата]]</f>
        <v>43158</v>
      </c>
    </row>
    <row r="34" spans="1:26" x14ac:dyDescent="0.2">
      <c r="A34" s="32">
        <f>IFERROR(DATEVALUE((COUNT($A$6:A33)+1)&amp;$P$1&amp;$I$4),"")</f>
        <v>43159</v>
      </c>
      <c r="B34" s="110" t="s">
        <v>90</v>
      </c>
      <c r="C34" s="39">
        <f t="shared" ca="1" si="0"/>
        <v>0</v>
      </c>
      <c r="D34" s="72"/>
      <c r="E34" s="34">
        <f ca="1">IFERROR(Февраль[[#This Row],[Показание одометра машины на конец дня, км]]-Февраль[[#This Row],[Показание одометра машины на начало дня, км]]+T34,"")</f>
        <v>0</v>
      </c>
      <c r="F34" s="137" t="e">
        <f>IF(Февраль[[#This Row],[Дата]]="","",SUMPRODUCT([1]Февраль!$E$4:$E$153*([1]Февраль!$F$4:$F$153=$O$4)*([1]Февраль!$D$4:$D$153=Январь[[#This Row],[Дата]])))</f>
        <v>#REF!</v>
      </c>
      <c r="G34" s="33" t="str">
        <f ca="1">IF(Февраль[[#This Row],[Дата]]="","",M33)</f>
        <v/>
      </c>
      <c r="H34" s="39">
        <f t="shared" ca="1" si="1"/>
        <v>29648</v>
      </c>
      <c r="I34" s="56">
        <v>29668</v>
      </c>
      <c r="J34" s="33">
        <f ca="1">IFERROR(IF(W34="",Февраль[[#This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>20</v>
      </c>
      <c r="K34" s="72"/>
      <c r="L34" s="35">
        <f ca="1">IF(Февраль[[#This Row],[Работа спецоборудования за день, м/ч]]="","",Февраль[[#This Row],[Работа спецоборудования за день, м/ч]]*$Z$2)</f>
        <v>363.00000000000006</v>
      </c>
      <c r="M34" s="60" t="str">
        <f ca="1">IFERROR(IF(VLOOKUP(Февраль[Дата],S$2:U$3,3),IFERROR(IF(U34="",Февраль[[#This Row],[Выдано топливо, литр]],Февраль[[#This Row],[Выдано топливо, литр]]+U34)+Февраль[[#This Row],[Остаток топлива в баке на начало дня, литр]]-Февраль[[#This Row],[Фактический расход топлива, литр]],""),""),"")</f>
        <v/>
      </c>
      <c r="N34" s="36">
        <f ca="1">IFERROR(ROUND((Февраль[[#This Row],[Пройдено за день, км]]*0.01*$Y$2+Февраль[[#This Row],[Расход топлива на работу спецоборудования, литр]]),3)+X34,"")</f>
        <v>363</v>
      </c>
      <c r="O34" s="35">
        <f ca="1">IF(Февраль[[#This Row],[Дата]]="","",IFERROR(ROUND(Февраль[[#This Row],[Расход топлива по норме, литр]]/VLOOKUP(Февраль[Дата],S$2:W$4,5),0)+Y34,))</f>
        <v>0</v>
      </c>
      <c r="P34" s="37">
        <f ca="1">IFERROR(Февраль[[#This Row],[Фактический расход топлива, литр]]-Февраль[[#This Row],[Расход топлива по норме, литр]],"")</f>
        <v>-363</v>
      </c>
      <c r="R34" s="117">
        <f>Февраль[[#This Row],[Дата]]</f>
        <v>43159</v>
      </c>
      <c r="S34" s="144"/>
      <c r="T34" s="84"/>
      <c r="U34" s="62">
        <v>270</v>
      </c>
      <c r="V34" s="145"/>
      <c r="W34" s="84"/>
      <c r="X34" s="84"/>
      <c r="Y34" s="132"/>
      <c r="Z34" s="117">
        <f>Февраль[[#This Row],[Дата]]</f>
        <v>43159</v>
      </c>
    </row>
    <row r="35" spans="1:26" x14ac:dyDescent="0.2">
      <c r="A35" s="32" t="str">
        <f>IFERROR(DATEVALUE((COUNT($A$6:A34)+1)&amp;$P$1&amp;$I$4),"")</f>
        <v/>
      </c>
      <c r="B35" s="110"/>
      <c r="C35" s="39" t="str">
        <f t="shared" ca="1" si="0"/>
        <v/>
      </c>
      <c r="D35" s="72"/>
      <c r="E35" s="34" t="str">
        <f ca="1">IFERROR(Февраль[[#This Row],[Показание одометра машины на конец дня, км]]-Февраль[[#This Row],[Показание одометра машины на начало дня, км]]+T35,"")</f>
        <v/>
      </c>
      <c r="F35" s="137" t="str">
        <f>IF(Февраль[[#This Row],[Дата]]="","",SUMPRODUCT([1]Февраль!$E$4:$E$153*([1]Февраль!$F$4:$F$153=$O$4)*([1]Февраль!$D$4:$D$153=Январь[[#This Row],[Дата]])))</f>
        <v/>
      </c>
      <c r="G35" s="33" t="str">
        <f>IF(Февраль[[#This Row],[Дата]]="","",M34)</f>
        <v/>
      </c>
      <c r="H35" s="39" t="str">
        <f t="shared" ca="1" si="1"/>
        <v/>
      </c>
      <c r="I35" s="56"/>
      <c r="J35" s="33" t="str">
        <f ca="1">IFERROR(IF(W35="",Февраль[[#This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/>
      </c>
      <c r="K35" s="72"/>
      <c r="L35" s="35" t="str">
        <f ca="1">IF(Февраль[[#This Row],[Работа спецоборудования за день, м/ч]]="","",Февраль[[#This Row],[Работа спецоборудования за день, м/ч]]*$Z$2)</f>
        <v/>
      </c>
      <c r="M35" s="60" t="str">
        <f ca="1">IFERROR(IF(VLOOKUP(Февраль[Дата],S$2:U$3,3),IFERROR(IF(U35="",Февраль[[#This Row],[Выдано топливо, литр]],Февраль[[#This Row],[Выдано топливо, литр]]+U35)+Февраль[[#This Row],[Остаток топлива в баке на начало дня, литр]]-Февраль[[#This Row],[Фактический расход топлива, литр]],""),""),"")</f>
        <v/>
      </c>
      <c r="N35" s="36" t="str">
        <f ca="1">IFERROR(ROUND((Февраль[[#This Row],[Пройдено за день, км]]*0.01*$Y$2+Февраль[[#This Row],[Расход топлива на работу спецоборудования, литр]]),3)+X35,"")</f>
        <v/>
      </c>
      <c r="O35" s="35" t="str">
        <f>IF(Февраль[[#This Row],[Дата]]="","",IFERROR(ROUND(Февраль[[#This Row],[Расход топлива по норме, литр]]/VLOOKUP(Февраль[Дата],S$2:W$4,5),0)+Y35,))</f>
        <v/>
      </c>
      <c r="P35" s="37" t="str">
        <f ca="1">IFERROR(Февраль[[#This Row],[Фактический расход топлива, литр]]-Февраль[[#This Row],[Расход топлива по норме, литр]],"")</f>
        <v/>
      </c>
      <c r="R35" s="117" t="str">
        <f>Февраль[[#This Row],[Дата]]</f>
        <v/>
      </c>
      <c r="S35" s="144"/>
      <c r="T35" s="84"/>
      <c r="U35" s="62"/>
      <c r="V35" s="145"/>
      <c r="W35" s="84"/>
      <c r="X35" s="84"/>
      <c r="Y35" s="132"/>
      <c r="Z35" s="117" t="str">
        <f>Февраль[[#This Row],[Дата]]</f>
        <v/>
      </c>
    </row>
    <row r="36" spans="1:26" x14ac:dyDescent="0.2">
      <c r="A36" s="32" t="str">
        <f>IFERROR(DATEVALUE((COUNT($A$6:A35)+1)&amp;$P$1&amp;$I$4),"")</f>
        <v/>
      </c>
      <c r="B36" s="110"/>
      <c r="C36" s="39" t="str">
        <f t="shared" ca="1" si="0"/>
        <v/>
      </c>
      <c r="D36" s="72"/>
      <c r="E36" s="34" t="str">
        <f ca="1">IFERROR(Февраль[[#This Row],[Показание одометра машины на конец дня, км]]-Февраль[[#This Row],[Показание одометра машины на начало дня, км]]+T36,"")</f>
        <v/>
      </c>
      <c r="F36" s="137" t="str">
        <f>IF(Февраль[[#This Row],[Дата]]="","",SUMPRODUCT([1]Февраль!$E$4:$E$153*([1]Февраль!$F$4:$F$153=$O$4)*([1]Февраль!$D$4:$D$153=Январь[[#This Row],[Дата]])))</f>
        <v/>
      </c>
      <c r="G36" s="33" t="str">
        <f>IF(Февраль[[#This Row],[Дата]]="","",M35)</f>
        <v/>
      </c>
      <c r="H36" s="39" t="str">
        <f t="shared" ca="1" si="1"/>
        <v/>
      </c>
      <c r="I36" s="56"/>
      <c r="J36" s="33" t="str">
        <f ca="1">IFERROR(IF(W36="",Февраль[[#This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/>
      </c>
      <c r="K36" s="72"/>
      <c r="L36" s="35" t="str">
        <f ca="1">IF(Февраль[[#This Row],[Работа спецоборудования за день, м/ч]]="","",Февраль[[#This Row],[Работа спецоборудования за день, м/ч]]*$Z$2)</f>
        <v/>
      </c>
      <c r="M36" s="60" t="str">
        <f ca="1">IFERROR(IF(VLOOKUP(Февраль[Дата],S$2:U$3,3),IFERROR(IF(U36="",Февраль[[#This Row],[Выдано топливо, литр]],Февраль[[#This Row],[Выдано топливо, литр]]+U36)+Февраль[[#This Row],[Остаток топлива в баке на начало дня, литр]]-Февраль[[#This Row],[Фактический расход топлива, литр]],""),""),"")</f>
        <v/>
      </c>
      <c r="N36" s="36" t="str">
        <f ca="1">IFERROR(ROUND((Февраль[[#This Row],[Пройдено за день, км]]*0.01*$Y$2+Февраль[[#This Row],[Расход топлива на работу спецоборудования, литр]]),3)+X36,"")</f>
        <v/>
      </c>
      <c r="O36" s="35" t="str">
        <f>IF(Февраль[[#This Row],[Дата]]="","",IFERROR(ROUND(Февраль[[#This Row],[Расход топлива по норме, литр]]/VLOOKUP(Февраль[Дата],S$2:W$4,5),0)+Y36,))</f>
        <v/>
      </c>
      <c r="P36" s="37" t="str">
        <f ca="1">IFERROR(Февраль[[#This Row],[Фактический расход топлива, литр]]-Февраль[[#This Row],[Расход топлива по норме, литр]],"")</f>
        <v/>
      </c>
      <c r="R36" s="117" t="str">
        <f>Февраль[[#This Row],[Дата]]</f>
        <v/>
      </c>
      <c r="S36" s="144"/>
      <c r="T36" s="84"/>
      <c r="U36" s="62"/>
      <c r="V36" s="145"/>
      <c r="W36" s="84"/>
      <c r="X36" s="84"/>
      <c r="Y36" s="132"/>
      <c r="Z36" s="117" t="str">
        <f>Февраль[[#This Row],[Дата]]</f>
        <v/>
      </c>
    </row>
    <row r="37" spans="1:26" ht="13.5" thickBot="1" x14ac:dyDescent="0.25">
      <c r="A37" s="32" t="str">
        <f>IFERROR(DATEVALUE((COUNT($A$6:A36)+1)&amp;$P$1&amp;$I$4),"")</f>
        <v/>
      </c>
      <c r="B37" s="110"/>
      <c r="C37" s="39" t="str">
        <f t="shared" ca="1" si="0"/>
        <v/>
      </c>
      <c r="D37" s="72"/>
      <c r="E37" s="34" t="str">
        <f ca="1">IFERROR(Февраль[[#This Row],[Показание одометра машины на конец дня, км]]-Февраль[[#This Row],[Показание одометра машины на начало дня, км]]+T37,"")</f>
        <v/>
      </c>
      <c r="F37" s="137" t="str">
        <f>IF(Февраль[[#This Row],[Дата]]="","",SUMPRODUCT([1]Февраль!$E$4:$E$153*([1]Февраль!$F$4:$F$153=$O$4)*([1]Февраль!$D$4:$D$153=Январь[[#This Row],[Дата]])))</f>
        <v/>
      </c>
      <c r="G37" s="33" t="str">
        <f>IF(Февраль[[#This Row],[Дата]]="","",M36)</f>
        <v/>
      </c>
      <c r="H37" s="39" t="str">
        <f t="shared" ca="1" si="1"/>
        <v/>
      </c>
      <c r="I37" s="56"/>
      <c r="J37" s="33" t="str">
        <f ca="1">IFERROR(IF(W37="",Февраль[[#This Row],[Показание счетчика моточасов  спецоборудования на конец дня, м/ч]],Февраль[[#This Row],[Показание счетчика моточасов  спецоборудования на конец дня, м/ч]]+1)-Февраль[[#This Row],[Показание счетчика моточасов спецоборудования на начало дня, м/ч]],"")</f>
        <v/>
      </c>
      <c r="K37" s="72"/>
      <c r="L37" s="35" t="str">
        <f ca="1">IF(Февраль[[#This Row],[Работа спецоборудования за день, м/ч]]="","",Февраль[[#This Row],[Работа спецоборудования за день, м/ч]]*$Z$2)</f>
        <v/>
      </c>
      <c r="M37" s="60" t="str">
        <f ca="1">IFERROR(IF(VLOOKUP(Февраль[Дата],S$2:U$3,3),IFERROR(IF(U37="",Февраль[[#This Row],[Выдано топливо, литр]],Февраль[[#This Row],[Выдано топливо, литр]]+U37)+Февраль[[#This Row],[Остаток топлива в баке на начало дня, литр]]-Февраль[[#This Row],[Фактический расход топлива, литр]],""),""),"")</f>
        <v/>
      </c>
      <c r="N37" s="36" t="str">
        <f ca="1">IFERROR(ROUND((Февраль[[#This Row],[Пройдено за день, км]]*0.01*$Y$2+Февраль[[#This Row],[Расход топлива на работу спецоборудования, литр]]),3)+X37,"")</f>
        <v/>
      </c>
      <c r="O37" s="35" t="str">
        <f>IF(Февраль[[#This Row],[Дата]]="","",IFERROR(ROUND(Февраль[[#This Row],[Расход топлива по норме, литр]]/VLOOKUP(Февраль[Дата],S$2:W$4,5),0)+Y37,))</f>
        <v/>
      </c>
      <c r="P37" s="37" t="str">
        <f ca="1">IFERROR(Февраль[[#This Row],[Фактический расход топлива, литр]]-Февраль[[#This Row],[Расход топлива по норме, литр]],"")</f>
        <v/>
      </c>
      <c r="R37" s="125" t="str">
        <f>Февраль[[#This Row],[Дата]]</f>
        <v/>
      </c>
      <c r="S37" s="146"/>
      <c r="T37" s="121"/>
      <c r="U37" s="122"/>
      <c r="V37" s="147"/>
      <c r="W37" s="121"/>
      <c r="X37" s="121"/>
      <c r="Y37" s="134"/>
      <c r="Z37" s="125" t="str">
        <f>Февраль[[#This Row],[Дата]]</f>
        <v/>
      </c>
    </row>
    <row r="38" spans="1:26" ht="16.5" thickBot="1" x14ac:dyDescent="0.25">
      <c r="A38" s="43" t="s">
        <v>52</v>
      </c>
      <c r="B38" s="44"/>
      <c r="C38" s="45"/>
      <c r="D38" s="46"/>
      <c r="E38" s="47">
        <f ca="1">SUBTOTAL(109,Февраль[Пройдено за день, км])</f>
        <v>0</v>
      </c>
      <c r="F38" s="47" t="e">
        <f>SUBTOTAL(109,Февраль[Выдано топливо, литр])</f>
        <v>#REF!</v>
      </c>
      <c r="G38" s="48"/>
      <c r="H38" s="48"/>
      <c r="I38" s="49"/>
      <c r="J38" s="47">
        <f ca="1">SUBTOTAL(109,Февраль[Работа спецоборудования за день, м/ч])</f>
        <v>259</v>
      </c>
      <c r="K38" s="50">
        <f>SUBTOTAL(109,Февраль[Количество ходок])</f>
        <v>0</v>
      </c>
      <c r="L38" s="51">
        <f ca="1">SUBTOTAL(109,Февраль[Расход топлива на работу спецоборудования, литр])</f>
        <v>4700.8500000000013</v>
      </c>
      <c r="M38" s="48"/>
      <c r="N38" s="51">
        <f ca="1">SUBTOTAL(109,Февраль[Расход топлива по норме, литр])</f>
        <v>4700.8500000000004</v>
      </c>
      <c r="O38" s="47">
        <f ca="1">SUBTOTAL(109,Февраль[Фактический расход топлива, литр])</f>
        <v>0</v>
      </c>
      <c r="P38" s="52">
        <f ca="1">SUBTOTAL(109,Февраль[Отклонение от нормы (Перерасход(+), экономия(-)), литр])</f>
        <v>-4700.8500000000004</v>
      </c>
      <c r="R38" s="126" t="s">
        <v>74</v>
      </c>
      <c r="S38" s="128" t="e">
        <f ca="1">SUMIFS(S$7:S$37,INDIRECT("Февраль[Дата]"),"&gt;="&amp;$S$2,INDIRECT("Февраль[Дата]"),"&lt;="&amp;$T$2)+IF(MONTH($T$2)&lt;&gt;MONTH($S$2),INDIRECT(TEXT($A$7-1,"ММММ")&amp;"!F38")-SUM(INDIRECT(TEXT($A$7-1,"ММММ")&amp;"!V1:V2")))</f>
        <v>#VALUE!</v>
      </c>
      <c r="T38" s="128" t="e">
        <f t="shared" ref="T38:Y38" ca="1" si="2">SUMIFS(T$7:T$37,INDIRECT("Февраль[Дата]"),"&gt;="&amp;$S$2,INDIRECT("Февраль[Дата]"),"&lt;="&amp;$T$2)+IF(MONTH($T$2)&lt;&gt;MONTH($S$2),INDIRECT(TEXT($A$7-1,"ММММ")&amp;"!F38")-SUM(INDIRECT(TEXT($A$7-1,"ММММ")&amp;"!V1:V2")))</f>
        <v>#VALUE!</v>
      </c>
      <c r="U38" s="128" t="e">
        <f t="shared" ca="1" si="2"/>
        <v>#VALUE!</v>
      </c>
      <c r="V38" s="128" t="e">
        <f t="shared" ca="1" si="2"/>
        <v>#VALUE!</v>
      </c>
      <c r="W38" s="128" t="e">
        <f t="shared" ca="1" si="2"/>
        <v>#VALUE!</v>
      </c>
      <c r="X38" s="128" t="e">
        <f t="shared" ca="1" si="2"/>
        <v>#VALUE!</v>
      </c>
      <c r="Y38" s="128" t="e">
        <f t="shared" ca="1" si="2"/>
        <v>#VALUE!</v>
      </c>
      <c r="Z38" s="126" t="s">
        <v>74</v>
      </c>
    </row>
    <row r="39" spans="1:26" ht="16.5" thickBo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135">
        <f ca="1">SUMIFS(K7:K37,A7:A37,"&gt;="&amp;$S$2,A7:A37,"&lt;="&amp;$T$2)</f>
        <v>0</v>
      </c>
      <c r="L39" s="53"/>
      <c r="M39" s="54"/>
      <c r="N39" s="53"/>
      <c r="O39" s="53"/>
      <c r="P39" s="53"/>
      <c r="R39" s="127" t="s">
        <v>75</v>
      </c>
      <c r="S39" s="129">
        <f ca="1">SUMIFS(S$7:S$37,INDIRECT("Февраль[Дата]"),"&gt;="&amp;$S$3,INDIRECT("Февраль[Дата]"),"&lt;="&amp;$T$3)+IF(MONTH($T$3)&lt;&gt;MONTH($S$3),INDIRECT(TEXT($A$7-1,"ММММ")&amp;"!F38")-SUM(INDIRECT(TEXT($A$7-1,"ММММ")&amp;"!V1:V2")))</f>
        <v>0</v>
      </c>
      <c r="T39" s="129">
        <f t="shared" ref="T39:Y39" ca="1" si="3">SUMIFS(T$7:T$37,INDIRECT("Февраль[Дата]"),"&gt;="&amp;$S$3,INDIRECT("Февраль[Дата]"),"&lt;="&amp;$T$3)+IF(MONTH($T$3)&lt;&gt;MONTH($S$3),INDIRECT(TEXT($A$7-1,"ММММ")&amp;"!F38")-SUM(INDIRECT(TEXT($A$7-1,"ММММ")&amp;"!V1:V2")))</f>
        <v>0</v>
      </c>
      <c r="U39" s="129">
        <f t="shared" ca="1" si="3"/>
        <v>1980</v>
      </c>
      <c r="V39" s="129">
        <f t="shared" ca="1" si="3"/>
        <v>0</v>
      </c>
      <c r="W39" s="129">
        <f t="shared" ca="1" si="3"/>
        <v>0</v>
      </c>
      <c r="X39" s="129">
        <f t="shared" ca="1" si="3"/>
        <v>0</v>
      </c>
      <c r="Y39" s="129">
        <f t="shared" ca="1" si="3"/>
        <v>6</v>
      </c>
      <c r="Z39" s="127" t="s">
        <v>75</v>
      </c>
    </row>
    <row r="40" spans="1:26" ht="16.5" thickBot="1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136">
        <f>SUMIFS(K7:K37,A7:A37,"&gt;="&amp;$S$3,A7:A37,"&lt;="&amp;$T$3)</f>
        <v>0</v>
      </c>
      <c r="L40" s="53"/>
      <c r="M40" s="55"/>
      <c r="N40" s="53"/>
      <c r="O40" s="53"/>
      <c r="P40" s="53"/>
      <c r="R40" s="53"/>
      <c r="S40" s="70"/>
      <c r="T40" s="70"/>
      <c r="U40" s="70"/>
      <c r="V40" s="70"/>
      <c r="W40" s="70"/>
    </row>
    <row r="41" spans="1:26" x14ac:dyDescent="0.2">
      <c r="A41" s="53"/>
      <c r="I41" s="53"/>
      <c r="R41" s="53"/>
      <c r="S41" s="70"/>
      <c r="T41" s="70"/>
      <c r="U41" s="70"/>
      <c r="V41" s="70"/>
      <c r="W41" s="70"/>
    </row>
  </sheetData>
  <mergeCells count="3">
    <mergeCell ref="A2:P2"/>
    <mergeCell ref="A3:P3"/>
    <mergeCell ref="O4:P4"/>
  </mergeCells>
  <conditionalFormatting sqref="M7:M37">
    <cfRule type="cellIs" dxfId="68" priority="3" operator="lessThan">
      <formula>10</formula>
    </cfRule>
    <cfRule type="cellIs" dxfId="67" priority="4" operator="equal">
      <formula>$U$2</formula>
    </cfRule>
    <cfRule type="cellIs" dxfId="66" priority="5" operator="greaterThan">
      <formula>$U$2</formula>
    </cfRule>
  </conditionalFormatting>
  <conditionalFormatting sqref="G7:G37">
    <cfRule type="cellIs" dxfId="65" priority="2" operator="equal">
      <formula>$U$2</formula>
    </cfRule>
  </conditionalFormatting>
  <conditionalFormatting sqref="A7:Z37">
    <cfRule type="expression" dxfId="64" priority="1">
      <formula>OR(CELL("строка")=ROW(A7),CELL("столбец")=COLUMN(A7))</formula>
    </cfRule>
  </conditionalFormatting>
  <dataValidations count="4">
    <dataValidation type="list" allowBlank="1" showInputMessage="1" showErrorMessage="1" sqref="P1">
      <formula1>Месяц</formula1>
    </dataValidation>
    <dataValidation type="list" allowBlank="1" showInputMessage="1" showErrorMessage="1" sqref="Y4">
      <formula1>Сезон</formula1>
    </dataValidation>
    <dataValidation type="list" allowBlank="1" showInputMessage="1" showErrorMessage="1" sqref="Z4">
      <formula1>ТС</formula1>
    </dataValidation>
    <dataValidation type="list" allowBlank="1" sqref="B7:B37">
      <formula1>Сотрудники</formula1>
    </dataValidation>
  </dataValidations>
  <printOptions horizontalCentered="1"/>
  <pageMargins left="0.23622047244094491" right="0" top="0.39370078740157483" bottom="0.39370078740157483" header="0" footer="0"/>
  <pageSetup paperSize="9"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Сотрудники!$B$2:$B$25</xm:f>
          </x14:formula1>
          <xm:sqref>B7:B37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Z33"/>
  <sheetViews>
    <sheetView zoomScale="80" zoomScaleNormal="80" workbookViewId="0">
      <pane xSplit="2" ySplit="4" topLeftCell="C5" activePane="bottomRight" state="frozen"/>
      <selection activeCell="F39" sqref="F39"/>
      <selection pane="topRight" activeCell="F39" sqref="F39"/>
      <selection pane="bottomLeft" activeCell="F39" sqref="F39"/>
      <selection pane="bottomRight" activeCell="K6" sqref="K6"/>
    </sheetView>
  </sheetViews>
  <sheetFormatPr defaultColWidth="9.140625" defaultRowHeight="12.75" x14ac:dyDescent="0.2"/>
  <cols>
    <col min="1" max="1" width="6.140625" style="1" customWidth="1"/>
    <col min="2" max="2" width="17.28515625" style="1" customWidth="1"/>
    <col min="3" max="3" width="13.85546875" style="1" customWidth="1"/>
    <col min="4" max="4" width="22" style="1" customWidth="1"/>
    <col min="5" max="5" width="10.85546875" style="1" customWidth="1"/>
    <col min="6" max="6" width="9.85546875" style="1" bestFit="1" customWidth="1"/>
    <col min="7" max="8" width="12.7109375" style="1" customWidth="1"/>
    <col min="9" max="10" width="9.140625" style="1"/>
    <col min="11" max="11" width="10.28515625" style="1" customWidth="1"/>
    <col min="12" max="13" width="12.7109375" style="1" customWidth="1"/>
    <col min="14" max="15" width="9.140625" style="1"/>
    <col min="16" max="16" width="10.42578125" style="1" customWidth="1"/>
    <col min="17" max="17" width="15.28515625" style="1" customWidth="1"/>
    <col min="18" max="18" width="14.5703125" style="1" customWidth="1"/>
    <col min="19" max="19" width="7.28515625" style="1" bestFit="1" customWidth="1"/>
    <col min="20" max="20" width="10.42578125" style="1" customWidth="1"/>
    <col min="21" max="21" width="10.28515625" style="1" customWidth="1"/>
    <col min="22" max="22" width="9.85546875" style="1" customWidth="1"/>
    <col min="23" max="23" width="11.28515625" style="1" bestFit="1" customWidth="1"/>
    <col min="24" max="24" width="14.85546875" style="1" customWidth="1"/>
    <col min="25" max="25" width="14.140625" style="1" customWidth="1"/>
    <col min="26" max="16384" width="9.140625" style="1"/>
  </cols>
  <sheetData>
    <row r="1" spans="1:26" x14ac:dyDescent="0.2">
      <c r="G1" s="2" t="s">
        <v>22</v>
      </c>
      <c r="H1" s="3" t="s">
        <v>23</v>
      </c>
      <c r="L1" s="2" t="s">
        <v>22</v>
      </c>
      <c r="M1" s="3" t="s">
        <v>23</v>
      </c>
      <c r="P1" s="221" t="s">
        <v>24</v>
      </c>
      <c r="Q1" s="221"/>
      <c r="R1" s="221"/>
      <c r="S1" s="221"/>
      <c r="T1" s="221"/>
      <c r="U1" s="221"/>
      <c r="V1" s="221"/>
      <c r="W1" s="221"/>
      <c r="X1" s="221"/>
      <c r="Y1" s="221"/>
    </row>
    <row r="2" spans="1:26" ht="13.5" thickBot="1" x14ac:dyDescent="0.25">
      <c r="G2" s="4" t="s">
        <v>25</v>
      </c>
      <c r="H2" s="5" t="s">
        <v>26</v>
      </c>
      <c r="L2" s="4" t="s">
        <v>25</v>
      </c>
      <c r="M2" s="5" t="s">
        <v>26</v>
      </c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3" spans="1:26" ht="13.5" thickBot="1" x14ac:dyDescent="0.25">
      <c r="G3" s="223" t="s">
        <v>27</v>
      </c>
      <c r="H3" s="224"/>
      <c r="L3" s="223" t="s">
        <v>27</v>
      </c>
      <c r="M3" s="224"/>
      <c r="P3" s="222"/>
      <c r="Q3" s="222"/>
      <c r="R3" s="222"/>
      <c r="S3" s="222"/>
      <c r="T3" s="222"/>
      <c r="U3" s="222"/>
      <c r="V3" s="222"/>
      <c r="W3" s="222"/>
      <c r="X3" s="222"/>
      <c r="Y3" s="222"/>
    </row>
    <row r="4" spans="1:26" ht="72" customHeight="1" x14ac:dyDescent="0.2">
      <c r="A4" s="6" t="s">
        <v>20</v>
      </c>
      <c r="B4" s="6" t="s">
        <v>28</v>
      </c>
      <c r="C4" s="6" t="s">
        <v>29</v>
      </c>
      <c r="D4" s="6" t="s">
        <v>30</v>
      </c>
      <c r="E4" s="6" t="s">
        <v>31</v>
      </c>
      <c r="F4" s="7" t="s">
        <v>32</v>
      </c>
      <c r="G4" s="8" t="s">
        <v>33</v>
      </c>
      <c r="H4" s="8" t="s">
        <v>34</v>
      </c>
      <c r="I4" s="8" t="s">
        <v>35</v>
      </c>
      <c r="J4" s="9" t="s">
        <v>36</v>
      </c>
      <c r="K4" s="7" t="s">
        <v>37</v>
      </c>
      <c r="L4" s="8" t="s">
        <v>38</v>
      </c>
      <c r="M4" s="8" t="s">
        <v>39</v>
      </c>
      <c r="N4" s="8" t="s">
        <v>40</v>
      </c>
      <c r="O4" s="9" t="s">
        <v>41</v>
      </c>
      <c r="P4" s="7" t="s">
        <v>42</v>
      </c>
      <c r="Q4" s="10" t="s">
        <v>43</v>
      </c>
      <c r="R4" s="11" t="s">
        <v>44</v>
      </c>
      <c r="S4" s="11" t="s">
        <v>45</v>
      </c>
      <c r="T4" s="10" t="s">
        <v>46</v>
      </c>
      <c r="U4" s="11" t="s">
        <v>47</v>
      </c>
      <c r="V4" s="10" t="s">
        <v>48</v>
      </c>
      <c r="W4" s="11" t="s">
        <v>49</v>
      </c>
      <c r="X4" s="10" t="s">
        <v>50</v>
      </c>
      <c r="Y4" s="12" t="s">
        <v>51</v>
      </c>
      <c r="Z4" s="6"/>
    </row>
    <row r="5" spans="1:26" x14ac:dyDescent="0.2">
      <c r="A5" s="13">
        <v>1</v>
      </c>
      <c r="B5" s="1" t="s">
        <v>69</v>
      </c>
      <c r="C5" s="67"/>
      <c r="D5" s="67">
        <v>29170</v>
      </c>
      <c r="E5" s="67">
        <v>350</v>
      </c>
      <c r="F5" s="69"/>
      <c r="G5" s="65">
        <v>10</v>
      </c>
      <c r="H5" s="65">
        <v>0</v>
      </c>
      <c r="I5" s="152">
        <f t="shared" ref="I5" si="0">F5*(100+G5)%</f>
        <v>0</v>
      </c>
      <c r="J5" s="153">
        <f>F5*(100+H5)%</f>
        <v>0</v>
      </c>
      <c r="K5" s="68">
        <v>16.5</v>
      </c>
      <c r="L5" s="65">
        <v>10</v>
      </c>
      <c r="M5" s="65">
        <v>0</v>
      </c>
      <c r="N5" s="155">
        <f t="shared" ref="N5" si="1">K5*(100+L5)%</f>
        <v>18.150000000000002</v>
      </c>
      <c r="O5" s="153">
        <f t="shared" ref="O5" si="2">K5*(100+M5)%</f>
        <v>16.5</v>
      </c>
      <c r="P5" s="64">
        <v>32.200000000000003</v>
      </c>
      <c r="Q5" s="14">
        <f t="shared" ref="Q5" si="3">R5*S5</f>
        <v>2.9379999999999997</v>
      </c>
      <c r="R5" s="66">
        <v>2.2599999999999998</v>
      </c>
      <c r="S5" s="66">
        <v>1.3</v>
      </c>
      <c r="T5" s="14">
        <f t="shared" ref="T5" si="4">U5*V5*S5</f>
        <v>5.2</v>
      </c>
      <c r="U5" s="66">
        <v>8</v>
      </c>
      <c r="V5" s="66">
        <v>0.5</v>
      </c>
      <c r="W5" s="15">
        <f t="shared" ref="W5" si="5">P5+Q5+T5</f>
        <v>40.338000000000008</v>
      </c>
      <c r="X5" s="16">
        <f t="shared" ref="X5" si="6">W5*25%+W5</f>
        <v>50.422500000000014</v>
      </c>
      <c r="Y5" s="17">
        <f t="shared" ref="Y5" si="7">W5*10%+X5</f>
        <v>54.456300000000013</v>
      </c>
      <c r="Z5" s="18"/>
    </row>
    <row r="6" spans="1:26" x14ac:dyDescent="0.2">
      <c r="A6" s="13">
        <v>2</v>
      </c>
      <c r="B6" s="1" t="s">
        <v>70</v>
      </c>
      <c r="C6" s="67"/>
      <c r="D6" s="67"/>
      <c r="E6" s="67">
        <v>350</v>
      </c>
      <c r="F6" s="151">
        <f>F5-F5*5%</f>
        <v>0</v>
      </c>
      <c r="G6" s="65">
        <v>10</v>
      </c>
      <c r="H6" s="65">
        <v>0</v>
      </c>
      <c r="I6" s="152">
        <f>F6*(100+G6)%</f>
        <v>0</v>
      </c>
      <c r="J6" s="153">
        <f t="shared" ref="J6:J7" si="8">F6*(100+H6)%</f>
        <v>0</v>
      </c>
      <c r="K6" s="154">
        <f>K5-K5*5%</f>
        <v>15.675000000000001</v>
      </c>
      <c r="L6" s="65">
        <v>10</v>
      </c>
      <c r="M6" s="65">
        <v>0</v>
      </c>
      <c r="N6" s="155">
        <f>K6*(100+L6)%</f>
        <v>17.242500000000003</v>
      </c>
      <c r="O6" s="153">
        <f>K6*(100+M6)%</f>
        <v>15.675000000000001</v>
      </c>
      <c r="P6" s="64">
        <v>32.200000000000003</v>
      </c>
      <c r="Q6" s="19">
        <f>R6*S6</f>
        <v>2.9379999999999997</v>
      </c>
      <c r="R6" s="66">
        <v>2.2599999999999998</v>
      </c>
      <c r="S6" s="66">
        <v>1.3</v>
      </c>
      <c r="T6" s="19">
        <f>U6*V6*S6</f>
        <v>5.2</v>
      </c>
      <c r="U6" s="66">
        <v>8</v>
      </c>
      <c r="V6" s="66">
        <v>0.5</v>
      </c>
      <c r="W6" s="20">
        <f>P6+Q6+T6</f>
        <v>40.338000000000008</v>
      </c>
      <c r="X6" s="21">
        <f>W6*25%+W6</f>
        <v>50.422500000000014</v>
      </c>
      <c r="Y6" s="22">
        <f>W6*10%+X6</f>
        <v>54.456300000000013</v>
      </c>
      <c r="Z6" s="18"/>
    </row>
    <row r="7" spans="1:26" x14ac:dyDescent="0.2">
      <c r="A7" s="13">
        <v>3</v>
      </c>
      <c r="B7" s="1" t="s">
        <v>71</v>
      </c>
      <c r="C7" s="67"/>
      <c r="D7" s="67"/>
      <c r="E7" s="67">
        <v>350</v>
      </c>
      <c r="F7" s="151">
        <f>F5-F5*10%</f>
        <v>0</v>
      </c>
      <c r="G7" s="65">
        <v>10</v>
      </c>
      <c r="H7" s="65">
        <v>0</v>
      </c>
      <c r="I7" s="152">
        <f>F7*(100+G7)%</f>
        <v>0</v>
      </c>
      <c r="J7" s="153">
        <f t="shared" si="8"/>
        <v>0</v>
      </c>
      <c r="K7" s="154">
        <f>K5-K5*10%</f>
        <v>14.85</v>
      </c>
      <c r="L7" s="65">
        <v>10</v>
      </c>
      <c r="M7" s="65">
        <v>0</v>
      </c>
      <c r="N7" s="155">
        <f>K7*(100+L7)%</f>
        <v>16.335000000000001</v>
      </c>
      <c r="O7" s="153">
        <f>K7*(100+M7)%</f>
        <v>14.85</v>
      </c>
      <c r="P7" s="64">
        <v>32.200000000000003</v>
      </c>
      <c r="Q7" s="19">
        <f>R7*S7</f>
        <v>2.9379999999999997</v>
      </c>
      <c r="R7" s="66">
        <v>2.2599999999999998</v>
      </c>
      <c r="S7" s="66">
        <v>1.3</v>
      </c>
      <c r="T7" s="19">
        <f>U7*V7*S7</f>
        <v>5.2</v>
      </c>
      <c r="U7" s="66">
        <v>8</v>
      </c>
      <c r="V7" s="66">
        <v>0.5</v>
      </c>
      <c r="W7" s="20">
        <f>P7+Q7+T7</f>
        <v>40.338000000000008</v>
      </c>
      <c r="X7" s="21">
        <f>W7*25%+W7</f>
        <v>50.422500000000014</v>
      </c>
      <c r="Y7" s="22">
        <f>W7*10%+X7</f>
        <v>54.456300000000013</v>
      </c>
      <c r="Z7" s="18"/>
    </row>
    <row r="8" spans="1:26" x14ac:dyDescent="0.2">
      <c r="A8" s="13">
        <v>4</v>
      </c>
      <c r="B8" s="157" t="s">
        <v>82</v>
      </c>
      <c r="C8" s="67"/>
      <c r="D8" s="67"/>
      <c r="E8" s="158">
        <v>350</v>
      </c>
      <c r="F8" s="69"/>
      <c r="G8" s="65">
        <v>10</v>
      </c>
      <c r="H8" s="65">
        <v>0</v>
      </c>
      <c r="I8" s="159">
        <f>F8*(100+G8)%</f>
        <v>0</v>
      </c>
      <c r="J8" s="160">
        <f>F8*(100+H8)%</f>
        <v>0</v>
      </c>
      <c r="K8" s="68">
        <v>5.5</v>
      </c>
      <c r="L8" s="65">
        <v>10</v>
      </c>
      <c r="M8" s="65">
        <v>0</v>
      </c>
      <c r="N8" s="161">
        <f>K8*(100+L8)%</f>
        <v>6.0500000000000007</v>
      </c>
      <c r="O8" s="160">
        <f>K8*(100+M8)%</f>
        <v>5.5</v>
      </c>
      <c r="P8" s="162"/>
      <c r="Q8" s="163">
        <f>R8*S8</f>
        <v>0</v>
      </c>
      <c r="R8" s="164"/>
      <c r="S8" s="164"/>
      <c r="T8" s="163">
        <f>U8*V8*S8</f>
        <v>0</v>
      </c>
      <c r="U8" s="164"/>
      <c r="V8" s="164"/>
      <c r="W8" s="165">
        <f>P8+Q8+T8</f>
        <v>0</v>
      </c>
      <c r="X8" s="166">
        <f>W8*25%+W8</f>
        <v>0</v>
      </c>
      <c r="Y8" s="167">
        <f>W8*10%+X8</f>
        <v>0</v>
      </c>
      <c r="Z8" s="18"/>
    </row>
    <row r="9" spans="1:26" x14ac:dyDescent="0.2">
      <c r="A9" s="13">
        <v>5</v>
      </c>
      <c r="B9" s="157" t="s">
        <v>83</v>
      </c>
      <c r="C9" s="67"/>
      <c r="D9" s="67"/>
      <c r="E9" s="158">
        <v>350</v>
      </c>
      <c r="F9" s="151">
        <f>F8-F8*5%</f>
        <v>0</v>
      </c>
      <c r="G9" s="65">
        <v>10</v>
      </c>
      <c r="H9" s="65">
        <v>0</v>
      </c>
      <c r="I9" s="152">
        <f>F9*(100+G9)%</f>
        <v>0</v>
      </c>
      <c r="J9" s="153">
        <f t="shared" ref="J9:J10" si="9">F9*(100+H9)%</f>
        <v>0</v>
      </c>
      <c r="K9" s="154">
        <f>K8-K8*5%</f>
        <v>5.2249999999999996</v>
      </c>
      <c r="L9" s="65">
        <v>10</v>
      </c>
      <c r="M9" s="65">
        <v>0</v>
      </c>
      <c r="N9" s="155">
        <f>K9*(100+L9)%</f>
        <v>5.7475000000000005</v>
      </c>
      <c r="O9" s="153">
        <f>K9*(100+M9)%</f>
        <v>5.2249999999999996</v>
      </c>
      <c r="P9" s="162"/>
      <c r="Q9" s="168">
        <f>R9*S9</f>
        <v>0</v>
      </c>
      <c r="R9" s="169"/>
      <c r="S9" s="169"/>
      <c r="T9" s="168">
        <f>U9*V9*S9</f>
        <v>0</v>
      </c>
      <c r="U9" s="169"/>
      <c r="V9" s="169"/>
      <c r="W9" s="170">
        <f>P9+Q9+T9</f>
        <v>0</v>
      </c>
      <c r="X9" s="171">
        <f>W9*25%+W9</f>
        <v>0</v>
      </c>
      <c r="Y9" s="167">
        <f>W9*10%+X9</f>
        <v>0</v>
      </c>
    </row>
    <row r="10" spans="1:26" x14ac:dyDescent="0.2">
      <c r="A10" s="172">
        <v>6</v>
      </c>
      <c r="B10" s="173" t="s">
        <v>84</v>
      </c>
      <c r="C10" s="174"/>
      <c r="D10" s="174"/>
      <c r="E10" s="158">
        <v>350</v>
      </c>
      <c r="F10" s="151">
        <f>F8-F8*10%</f>
        <v>0</v>
      </c>
      <c r="G10" s="65">
        <v>10</v>
      </c>
      <c r="H10" s="65">
        <v>0</v>
      </c>
      <c r="I10" s="152">
        <f>F10*(100+G10)%</f>
        <v>0</v>
      </c>
      <c r="J10" s="153">
        <f t="shared" si="9"/>
        <v>0</v>
      </c>
      <c r="K10" s="154">
        <f>K8-K8*10%</f>
        <v>4.95</v>
      </c>
      <c r="L10" s="65">
        <v>10</v>
      </c>
      <c r="M10" s="65">
        <v>0</v>
      </c>
      <c r="N10" s="155">
        <f>K10*(100+L10)%</f>
        <v>5.4450000000000003</v>
      </c>
      <c r="O10" s="153">
        <f>K10*(100+M10)%</f>
        <v>4.95</v>
      </c>
      <c r="P10" s="162"/>
      <c r="Q10" s="163">
        <f>R10*S10</f>
        <v>0</v>
      </c>
      <c r="R10" s="164"/>
      <c r="S10" s="164"/>
      <c r="T10" s="163">
        <f>U10*V10*S10</f>
        <v>0</v>
      </c>
      <c r="U10" s="164"/>
      <c r="V10" s="164"/>
      <c r="W10" s="165">
        <f>P10+Q10+T10</f>
        <v>0</v>
      </c>
      <c r="X10" s="166">
        <f>W10*25%+W10</f>
        <v>0</v>
      </c>
      <c r="Y10" s="167">
        <f>W10*10%+X10</f>
        <v>0</v>
      </c>
    </row>
    <row r="12" spans="1:26" x14ac:dyDescent="0.2">
      <c r="B12" s="1" t="s">
        <v>33</v>
      </c>
    </row>
    <row r="13" spans="1:26" x14ac:dyDescent="0.2">
      <c r="B13" s="1" t="s">
        <v>34</v>
      </c>
    </row>
    <row r="15" spans="1:26" x14ac:dyDescent="0.2">
      <c r="B15" s="1" t="s">
        <v>53</v>
      </c>
    </row>
    <row r="16" spans="1:26" x14ac:dyDescent="0.2">
      <c r="B16" s="1" t="s">
        <v>54</v>
      </c>
    </row>
    <row r="17" spans="2:2" x14ac:dyDescent="0.2">
      <c r="B17" s="1" t="s">
        <v>55</v>
      </c>
    </row>
    <row r="18" spans="2:2" x14ac:dyDescent="0.2">
      <c r="B18" s="1" t="s">
        <v>56</v>
      </c>
    </row>
    <row r="19" spans="2:2" x14ac:dyDescent="0.2">
      <c r="B19" s="1" t="s">
        <v>57</v>
      </c>
    </row>
    <row r="20" spans="2:2" x14ac:dyDescent="0.2">
      <c r="B20" s="1" t="s">
        <v>58</v>
      </c>
    </row>
    <row r="21" spans="2:2" x14ac:dyDescent="0.2">
      <c r="B21" s="1" t="s">
        <v>59</v>
      </c>
    </row>
    <row r="22" spans="2:2" x14ac:dyDescent="0.2">
      <c r="B22" s="1" t="s">
        <v>60</v>
      </c>
    </row>
    <row r="23" spans="2:2" x14ac:dyDescent="0.2">
      <c r="B23" s="1" t="s">
        <v>61</v>
      </c>
    </row>
    <row r="24" spans="2:2" x14ac:dyDescent="0.2">
      <c r="B24" s="1" t="s">
        <v>62</v>
      </c>
    </row>
    <row r="25" spans="2:2" x14ac:dyDescent="0.2">
      <c r="B25" s="1" t="s">
        <v>63</v>
      </c>
    </row>
    <row r="26" spans="2:2" x14ac:dyDescent="0.2">
      <c r="B26" s="1" t="s">
        <v>64</v>
      </c>
    </row>
    <row r="28" spans="2:2" x14ac:dyDescent="0.2">
      <c r="B28" s="1" t="s">
        <v>69</v>
      </c>
    </row>
    <row r="29" spans="2:2" x14ac:dyDescent="0.2">
      <c r="B29" s="1" t="s">
        <v>70</v>
      </c>
    </row>
    <row r="30" spans="2:2" x14ac:dyDescent="0.2">
      <c r="B30" s="1" t="s">
        <v>71</v>
      </c>
    </row>
    <row r="31" spans="2:2" x14ac:dyDescent="0.2">
      <c r="B31" s="175" t="s">
        <v>82</v>
      </c>
    </row>
    <row r="32" spans="2:2" x14ac:dyDescent="0.2">
      <c r="B32" s="176" t="s">
        <v>83</v>
      </c>
    </row>
    <row r="33" spans="2:2" ht="13.5" thickBot="1" x14ac:dyDescent="0.25">
      <c r="B33" s="177" t="s">
        <v>84</v>
      </c>
    </row>
  </sheetData>
  <mergeCells count="3">
    <mergeCell ref="P1:Y3"/>
    <mergeCell ref="G3:H3"/>
    <mergeCell ref="L3:M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B25"/>
  <sheetViews>
    <sheetView workbookViewId="0">
      <selection activeCell="B15" sqref="B15"/>
    </sheetView>
  </sheetViews>
  <sheetFormatPr defaultRowHeight="12.75" x14ac:dyDescent="0.2"/>
  <cols>
    <col min="2" max="2" width="19.7109375" style="149" customWidth="1"/>
  </cols>
  <sheetData>
    <row r="1" spans="2:2" x14ac:dyDescent="0.2">
      <c r="B1" s="150" t="s">
        <v>21</v>
      </c>
    </row>
    <row r="2" spans="2:2" x14ac:dyDescent="0.2">
      <c r="B2" s="148" t="s">
        <v>90</v>
      </c>
    </row>
    <row r="3" spans="2:2" x14ac:dyDescent="0.2">
      <c r="B3" s="148" t="s">
        <v>87</v>
      </c>
    </row>
    <row r="4" spans="2:2" x14ac:dyDescent="0.2">
      <c r="B4" s="148" t="s">
        <v>85</v>
      </c>
    </row>
    <row r="5" spans="2:2" x14ac:dyDescent="0.2">
      <c r="B5" s="148" t="s">
        <v>77</v>
      </c>
    </row>
    <row r="6" spans="2:2" x14ac:dyDescent="0.2">
      <c r="B6" s="148" t="s">
        <v>66</v>
      </c>
    </row>
    <row r="7" spans="2:2" x14ac:dyDescent="0.2">
      <c r="B7" s="148" t="s">
        <v>79</v>
      </c>
    </row>
    <row r="8" spans="2:2" x14ac:dyDescent="0.2">
      <c r="B8" s="148" t="s">
        <v>76</v>
      </c>
    </row>
    <row r="9" spans="2:2" x14ac:dyDescent="0.2">
      <c r="B9" s="148" t="s">
        <v>68</v>
      </c>
    </row>
    <row r="10" spans="2:2" x14ac:dyDescent="0.2">
      <c r="B10" s="148" t="s">
        <v>81</v>
      </c>
    </row>
    <row r="11" spans="2:2" x14ac:dyDescent="0.2">
      <c r="B11" s="148" t="s">
        <v>67</v>
      </c>
    </row>
    <row r="12" spans="2:2" x14ac:dyDescent="0.2">
      <c r="B12" s="148" t="s">
        <v>19</v>
      </c>
    </row>
    <row r="13" spans="2:2" x14ac:dyDescent="0.2">
      <c r="B13" s="148" t="s">
        <v>80</v>
      </c>
    </row>
    <row r="14" spans="2:2" x14ac:dyDescent="0.2">
      <c r="B14" s="148" t="s">
        <v>86</v>
      </c>
    </row>
    <row r="15" spans="2:2" x14ac:dyDescent="0.2">
      <c r="B15" s="148" t="s">
        <v>89</v>
      </c>
    </row>
    <row r="16" spans="2:2" x14ac:dyDescent="0.2">
      <c r="B16" s="148" t="s">
        <v>78</v>
      </c>
    </row>
    <row r="17" spans="2:2" x14ac:dyDescent="0.2">
      <c r="B17" s="148"/>
    </row>
    <row r="18" spans="2:2" x14ac:dyDescent="0.2">
      <c r="B18" s="148"/>
    </row>
    <row r="19" spans="2:2" x14ac:dyDescent="0.2">
      <c r="B19" s="148"/>
    </row>
    <row r="20" spans="2:2" x14ac:dyDescent="0.2">
      <c r="B20" s="148"/>
    </row>
    <row r="21" spans="2:2" x14ac:dyDescent="0.2">
      <c r="B21" s="148"/>
    </row>
    <row r="22" spans="2:2" x14ac:dyDescent="0.2">
      <c r="B22" s="148"/>
    </row>
    <row r="23" spans="2:2" x14ac:dyDescent="0.2">
      <c r="B23" s="148"/>
    </row>
    <row r="24" spans="2:2" x14ac:dyDescent="0.2">
      <c r="B24" s="148"/>
    </row>
    <row r="25" spans="2:2" x14ac:dyDescent="0.2">
      <c r="B25" s="148"/>
    </row>
  </sheetData>
  <sheetProtection password="EC57" sheet="1" objects="1" scenarios="1"/>
  <sortState ref="B2:B25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Январь</vt:lpstr>
      <vt:lpstr>Февраль</vt:lpstr>
      <vt:lpstr>ТС</vt:lpstr>
      <vt:lpstr>Сотрудники</vt:lpstr>
      <vt:lpstr>Месяц</vt:lpstr>
      <vt:lpstr>Сезон</vt:lpstr>
      <vt:lpstr>ТС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ГАВ</cp:lastModifiedBy>
  <dcterms:created xsi:type="dcterms:W3CDTF">2018-07-03T16:18:11Z</dcterms:created>
  <dcterms:modified xsi:type="dcterms:W3CDTF">2018-07-30T10:57:21Z</dcterms:modified>
</cp:coreProperties>
</file>