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tables/table5.xml" ContentType="application/vnd.openxmlformats-officedocument.spreadsheetml.tab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ЭтаКнига" defaultThemeVersion="124226"/>
  <bookViews>
    <workbookView xWindow="-12" yWindow="-12" windowWidth="12120" windowHeight="10728" tabRatio="716"/>
  </bookViews>
  <sheets>
    <sheet name="Январь" sheetId="4" r:id="rId1"/>
    <sheet name="Февраль" sheetId="22" r:id="rId2"/>
    <sheet name="Март" sheetId="23" r:id="rId3"/>
    <sheet name="Апрель" sheetId="24" r:id="rId4"/>
    <sheet name="ТС" sheetId="3" r:id="rId5"/>
    <sheet name="Сотрудники" sheetId="2" r:id="rId6"/>
  </sheets>
  <externalReferences>
    <externalReference r:id="rId7"/>
  </externalReferences>
  <definedNames>
    <definedName name="Месяц">ТС!$B$15:$B$26</definedName>
    <definedName name="Сезон">ТС!$B$12:$B$13</definedName>
    <definedName name="Сотрудники">OFFSET(Сотрудники!$B$2:$B$31,0,0,COUNTA(Сотрудники!$B$2:$B$31),1)</definedName>
    <definedName name="ТС">ТС!$B$28:$B$333</definedName>
  </definedNames>
  <calcPr calcId="125725"/>
</workbook>
</file>

<file path=xl/calcChain.xml><?xml version="1.0" encoding="utf-8"?>
<calcChain xmlns="http://schemas.openxmlformats.org/spreadsheetml/2006/main">
  <c r="O10" i="3"/>
  <c r="N10"/>
  <c r="K10"/>
  <c r="N9"/>
  <c r="K9"/>
  <c r="O9" s="1"/>
  <c r="F10"/>
  <c r="I10" s="1"/>
  <c r="J9"/>
  <c r="F9"/>
  <c r="I9" s="1"/>
  <c r="Q9"/>
  <c r="Q10"/>
  <c r="T9"/>
  <c r="W9" s="1"/>
  <c r="T10"/>
  <c r="W10"/>
  <c r="X10" s="1"/>
  <c r="Y10" s="1"/>
  <c r="I8"/>
  <c r="J8"/>
  <c r="N8"/>
  <c r="O8"/>
  <c r="Q8"/>
  <c r="T8"/>
  <c r="O4" i="24"/>
  <c r="J10" i="3" l="1"/>
  <c r="X9"/>
  <c r="Y9"/>
  <c r="W8"/>
  <c r="X8"/>
  <c r="Y8" s="1"/>
  <c r="J5" l="1"/>
  <c r="Y2" i="24" s="1"/>
  <c r="V39"/>
  <c r="Y39"/>
  <c r="U39"/>
  <c r="T39"/>
  <c r="X39"/>
  <c r="W39"/>
  <c r="H7" l="1"/>
  <c r="C7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K38" l="1"/>
  <c r="J7"/>
  <c r="E7"/>
  <c r="A7"/>
  <c r="C8"/>
  <c r="H8"/>
  <c r="J8" l="1"/>
  <c r="E8"/>
  <c r="R7"/>
  <c r="A8"/>
  <c r="Z7"/>
  <c r="U3"/>
  <c r="S3"/>
  <c r="Z8" l="1"/>
  <c r="R8"/>
  <c r="A9"/>
  <c r="U2"/>
  <c r="G7" s="1"/>
  <c r="S2"/>
  <c r="H9"/>
  <c r="C9"/>
  <c r="E9" l="1"/>
  <c r="J9"/>
  <c r="Z9"/>
  <c r="R9"/>
  <c r="A10"/>
  <c r="X38"/>
  <c r="Y38"/>
  <c r="U38"/>
  <c r="W38"/>
  <c r="T38"/>
  <c r="V38"/>
  <c r="C10"/>
  <c r="H10"/>
  <c r="E10" l="1"/>
  <c r="J10"/>
  <c r="Z10"/>
  <c r="R10"/>
  <c r="A11"/>
  <c r="H11"/>
  <c r="C11"/>
  <c r="E11" l="1"/>
  <c r="J11"/>
  <c r="Z11"/>
  <c r="R11"/>
  <c r="A12"/>
  <c r="H12"/>
  <c r="C12"/>
  <c r="E12" l="1"/>
  <c r="J12"/>
  <c r="A13"/>
  <c r="A14"/>
  <c r="Z14" s="1"/>
  <c r="Z13"/>
  <c r="R13"/>
  <c r="Z12"/>
  <c r="R12"/>
  <c r="A15"/>
  <c r="C15"/>
  <c r="H14"/>
  <c r="C13"/>
  <c r="C14"/>
  <c r="H15"/>
  <c r="H13"/>
  <c r="R14" l="1"/>
  <c r="E13"/>
  <c r="J13"/>
  <c r="E14"/>
  <c r="J14"/>
  <c r="E15"/>
  <c r="J15"/>
  <c r="Z15"/>
  <c r="R15"/>
  <c r="A16"/>
  <c r="C16"/>
  <c r="H16"/>
  <c r="E16" l="1"/>
  <c r="J16"/>
  <c r="Z16"/>
  <c r="R16"/>
  <c r="A17"/>
  <c r="H17"/>
  <c r="C17"/>
  <c r="E17" l="1"/>
  <c r="J17"/>
  <c r="Z17"/>
  <c r="R17"/>
  <c r="A18"/>
  <c r="H18"/>
  <c r="C18"/>
  <c r="E18" l="1"/>
  <c r="J18"/>
  <c r="Z18"/>
  <c r="R18"/>
  <c r="A19"/>
  <c r="H19"/>
  <c r="C19"/>
  <c r="E19" l="1"/>
  <c r="J19"/>
  <c r="Z19"/>
  <c r="R19"/>
  <c r="A20"/>
  <c r="C20"/>
  <c r="H20"/>
  <c r="E20" l="1"/>
  <c r="J20"/>
  <c r="Z20"/>
  <c r="R20"/>
  <c r="A21"/>
  <c r="C21"/>
  <c r="H21"/>
  <c r="E21" l="1"/>
  <c r="J21"/>
  <c r="Z21"/>
  <c r="R21"/>
  <c r="A22"/>
  <c r="C22"/>
  <c r="H22"/>
  <c r="E22" l="1"/>
  <c r="J22"/>
  <c r="Z22"/>
  <c r="R22"/>
  <c r="A23"/>
  <c r="H23"/>
  <c r="C23"/>
  <c r="E23" l="1"/>
  <c r="J23"/>
  <c r="Z23"/>
  <c r="R23"/>
  <c r="A24"/>
  <c r="H24"/>
  <c r="C24"/>
  <c r="E24" l="1"/>
  <c r="J24"/>
  <c r="Z24"/>
  <c r="R24"/>
  <c r="A25"/>
  <c r="C25"/>
  <c r="H25"/>
  <c r="E25" l="1"/>
  <c r="J25"/>
  <c r="Z25"/>
  <c r="R25"/>
  <c r="A26"/>
  <c r="C26"/>
  <c r="H26"/>
  <c r="E26" l="1"/>
  <c r="J26"/>
  <c r="Z26"/>
  <c r="R26"/>
  <c r="A27"/>
  <c r="C27"/>
  <c r="H27"/>
  <c r="E27" l="1"/>
  <c r="J27"/>
  <c r="Z27"/>
  <c r="R27"/>
  <c r="A28"/>
  <c r="C28"/>
  <c r="H28"/>
  <c r="E28" l="1"/>
  <c r="J28"/>
  <c r="Z28"/>
  <c r="R28"/>
  <c r="A29"/>
  <c r="C29"/>
  <c r="H29"/>
  <c r="E29" l="1"/>
  <c r="J29"/>
  <c r="Z29"/>
  <c r="R29"/>
  <c r="A30"/>
  <c r="C30"/>
  <c r="H30"/>
  <c r="E30" l="1"/>
  <c r="J30"/>
  <c r="Z30"/>
  <c r="R30"/>
  <c r="A31"/>
  <c r="C31"/>
  <c r="H31"/>
  <c r="E31" l="1"/>
  <c r="J31"/>
  <c r="Z31"/>
  <c r="R31"/>
  <c r="A32"/>
  <c r="C32"/>
  <c r="H32"/>
  <c r="E32" l="1"/>
  <c r="J32"/>
  <c r="Z32"/>
  <c r="R32"/>
  <c r="A33"/>
  <c r="C33"/>
  <c r="H33"/>
  <c r="E33" l="1"/>
  <c r="J33"/>
  <c r="Z33"/>
  <c r="R33"/>
  <c r="A34"/>
  <c r="H34"/>
  <c r="C34"/>
  <c r="E34" l="1"/>
  <c r="J34"/>
  <c r="Z34"/>
  <c r="R34"/>
  <c r="A35"/>
  <c r="H35"/>
  <c r="C35"/>
  <c r="E35" l="1"/>
  <c r="J35"/>
  <c r="Z35"/>
  <c r="R35"/>
  <c r="A36"/>
  <c r="H36"/>
  <c r="C36"/>
  <c r="E36" l="1"/>
  <c r="J36"/>
  <c r="Z36"/>
  <c r="R36"/>
  <c r="A37"/>
  <c r="H37"/>
  <c r="C37"/>
  <c r="E37" l="1"/>
  <c r="E38" s="1"/>
  <c r="J37"/>
  <c r="L37" s="1"/>
  <c r="R37"/>
  <c r="Z37"/>
  <c r="K39"/>
  <c r="T3"/>
  <c r="J38" l="1"/>
  <c r="N37"/>
  <c r="F38"/>
  <c r="S4"/>
  <c r="W4" s="1"/>
  <c r="K40"/>
  <c r="P37" l="1"/>
  <c r="O37"/>
  <c r="K7" i="3" l="1"/>
  <c r="K6"/>
  <c r="F7" l="1"/>
  <c r="F6"/>
  <c r="T7" l="1"/>
  <c r="Q7"/>
  <c r="O7"/>
  <c r="N7"/>
  <c r="J7"/>
  <c r="I7"/>
  <c r="T6"/>
  <c r="Q6"/>
  <c r="O6"/>
  <c r="N6"/>
  <c r="J6"/>
  <c r="I6"/>
  <c r="T5"/>
  <c r="Q5"/>
  <c r="O5"/>
  <c r="N5"/>
  <c r="I5"/>
  <c r="Z2" i="24" l="1"/>
  <c r="W5" i="3"/>
  <c r="X5" s="1"/>
  <c r="Y5" s="1"/>
  <c r="W6"/>
  <c r="X6" s="1"/>
  <c r="Y6" s="1"/>
  <c r="W7"/>
  <c r="X7" s="1"/>
  <c r="Y7"/>
  <c r="L7" i="24" l="1"/>
  <c r="L8"/>
  <c r="N8" s="1"/>
  <c r="L9"/>
  <c r="N9" s="1"/>
  <c r="L10"/>
  <c r="N10" s="1"/>
  <c r="L11"/>
  <c r="N11" s="1"/>
  <c r="L12"/>
  <c r="N12" s="1"/>
  <c r="L13"/>
  <c r="N13" s="1"/>
  <c r="L14"/>
  <c r="N14" s="1"/>
  <c r="L15"/>
  <c r="N15" s="1"/>
  <c r="L16"/>
  <c r="N16" s="1"/>
  <c r="L17"/>
  <c r="N17" s="1"/>
  <c r="L18"/>
  <c r="N18" s="1"/>
  <c r="L19"/>
  <c r="N19" s="1"/>
  <c r="L20"/>
  <c r="N20" s="1"/>
  <c r="L21"/>
  <c r="N21" s="1"/>
  <c r="L22"/>
  <c r="N22" s="1"/>
  <c r="L23"/>
  <c r="N23" s="1"/>
  <c r="L24"/>
  <c r="N24" s="1"/>
  <c r="L25"/>
  <c r="N25" s="1"/>
  <c r="L26"/>
  <c r="N26" s="1"/>
  <c r="L27"/>
  <c r="N27" s="1"/>
  <c r="L28"/>
  <c r="N28" s="1"/>
  <c r="L29"/>
  <c r="N29" s="1"/>
  <c r="L30"/>
  <c r="N30" s="1"/>
  <c r="L31"/>
  <c r="N31" s="1"/>
  <c r="L32"/>
  <c r="N32" s="1"/>
  <c r="L33"/>
  <c r="N33" s="1"/>
  <c r="L34"/>
  <c r="N34" s="1"/>
  <c r="L35"/>
  <c r="N35" s="1"/>
  <c r="L36"/>
  <c r="N36" s="1"/>
  <c r="N7" l="1"/>
  <c r="N38" s="1"/>
  <c r="L38"/>
  <c r="V3" l="1"/>
  <c r="V2"/>
  <c r="S39"/>
  <c r="S38"/>
  <c r="W2" l="1"/>
  <c r="P7" l="1"/>
  <c r="P17"/>
  <c r="P16"/>
  <c r="P15"/>
  <c r="P8"/>
  <c r="P10"/>
  <c r="P19"/>
  <c r="P20"/>
  <c r="P9"/>
  <c r="P14"/>
  <c r="P12"/>
  <c r="P13"/>
  <c r="P18"/>
  <c r="P11"/>
  <c r="O7"/>
  <c r="M7" s="1"/>
  <c r="G8" s="1"/>
  <c r="O17"/>
  <c r="O16"/>
  <c r="O22"/>
  <c r="O15"/>
  <c r="O18"/>
  <c r="O11"/>
  <c r="O12"/>
  <c r="O21"/>
  <c r="O10"/>
  <c r="O19"/>
  <c r="O20"/>
  <c r="O24"/>
  <c r="O9"/>
  <c r="O14"/>
  <c r="O8"/>
  <c r="O23"/>
  <c r="O13"/>
  <c r="W3"/>
  <c r="P33" l="1"/>
  <c r="P22"/>
  <c r="P36"/>
  <c r="P31"/>
  <c r="P24"/>
  <c r="P21"/>
  <c r="P28"/>
  <c r="P26"/>
  <c r="P35"/>
  <c r="P27"/>
  <c r="P25"/>
  <c r="P30"/>
  <c r="P23"/>
  <c r="P32"/>
  <c r="P29"/>
  <c r="P34"/>
  <c r="O33"/>
  <c r="O32"/>
  <c r="O31"/>
  <c r="O28"/>
  <c r="O26"/>
  <c r="O35"/>
  <c r="O25"/>
  <c r="O30"/>
  <c r="O36"/>
  <c r="O29"/>
  <c r="O34"/>
  <c r="O27"/>
  <c r="X2"/>
  <c r="M8"/>
  <c r="G9" s="1"/>
  <c r="M9" s="1"/>
  <c r="G10" s="1"/>
  <c r="M10" s="1"/>
  <c r="G11" s="1"/>
  <c r="M11" s="1"/>
  <c r="G12" s="1"/>
  <c r="M12" s="1"/>
  <c r="G13" s="1"/>
  <c r="M13" s="1"/>
  <c r="G14" s="1"/>
  <c r="M14" s="1"/>
  <c r="G15" s="1"/>
  <c r="M15" s="1"/>
  <c r="G16" s="1"/>
  <c r="M16" s="1"/>
  <c r="G17" s="1"/>
  <c r="M17" s="1"/>
  <c r="G18" s="1"/>
  <c r="M18" s="1"/>
  <c r="G19" s="1"/>
  <c r="M19" s="1"/>
  <c r="G20" s="1"/>
  <c r="M20" s="1"/>
  <c r="G21" s="1"/>
  <c r="M21" l="1"/>
  <c r="G22" s="1"/>
  <c r="O38"/>
  <c r="M22" l="1"/>
  <c r="G23" s="1"/>
  <c r="M23" s="1"/>
  <c r="G24" s="1"/>
  <c r="M24" s="1"/>
  <c r="G25" s="1"/>
  <c r="M25" s="1"/>
  <c r="G26" s="1"/>
  <c r="M26" s="1"/>
  <c r="G27" s="1"/>
  <c r="M27" s="1"/>
  <c r="G28" s="1"/>
  <c r="M28" s="1"/>
  <c r="G29" s="1"/>
  <c r="M29" s="1"/>
  <c r="G30" s="1"/>
  <c r="M30" s="1"/>
  <c r="G31" s="1"/>
  <c r="M31" s="1"/>
  <c r="G32" s="1"/>
  <c r="M32" s="1"/>
  <c r="G33" s="1"/>
  <c r="M33" s="1"/>
  <c r="G34" s="1"/>
  <c r="M34" s="1"/>
  <c r="G35" s="1"/>
  <c r="M35" s="1"/>
  <c r="G36" s="1"/>
  <c r="M36" s="1"/>
  <c r="G37" s="1"/>
  <c r="M37" s="1"/>
  <c r="P38"/>
  <c r="X3"/>
</calcChain>
</file>

<file path=xl/sharedStrings.xml><?xml version="1.0" encoding="utf-8"?>
<sst xmlns="http://schemas.openxmlformats.org/spreadsheetml/2006/main" count="310" uniqueCount="87">
  <si>
    <t>Общество с ограниченной ответственностью  "Втормет Царицыно"</t>
  </si>
  <si>
    <t>Отчет водителя ломовоза с манипулятором</t>
  </si>
  <si>
    <t>за</t>
  </si>
  <si>
    <t>Дата</t>
  </si>
  <si>
    <t>ФИО водителя</t>
  </si>
  <si>
    <t>Показание одометра машины на начало дня, км</t>
  </si>
  <si>
    <t>Показание одометра машины на конец дня, км</t>
  </si>
  <si>
    <t>Пройдено за день, км</t>
  </si>
  <si>
    <t>Выдано топливо, литр</t>
  </si>
  <si>
    <t>Остаток топлива в баке на начало дня, литр</t>
  </si>
  <si>
    <t>Показание счетчика моточасов спецоборудования на начало дня, м/ч</t>
  </si>
  <si>
    <t>Показание счетчика моточасов  спецоборудования на конец дня, м/ч</t>
  </si>
  <si>
    <t>Работа спецоборудования за день, м/ч</t>
  </si>
  <si>
    <t>Количество ходок</t>
  </si>
  <si>
    <t>Расход топлива на работу спецоборудования, литр</t>
  </si>
  <si>
    <t>Остаток топлива в баке на конец дня, литр</t>
  </si>
  <si>
    <t>Расход топлива по норме, литр</t>
  </si>
  <si>
    <t>Фактический расход топлива, литр</t>
  </si>
  <si>
    <t>Отклонение от нормы (Перерасход(+), экономия(-)), литр</t>
  </si>
  <si>
    <t>Никляев В.А.</t>
  </si>
  <si>
    <t>№ п/п</t>
  </si>
  <si>
    <t>Ф.И.О.</t>
  </si>
  <si>
    <t>Зима :</t>
  </si>
  <si>
    <t>01.11 - 31.03</t>
  </si>
  <si>
    <t>Расчет максимальной нормы расхода ДТ (литр/100км)</t>
  </si>
  <si>
    <t>Лето:</t>
  </si>
  <si>
    <t>01.04 - 30.10</t>
  </si>
  <si>
    <t>доп.коэфф-т к норме</t>
  </si>
  <si>
    <t>Номер гос.регистрации / Заводской номер</t>
  </si>
  <si>
    <t>Километраж, км</t>
  </si>
  <si>
    <t>Спецоборудование, м/ч</t>
  </si>
  <si>
    <t>Топливо, л</t>
  </si>
  <si>
    <t>Базовая норма расхода на 100 км</t>
  </si>
  <si>
    <t>Зима</t>
  </si>
  <si>
    <t>Лето</t>
  </si>
  <si>
    <t>Итога норма а/м ЗИМА</t>
  </si>
  <si>
    <t>Итога норма а/м ЛЕТО</t>
  </si>
  <si>
    <t>Базовая норма расхода на 1 мото/час</t>
  </si>
  <si>
    <t>"Зима"</t>
  </si>
  <si>
    <t>"Лето"</t>
  </si>
  <si>
    <t>Итога норма а/м "ЗИМА"</t>
  </si>
  <si>
    <t>Итога норма а/м "ЛЕТО"</t>
  </si>
  <si>
    <t>Норма на 100 км, литров</t>
  </si>
  <si>
    <t>движение с манипулятором</t>
  </si>
  <si>
    <t>Тоннаж</t>
  </si>
  <si>
    <t>Литры</t>
  </si>
  <si>
    <t>На движение с грузом</t>
  </si>
  <si>
    <t>Тоннаж1</t>
  </si>
  <si>
    <t>К-т загрузки</t>
  </si>
  <si>
    <t>ИТОГ</t>
  </si>
  <si>
    <t>25% за работу в городе с населением свыше 3 млн. человек</t>
  </si>
  <si>
    <t>10 % за работу зимой</t>
  </si>
  <si>
    <t>Итог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</si>
  <si>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</si>
  <si>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</si>
  <si>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</si>
  <si>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</si>
  <si>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</si>
  <si>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</si>
  <si>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</si>
  <si>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</si>
  <si>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</si>
  <si>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</si>
  <si>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</si>
  <si>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</si>
  <si>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Экономия</t>
  </si>
  <si>
    <t>Ильин А.Г.</t>
  </si>
  <si>
    <t>Малышев О.С.</t>
  </si>
  <si>
    <t>Кобалян М.В.</t>
  </si>
  <si>
    <t>Норма 1</t>
  </si>
  <si>
    <t>Норма 2</t>
  </si>
  <si>
    <t>Норма 3</t>
  </si>
  <si>
    <t>Обнуление одометра, км</t>
  </si>
  <si>
    <t>Обнуление счетчика моточасов спецоборудования, м/ч</t>
  </si>
  <si>
    <t>1-я пол.</t>
  </si>
  <si>
    <t>2-я пол.</t>
  </si>
  <si>
    <t>Ильичев Ю.Ф.</t>
  </si>
  <si>
    <t>Зяблов А.А</t>
  </si>
  <si>
    <t>Ястребов Е.В.</t>
  </si>
  <si>
    <t>Ильин Е.Н.</t>
  </si>
  <si>
    <t>Сергеев Д.О.</t>
  </si>
  <si>
    <t>Лагутенко А.А.</t>
  </si>
  <si>
    <t>Переход 1</t>
  </si>
  <si>
    <t>Переход 2</t>
  </si>
  <si>
    <t>Переход 3</t>
  </si>
  <si>
    <t>с 504 уо 777</t>
  </si>
  <si>
    <t/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</si>
</sst>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43"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1"/>
      <color indexed="56"/>
      <name val="Calibri"/>
      <family val="2"/>
      <charset val="204"/>
    </font>
    <font>
      <b/>
      <i/>
      <sz val="10"/>
      <name val="Arial Cyr"/>
      <charset val="204"/>
    </font>
    <font>
      <b/>
      <sz val="10"/>
      <color theme="3"/>
      <name val="Arial Cyr"/>
      <charset val="204"/>
    </font>
    <font>
      <b/>
      <sz val="10"/>
      <color rgb="FF00B050"/>
      <name val="Arial Cyr"/>
      <charset val="204"/>
    </font>
    <font>
      <b/>
      <sz val="10"/>
      <color theme="4"/>
      <name val="Arial Cyr"/>
      <charset val="204"/>
    </font>
    <font>
      <sz val="10"/>
      <color theme="5" tint="-0.249977111117893"/>
      <name val="Arial Cyr"/>
      <charset val="204"/>
    </font>
    <font>
      <sz val="10"/>
      <color theme="4"/>
      <name val="Arial Cyr"/>
      <charset val="204"/>
    </font>
    <font>
      <b/>
      <sz val="11"/>
      <color indexed="52"/>
      <name val="Calibri"/>
      <family val="2"/>
      <charset val="204"/>
    </font>
    <font>
      <sz val="12"/>
      <name val="Arial Cyr"/>
    </font>
    <font>
      <b/>
      <sz val="12"/>
      <name val="Arial Cyr"/>
    </font>
    <font>
      <b/>
      <sz val="10"/>
      <color theme="1"/>
      <name val="Arial Cyr"/>
      <charset val="204"/>
    </font>
    <font>
      <sz val="11"/>
      <color rgb="FF9C6500"/>
      <name val="Calibri"/>
      <family val="2"/>
      <charset val="204"/>
      <scheme val="minor"/>
    </font>
    <font>
      <b/>
      <sz val="11"/>
      <color rgb="FF9C6500"/>
      <name val="Calibri"/>
      <family val="2"/>
      <charset val="204"/>
      <scheme val="minor"/>
    </font>
    <font>
      <b/>
      <sz val="10"/>
      <color rgb="FF0070C0"/>
      <name val="Arial Cyr"/>
      <charset val="204"/>
    </font>
    <font>
      <b/>
      <sz val="9"/>
      <color theme="1"/>
      <name val="Arial Cyr"/>
      <charset val="204"/>
    </font>
    <font>
      <b/>
      <sz val="14"/>
      <color indexed="56"/>
      <name val="Cambria"/>
      <family val="2"/>
      <charset val="204"/>
    </font>
    <font>
      <b/>
      <sz val="10"/>
      <color rgb="FFFF0000"/>
      <name val="Arial Cyr"/>
      <charset val="204"/>
    </font>
    <font>
      <sz val="10"/>
      <color theme="1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color theme="3"/>
      <name val="Arial Cyr"/>
    </font>
    <font>
      <b/>
      <sz val="10"/>
      <color rgb="FF00B050"/>
      <name val="Arial Cyr"/>
    </font>
    <font>
      <b/>
      <sz val="10"/>
      <color theme="4"/>
      <name val="Arial Cyr"/>
    </font>
    <font>
      <sz val="10"/>
      <name val="Arial Cyr"/>
    </font>
    <font>
      <sz val="10"/>
      <color theme="5" tint="-0.249977111117893"/>
      <name val="Arial Cyr"/>
    </font>
    <font>
      <sz val="10"/>
      <color theme="4"/>
      <name val="Arial Cyr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rgb="FFFFEB9C"/>
      </patternFill>
    </fill>
    <fill>
      <patternFill patternType="solid">
        <fgColor theme="0" tint="-0.249977111117893"/>
        <bgColor theme="0" tint="-0.14999847407452621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1"/>
      </bottom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5" borderId="10" applyNumberFormat="0" applyAlignment="0" applyProtection="0"/>
    <xf numFmtId="0" fontId="2" fillId="7" borderId="16" applyNumberFormat="0" applyFont="0" applyAlignment="0" applyProtection="0"/>
    <xf numFmtId="0" fontId="16" fillId="8" borderId="0" applyNumberFormat="0" applyBorder="0" applyAlignment="0" applyProtection="0"/>
    <xf numFmtId="0" fontId="2" fillId="10" borderId="45" applyNumberFormat="0" applyFont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8" borderId="0" applyNumberFormat="0" applyBorder="0" applyAlignment="0" applyProtection="0"/>
    <xf numFmtId="0" fontId="26" fillId="16" borderId="10" applyNumberFormat="0" applyAlignment="0" applyProtection="0"/>
    <xf numFmtId="0" fontId="27" fillId="5" borderId="60" applyNumberFormat="0" applyAlignment="0" applyProtection="0"/>
    <xf numFmtId="0" fontId="28" fillId="0" borderId="61" applyNumberFormat="0" applyFill="0" applyAlignment="0" applyProtection="0"/>
    <xf numFmtId="0" fontId="29" fillId="0" borderId="62" applyNumberFormat="0" applyFill="0" applyAlignment="0" applyProtection="0"/>
    <xf numFmtId="0" fontId="5" fillId="0" borderId="63" applyNumberFormat="0" applyFill="0" applyAlignment="0" applyProtection="0"/>
    <xf numFmtId="0" fontId="30" fillId="0" borderId="64" applyNumberFormat="0" applyFill="0" applyAlignment="0" applyProtection="0"/>
    <xf numFmtId="0" fontId="31" fillId="29" borderId="65" applyNumberFormat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6" applyNumberFormat="0" applyFill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</cellStyleXfs>
  <cellXfs count="197">
    <xf numFmtId="0" fontId="0" fillId="0" borderId="0" xfId="0"/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2" xfId="0" applyFont="1" applyFill="1" applyBorder="1"/>
    <xf numFmtId="0" fontId="6" fillId="2" borderId="3" xfId="0" applyFont="1" applyFill="1" applyBorder="1" applyAlignment="1">
      <alignment horizontal="right" vertical="center"/>
    </xf>
    <xf numFmtId="0" fontId="6" fillId="2" borderId="4" xfId="0" applyFont="1" applyFill="1" applyBorder="1"/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2" fontId="1" fillId="0" borderId="0" xfId="1" applyNumberFormat="1" applyFill="1" applyAlignment="1" applyProtection="1">
      <protection hidden="1"/>
    </xf>
    <xf numFmtId="2" fontId="1" fillId="0" borderId="0" xfId="1" applyNumberFormat="1" applyFill="1" applyAlignment="1" applyProtection="1">
      <alignment horizontal="right" vertical="center"/>
      <protection hidden="1"/>
    </xf>
    <xf numFmtId="14" fontId="4" fillId="0" borderId="1" xfId="0" applyNumberFormat="1" applyFont="1" applyBorder="1" applyAlignment="1" applyProtection="1">
      <alignment horizontal="center" vertical="center"/>
      <protection hidden="1"/>
    </xf>
    <xf numFmtId="0" fontId="0" fillId="0" borderId="25" xfId="0" applyNumberFormat="1" applyFont="1" applyBorder="1" applyProtection="1">
      <protection hidden="1"/>
    </xf>
    <xf numFmtId="3" fontId="0" fillId="0" borderId="17" xfId="0" applyNumberFormat="1" applyFill="1" applyBorder="1" applyAlignment="1" applyProtection="1">
      <alignment vertical="center"/>
      <protection hidden="1"/>
    </xf>
    <xf numFmtId="4" fontId="0" fillId="0" borderId="17" xfId="0" applyNumberFormat="1" applyFill="1" applyBorder="1" applyAlignment="1" applyProtection="1">
      <alignment vertical="center"/>
      <protection hidden="1"/>
    </xf>
    <xf numFmtId="165" fontId="0" fillId="0" borderId="17" xfId="0" applyNumberFormat="1" applyFill="1" applyBorder="1" applyAlignment="1" applyProtection="1">
      <alignment vertical="center"/>
      <protection hidden="1"/>
    </xf>
    <xf numFmtId="165" fontId="0" fillId="0" borderId="18" xfId="0" applyNumberFormat="1" applyFont="1" applyFill="1" applyBorder="1" applyAlignment="1" applyProtection="1">
      <alignment vertical="center"/>
      <protection hidden="1"/>
    </xf>
    <xf numFmtId="14" fontId="4" fillId="0" borderId="7" xfId="0" applyNumberFormat="1" applyFont="1" applyBorder="1" applyAlignment="1" applyProtection="1">
      <alignment horizontal="center" vertical="center"/>
      <protection hidden="1"/>
    </xf>
    <xf numFmtId="3" fontId="0" fillId="0" borderId="9" xfId="0" applyNumberFormat="1" applyFill="1" applyBorder="1" applyAlignment="1" applyProtection="1">
      <alignment vertical="center"/>
      <protection hidden="1"/>
    </xf>
    <xf numFmtId="0" fontId="0" fillId="0" borderId="9" xfId="0" applyNumberFormat="1" applyFont="1" applyBorder="1" applyProtection="1">
      <protection hidden="1"/>
    </xf>
    <xf numFmtId="4" fontId="0" fillId="0" borderId="9" xfId="0" applyNumberFormat="1" applyFill="1" applyBorder="1" applyAlignment="1" applyProtection="1">
      <alignment vertical="center"/>
      <protection hidden="1"/>
    </xf>
    <xf numFmtId="165" fontId="0" fillId="0" borderId="9" xfId="0" applyNumberFormat="1" applyFill="1" applyBorder="1" applyAlignment="1" applyProtection="1">
      <alignment vertical="center"/>
      <protection hidden="1"/>
    </xf>
    <xf numFmtId="165" fontId="0" fillId="0" borderId="20" xfId="0" applyNumberFormat="1" applyFont="1" applyFill="1" applyBorder="1" applyAlignment="1" applyProtection="1">
      <alignment vertical="center"/>
      <protection hidden="1"/>
    </xf>
    <xf numFmtId="14" fontId="4" fillId="0" borderId="32" xfId="0" applyNumberFormat="1" applyFont="1" applyBorder="1" applyAlignment="1" applyProtection="1">
      <alignment horizontal="center" vertical="center"/>
      <protection hidden="1"/>
    </xf>
    <xf numFmtId="3" fontId="0" fillId="0" borderId="25" xfId="0" applyNumberFormat="1" applyFill="1" applyBorder="1" applyAlignment="1" applyProtection="1">
      <alignment vertical="center"/>
      <protection hidden="1"/>
    </xf>
    <xf numFmtId="4" fontId="0" fillId="0" borderId="25" xfId="0" applyNumberFormat="1" applyFill="1" applyBorder="1" applyAlignment="1" applyProtection="1">
      <alignment vertical="center"/>
      <protection hidden="1"/>
    </xf>
    <xf numFmtId="165" fontId="0" fillId="0" borderId="25" xfId="0" applyNumberFormat="1" applyFill="1" applyBorder="1" applyAlignment="1" applyProtection="1">
      <alignment vertical="center"/>
      <protection hidden="1"/>
    </xf>
    <xf numFmtId="165" fontId="0" fillId="0" borderId="26" xfId="0" applyNumberFormat="1" applyFont="1" applyFill="1" applyBorder="1" applyAlignment="1" applyProtection="1">
      <alignment vertical="center"/>
      <protection hidden="1"/>
    </xf>
    <xf numFmtId="0" fontId="13" fillId="0" borderId="11" xfId="0" applyFont="1" applyBorder="1" applyAlignment="1" applyProtection="1">
      <alignment vertical="center"/>
      <protection hidden="1"/>
    </xf>
    <xf numFmtId="0" fontId="13" fillId="0" borderId="12" xfId="0" applyFont="1" applyFill="1" applyBorder="1" applyAlignment="1" applyProtection="1">
      <alignment vertical="center"/>
      <protection hidden="1"/>
    </xf>
    <xf numFmtId="0" fontId="13" fillId="0" borderId="13" xfId="0" applyFont="1" applyFill="1" applyBorder="1" applyAlignment="1" applyProtection="1">
      <alignment vertical="center"/>
      <protection hidden="1"/>
    </xf>
    <xf numFmtId="0" fontId="13" fillId="6" borderId="13" xfId="0" applyFont="1" applyFill="1" applyBorder="1" applyAlignment="1" applyProtection="1">
      <alignment vertical="center"/>
      <protection hidden="1"/>
    </xf>
    <xf numFmtId="3" fontId="13" fillId="0" borderId="13" xfId="0" applyNumberFormat="1" applyFont="1" applyFill="1" applyBorder="1" applyAlignment="1" applyProtection="1">
      <alignment horizontal="center" vertical="center"/>
      <protection hidden="1"/>
    </xf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6" borderId="13" xfId="0" applyFont="1" applyFill="1" applyBorder="1" applyAlignment="1" applyProtection="1">
      <alignment horizontal="center" vertical="center"/>
      <protection hidden="1"/>
    </xf>
    <xf numFmtId="3" fontId="13" fillId="6" borderId="21" xfId="0" applyNumberFormat="1" applyFont="1" applyFill="1" applyBorder="1" applyAlignment="1" applyProtection="1">
      <alignment horizontal="center" vertical="center"/>
      <protection hidden="1"/>
    </xf>
    <xf numFmtId="165" fontId="13" fillId="0" borderId="13" xfId="0" applyNumberFormat="1" applyFont="1" applyFill="1" applyBorder="1" applyAlignment="1" applyProtection="1">
      <alignment horizontal="center" vertical="center"/>
      <protection hidden="1"/>
    </xf>
    <xf numFmtId="165" fontId="14" fillId="0" borderId="22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Protection="1">
      <protection hidden="1"/>
    </xf>
    <xf numFmtId="3" fontId="4" fillId="0" borderId="0" xfId="0" applyNumberFormat="1" applyFont="1" applyBorder="1" applyProtection="1">
      <protection hidden="1"/>
    </xf>
    <xf numFmtId="0" fontId="4" fillId="0" borderId="0" xfId="0" applyNumberFormat="1" applyFont="1" applyBorder="1" applyProtection="1">
      <protection hidden="1"/>
    </xf>
    <xf numFmtId="3" fontId="0" fillId="6" borderId="9" xfId="0" applyNumberFormat="1" applyFill="1" applyBorder="1" applyAlignment="1" applyProtection="1">
      <alignment vertical="center"/>
      <protection locked="0" hidden="1"/>
    </xf>
    <xf numFmtId="3" fontId="0" fillId="6" borderId="15" xfId="0" applyNumberFormat="1" applyFill="1" applyBorder="1" applyAlignment="1" applyProtection="1">
      <alignment vertical="center"/>
      <protection locked="0" hidden="1"/>
    </xf>
    <xf numFmtId="1" fontId="1" fillId="0" borderId="0" xfId="1" applyNumberFormat="1" applyFill="1" applyAlignment="1" applyProtection="1">
      <alignment horizontal="left" vertical="center"/>
      <protection locked="0" hidden="1"/>
    </xf>
    <xf numFmtId="165" fontId="4" fillId="0" borderId="17" xfId="0" applyNumberFormat="1" applyFont="1" applyFill="1" applyBorder="1" applyAlignment="1" applyProtection="1">
      <alignment vertical="center"/>
      <protection hidden="1"/>
    </xf>
    <xf numFmtId="165" fontId="4" fillId="0" borderId="9" xfId="0" applyNumberFormat="1" applyFont="1" applyFill="1" applyBorder="1" applyAlignment="1" applyProtection="1">
      <alignment vertical="center"/>
      <protection hidden="1"/>
    </xf>
    <xf numFmtId="165" fontId="4" fillId="0" borderId="25" xfId="0" applyNumberFormat="1" applyFont="1" applyFill="1" applyBorder="1" applyAlignment="1" applyProtection="1">
      <alignment vertical="center"/>
      <protection hidden="1"/>
    </xf>
    <xf numFmtId="4" fontId="18" fillId="6" borderId="9" xfId="0" applyNumberFormat="1" applyFont="1" applyFill="1" applyBorder="1" applyAlignment="1" applyProtection="1">
      <alignment vertical="center"/>
      <protection locked="0" hidden="1"/>
    </xf>
    <xf numFmtId="4" fontId="18" fillId="6" borderId="25" xfId="0" applyNumberFormat="1" applyFont="1" applyFill="1" applyBorder="1" applyAlignment="1" applyProtection="1">
      <alignment vertical="center"/>
      <protection locked="0" hidden="1"/>
    </xf>
    <xf numFmtId="0" fontId="4" fillId="0" borderId="7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horizontal="center" vertical="center"/>
      <protection locked="0"/>
    </xf>
    <xf numFmtId="2" fontId="4" fillId="0" borderId="7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protection hidden="1"/>
    </xf>
    <xf numFmtId="3" fontId="0" fillId="6" borderId="17" xfId="0" applyNumberFormat="1" applyFont="1" applyFill="1" applyBorder="1" applyAlignment="1" applyProtection="1">
      <alignment vertical="center"/>
      <protection locked="0" hidden="1"/>
    </xf>
    <xf numFmtId="3" fontId="0" fillId="6" borderId="9" xfId="0" applyNumberFormat="1" applyFont="1" applyFill="1" applyBorder="1" applyAlignment="1" applyProtection="1">
      <alignment vertical="center"/>
      <protection locked="0" hidden="1"/>
    </xf>
    <xf numFmtId="3" fontId="0" fillId="6" borderId="25" xfId="0" applyNumberFormat="1" applyFont="1" applyFill="1" applyBorder="1" applyAlignment="1" applyProtection="1">
      <alignment vertical="center"/>
      <protection locked="0" hidden="1"/>
    </xf>
    <xf numFmtId="0" fontId="0" fillId="0" borderId="0" xfId="0" applyFill="1" applyProtection="1">
      <protection hidden="1"/>
    </xf>
    <xf numFmtId="0" fontId="4" fillId="4" borderId="29" xfId="0" applyFont="1" applyFill="1" applyBorder="1" applyAlignment="1" applyProtection="1">
      <alignment horizontal="center" vertical="center"/>
      <protection hidden="1"/>
    </xf>
    <xf numFmtId="164" fontId="4" fillId="4" borderId="15" xfId="0" applyNumberFormat="1" applyFont="1" applyFill="1" applyBorder="1" applyAlignment="1" applyProtection="1">
      <alignment horizontal="center" vertical="center"/>
      <protection hidden="1"/>
    </xf>
    <xf numFmtId="164" fontId="4" fillId="4" borderId="18" xfId="0" applyNumberFormat="1" applyFont="1" applyFill="1" applyBorder="1" applyAlignment="1" applyProtection="1">
      <alignment horizontal="center" vertical="center"/>
      <protection hidden="1"/>
    </xf>
    <xf numFmtId="2" fontId="3" fillId="4" borderId="11" xfId="0" applyNumberFormat="1" applyFont="1" applyFill="1" applyBorder="1" applyAlignment="1" applyProtection="1">
      <alignment horizontal="center" vertical="center"/>
      <protection hidden="1"/>
    </xf>
    <xf numFmtId="2" fontId="3" fillId="4" borderId="12" xfId="0" applyNumberFormat="1" applyFont="1" applyFill="1" applyBorder="1" applyAlignment="1" applyProtection="1">
      <alignment horizontal="center" vertical="center"/>
      <protection hidden="1"/>
    </xf>
    <xf numFmtId="2" fontId="3" fillId="4" borderId="13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12" xfId="0" applyNumberFormat="1" applyFont="1" applyFill="1" applyBorder="1" applyAlignment="1" applyProtection="1">
      <alignment horizontal="center" vertical="center" wrapText="1"/>
      <protection hidden="1"/>
    </xf>
    <xf numFmtId="2" fontId="3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center" vertical="center"/>
      <protection locked="0" hidden="1"/>
    </xf>
    <xf numFmtId="165" fontId="15" fillId="4" borderId="41" xfId="0" applyNumberFormat="1" applyFont="1" applyFill="1" applyBorder="1" applyAlignment="1" applyProtection="1">
      <alignment horizontal="center" vertical="center"/>
      <protection hidden="1"/>
    </xf>
    <xf numFmtId="165" fontId="15" fillId="4" borderId="42" xfId="0" applyNumberFormat="1" applyFont="1" applyFill="1" applyBorder="1" applyAlignment="1" applyProtection="1">
      <alignment horizontal="center" vertical="center"/>
      <protection hidden="1"/>
    </xf>
    <xf numFmtId="14" fontId="4" fillId="0" borderId="17" xfId="0" applyNumberFormat="1" applyFont="1" applyFill="1" applyBorder="1" applyAlignment="1" applyProtection="1">
      <alignment horizontal="center" vertical="center"/>
      <protection locked="0" hidden="1"/>
    </xf>
    <xf numFmtId="165" fontId="15" fillId="4" borderId="18" xfId="0" applyNumberFormat="1" applyFont="1" applyFill="1" applyBorder="1" applyAlignment="1" applyProtection="1">
      <alignment horizontal="center" vertical="center"/>
      <protection hidden="1"/>
    </xf>
    <xf numFmtId="3" fontId="15" fillId="4" borderId="17" xfId="0" applyNumberFormat="1" applyFont="1" applyFill="1" applyBorder="1" applyAlignment="1" applyProtection="1">
      <alignment horizontal="center" vertical="center"/>
      <protection hidden="1"/>
    </xf>
    <xf numFmtId="3" fontId="15" fillId="4" borderId="35" xfId="0" applyNumberFormat="1" applyFont="1" applyFill="1" applyBorder="1" applyAlignment="1" applyProtection="1">
      <alignment horizontal="center" vertical="center"/>
      <protection hidden="1"/>
    </xf>
    <xf numFmtId="0" fontId="4" fillId="4" borderId="43" xfId="0" applyNumberFormat="1" applyFont="1" applyFill="1" applyBorder="1" applyAlignment="1" applyProtection="1">
      <alignment horizontal="center" vertical="center"/>
      <protection hidden="1"/>
    </xf>
    <xf numFmtId="0" fontId="4" fillId="4" borderId="44" xfId="0" applyNumberFormat="1" applyFont="1" applyFill="1" applyBorder="1" applyAlignment="1" applyProtection="1">
      <alignment horizontal="center" vertical="center"/>
      <protection hidden="1"/>
    </xf>
    <xf numFmtId="0" fontId="0" fillId="4" borderId="40" xfId="0" applyFill="1" applyBorder="1" applyAlignment="1" applyProtection="1">
      <alignment horizontal="center"/>
      <protection hidden="1"/>
    </xf>
    <xf numFmtId="0" fontId="0" fillId="4" borderId="27" xfId="0" applyFill="1" applyBorder="1" applyAlignment="1" applyProtection="1">
      <alignment horizontal="center"/>
      <protection hidden="1"/>
    </xf>
    <xf numFmtId="165" fontId="15" fillId="4" borderId="46" xfId="0" applyNumberFormat="1" applyFont="1" applyFill="1" applyBorder="1" applyAlignment="1" applyProtection="1">
      <alignment horizontal="center" vertical="center"/>
      <protection hidden="1"/>
    </xf>
    <xf numFmtId="165" fontId="15" fillId="4" borderId="20" xfId="0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hidden="1"/>
    </xf>
    <xf numFmtId="2" fontId="19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9" fillId="4" borderId="38" xfId="0" applyNumberFormat="1" applyFont="1" applyFill="1" applyBorder="1" applyAlignment="1" applyProtection="1">
      <alignment horizontal="center" vertical="center" wrapText="1"/>
      <protection hidden="1"/>
    </xf>
    <xf numFmtId="14" fontId="4" fillId="4" borderId="30" xfId="0" applyNumberFormat="1" applyFont="1" applyFill="1" applyBorder="1" applyAlignment="1" applyProtection="1">
      <alignment horizontal="center" vertical="center"/>
      <protection hidden="1"/>
    </xf>
    <xf numFmtId="4" fontId="18" fillId="4" borderId="17" xfId="0" applyNumberFormat="1" applyFont="1" applyFill="1" applyBorder="1" applyAlignment="1" applyProtection="1">
      <alignment horizontal="center" vertical="center"/>
      <protection hidden="1"/>
    </xf>
    <xf numFmtId="14" fontId="4" fillId="4" borderId="34" xfId="0" applyNumberFormat="1" applyFont="1" applyFill="1" applyBorder="1" applyAlignment="1" applyProtection="1">
      <alignment horizontal="center" vertical="center"/>
      <protection hidden="1"/>
    </xf>
    <xf numFmtId="14" fontId="4" fillId="4" borderId="35" xfId="0" applyNumberFormat="1" applyFont="1" applyFill="1" applyBorder="1" applyAlignment="1" applyProtection="1">
      <alignment horizontal="center" vertical="center"/>
      <protection hidden="1"/>
    </xf>
    <xf numFmtId="4" fontId="18" fillId="4" borderId="35" xfId="0" applyNumberFormat="1" applyFont="1" applyFill="1" applyBorder="1" applyAlignment="1" applyProtection="1">
      <alignment horizontal="center" vertical="center"/>
      <protection hidden="1"/>
    </xf>
    <xf numFmtId="14" fontId="4" fillId="4" borderId="46" xfId="0" applyNumberFormat="1" applyFont="1" applyFill="1" applyBorder="1" applyAlignment="1" applyProtection="1">
      <alignment horizontal="center" vertical="center"/>
      <protection hidden="1"/>
    </xf>
    <xf numFmtId="2" fontId="19" fillId="9" borderId="13" xfId="0" applyNumberFormat="1" applyFont="1" applyFill="1" applyBorder="1" applyAlignment="1" applyProtection="1">
      <alignment horizontal="center" vertical="center" wrapText="1"/>
      <protection hidden="1"/>
    </xf>
    <xf numFmtId="3" fontId="17" fillId="8" borderId="28" xfId="5" applyNumberFormat="1" applyFont="1" applyBorder="1" applyAlignment="1" applyProtection="1">
      <alignment vertical="center"/>
      <protection hidden="1"/>
    </xf>
    <xf numFmtId="14" fontId="4" fillId="6" borderId="31" xfId="0" applyNumberFormat="1" applyFont="1" applyFill="1" applyBorder="1" applyAlignment="1" applyProtection="1">
      <alignment vertical="center"/>
      <protection locked="0" hidden="1"/>
    </xf>
    <xf numFmtId="14" fontId="4" fillId="6" borderId="19" xfId="0" applyNumberFormat="1" applyFont="1" applyFill="1" applyBorder="1" applyAlignment="1" applyProtection="1">
      <alignment vertical="center"/>
      <protection locked="0" hidden="1"/>
    </xf>
    <xf numFmtId="14" fontId="4" fillId="6" borderId="9" xfId="0" applyNumberFormat="1" applyFont="1" applyFill="1" applyBorder="1" applyAlignment="1" applyProtection="1">
      <alignment vertical="center"/>
      <protection locked="0" hidden="1"/>
    </xf>
    <xf numFmtId="0" fontId="4" fillId="10" borderId="28" xfId="6" applyFont="1" applyBorder="1" applyAlignment="1" applyProtection="1">
      <alignment horizontal="center" vertical="center"/>
      <protection locked="0" hidden="1"/>
    </xf>
    <xf numFmtId="2" fontId="20" fillId="0" borderId="36" xfId="4" applyNumberFormat="1" applyFont="1" applyFill="1" applyBorder="1" applyAlignment="1" applyProtection="1">
      <alignment horizontal="center" vertical="center"/>
      <protection locked="0"/>
    </xf>
    <xf numFmtId="2" fontId="20" fillId="0" borderId="37" xfId="4" applyNumberFormat="1" applyFont="1" applyFill="1" applyBorder="1" applyAlignment="1" applyProtection="1">
      <alignment horizontal="center" vertical="center"/>
      <protection locked="0"/>
    </xf>
    <xf numFmtId="2" fontId="1" fillId="7" borderId="28" xfId="4" applyNumberFormat="1" applyFont="1" applyBorder="1" applyAlignment="1" applyProtection="1">
      <alignment horizontal="center" vertical="center"/>
      <protection locked="0"/>
    </xf>
    <xf numFmtId="2" fontId="19" fillId="9" borderId="28" xfId="0" applyNumberFormat="1" applyFont="1" applyFill="1" applyBorder="1" applyAlignment="1" applyProtection="1">
      <alignment horizontal="center" vertical="center"/>
      <protection hidden="1"/>
    </xf>
    <xf numFmtId="14" fontId="4" fillId="4" borderId="23" xfId="0" applyNumberFormat="1" applyFont="1" applyFill="1" applyBorder="1" applyAlignment="1" applyProtection="1">
      <alignment horizontal="center" vertical="center"/>
      <protection hidden="1"/>
    </xf>
    <xf numFmtId="14" fontId="4" fillId="4" borderId="47" xfId="0" applyNumberFormat="1" applyFont="1" applyFill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locked="0" hidden="1"/>
    </xf>
    <xf numFmtId="2" fontId="19" fillId="9" borderId="33" xfId="0" applyNumberFormat="1" applyFont="1" applyFill="1" applyBorder="1" applyAlignment="1" applyProtection="1">
      <alignment horizontal="center" vertical="center"/>
      <protection hidden="1"/>
    </xf>
    <xf numFmtId="2" fontId="19" fillId="9" borderId="22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48" xfId="0" applyFont="1" applyBorder="1" applyAlignment="1" applyProtection="1">
      <alignment horizontal="center" vertical="center"/>
      <protection locked="0" hidden="1"/>
    </xf>
    <xf numFmtId="4" fontId="18" fillId="6" borderId="48" xfId="0" applyNumberFormat="1" applyFont="1" applyFill="1" applyBorder="1" applyAlignment="1" applyProtection="1">
      <alignment vertical="center"/>
      <protection locked="0" hidden="1"/>
    </xf>
    <xf numFmtId="4" fontId="18" fillId="6" borderId="17" xfId="0" applyNumberFormat="1" applyFont="1" applyFill="1" applyBorder="1" applyAlignment="1" applyProtection="1">
      <alignment vertical="center"/>
      <protection locked="0" hidden="1"/>
    </xf>
    <xf numFmtId="0" fontId="4" fillId="0" borderId="18" xfId="0" applyFont="1" applyBorder="1" applyAlignment="1" applyProtection="1">
      <alignment horizontal="center" vertical="center"/>
      <protection locked="0" hidden="1"/>
    </xf>
    <xf numFmtId="0" fontId="4" fillId="0" borderId="20" xfId="0" applyFont="1" applyBorder="1" applyAlignment="1" applyProtection="1">
      <alignment horizontal="center" vertical="center"/>
      <protection locked="0" hidden="1"/>
    </xf>
    <xf numFmtId="0" fontId="4" fillId="0" borderId="51" xfId="0" applyFont="1" applyBorder="1" applyAlignment="1" applyProtection="1">
      <alignment horizontal="center" vertical="center"/>
      <protection locked="0" hidden="1"/>
    </xf>
    <xf numFmtId="2" fontId="19" fillId="9" borderId="50" xfId="0" applyNumberFormat="1" applyFont="1" applyFill="1" applyBorder="1" applyAlignment="1" applyProtection="1">
      <alignment horizontal="center" vertical="center" wrapText="1"/>
      <protection hidden="1"/>
    </xf>
    <xf numFmtId="14" fontId="4" fillId="4" borderId="54" xfId="0" applyNumberFormat="1" applyFont="1" applyFill="1" applyBorder="1" applyAlignment="1" applyProtection="1">
      <alignment horizontal="center" vertical="center"/>
      <protection hidden="1"/>
    </xf>
    <xf numFmtId="0" fontId="4" fillId="4" borderId="23" xfId="0" applyFont="1" applyFill="1" applyBorder="1" applyAlignment="1" applyProtection="1">
      <alignment horizontal="center" vertical="center"/>
      <protection hidden="1"/>
    </xf>
    <xf numFmtId="0" fontId="4" fillId="4" borderId="24" xfId="0" applyFont="1" applyFill="1" applyBorder="1" applyAlignment="1" applyProtection="1">
      <alignment horizontal="center" vertical="center"/>
      <protection hidden="1"/>
    </xf>
    <xf numFmtId="165" fontId="4" fillId="4" borderId="17" xfId="0" applyNumberFormat="1" applyFont="1" applyFill="1" applyBorder="1" applyAlignment="1" applyProtection="1">
      <alignment horizontal="center" vertical="center"/>
      <protection hidden="1"/>
    </xf>
    <xf numFmtId="165" fontId="4" fillId="4" borderId="55" xfId="0" applyNumberFormat="1" applyFont="1" applyFill="1" applyBorder="1" applyAlignment="1" applyProtection="1">
      <alignment horizontal="center" vertical="center"/>
      <protection hidden="1"/>
    </xf>
    <xf numFmtId="2" fontId="19" fillId="9" borderId="49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6" xfId="0" applyFont="1" applyBorder="1" applyAlignment="1" applyProtection="1">
      <alignment horizontal="center" vertical="center"/>
      <protection locked="0" hidden="1"/>
    </xf>
    <xf numFmtId="0" fontId="4" fillId="0" borderId="52" xfId="0" applyFont="1" applyBorder="1" applyAlignment="1" applyProtection="1">
      <alignment horizontal="center" vertical="center"/>
      <protection locked="0" hidden="1"/>
    </xf>
    <xf numFmtId="14" fontId="4" fillId="4" borderId="57" xfId="0" applyNumberFormat="1" applyFont="1" applyFill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/>
      <protection locked="0" hidden="1"/>
    </xf>
    <xf numFmtId="1" fontId="23" fillId="0" borderId="23" xfId="0" applyNumberFormat="1" applyFont="1" applyBorder="1" applyProtection="1">
      <protection hidden="1"/>
    </xf>
    <xf numFmtId="1" fontId="23" fillId="0" borderId="24" xfId="0" applyNumberFormat="1" applyFont="1" applyBorder="1" applyProtection="1">
      <protection hidden="1"/>
    </xf>
    <xf numFmtId="4" fontId="18" fillId="0" borderId="9" xfId="0" applyNumberFormat="1" applyFont="1" applyFill="1" applyBorder="1" applyAlignment="1" applyProtection="1">
      <alignment vertical="center"/>
      <protection hidden="1"/>
    </xf>
    <xf numFmtId="0" fontId="0" fillId="0" borderId="15" xfId="0" applyBorder="1" applyProtection="1">
      <protection locked="0" hidden="1"/>
    </xf>
    <xf numFmtId="0" fontId="0" fillId="0" borderId="17" xfId="0" applyBorder="1" applyProtection="1">
      <protection locked="0" hidden="1"/>
    </xf>
    <xf numFmtId="0" fontId="0" fillId="0" borderId="19" xfId="0" applyBorder="1" applyProtection="1">
      <protection locked="0" hidden="1"/>
    </xf>
    <xf numFmtId="0" fontId="0" fillId="0" borderId="9" xfId="0" applyBorder="1" applyProtection="1">
      <protection locked="0" hidden="1"/>
    </xf>
    <xf numFmtId="0" fontId="0" fillId="0" borderId="53" xfId="0" applyBorder="1" applyProtection="1">
      <protection locked="0" hidden="1"/>
    </xf>
    <xf numFmtId="0" fontId="0" fillId="0" borderId="48" xfId="0" applyBorder="1" applyProtection="1">
      <protection locked="0" hidden="1"/>
    </xf>
    <xf numFmtId="0" fontId="21" fillId="0" borderId="58" xfId="0" applyFont="1" applyBorder="1" applyProtection="1">
      <protection locked="0" hidden="1"/>
    </xf>
    <xf numFmtId="0" fontId="21" fillId="0" borderId="25" xfId="0" applyFont="1" applyBorder="1" applyProtection="1">
      <protection locked="0" hidden="1"/>
    </xf>
    <xf numFmtId="0" fontId="21" fillId="0" borderId="19" xfId="0" applyFont="1" applyBorder="1" applyProtection="1">
      <protection locked="0" hidden="1"/>
    </xf>
    <xf numFmtId="0" fontId="21" fillId="0" borderId="9" xfId="0" applyFont="1" applyBorder="1" applyProtection="1">
      <protection locked="0" hidden="1"/>
    </xf>
    <xf numFmtId="0" fontId="21" fillId="0" borderId="53" xfId="0" applyFont="1" applyBorder="1" applyProtection="1">
      <protection locked="0" hidden="1"/>
    </xf>
    <xf numFmtId="0" fontId="21" fillId="0" borderId="48" xfId="0" applyFont="1" applyBorder="1" applyProtection="1">
      <protection locked="0" hidden="1"/>
    </xf>
    <xf numFmtId="0" fontId="22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164" fontId="4" fillId="4" borderId="7" xfId="0" applyNumberFormat="1" applyFont="1" applyFill="1" applyBorder="1" applyAlignment="1" applyProtection="1">
      <alignment horizontal="center" vertical="center"/>
      <protection locked="0"/>
    </xf>
    <xf numFmtId="164" fontId="7" fillId="4" borderId="0" xfId="0" applyNumberFormat="1" applyFont="1" applyFill="1" applyBorder="1" applyAlignment="1">
      <alignment horizontal="center" vertical="center"/>
    </xf>
    <xf numFmtId="164" fontId="8" fillId="4" borderId="8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>
      <alignment horizontal="center" vertical="center"/>
    </xf>
    <xf numFmtId="3" fontId="0" fillId="6" borderId="15" xfId="0" applyNumberFormat="1" applyFont="1" applyFill="1" applyBorder="1" applyAlignment="1" applyProtection="1">
      <alignment vertical="center"/>
      <protection locked="0" hidden="1"/>
    </xf>
    <xf numFmtId="0" fontId="0" fillId="0" borderId="0" xfId="0" applyNumberFormat="1" applyFill="1" applyAlignment="1" applyProtection="1">
      <alignment horizontal="center" vertical="center"/>
      <protection locked="0"/>
    </xf>
    <xf numFmtId="3" fontId="0" fillId="0" borderId="8" xfId="0" applyNumberFormat="1" applyFill="1" applyBorder="1" applyAlignment="1" applyProtection="1">
      <alignment horizontal="center" vertical="center"/>
      <protection locked="0"/>
    </xf>
    <xf numFmtId="164" fontId="37" fillId="4" borderId="0" xfId="0" applyNumberFormat="1" applyFont="1" applyFill="1" applyBorder="1" applyAlignment="1">
      <alignment horizontal="center" vertical="center"/>
    </xf>
    <xf numFmtId="164" fontId="38" fillId="4" borderId="8" xfId="0" applyNumberFormat="1" applyFont="1" applyFill="1" applyBorder="1" applyAlignment="1">
      <alignment horizontal="center" vertical="center"/>
    </xf>
    <xf numFmtId="0" fontId="39" fillId="4" borderId="0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 applyProtection="1">
      <alignment horizontal="center" vertical="center"/>
      <protection locked="0"/>
    </xf>
    <xf numFmtId="0" fontId="41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NumberFormat="1" applyFont="1" applyFill="1" applyBorder="1" applyAlignment="1">
      <alignment horizontal="center" vertical="center"/>
    </xf>
    <xf numFmtId="164" fontId="40" fillId="0" borderId="0" xfId="0" applyNumberFormat="1" applyFont="1" applyFill="1" applyBorder="1" applyAlignment="1">
      <alignment horizontal="center" vertical="center"/>
    </xf>
    <xf numFmtId="164" fontId="40" fillId="0" borderId="8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 applyProtection="1">
      <alignment horizontal="center" vertical="center"/>
      <protection locked="0"/>
    </xf>
    <xf numFmtId="0" fontId="38" fillId="0" borderId="0" xfId="0" applyNumberFormat="1" applyFont="1" applyFill="1" applyAlignment="1">
      <alignment horizontal="center" vertical="center"/>
    </xf>
    <xf numFmtId="164" fontId="40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Fill="1" applyAlignment="1">
      <alignment horizontal="center" vertical="center"/>
    </xf>
    <xf numFmtId="0" fontId="22" fillId="30" borderId="0" xfId="0" applyNumberFormat="1" applyFont="1" applyFill="1" applyAlignment="1">
      <alignment horizontal="center" vertical="center"/>
    </xf>
    <xf numFmtId="0" fontId="22" fillId="0" borderId="67" xfId="0" applyNumberFormat="1" applyFont="1" applyFill="1" applyBorder="1" applyAlignment="1">
      <alignment horizontal="center" vertical="center"/>
    </xf>
    <xf numFmtId="4" fontId="0" fillId="2" borderId="17" xfId="0" applyNumberFormat="1" applyFill="1" applyBorder="1" applyAlignment="1" applyProtection="1">
      <alignment vertical="center"/>
      <protection hidden="1"/>
    </xf>
    <xf numFmtId="165" fontId="0" fillId="2" borderId="18" xfId="0" applyNumberFormat="1" applyFont="1" applyFill="1" applyBorder="1" applyAlignment="1" applyProtection="1">
      <alignment vertical="center"/>
      <protection hidden="1"/>
    </xf>
    <xf numFmtId="4" fontId="0" fillId="2" borderId="9" xfId="0" applyNumberFormat="1" applyFill="1" applyBorder="1" applyAlignment="1" applyProtection="1">
      <alignment vertical="center"/>
      <protection hidden="1"/>
    </xf>
    <xf numFmtId="165" fontId="0" fillId="2" borderId="20" xfId="0" applyNumberFormat="1" applyFont="1" applyFill="1" applyBorder="1" applyAlignment="1" applyProtection="1">
      <alignment vertical="center"/>
      <protection hidden="1"/>
    </xf>
    <xf numFmtId="4" fontId="0" fillId="2" borderId="25" xfId="0" applyNumberFormat="1" applyFill="1" applyBorder="1" applyAlignment="1" applyProtection="1">
      <alignment vertical="center"/>
      <protection hidden="1"/>
    </xf>
    <xf numFmtId="165" fontId="0" fillId="2" borderId="26" xfId="0" applyNumberFormat="1" applyFont="1" applyFill="1" applyBorder="1" applyAlignment="1" applyProtection="1">
      <alignment vertical="center"/>
      <protection hidden="1"/>
    </xf>
    <xf numFmtId="4" fontId="4" fillId="32" borderId="9" xfId="0" applyNumberFormat="1" applyFont="1" applyFill="1" applyBorder="1" applyAlignment="1" applyProtection="1">
      <alignment vertical="center"/>
      <protection hidden="1"/>
    </xf>
    <xf numFmtId="165" fontId="4" fillId="31" borderId="20" xfId="0" applyNumberFormat="1" applyFont="1" applyFill="1" applyBorder="1" applyAlignment="1" applyProtection="1">
      <alignment vertical="center"/>
      <protection hidden="1"/>
    </xf>
    <xf numFmtId="2" fontId="1" fillId="0" borderId="0" xfId="1" applyNumberFormat="1" applyFill="1" applyAlignment="1" applyProtection="1">
      <alignment horizontal="center" vertical="center"/>
      <protection hidden="1"/>
    </xf>
    <xf numFmtId="2" fontId="1" fillId="7" borderId="9" xfId="4" applyNumberFormat="1" applyFont="1" applyBorder="1" applyAlignment="1" applyProtection="1">
      <alignment horizontal="center" vertical="center"/>
      <protection hidden="1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3">
    <cellStyle name="20% - Акцент1" xfId="7"/>
    <cellStyle name="20% - Акцент2" xfId="8"/>
    <cellStyle name="20% - Акцент3" xfId="9"/>
    <cellStyle name="20% - Акцент4" xfId="10"/>
    <cellStyle name="20% - Акцент5" xfId="11"/>
    <cellStyle name="20% - Акцент6" xfId="12"/>
    <cellStyle name="40% - Акцент1" xfId="13"/>
    <cellStyle name="40% - Акцент2" xfId="14"/>
    <cellStyle name="40% - Акцент3" xfId="15"/>
    <cellStyle name="40% - Акцент4" xfId="16"/>
    <cellStyle name="40% - Акцент5" xfId="17"/>
    <cellStyle name="40% - Акцент6" xfId="18"/>
    <cellStyle name="60% - Акцент1" xfId="19"/>
    <cellStyle name="60% - Акцент2" xfId="20"/>
    <cellStyle name="60% - Акцент3" xfId="21"/>
    <cellStyle name="60% - Акцент4" xfId="22"/>
    <cellStyle name="60% - Акцент5" xfId="23"/>
    <cellStyle name="60% - Акцент6" xfId="24"/>
    <cellStyle name="Акцент1" xfId="25"/>
    <cellStyle name="Акцент2" xfId="26"/>
    <cellStyle name="Акцент3" xfId="27"/>
    <cellStyle name="Акцент4" xfId="28"/>
    <cellStyle name="Акцент5" xfId="29"/>
    <cellStyle name="Акцент6" xfId="30"/>
    <cellStyle name="Ввод " xfId="31"/>
    <cellStyle name="Вывод" xfId="32"/>
    <cellStyle name="Вычисление 2" xfId="3"/>
    <cellStyle name="Заголовок 1" xfId="33"/>
    <cellStyle name="Заголовок 2" xfId="34"/>
    <cellStyle name="Заголовок 3" xfId="35"/>
    <cellStyle name="Заголовок 4 2" xfId="2"/>
    <cellStyle name="Итог" xfId="36"/>
    <cellStyle name="Контрольная ячейка" xfId="37"/>
    <cellStyle name="Название" xfId="1" builtinId="15" customBuiltin="1"/>
    <cellStyle name="Нейтральный" xfId="5"/>
    <cellStyle name="Обычный" xfId="0" builtinId="0"/>
    <cellStyle name="Плохой" xfId="38"/>
    <cellStyle name="Пояснение" xfId="39"/>
    <cellStyle name="Примечание" xfId="6" builtinId="10"/>
    <cellStyle name="Примечание 2" xfId="4"/>
    <cellStyle name="Связанная ячейка" xfId="40"/>
    <cellStyle name="Текст предупреждения" xfId="41"/>
    <cellStyle name="Хороший" xfId="42"/>
  </cellStyles>
  <dxfs count="191">
    <dxf>
      <font>
        <b val="0"/>
        <strike val="0"/>
        <outline val="0"/>
        <shadow val="0"/>
        <vertAlign val="baseline"/>
        <sz val="10"/>
        <color auto="1"/>
        <name val="Arial Cyr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strike val="0"/>
        <outline val="0"/>
        <shadow val="0"/>
        <vertAlign val="baseline"/>
        <sz val="10"/>
        <color auto="1"/>
        <name val="Arial Cyr"/>
        <scheme val="none"/>
      </font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rgb="FF00B050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5" tint="-0.249977111117893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4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ont>
        <b val="0"/>
        <strike val="0"/>
        <outline val="0"/>
        <shadow val="0"/>
        <u val="none"/>
        <vertAlign val="baseline"/>
        <sz val="10"/>
        <color theme="5" tint="-0.249977111117893"/>
        <name val="Arial Cyr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ont>
        <b val="0"/>
        <strike val="0"/>
        <outline val="0"/>
        <shadow val="0"/>
        <vertAlign val="baseline"/>
        <sz val="10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rgb="FF00B050"/>
        <name val="Arial Cyr"/>
        <scheme val="none"/>
      </font>
      <numFmt numFmtId="164" formatCode="0.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0"/>
        <color theme="4"/>
        <name val="Arial Cyr"/>
        <scheme val="none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font>
        <b/>
        <strike val="0"/>
        <outline val="0"/>
        <shadow val="0"/>
        <u val="none"/>
        <vertAlign val="baseline"/>
        <sz val="10"/>
        <color rgb="FF00B050"/>
        <name val="Arial Cyr"/>
        <scheme val="none"/>
      </font>
      <numFmt numFmtId="164" formatCode="0.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relativeIndent="255" justifyLastLine="0" shrinkToFit="0" mergeCell="0" readingOrder="0"/>
      <border diagonalUp="0" diagonalDown="0" outline="0">
        <left/>
        <right style="medium">
          <color indexed="64"/>
        </right>
        <top/>
        <bottom/>
      </border>
    </dxf>
    <dxf>
      <font>
        <b/>
        <strike val="0"/>
        <outline val="0"/>
        <shadow val="0"/>
        <u val="none"/>
        <vertAlign val="baseline"/>
        <sz val="10"/>
        <color theme="3"/>
        <name val="Arial Cyr"/>
        <scheme val="none"/>
      </font>
      <numFmt numFmtId="164" formatCode="0.000"/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relativeIndent="255" justifyLastLine="0" shrinkToFit="0" mergeCell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numFmt numFmtId="164" formatCode="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medium">
          <color indexed="64"/>
        </left>
        <right/>
        <top/>
        <bottom/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outline="0">
        <right style="medium">
          <color indexed="64"/>
        </right>
      </border>
      <protection locked="0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protection locked="0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readingOrder="0"/>
      <protection locked="0" hidden="0"/>
    </dxf>
    <dxf>
      <font>
        <b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indent="0" relativeIndent="255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fill>
        <patternFill patternType="solid">
          <fgColor indexed="64"/>
          <bgColor rgb="FFFFFF00"/>
        </patternFill>
      </fill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numFmt numFmtId="19" formatCode="dd/mm/yyyy"/>
      <protection locked="1" hidden="1"/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rgb="FF000000"/>
        </patternFill>
      </fill>
      <alignment textRotation="0" indent="0" relativeIndent="255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rgb="FF000000"/>
        </patternFill>
      </fill>
      <alignment vertical="center" textRotation="0" indent="0" relativeIndent="255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numFmt numFmtId="19" formatCode="dd/mm/yyyy"/>
      <protection locked="1" hidden="1"/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rgb="FF000000"/>
        </patternFill>
      </fill>
      <alignment textRotation="0" indent="0" relativeIndent="255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rgb="FF000000"/>
        </patternFill>
      </fill>
      <alignment vertical="center" textRotation="0" indent="0" relativeIndent="255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numFmt numFmtId="19" formatCode="dd/mm/yyyy"/>
      <protection locked="1" hidden="1"/>
    </dxf>
    <dxf>
      <border>
        <top style="medium">
          <color rgb="FF000000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rgb="FF000000"/>
        </patternFill>
      </fill>
      <alignment textRotation="0" indent="0" relativeIndent="255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rgb="FF000000"/>
        </patternFill>
      </fill>
      <alignment vertical="center" textRotation="0" indent="0" relativeIndent="255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rgb="FF000000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strike val="0"/>
        <outline val="0"/>
        <shadow val="0"/>
        <u val="none"/>
        <vertAlign val="baseline"/>
        <sz val="10"/>
        <color auto="1"/>
        <name val="Arial Cyr"/>
        <scheme val="none"/>
      </font>
      <numFmt numFmtId="165" formatCode="#,##0.000"/>
      <border outline="0">
        <left style="thin">
          <color indexed="64"/>
        </left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 outline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 outline="0">
        <left style="thin">
          <color indexed="64"/>
        </left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165" formatCode="#,##0.000"/>
      <border diagonalUp="0" diagonalDown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165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4" formatCode="#,##0.00"/>
      <border diagonalUp="0" diagonalDown="0">
        <left/>
        <right style="thin">
          <color indexed="64"/>
        </right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/>
      </border>
      <protection locked="1" hidden="1"/>
    </dxf>
    <dxf>
      <font>
        <b val="0"/>
        <strike val="0"/>
        <outline val="0"/>
        <shadow val="0"/>
        <u val="none"/>
        <vertAlign val="baseline"/>
        <sz val="10"/>
        <color auto="1"/>
        <name val="Arial Cyr"/>
        <scheme val="none"/>
      </font>
      <border diagonalUp="0" diagonalDown="0">
        <left/>
        <right style="thin">
          <color indexed="64"/>
        </right>
        <top/>
        <bottom/>
      </border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border diagonalUp="0" diagonalDown="0" outline="0">
        <left style="thin">
          <color indexed="64"/>
        </left>
        <right/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0"/>
        <color rgb="FF0070C0"/>
        <name val="Arial Cyr"/>
        <scheme val="none"/>
      </font>
      <numFmt numFmtId="4" formatCode="#,##0.00"/>
      <fill>
        <patternFill patternType="none">
          <fgColor indexed="64"/>
          <bgColor indexed="65"/>
        </patternFill>
      </fill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yr"/>
        <scheme val="none"/>
      </font>
      <numFmt numFmtId="0" formatCode="General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  <protection locked="1" hidden="1"/>
    </dxf>
    <dxf>
      <numFmt numFmtId="3" formatCode="#,##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 style="medium">
          <color indexed="64"/>
        </top>
        <bottom style="medium">
          <color indexed="64"/>
        </bottom>
      </border>
      <protection locked="1" hidden="1"/>
    </dxf>
    <dxf>
      <font>
        <b/>
      </font>
      <fill>
        <patternFill patternType="solid">
          <fgColor indexed="64"/>
          <bgColor theme="0"/>
        </patternFill>
      </fill>
      <protection locked="0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 Cyr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1"/>
    </dxf>
    <dxf>
      <numFmt numFmtId="19" formatCode="dd/mm/yyyy"/>
      <protection locked="1" hidden="1"/>
    </dxf>
    <dxf>
      <border>
        <top style="medium">
          <color indexed="64"/>
        </top>
        <vertical/>
        <horizontal/>
      </border>
    </dxf>
    <dxf>
      <font>
        <strike val="0"/>
        <outline val="0"/>
        <shadow val="0"/>
        <u val="none"/>
        <vertAlign val="baseline"/>
        <sz val="12"/>
        <color auto="1"/>
        <name val="Arial Cyr"/>
        <scheme val="none"/>
      </font>
      <numFmt numFmtId="2" formatCode="0.00"/>
      <fill>
        <patternFill>
          <fgColor indexed="64"/>
        </patternFill>
      </fill>
      <alignment textRotation="0" indent="0" relativeIndent="255" justifyLastLine="0" shrinkToFit="0" readingOrder="0"/>
      <border diagonalUp="0" diagonalDown="0">
        <right/>
        <bottom/>
      </border>
      <protection locked="1" hidden="1"/>
    </dxf>
    <dxf>
      <numFmt numFmtId="166" formatCode="#,000"/>
      <fill>
        <patternFill>
          <fgColor indexed="64"/>
        </patternFill>
      </fill>
      <alignment vertical="center" textRotation="0" indent="0" relativeIndent="255" justifyLastLine="0" shrinkToFit="0" readingOrder="0"/>
      <border diagonalUp="0" diagonalDown="0">
        <right/>
        <bottom/>
      </border>
      <protection locked="1" hidden="1"/>
    </dxf>
    <dxf>
      <border>
        <bottom style="medium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 Cyr"/>
        <scheme val="none"/>
      </font>
      <numFmt numFmtId="2" formatCode="0.00"/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relativeIndent="255" justifyLastLine="0" shrinkToFit="0" readingOrder="0"/>
      <border diagonalUp="0" diagonalDown="0">
        <left/>
        <right/>
        <top/>
        <bottom/>
      </border>
      <protection locked="1" hidden="1"/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/Desktop/&#1052;&#1045;&#1058;&#1040;&#1051;&#1054;%20&#1041;&#1040;&#1047;&#1040;%20&#1072;&#1074;&#1090;&#1086;&#1084;&#1072;&#1090;&#1080;&#1079;&#1072;&#1094;&#1080;&#1103;/&#1041;&#1072;&#1079;&#1072;/&#1044;&#1058;%202018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отрудники"/>
      <sheetName val="ТС"/>
      <sheetName val="Номер"/>
    </sheetNames>
    <sheetDataSet>
      <sheetData sheetId="0">
        <row r="4">
          <cell r="D4">
            <v>43105</v>
          </cell>
        </row>
      </sheetData>
      <sheetData sheetId="1">
        <row r="4">
          <cell r="D4">
            <v>43132</v>
          </cell>
        </row>
      </sheetData>
      <sheetData sheetId="2">
        <row r="4">
          <cell r="D4">
            <v>43160</v>
          </cell>
        </row>
      </sheetData>
      <sheetData sheetId="3">
        <row r="4">
          <cell r="D4">
            <v>43191</v>
          </cell>
          <cell r="E4">
            <v>200</v>
          </cell>
          <cell r="G4" t="str">
            <v>б/н</v>
          </cell>
        </row>
        <row r="5">
          <cell r="D5">
            <v>43191</v>
          </cell>
          <cell r="E5">
            <v>100</v>
          </cell>
          <cell r="G5" t="str">
            <v>б/н</v>
          </cell>
        </row>
        <row r="6">
          <cell r="D6">
            <v>43192</v>
          </cell>
          <cell r="E6">
            <v>230</v>
          </cell>
          <cell r="G6" t="str">
            <v>б/н</v>
          </cell>
        </row>
        <row r="7">
          <cell r="D7">
            <v>43192</v>
          </cell>
          <cell r="E7">
            <v>200</v>
          </cell>
          <cell r="G7" t="str">
            <v>б/н</v>
          </cell>
        </row>
        <row r="8">
          <cell r="D8">
            <v>43192</v>
          </cell>
          <cell r="E8">
            <v>130</v>
          </cell>
          <cell r="G8" t="str">
            <v>х 733 ун 197</v>
          </cell>
        </row>
        <row r="9">
          <cell r="D9">
            <v>43192</v>
          </cell>
          <cell r="E9">
            <v>100</v>
          </cell>
          <cell r="G9" t="str">
            <v>б/н</v>
          </cell>
        </row>
        <row r="10">
          <cell r="D10">
            <v>43193</v>
          </cell>
          <cell r="E10">
            <v>290</v>
          </cell>
          <cell r="G10" t="str">
            <v>б/н</v>
          </cell>
        </row>
        <row r="11">
          <cell r="D11">
            <v>43193</v>
          </cell>
          <cell r="E11">
            <v>220</v>
          </cell>
          <cell r="G11" t="str">
            <v>б/н</v>
          </cell>
        </row>
        <row r="12">
          <cell r="D12">
            <v>43193</v>
          </cell>
          <cell r="E12">
            <v>100</v>
          </cell>
          <cell r="G12" t="str">
            <v>б/н</v>
          </cell>
        </row>
        <row r="13">
          <cell r="D13">
            <v>43194</v>
          </cell>
          <cell r="E13">
            <v>280</v>
          </cell>
          <cell r="G13" t="str">
            <v>б/н</v>
          </cell>
        </row>
        <row r="14">
          <cell r="D14">
            <v>43194</v>
          </cell>
          <cell r="E14">
            <v>220</v>
          </cell>
          <cell r="G14" t="str">
            <v>б/н</v>
          </cell>
        </row>
        <row r="15">
          <cell r="D15">
            <v>43194</v>
          </cell>
          <cell r="E15">
            <v>300</v>
          </cell>
          <cell r="G15" t="str">
            <v>к 855 ке 197</v>
          </cell>
        </row>
        <row r="16">
          <cell r="D16">
            <v>43194</v>
          </cell>
          <cell r="E16">
            <v>100</v>
          </cell>
          <cell r="G16" t="str">
            <v>б/н</v>
          </cell>
        </row>
        <row r="17">
          <cell r="D17">
            <v>43195</v>
          </cell>
          <cell r="E17">
            <v>230</v>
          </cell>
          <cell r="G17" t="str">
            <v>б/н</v>
          </cell>
        </row>
        <row r="18">
          <cell r="D18">
            <v>43195</v>
          </cell>
          <cell r="E18">
            <v>220</v>
          </cell>
          <cell r="G18" t="str">
            <v>к 463 вт 197</v>
          </cell>
        </row>
        <row r="19">
          <cell r="D19">
            <v>43195</v>
          </cell>
          <cell r="E19">
            <v>330</v>
          </cell>
          <cell r="G19" t="str">
            <v>р 908 он 197</v>
          </cell>
        </row>
        <row r="20">
          <cell r="D20">
            <v>43195</v>
          </cell>
          <cell r="E20">
            <v>250</v>
          </cell>
          <cell r="G20" t="str">
            <v>б/н</v>
          </cell>
        </row>
        <row r="21">
          <cell r="D21">
            <v>43195</v>
          </cell>
          <cell r="E21">
            <v>150</v>
          </cell>
          <cell r="G21" t="str">
            <v>б/н</v>
          </cell>
        </row>
        <row r="22">
          <cell r="D22">
            <v>43196</v>
          </cell>
          <cell r="E22">
            <v>170</v>
          </cell>
          <cell r="G22" t="str">
            <v>б/н</v>
          </cell>
        </row>
        <row r="23">
          <cell r="D23">
            <v>43196</v>
          </cell>
          <cell r="E23">
            <v>140</v>
          </cell>
          <cell r="G23" t="str">
            <v>б/н</v>
          </cell>
        </row>
        <row r="24">
          <cell r="D24">
            <v>43196</v>
          </cell>
          <cell r="E24">
            <v>170</v>
          </cell>
          <cell r="G24" t="str">
            <v>б/н</v>
          </cell>
        </row>
        <row r="25">
          <cell r="D25">
            <v>43196</v>
          </cell>
          <cell r="E25">
            <v>150</v>
          </cell>
          <cell r="G25" t="str">
            <v>б/н</v>
          </cell>
        </row>
        <row r="26">
          <cell r="D26">
            <v>43196</v>
          </cell>
          <cell r="E26">
            <v>0</v>
          </cell>
          <cell r="G26">
            <v>0</v>
          </cell>
        </row>
        <row r="27">
          <cell r="D27">
            <v>43197</v>
          </cell>
          <cell r="E27">
            <v>265</v>
          </cell>
          <cell r="G27" t="str">
            <v>в 300 нс 197</v>
          </cell>
        </row>
        <row r="28">
          <cell r="D28">
            <v>43197</v>
          </cell>
          <cell r="E28">
            <v>200</v>
          </cell>
          <cell r="G28" t="str">
            <v>б/н</v>
          </cell>
        </row>
        <row r="29">
          <cell r="D29">
            <v>43197</v>
          </cell>
          <cell r="E29">
            <v>150</v>
          </cell>
          <cell r="G29" t="str">
            <v>б/н</v>
          </cell>
        </row>
        <row r="30">
          <cell r="D30">
            <v>43198</v>
          </cell>
          <cell r="E30">
            <v>270</v>
          </cell>
          <cell r="G30" t="str">
            <v>б/н</v>
          </cell>
        </row>
        <row r="31">
          <cell r="D31">
            <v>43198</v>
          </cell>
          <cell r="E31">
            <v>330</v>
          </cell>
          <cell r="G31" t="str">
            <v>к 463 вт 197</v>
          </cell>
        </row>
        <row r="32">
          <cell r="D32">
            <v>43198</v>
          </cell>
          <cell r="E32">
            <v>150</v>
          </cell>
          <cell r="G32" t="str">
            <v>б/н</v>
          </cell>
        </row>
        <row r="33">
          <cell r="D33">
            <v>43199</v>
          </cell>
          <cell r="E33">
            <v>300</v>
          </cell>
          <cell r="G33" t="str">
            <v>б/н</v>
          </cell>
        </row>
        <row r="34">
          <cell r="D34">
            <v>43199</v>
          </cell>
          <cell r="E34">
            <v>200</v>
          </cell>
          <cell r="G34" t="str">
            <v>б/н</v>
          </cell>
        </row>
        <row r="35">
          <cell r="D35">
            <v>43199</v>
          </cell>
          <cell r="E35">
            <v>150</v>
          </cell>
          <cell r="G35" t="str">
            <v>б/н</v>
          </cell>
        </row>
        <row r="36">
          <cell r="D36">
            <v>43200</v>
          </cell>
          <cell r="E36">
            <v>200</v>
          </cell>
          <cell r="G36" t="str">
            <v>б/н</v>
          </cell>
        </row>
        <row r="37">
          <cell r="D37">
            <v>43200</v>
          </cell>
          <cell r="E37">
            <v>370</v>
          </cell>
          <cell r="G37" t="str">
            <v>к 855 ке 197</v>
          </cell>
        </row>
        <row r="38">
          <cell r="D38">
            <v>43200</v>
          </cell>
          <cell r="E38">
            <v>200</v>
          </cell>
          <cell r="G38" t="str">
            <v>б/н</v>
          </cell>
        </row>
        <row r="39">
          <cell r="D39">
            <v>43200</v>
          </cell>
          <cell r="E39">
            <v>350</v>
          </cell>
          <cell r="G39" t="str">
            <v>в 300 нс 197</v>
          </cell>
        </row>
        <row r="40">
          <cell r="D40">
            <v>43200</v>
          </cell>
          <cell r="E40">
            <v>150</v>
          </cell>
          <cell r="G40" t="str">
            <v>б/н</v>
          </cell>
        </row>
        <row r="41">
          <cell r="D41">
            <v>43201</v>
          </cell>
          <cell r="E41">
            <v>290</v>
          </cell>
          <cell r="G41" t="str">
            <v>б/н</v>
          </cell>
        </row>
        <row r="42">
          <cell r="D42">
            <v>43201</v>
          </cell>
          <cell r="E42">
            <v>350</v>
          </cell>
          <cell r="G42" t="str">
            <v>т 056 вв 197</v>
          </cell>
        </row>
        <row r="43">
          <cell r="D43">
            <v>43201</v>
          </cell>
          <cell r="E43">
            <v>250</v>
          </cell>
          <cell r="G43" t="str">
            <v>б/н</v>
          </cell>
        </row>
        <row r="44">
          <cell r="D44">
            <v>43201</v>
          </cell>
          <cell r="E44">
            <v>260</v>
          </cell>
          <cell r="G44" t="str">
            <v>в 434 ру 197</v>
          </cell>
        </row>
        <row r="45">
          <cell r="D45">
            <v>43201</v>
          </cell>
          <cell r="E45">
            <v>50</v>
          </cell>
          <cell r="G45" t="str">
            <v>е 969 кк 197</v>
          </cell>
        </row>
        <row r="46">
          <cell r="D46">
            <v>43201</v>
          </cell>
          <cell r="E46">
            <v>180</v>
          </cell>
          <cell r="G46" t="str">
            <v>б/н</v>
          </cell>
        </row>
        <row r="47">
          <cell r="D47">
            <v>43202</v>
          </cell>
          <cell r="E47">
            <v>210</v>
          </cell>
          <cell r="G47" t="str">
            <v>б/н</v>
          </cell>
        </row>
        <row r="48">
          <cell r="D48">
            <v>43202</v>
          </cell>
          <cell r="E48">
            <v>0</v>
          </cell>
          <cell r="G48">
            <v>0</v>
          </cell>
        </row>
        <row r="49">
          <cell r="D49">
            <v>43202</v>
          </cell>
          <cell r="E49">
            <v>180</v>
          </cell>
          <cell r="G49" t="str">
            <v>б/н</v>
          </cell>
        </row>
        <row r="50">
          <cell r="D50">
            <v>43202</v>
          </cell>
          <cell r="E50">
            <v>170</v>
          </cell>
          <cell r="G50" t="str">
            <v>т 056 вв 197</v>
          </cell>
        </row>
        <row r="51">
          <cell r="D51">
            <v>43203</v>
          </cell>
          <cell r="E51">
            <v>230</v>
          </cell>
          <cell r="G51" t="str">
            <v>б/н</v>
          </cell>
        </row>
        <row r="52">
          <cell r="D52">
            <v>43203</v>
          </cell>
          <cell r="E52">
            <v>330</v>
          </cell>
          <cell r="G52" t="str">
            <v>к 463 вт 197</v>
          </cell>
        </row>
        <row r="53">
          <cell r="D53">
            <v>43203</v>
          </cell>
          <cell r="E53">
            <v>280</v>
          </cell>
          <cell r="G53" t="str">
            <v>б/н</v>
          </cell>
        </row>
        <row r="54">
          <cell r="D54">
            <v>43203</v>
          </cell>
          <cell r="E54">
            <v>340</v>
          </cell>
          <cell r="G54" t="str">
            <v>р 908 он 197</v>
          </cell>
        </row>
        <row r="55">
          <cell r="D55">
            <v>43203</v>
          </cell>
          <cell r="E55">
            <v>220</v>
          </cell>
          <cell r="G55" t="str">
            <v>в 433 ру 197</v>
          </cell>
        </row>
        <row r="56">
          <cell r="D56">
            <v>43203</v>
          </cell>
          <cell r="E56">
            <v>180</v>
          </cell>
          <cell r="G56" t="str">
            <v>б/н</v>
          </cell>
        </row>
        <row r="57">
          <cell r="D57">
            <v>43204</v>
          </cell>
          <cell r="E57">
            <v>240</v>
          </cell>
          <cell r="G57" t="str">
            <v>б/н</v>
          </cell>
        </row>
        <row r="58">
          <cell r="D58">
            <v>43204</v>
          </cell>
          <cell r="E58">
            <v>190</v>
          </cell>
          <cell r="G58" t="str">
            <v>б/н</v>
          </cell>
        </row>
        <row r="59">
          <cell r="D59">
            <v>43204</v>
          </cell>
          <cell r="E59">
            <v>140</v>
          </cell>
          <cell r="G59" t="str">
            <v>в 434 ру 197</v>
          </cell>
        </row>
        <row r="60">
          <cell r="D60">
            <v>43204</v>
          </cell>
          <cell r="E60">
            <v>420</v>
          </cell>
          <cell r="G60" t="str">
            <v>к 855 ке 197</v>
          </cell>
        </row>
        <row r="61">
          <cell r="D61">
            <v>43204</v>
          </cell>
          <cell r="E61">
            <v>320</v>
          </cell>
          <cell r="G61" t="str">
            <v>в 300 нс 197</v>
          </cell>
        </row>
        <row r="62">
          <cell r="D62">
            <v>43204</v>
          </cell>
          <cell r="E62">
            <v>30</v>
          </cell>
          <cell r="G62" t="str">
            <v>в 433 ру 197</v>
          </cell>
        </row>
        <row r="63">
          <cell r="D63">
            <v>43204</v>
          </cell>
          <cell r="E63">
            <v>165</v>
          </cell>
          <cell r="G63" t="str">
            <v>к 463 вт 197</v>
          </cell>
        </row>
        <row r="64">
          <cell r="D64">
            <v>43204</v>
          </cell>
          <cell r="E64">
            <v>130</v>
          </cell>
          <cell r="G64" t="str">
            <v>р 908 он 197</v>
          </cell>
        </row>
        <row r="65">
          <cell r="D65">
            <v>43204</v>
          </cell>
          <cell r="E65">
            <v>0</v>
          </cell>
          <cell r="G65">
            <v>0</v>
          </cell>
        </row>
        <row r="66">
          <cell r="D66">
            <v>43205</v>
          </cell>
          <cell r="E66">
            <v>260</v>
          </cell>
          <cell r="G66" t="str">
            <v>б/н</v>
          </cell>
        </row>
        <row r="67">
          <cell r="D67">
            <v>43205</v>
          </cell>
          <cell r="E67">
            <v>320</v>
          </cell>
          <cell r="G67" t="str">
            <v>б/н</v>
          </cell>
        </row>
        <row r="68">
          <cell r="D68">
            <v>43205</v>
          </cell>
          <cell r="E68">
            <v>150</v>
          </cell>
          <cell r="G68" t="str">
            <v>б/н</v>
          </cell>
        </row>
        <row r="69">
          <cell r="D69">
            <v>43206</v>
          </cell>
          <cell r="E69">
            <v>220</v>
          </cell>
          <cell r="G69" t="str">
            <v>б/н</v>
          </cell>
        </row>
        <row r="70">
          <cell r="D70">
            <v>43206</v>
          </cell>
          <cell r="E70">
            <v>0</v>
          </cell>
          <cell r="G70">
            <v>0</v>
          </cell>
        </row>
        <row r="71">
          <cell r="D71">
            <v>43206</v>
          </cell>
          <cell r="E71">
            <v>150</v>
          </cell>
          <cell r="G71" t="str">
            <v>б/н</v>
          </cell>
        </row>
        <row r="72">
          <cell r="D72">
            <v>43207</v>
          </cell>
          <cell r="E72">
            <v>210</v>
          </cell>
          <cell r="G72" t="str">
            <v>б/н</v>
          </cell>
        </row>
        <row r="73">
          <cell r="D73">
            <v>43207</v>
          </cell>
          <cell r="E73">
            <v>150</v>
          </cell>
          <cell r="G73" t="str">
            <v>б/н</v>
          </cell>
        </row>
        <row r="74">
          <cell r="D74">
            <v>43208</v>
          </cell>
          <cell r="E74">
            <v>250</v>
          </cell>
          <cell r="G74" t="str">
            <v>б/н</v>
          </cell>
        </row>
        <row r="75">
          <cell r="D75">
            <v>43208</v>
          </cell>
          <cell r="E75">
            <v>220</v>
          </cell>
          <cell r="G75" t="str">
            <v>б/н</v>
          </cell>
        </row>
        <row r="76">
          <cell r="D76">
            <v>43208</v>
          </cell>
          <cell r="E76">
            <v>50</v>
          </cell>
          <cell r="G76" t="str">
            <v>б/н</v>
          </cell>
        </row>
        <row r="77">
          <cell r="D77">
            <v>43208</v>
          </cell>
          <cell r="E77">
            <v>270</v>
          </cell>
          <cell r="G77" t="str">
            <v>с 504 уо 777</v>
          </cell>
        </row>
        <row r="78">
          <cell r="D78">
            <v>43208</v>
          </cell>
          <cell r="E78">
            <v>150</v>
          </cell>
          <cell r="G78" t="str">
            <v>б/н</v>
          </cell>
        </row>
        <row r="79">
          <cell r="D79">
            <v>43209</v>
          </cell>
          <cell r="E79">
            <v>270</v>
          </cell>
          <cell r="G79" t="str">
            <v>б/н</v>
          </cell>
        </row>
        <row r="80">
          <cell r="D80">
            <v>43209</v>
          </cell>
          <cell r="E80">
            <v>330</v>
          </cell>
          <cell r="G80" t="str">
            <v>е 969 кк 197</v>
          </cell>
        </row>
        <row r="81">
          <cell r="D81">
            <v>43209</v>
          </cell>
          <cell r="E81">
            <v>20</v>
          </cell>
          <cell r="G81" t="str">
            <v>а 346 мт 777</v>
          </cell>
        </row>
        <row r="82">
          <cell r="D82">
            <v>43209</v>
          </cell>
          <cell r="E82">
            <v>150</v>
          </cell>
          <cell r="G82" t="str">
            <v>б/н</v>
          </cell>
        </row>
        <row r="83">
          <cell r="D83">
            <v>43209</v>
          </cell>
          <cell r="E83">
            <v>200</v>
          </cell>
          <cell r="G83" t="str">
            <v>б/н</v>
          </cell>
        </row>
        <row r="84">
          <cell r="D84">
            <v>43209</v>
          </cell>
          <cell r="E84">
            <v>100</v>
          </cell>
          <cell r="G84" t="str">
            <v>б/н</v>
          </cell>
        </row>
        <row r="85">
          <cell r="D85">
            <v>43210</v>
          </cell>
          <cell r="E85">
            <v>280</v>
          </cell>
          <cell r="G85" t="str">
            <v>б/н</v>
          </cell>
        </row>
        <row r="86">
          <cell r="D86">
            <v>43210</v>
          </cell>
          <cell r="E86">
            <v>390</v>
          </cell>
          <cell r="G86" t="str">
            <v>к 463 вт 197</v>
          </cell>
        </row>
        <row r="87">
          <cell r="D87">
            <v>43210</v>
          </cell>
          <cell r="E87">
            <v>30</v>
          </cell>
          <cell r="G87" t="str">
            <v>в 300 нс 197</v>
          </cell>
        </row>
        <row r="88">
          <cell r="D88">
            <v>43210</v>
          </cell>
          <cell r="E88">
            <v>170</v>
          </cell>
          <cell r="G88" t="str">
            <v>б/н</v>
          </cell>
        </row>
        <row r="89">
          <cell r="D89">
            <v>43211</v>
          </cell>
          <cell r="E89">
            <v>260</v>
          </cell>
          <cell r="G89" t="str">
            <v>б/н</v>
          </cell>
        </row>
        <row r="90">
          <cell r="D90">
            <v>43211</v>
          </cell>
          <cell r="E90">
            <v>420</v>
          </cell>
          <cell r="G90" t="str">
            <v>р 908 он 197</v>
          </cell>
        </row>
        <row r="91">
          <cell r="D91">
            <v>43211</v>
          </cell>
          <cell r="E91">
            <v>150</v>
          </cell>
          <cell r="G91" t="str">
            <v>б/н</v>
          </cell>
        </row>
        <row r="92">
          <cell r="D92">
            <v>43212</v>
          </cell>
          <cell r="E92">
            <v>360</v>
          </cell>
          <cell r="G92" t="str">
            <v>б/н</v>
          </cell>
        </row>
        <row r="93">
          <cell r="D93">
            <v>43212</v>
          </cell>
          <cell r="E93">
            <v>150</v>
          </cell>
          <cell r="G93" t="str">
            <v>б/н</v>
          </cell>
        </row>
        <row r="94">
          <cell r="D94">
            <v>43212</v>
          </cell>
          <cell r="E94">
            <v>0</v>
          </cell>
          <cell r="G94">
            <v>0</v>
          </cell>
        </row>
        <row r="95">
          <cell r="D95">
            <v>43212</v>
          </cell>
          <cell r="E95">
            <v>310</v>
          </cell>
          <cell r="G95" t="str">
            <v>с 504 уо 777</v>
          </cell>
        </row>
        <row r="96">
          <cell r="D96">
            <v>43212</v>
          </cell>
          <cell r="E96">
            <v>310</v>
          </cell>
          <cell r="G96" t="str">
            <v>е 969 кк 197</v>
          </cell>
        </row>
        <row r="97">
          <cell r="D97">
            <v>43212</v>
          </cell>
          <cell r="E97">
            <v>110</v>
          </cell>
          <cell r="G97" t="str">
            <v>б/н</v>
          </cell>
        </row>
        <row r="98">
          <cell r="D98">
            <v>43213</v>
          </cell>
          <cell r="E98">
            <v>300</v>
          </cell>
          <cell r="G98" t="str">
            <v>б/н</v>
          </cell>
        </row>
        <row r="99">
          <cell r="D99">
            <v>43213</v>
          </cell>
          <cell r="E99">
            <v>60</v>
          </cell>
          <cell r="G99" t="str">
            <v>б/н</v>
          </cell>
        </row>
        <row r="100">
          <cell r="D100">
            <v>43213</v>
          </cell>
          <cell r="E100">
            <v>150</v>
          </cell>
          <cell r="G100" t="str">
            <v>б/н</v>
          </cell>
        </row>
        <row r="101">
          <cell r="D101">
            <v>43214</v>
          </cell>
          <cell r="E101">
            <v>330</v>
          </cell>
          <cell r="G101" t="str">
            <v>б/н</v>
          </cell>
        </row>
        <row r="102">
          <cell r="D102">
            <v>43214</v>
          </cell>
          <cell r="E102">
            <v>220</v>
          </cell>
          <cell r="G102" t="str">
            <v>б/н</v>
          </cell>
        </row>
        <row r="103">
          <cell r="D103">
            <v>43214</v>
          </cell>
          <cell r="E103">
            <v>190</v>
          </cell>
          <cell r="G103" t="str">
            <v>б/н</v>
          </cell>
        </row>
        <row r="104">
          <cell r="D104">
            <v>43215</v>
          </cell>
          <cell r="E104">
            <v>250</v>
          </cell>
          <cell r="G104" t="str">
            <v>б/н</v>
          </cell>
        </row>
        <row r="105">
          <cell r="D105">
            <v>43215</v>
          </cell>
          <cell r="E105">
            <v>410</v>
          </cell>
          <cell r="G105" t="str">
            <v>р 908 он 197</v>
          </cell>
        </row>
        <row r="106">
          <cell r="D106">
            <v>43215</v>
          </cell>
          <cell r="E106">
            <v>200</v>
          </cell>
          <cell r="G106" t="str">
            <v>б/н</v>
          </cell>
        </row>
        <row r="107">
          <cell r="D107">
            <v>43216</v>
          </cell>
          <cell r="E107">
            <v>280</v>
          </cell>
          <cell r="G107" t="str">
            <v>б/н</v>
          </cell>
        </row>
        <row r="108">
          <cell r="D108">
            <v>43216</v>
          </cell>
          <cell r="E108">
            <v>330</v>
          </cell>
          <cell r="G108" t="str">
            <v>к 463 вт 197</v>
          </cell>
        </row>
        <row r="109">
          <cell r="D109">
            <v>43216</v>
          </cell>
          <cell r="E109">
            <v>280</v>
          </cell>
          <cell r="G109" t="str">
            <v>с 504 уо 777</v>
          </cell>
        </row>
        <row r="110">
          <cell r="D110">
            <v>43216</v>
          </cell>
          <cell r="E110">
            <v>150</v>
          </cell>
          <cell r="G110" t="str">
            <v>б/н</v>
          </cell>
        </row>
        <row r="111">
          <cell r="D111">
            <v>43216</v>
          </cell>
          <cell r="E111">
            <v>320</v>
          </cell>
          <cell r="G111" t="str">
            <v>е 969 кк 197</v>
          </cell>
        </row>
        <row r="112">
          <cell r="D112">
            <v>43217</v>
          </cell>
          <cell r="E112">
            <v>270</v>
          </cell>
          <cell r="G112" t="str">
            <v>б/н</v>
          </cell>
        </row>
        <row r="113">
          <cell r="D113">
            <v>43217</v>
          </cell>
          <cell r="E113">
            <v>30</v>
          </cell>
          <cell r="G113" t="str">
            <v>а 346 мт 777</v>
          </cell>
        </row>
        <row r="114">
          <cell r="D114">
            <v>43217</v>
          </cell>
          <cell r="E114">
            <v>290</v>
          </cell>
          <cell r="G114" t="str">
            <v>б/н</v>
          </cell>
        </row>
        <row r="115">
          <cell r="D115">
            <v>43217</v>
          </cell>
          <cell r="E115">
            <v>150</v>
          </cell>
          <cell r="G115" t="str">
            <v>б/н</v>
          </cell>
        </row>
        <row r="116">
          <cell r="D116">
            <v>43218</v>
          </cell>
          <cell r="E116">
            <v>320</v>
          </cell>
          <cell r="G116" t="str">
            <v>б/н</v>
          </cell>
        </row>
        <row r="117">
          <cell r="D117">
            <v>43218</v>
          </cell>
          <cell r="E117">
            <v>0</v>
          </cell>
          <cell r="G117">
            <v>0</v>
          </cell>
        </row>
        <row r="118">
          <cell r="D118">
            <v>43218</v>
          </cell>
          <cell r="E118">
            <v>40</v>
          </cell>
          <cell r="G118" t="str">
            <v>а 346 мт 777</v>
          </cell>
        </row>
        <row r="119">
          <cell r="D119">
            <v>43218</v>
          </cell>
          <cell r="E119">
            <v>240</v>
          </cell>
          <cell r="G119" t="str">
            <v>б/н</v>
          </cell>
        </row>
        <row r="120">
          <cell r="D120">
            <v>43218</v>
          </cell>
          <cell r="E120">
            <v>120</v>
          </cell>
          <cell r="G120" t="str">
            <v>с 504 уо 777</v>
          </cell>
        </row>
        <row r="121">
          <cell r="D121">
            <v>43218</v>
          </cell>
          <cell r="E121">
            <v>160</v>
          </cell>
          <cell r="G121" t="str">
            <v>е 969 кк 197</v>
          </cell>
        </row>
        <row r="122">
          <cell r="D122">
            <v>43218</v>
          </cell>
          <cell r="E122">
            <v>200</v>
          </cell>
          <cell r="G122" t="str">
            <v>р 908 он 197</v>
          </cell>
        </row>
        <row r="123">
          <cell r="D123">
            <v>43218</v>
          </cell>
          <cell r="E123">
            <v>190</v>
          </cell>
          <cell r="G123" t="str">
            <v>к 463 вт 197</v>
          </cell>
        </row>
        <row r="124">
          <cell r="D124">
            <v>43218</v>
          </cell>
          <cell r="E124">
            <v>150</v>
          </cell>
          <cell r="G124" t="str">
            <v>б/н</v>
          </cell>
        </row>
        <row r="125">
          <cell r="D125">
            <v>43218</v>
          </cell>
          <cell r="E125">
            <v>300</v>
          </cell>
          <cell r="G125" t="str">
            <v>т 056 вв 197</v>
          </cell>
        </row>
        <row r="126">
          <cell r="D126">
            <v>43218</v>
          </cell>
          <cell r="E126">
            <v>0</v>
          </cell>
          <cell r="G126">
            <v>0</v>
          </cell>
        </row>
        <row r="127">
          <cell r="D127">
            <v>43219</v>
          </cell>
          <cell r="E127">
            <v>270</v>
          </cell>
          <cell r="G127" t="str">
            <v>б/н</v>
          </cell>
        </row>
        <row r="128">
          <cell r="D128">
            <v>43219</v>
          </cell>
          <cell r="E128">
            <v>110</v>
          </cell>
          <cell r="G128" t="str">
            <v>б/н</v>
          </cell>
        </row>
        <row r="129">
          <cell r="D129">
            <v>43219</v>
          </cell>
          <cell r="E129">
            <v>150</v>
          </cell>
          <cell r="G129" t="str">
            <v>б/н</v>
          </cell>
        </row>
        <row r="130">
          <cell r="D130">
            <v>43220</v>
          </cell>
          <cell r="E130">
            <v>280</v>
          </cell>
          <cell r="G130" t="str">
            <v>б/н</v>
          </cell>
        </row>
        <row r="131">
          <cell r="D131">
            <v>43220</v>
          </cell>
          <cell r="E131">
            <v>300</v>
          </cell>
          <cell r="G131" t="str">
            <v>б/н</v>
          </cell>
        </row>
        <row r="132">
          <cell r="D132">
            <v>0</v>
          </cell>
          <cell r="E132">
            <v>0</v>
          </cell>
          <cell r="G132">
            <v>0</v>
          </cell>
        </row>
        <row r="133">
          <cell r="D133">
            <v>0</v>
          </cell>
          <cell r="E133">
            <v>0</v>
          </cell>
          <cell r="G133">
            <v>0</v>
          </cell>
        </row>
        <row r="134">
          <cell r="D134">
            <v>0</v>
          </cell>
          <cell r="E134">
            <v>0</v>
          </cell>
          <cell r="G134">
            <v>0</v>
          </cell>
        </row>
        <row r="135">
          <cell r="D135">
            <v>0</v>
          </cell>
          <cell r="E135">
            <v>0</v>
          </cell>
          <cell r="G135">
            <v>0</v>
          </cell>
        </row>
        <row r="136">
          <cell r="D136">
            <v>0</v>
          </cell>
          <cell r="E136">
            <v>0</v>
          </cell>
          <cell r="G136">
            <v>0</v>
          </cell>
        </row>
        <row r="137">
          <cell r="D137">
            <v>0</v>
          </cell>
          <cell r="E137">
            <v>0</v>
          </cell>
          <cell r="G137">
            <v>0</v>
          </cell>
        </row>
        <row r="138">
          <cell r="D138">
            <v>0</v>
          </cell>
          <cell r="E138">
            <v>0</v>
          </cell>
          <cell r="G138">
            <v>0</v>
          </cell>
        </row>
        <row r="139">
          <cell r="D139">
            <v>0</v>
          </cell>
          <cell r="E139">
            <v>0</v>
          </cell>
          <cell r="G139">
            <v>0</v>
          </cell>
        </row>
        <row r="140">
          <cell r="D140">
            <v>0</v>
          </cell>
          <cell r="E140">
            <v>0</v>
          </cell>
          <cell r="G140">
            <v>0</v>
          </cell>
        </row>
        <row r="141">
          <cell r="D141">
            <v>0</v>
          </cell>
          <cell r="E141">
            <v>0</v>
          </cell>
          <cell r="G141">
            <v>0</v>
          </cell>
        </row>
        <row r="142">
          <cell r="D142">
            <v>0</v>
          </cell>
          <cell r="E142">
            <v>0</v>
          </cell>
          <cell r="G142">
            <v>0</v>
          </cell>
        </row>
        <row r="143">
          <cell r="D143">
            <v>0</v>
          </cell>
          <cell r="E143">
            <v>0</v>
          </cell>
          <cell r="G143">
            <v>0</v>
          </cell>
        </row>
        <row r="144">
          <cell r="D144">
            <v>0</v>
          </cell>
          <cell r="E144">
            <v>0</v>
          </cell>
          <cell r="G144">
            <v>0</v>
          </cell>
        </row>
        <row r="145">
          <cell r="D145">
            <v>0</v>
          </cell>
          <cell r="E145">
            <v>0</v>
          </cell>
          <cell r="G145">
            <v>0</v>
          </cell>
        </row>
        <row r="146">
          <cell r="D146">
            <v>0</v>
          </cell>
          <cell r="E146">
            <v>0</v>
          </cell>
          <cell r="G146">
            <v>0</v>
          </cell>
        </row>
        <row r="147">
          <cell r="D147">
            <v>0</v>
          </cell>
          <cell r="E147">
            <v>0</v>
          </cell>
          <cell r="G147">
            <v>0</v>
          </cell>
        </row>
        <row r="148">
          <cell r="D148">
            <v>0</v>
          </cell>
          <cell r="E148">
            <v>0</v>
          </cell>
          <cell r="G148">
            <v>0</v>
          </cell>
        </row>
        <row r="149">
          <cell r="D149">
            <v>0</v>
          </cell>
          <cell r="E149">
            <v>0</v>
          </cell>
          <cell r="G149">
            <v>0</v>
          </cell>
        </row>
        <row r="150">
          <cell r="D150">
            <v>0</v>
          </cell>
          <cell r="E150">
            <v>0</v>
          </cell>
          <cell r="G150">
            <v>0</v>
          </cell>
        </row>
        <row r="151">
          <cell r="D151">
            <v>0</v>
          </cell>
          <cell r="E151">
            <v>0</v>
          </cell>
          <cell r="G151">
            <v>0</v>
          </cell>
        </row>
        <row r="152">
          <cell r="D152">
            <v>0</v>
          </cell>
          <cell r="E152">
            <v>0</v>
          </cell>
          <cell r="G152">
            <v>0</v>
          </cell>
        </row>
        <row r="153">
          <cell r="D153">
            <v>0</v>
          </cell>
          <cell r="E153">
            <v>0</v>
          </cell>
          <cell r="G153">
            <v>0</v>
          </cell>
        </row>
      </sheetData>
      <sheetData sheetId="4">
        <row r="4">
          <cell r="D4">
            <v>43221</v>
          </cell>
        </row>
      </sheetData>
      <sheetData sheetId="5">
        <row r="4">
          <cell r="D4">
            <v>0</v>
          </cell>
        </row>
      </sheetData>
      <sheetData sheetId="6">
        <row r="4">
          <cell r="D4">
            <v>0</v>
          </cell>
        </row>
      </sheetData>
      <sheetData sheetId="7">
        <row r="4">
          <cell r="D4">
            <v>0</v>
          </cell>
        </row>
      </sheetData>
      <sheetData sheetId="8">
        <row r="4">
          <cell r="D4">
            <v>0</v>
          </cell>
        </row>
      </sheetData>
      <sheetData sheetId="9">
        <row r="4">
          <cell r="D4">
            <v>0</v>
          </cell>
        </row>
      </sheetData>
      <sheetData sheetId="10">
        <row r="4">
          <cell r="D4">
            <v>0</v>
          </cell>
        </row>
      </sheetData>
      <sheetData sheetId="11">
        <row r="4">
          <cell r="D4">
            <v>0</v>
          </cell>
        </row>
      </sheetData>
      <sheetData sheetId="12"/>
      <sheetData sheetId="13"/>
      <sheetData sheetId="14"/>
    </sheetDataSet>
  </externalBook>
</externalLink>
</file>

<file path=xl/tables/table1.xml><?xml version="1.0" encoding="utf-8"?>
<table xmlns="http://schemas.openxmlformats.org/spreadsheetml/2006/main" id="4" name="Январь" displayName="Январь" ref="A6:P38" totalsRowCount="1" headerRowDxfId="186" dataDxfId="184" totalsRowDxfId="183" headerRowBorderDxfId="185" totalsRowBorderDxfId="182">
  <tableColumns count="16">
    <tableColumn id="1" name="Дата" totalsRowLabel="Итог" dataDxfId="181" totalsRowDxfId="180"/>
    <tableColumn id="2" name="ФИО водителя" dataDxfId="179" totalsRowDxfId="178"/>
    <tableColumn id="3" name="Показание одометра машины на начало дня, км" dataDxfId="177" totalsRowDxfId="176"/>
    <tableColumn id="4" name="Показание одометра машины на конец дня, км" dataDxfId="175" totalsRowDxfId="174"/>
    <tableColumn id="5" name="Пройдено за день, км" totalsRowFunction="sum" dataDxfId="173" totalsRowDxfId="172"/>
    <tableColumn id="6" name="Выдано топливо, литр" totalsRowFunction="sum" dataDxfId="171" totalsRowDxfId="170"/>
    <tableColumn id="7" name="Остаток топлива в баке на начало дня, литр" dataDxfId="169" totalsRowDxfId="168"/>
    <tableColumn id="8" name="Показание счетчика моточасов спецоборудования на начало дня, м/ч" dataDxfId="167" totalsRowDxfId="166"/>
    <tableColumn id="9" name="Показание счетчика моточасов  спецоборудования на конец дня, м/ч" dataDxfId="165" totalsRowDxfId="164"/>
    <tableColumn id="10" name="Работа спецоборудования за день, м/ч" totalsRowFunction="sum" dataDxfId="163" totalsRowDxfId="162"/>
    <tableColumn id="11" name="Количество ходок" totalsRowFunction="sum" dataDxfId="161" totalsRowDxfId="160"/>
    <tableColumn id="12" name="Расход топлива на работу спецоборудования, литр" totalsRowFunction="sum" dataDxfId="159" totalsRowDxfId="158"/>
    <tableColumn id="13" name="Остаток топлива в баке на конец дня, литр" dataDxfId="157" totalsRowDxfId="156"/>
    <tableColumn id="14" name="Расход топлива по норме, литр" totalsRowFunction="sum" dataDxfId="155" totalsRowDxfId="154"/>
    <tableColumn id="15" name="Фактический расход топлива, литр" totalsRowFunction="sum" dataDxfId="153" totalsRowDxfId="152"/>
    <tableColumn id="16" name="Отклонение от нормы (Перерасход(+), экономия(-)), литр" totalsRowFunction="sum" dataDxfId="151" totalsRowDxfId="150"/>
  </tableColumns>
  <tableStyleInfo name="TableStyleMedium22" showFirstColumn="0" showLastColumn="0" showRowStripes="1" showColumnStripes="0"/>
</table>
</file>

<file path=xl/tables/table2.xml><?xml version="1.0" encoding="utf-8"?>
<table xmlns="http://schemas.openxmlformats.org/spreadsheetml/2006/main" id="5" name="Февраль" displayName="Февраль" ref="A6:P38" totalsRowCount="1" headerRowDxfId="145" dataDxfId="143" totalsRowDxfId="142" headerRowBorderDxfId="144" totalsRowBorderDxfId="141">
  <tableColumns count="16">
    <tableColumn id="1" name="Дата" totalsRowLabel="Итог" dataDxfId="140" totalsRowDxfId="139"/>
    <tableColumn id="2" name="ФИО водителя" dataDxfId="138" totalsRowDxfId="137"/>
    <tableColumn id="3" name="Показание одометра машины на начало дня, км" dataDxfId="136" totalsRowDxfId="135"/>
    <tableColumn id="4" name="Показание одометра машины на конец дня, км" dataDxfId="134" totalsRowDxfId="133"/>
    <tableColumn id="5" name="Пройдено за день, км" totalsRowFunction="sum" dataDxfId="132" totalsRowDxfId="131"/>
    <tableColumn id="6" name="Выдано топливо, литр" totalsRowFunction="sum" dataDxfId="130" totalsRowDxfId="129"/>
    <tableColumn id="7" name="Остаток топлива в баке на начало дня, литр" dataDxfId="128" totalsRowDxfId="127"/>
    <tableColumn id="8" name="Показание счетчика моточасов спецоборудования на начало дня, м/ч" dataDxfId="126" totalsRowDxfId="125"/>
    <tableColumn id="9" name="Показание счетчика моточасов  спецоборудования на конец дня, м/ч" dataDxfId="124" totalsRowDxfId="123"/>
    <tableColumn id="10" name="Работа спецоборудования за день, м/ч" totalsRowFunction="sum" dataDxfId="122" totalsRowDxfId="121"/>
    <tableColumn id="11" name="Количество ходок" totalsRowFunction="sum" dataDxfId="120" totalsRowDxfId="119"/>
    <tableColumn id="12" name="Расход топлива на работу спецоборудования, литр" totalsRowFunction="sum" dataDxfId="118" totalsRowDxfId="117"/>
    <tableColumn id="13" name="Остаток топлива в баке на конец дня, литр" dataDxfId="116" totalsRowDxfId="115"/>
    <tableColumn id="14" name="Расход топлива по норме, литр" totalsRowFunction="sum" dataDxfId="114" totalsRowDxfId="113"/>
    <tableColumn id="15" name="Фактический расход топлива, литр" totalsRowFunction="sum" dataDxfId="112" totalsRowDxfId="111"/>
    <tableColumn id="16" name="Отклонение от нормы (Перерасход(+), экономия(-)), литр" totalsRowFunction="sum" dataDxfId="110" totalsRowDxfId="109"/>
  </tableColumns>
  <tableStyleInfo name="TableStyleMedium22" showFirstColumn="0" showLastColumn="0" showRowStripes="1" showColumnStripes="0"/>
</table>
</file>

<file path=xl/tables/table3.xml><?xml version="1.0" encoding="utf-8"?>
<table xmlns="http://schemas.openxmlformats.org/spreadsheetml/2006/main" id="6" name="Март" displayName="Март" ref="A6:P38" totalsRowCount="1" headerRowDxfId="104" dataDxfId="102" totalsRowDxfId="101" headerRowBorderDxfId="103" totalsRowBorderDxfId="100">
  <tableColumns count="16">
    <tableColumn id="1" name="Дата" totalsRowLabel="Итог" dataDxfId="99" totalsRowDxfId="98"/>
    <tableColumn id="2" name="ФИО водителя" dataDxfId="97" totalsRowDxfId="96"/>
    <tableColumn id="3" name="Показание одометра машины на начало дня, км" dataDxfId="95" totalsRowDxfId="94"/>
    <tableColumn id="4" name="Показание одометра машины на конец дня, км" dataDxfId="93" totalsRowDxfId="92"/>
    <tableColumn id="5" name="Пройдено за день, км" totalsRowFunction="sum" dataDxfId="91" totalsRowDxfId="90"/>
    <tableColumn id="6" name="Выдано топливо, литр" totalsRowFunction="sum" dataDxfId="89" totalsRowDxfId="88"/>
    <tableColumn id="7" name="Остаток топлива в баке на начало дня, литр" dataDxfId="87" totalsRowDxfId="86"/>
    <tableColumn id="8" name="Показание счетчика моточасов спецоборудования на начало дня, м/ч" dataDxfId="85" totalsRowDxfId="84"/>
    <tableColumn id="9" name="Показание счетчика моточасов  спецоборудования на конец дня, м/ч" dataDxfId="83" totalsRowDxfId="82"/>
    <tableColumn id="10" name="Работа спецоборудования за день, м/ч" totalsRowFunction="sum" dataDxfId="81" totalsRowDxfId="80"/>
    <tableColumn id="11" name="Количество ходок" totalsRowFunction="sum" dataDxfId="79" totalsRowDxfId="78"/>
    <tableColumn id="12" name="Расход топлива на работу спецоборудования, литр" totalsRowFunction="sum" dataDxfId="77" totalsRowDxfId="76"/>
    <tableColumn id="13" name="Остаток топлива в баке на конец дня, литр" dataDxfId="75" totalsRowDxfId="74"/>
    <tableColumn id="14" name="Расход топлива по норме, литр" totalsRowFunction="sum" dataDxfId="73" totalsRowDxfId="72"/>
    <tableColumn id="15" name="Фактический расход топлива, литр" totalsRowFunction="sum" dataDxfId="71" totalsRowDxfId="70"/>
    <tableColumn id="16" name="Отклонение от нормы (Перерасход(+), экономия(-)), литр" totalsRowFunction="sum" dataDxfId="69" totalsRowDxfId="68"/>
  </tableColumns>
  <tableStyleInfo name="TableStyleMedium22" showFirstColumn="0" showLastColumn="0" showRowStripes="1" showColumnStripes="0"/>
</table>
</file>

<file path=xl/tables/table4.xml><?xml version="1.0" encoding="utf-8"?>
<table xmlns="http://schemas.openxmlformats.org/spreadsheetml/2006/main" id="1" name="Апрель" displayName="Апрель" ref="A6:P38" totalsRowCount="1" headerRowDxfId="63" dataDxfId="61" totalsRowDxfId="60" headerRowBorderDxfId="62" totalsRowBorderDxfId="59">
  <tableColumns count="16">
    <tableColumn id="1" name="Дата" totalsRowLabel="Итог" dataDxfId="58" totalsRowDxfId="57">
      <calculatedColumnFormula>IFERROR(DATEVALUE((COUNT($A$6:A6)+1)&amp;$P$1&amp;$I$4),"")</calculatedColumnFormula>
    </tableColumn>
    <tableColumn id="2" name="ФИО водителя" dataDxfId="56" totalsRowDxfId="55"/>
    <tableColumn id="3" name="Показание одометра машины на начало дня, км" dataDxfId="54" totalsRowDxfId="53"/>
    <tableColumn id="4" name="Показание одометра машины на конец дня, км" dataDxfId="52" totalsRowDxfId="51"/>
    <tableColumn id="5" name="Пройдено за день, км" totalsRowFunction="sum" dataDxfId="50" totalsRowDxfId="49">
      <calculatedColumnFormula>IFERROR(Апрель[[#This Row],[Показание одометра машины на конец дня, км]]-Апрель[[#This Row],[Показание одометра машины на начало дня, км]]+T7,"")</calculatedColumnFormula>
    </tableColumn>
    <tableColumn id="6" name="Выдано топливо, литр" totalsRowFunction="sum" dataDxfId="48" totalsRowDxfId="47">
      <calculatedColumnFormula>IF(Апрель[[#This Row],[Дата]]="","",SUMPRODUCT([1]Апрель!$E$4:$E$153*([1]Апрель!$G$4:$G$153=$O$4)*([1]Апрель!$D$4:$D$153=Апрель[[#This Row],[Дата]])))</calculatedColumnFormula>
    </tableColumn>
    <tableColumn id="7" name="Остаток топлива в баке на начало дня, литр" dataDxfId="46" totalsRowDxfId="45">
      <calculatedColumnFormula>IF(Апрель[[#This Row],[Дата]]="","",VLOOKUP($O$4,ТС!$B$5:$E$10,4,FALSE))</calculatedColumnFormula>
    </tableColumn>
    <tableColumn id="8" name="Показание счетчика моточасов спецоборудования на начало дня, м/ч" dataDxfId="44" totalsRowDxfId="43">
      <calculatedColumnFormula>IF(Апрель[[#This Row],[Дата]]="","",VLOOKUP($O$4,ТС!$B$5:$E$10,3,FALSE))</calculatedColumnFormula>
    </tableColumn>
    <tableColumn id="9" name="Показание счетчика моточасов  спецоборудования на конец дня, м/ч" dataDxfId="42" totalsRowDxfId="41"/>
    <tableColumn id="10" name="Работа спецоборудования за день, м/ч" totalsRowFunction="sum" dataDxfId="40" totalsRowDxfId="39">
      <calculatedColumnFormula>IFERROR(IF(W7="",Апрель[[#This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calculatedColumnFormula>
    </tableColumn>
    <tableColumn id="11" name="Количество ходок" totalsRowFunction="sum" dataDxfId="38" totalsRowDxfId="37"/>
    <tableColumn id="12" name="Расход топлива на работу спецоборудования, литр" totalsRowFunction="sum" dataDxfId="36" totalsRowDxfId="35">
      <calculatedColumnFormula>IF(Апрель[[#This Row],[Работа спецоборудования за день, м/ч]]="","",Апрель[[#This Row],[Работа спецоборудования за день, м/ч]]*$Z$2)</calculatedColumnFormula>
    </tableColumn>
    <tableColumn id="13" name="Остаток топлива в баке на конец дня, литр" dataDxfId="34" totalsRowDxfId="33">
      <calculatedColumnFormula>IFERROR(IF(VLOOKUP([Дата],S$2:U$3,3),IFERROR(IF(U7="",Апрель[[#This Row],[Выдано топливо, литр]],Апрель[[#This Row],[Выдано топливо, литр]]+U7)+Апрель[[#This Row],[Остаток топлива в баке на начало дня, литр]]-Апрель[[#This Row],[Фактический расход топлива, литр]],""),""),"")</calculatedColumnFormula>
    </tableColumn>
    <tableColumn id="14" name="Расход топлива по норме, литр" totalsRowFunction="sum" dataDxfId="32" totalsRowDxfId="31">
      <calculatedColumnFormula>IFERROR(ROUND((Апрель[[#This Row],[Пройдено за день, км]]*0.01*$Y$2+Апрель[[#This Row],[Расход топлива на работу спецоборудования, литр]]),3)+X7,"")</calculatedColumnFormula>
    </tableColumn>
    <tableColumn id="15" name="Фактический расход топлива, литр" totalsRowFunction="sum" dataDxfId="30" totalsRowDxfId="29">
      <calculatedColumnFormula>IFERROR(IF(Апрель[[#Totals],[Выдано топливо, литр]]=0,0,(ROUND(Апрель[[#This Row],[Расход топлива по норме, литр]]/IF(DAY([Дата])&lt;=18,$W$2,$W$3),0)))+Y7,)</calculatedColumnFormula>
    </tableColumn>
    <tableColumn id="16" name="Отклонение от нормы (Перерасход(+), экономия(-)), литр" totalsRowFunction="sum" dataDxfId="28" totalsRowDxfId="27">
      <calculatedColumnFormula>IFERROR(IF(Апрель[[#Totals],[Выдано топливо, литр]]=0,0,(ROUND(Апрель[[#This Row],[Расход топлива по норме, литр]]/VLOOKUP([Дата],S$2:W$3,5),0)))+Y7,)</calculatedColumnFormula>
    </tableColumn>
  </tableColumns>
  <tableStyleInfo name="TableStyleMedium22" showFirstColumn="0" showLastColumn="0" showRowStripes="1" showColumnStripes="0"/>
</table>
</file>

<file path=xl/tables/table5.xml><?xml version="1.0" encoding="utf-8"?>
<table xmlns="http://schemas.openxmlformats.org/spreadsheetml/2006/main" id="3" name="Расчет" displayName="Расчет" ref="A4:Y10" totalsRowShown="0" headerRowDxfId="26" dataDxfId="25">
  <tableColumns count="25">
    <tableColumn id="3" name="№ п/п" dataDxfId="24"/>
    <tableColumn id="5" name="Номер гос.регистрации / Заводской номер" dataDxfId="23"/>
    <tableColumn id="6" name="Километраж, км" dataDxfId="22"/>
    <tableColumn id="7" name="Спецоборудование, м/ч" dataDxfId="21"/>
    <tableColumn id="8" name="Топливо, л" dataDxfId="20"/>
    <tableColumn id="9" name="Базовая норма расхода на 100 км" dataDxfId="19"/>
    <tableColumn id="10" name="Зима" dataDxfId="18"/>
    <tableColumn id="11" name="Лето" dataDxfId="17"/>
    <tableColumn id="12" name="Итога норма а/м ЗИМА" dataDxfId="16">
      <calculatedColumnFormula>F5*(100+G5)%</calculatedColumnFormula>
    </tableColumn>
    <tableColumn id="13" name="Итога норма а/м ЛЕТО" dataDxfId="15">
      <calculatedColumnFormula>F5*(100+H5)%</calculatedColumnFormula>
    </tableColumn>
    <tableColumn id="14" name="Базовая норма расхода на 1 мото/час" dataDxfId="14"/>
    <tableColumn id="15" name="&quot;Зима&quot;" dataDxfId="13"/>
    <tableColumn id="16" name="&quot;Лето&quot;" dataDxfId="12"/>
    <tableColumn id="17" name="Итога норма а/м &quot;ЗИМА&quot;" dataDxfId="11">
      <calculatedColumnFormula>K5*(100+L5)%</calculatedColumnFormula>
    </tableColumn>
    <tableColumn id="18" name="Итога норма а/м &quot;ЛЕТО&quot;" dataDxfId="10">
      <calculatedColumnFormula>K5*(100+M5)%</calculatedColumnFormula>
    </tableColumn>
    <tableColumn id="19" name="Норма на 100 км, литров" dataDxfId="9"/>
    <tableColumn id="20" name="движение с манипулятором" dataDxfId="8">
      <calculatedColumnFormula>R5*S5</calculatedColumnFormula>
    </tableColumn>
    <tableColumn id="21" name="Тоннаж" dataDxfId="7"/>
    <tableColumn id="22" name="Литры" dataDxfId="6"/>
    <tableColumn id="23" name="На движение с грузом" dataDxfId="5">
      <calculatedColumnFormula>U5*V5*S5</calculatedColumnFormula>
    </tableColumn>
    <tableColumn id="24" name="Тоннаж1" dataDxfId="4"/>
    <tableColumn id="25" name="К-т загрузки" dataDxfId="3"/>
    <tableColumn id="26" name="ИТОГ" dataDxfId="2">
      <calculatedColumnFormula>P5+Q5+T5</calculatedColumnFormula>
    </tableColumn>
    <tableColumn id="27" name="25% за работу в городе с населением свыше 3 млн. человек" dataDxfId="1">
      <calculatedColumnFormula>W5*25%+W5</calculatedColumnFormula>
    </tableColumn>
    <tableColumn id="28" name="10 % за работу зимой" dataDxfId="0">
      <calculatedColumnFormula>W5*10%+X5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Z41"/>
  <sheetViews>
    <sheetView tabSelected="1" zoomScale="70" zoomScaleNormal="70" workbookViewId="0">
      <pane xSplit="1" ySplit="6" topLeftCell="E7" activePane="bottomRight" state="frozen"/>
      <selection activeCell="O4" sqref="O4:P4"/>
      <selection pane="topRight" activeCell="O4" sqref="O4:P4"/>
      <selection pane="bottomLeft" activeCell="O4" sqref="O4:P4"/>
      <selection pane="bottomRight" sqref="A1:Z40"/>
    </sheetView>
  </sheetViews>
  <sheetFormatPr defaultColWidth="9.109375" defaultRowHeight="13.2"/>
  <cols>
    <col min="1" max="1" width="12.6640625" style="23" customWidth="1"/>
    <col min="2" max="2" width="15.6640625" style="23" customWidth="1"/>
    <col min="3" max="15" width="12.6640625" style="23" customWidth="1"/>
    <col min="16" max="16" width="17.6640625" style="23" customWidth="1"/>
    <col min="17" max="17" width="3.109375" style="70" customWidth="1"/>
    <col min="18" max="26" width="11.6640625" style="23" customWidth="1"/>
    <col min="27" max="27" width="11" style="23" bestFit="1" customWidth="1"/>
    <col min="28" max="16384" width="9.109375" style="23"/>
  </cols>
  <sheetData>
    <row r="1" spans="1:26" ht="51" customHeight="1" thickBot="1">
      <c r="P1" s="114" t="s">
        <v>53</v>
      </c>
      <c r="R1" s="74"/>
      <c r="S1" s="74"/>
      <c r="T1" s="111"/>
      <c r="V1" s="74"/>
      <c r="W1" s="74"/>
      <c r="X1" s="75" t="s">
        <v>65</v>
      </c>
      <c r="Y1" s="98" t="s">
        <v>32</v>
      </c>
      <c r="Z1" s="99" t="s">
        <v>37</v>
      </c>
    </row>
    <row r="2" spans="1:26" ht="22.8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R2" s="91" t="s">
        <v>74</v>
      </c>
      <c r="S2" s="100">
        <v>43101</v>
      </c>
      <c r="T2" s="87">
        <v>43118</v>
      </c>
      <c r="U2" s="89">
        <v>350</v>
      </c>
      <c r="V2" s="101">
        <v>0</v>
      </c>
      <c r="W2" s="88">
        <v>0</v>
      </c>
      <c r="X2" s="85">
        <v>0</v>
      </c>
      <c r="Y2" s="76">
        <v>46.860000000000007</v>
      </c>
      <c r="Z2" s="77">
        <v>5.5</v>
      </c>
    </row>
    <row r="3" spans="1:26" ht="23.4" thickBo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R3" s="92" t="s">
        <v>75</v>
      </c>
      <c r="S3" s="102">
        <v>43119</v>
      </c>
      <c r="T3" s="103">
        <v>43131</v>
      </c>
      <c r="U3" s="90">
        <v>350</v>
      </c>
      <c r="V3" s="104">
        <v>920</v>
      </c>
      <c r="W3" s="96">
        <v>0</v>
      </c>
      <c r="X3" s="86">
        <v>0</v>
      </c>
      <c r="Y3" s="93"/>
      <c r="Z3" s="94"/>
    </row>
    <row r="4" spans="1:26" ht="23.4" thickBot="1">
      <c r="A4" s="24"/>
      <c r="D4" s="24"/>
      <c r="E4" s="24"/>
      <c r="F4" s="24"/>
      <c r="G4" s="24"/>
      <c r="H4" s="25" t="s">
        <v>2</v>
      </c>
      <c r="I4" s="58">
        <v>2018</v>
      </c>
      <c r="K4" s="24"/>
      <c r="L4" s="24"/>
      <c r="M4" s="24"/>
      <c r="N4" s="24"/>
      <c r="O4" s="192" t="s">
        <v>85</v>
      </c>
      <c r="P4" s="192"/>
      <c r="R4" s="74"/>
      <c r="S4" s="105" t="s">
        <v>86</v>
      </c>
      <c r="V4" s="74"/>
      <c r="W4" s="95" t="s">
        <v>86</v>
      </c>
      <c r="X4" s="74"/>
      <c r="Y4" s="112" t="s">
        <v>33</v>
      </c>
      <c r="Z4" s="113" t="s">
        <v>69</v>
      </c>
    </row>
    <row r="5" spans="1:26" ht="8.25" customHeight="1" thickBot="1"/>
    <row r="6" spans="1:26" ht="63.75" customHeight="1" thickBot="1">
      <c r="A6" s="78" t="s">
        <v>3</v>
      </c>
      <c r="B6" s="79" t="s">
        <v>4</v>
      </c>
      <c r="C6" s="80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1" t="s">
        <v>11</v>
      </c>
      <c r="J6" s="81" t="s">
        <v>12</v>
      </c>
      <c r="K6" s="81" t="s">
        <v>13</v>
      </c>
      <c r="L6" s="81" t="s">
        <v>14</v>
      </c>
      <c r="M6" s="81" t="s">
        <v>15</v>
      </c>
      <c r="N6" s="81" t="s">
        <v>16</v>
      </c>
      <c r="O6" s="81" t="s">
        <v>17</v>
      </c>
      <c r="P6" s="82" t="s">
        <v>18</v>
      </c>
      <c r="R6" s="115" t="s">
        <v>3</v>
      </c>
      <c r="S6" s="127" t="s">
        <v>72</v>
      </c>
      <c r="T6" s="106" t="s">
        <v>7</v>
      </c>
      <c r="U6" s="106" t="s">
        <v>8</v>
      </c>
      <c r="V6" s="106" t="s">
        <v>73</v>
      </c>
      <c r="W6" s="106" t="s">
        <v>12</v>
      </c>
      <c r="X6" s="106" t="s">
        <v>16</v>
      </c>
      <c r="Y6" s="120" t="s">
        <v>17</v>
      </c>
      <c r="Z6" s="119" t="s">
        <v>3</v>
      </c>
    </row>
    <row r="7" spans="1:26" ht="15" customHeight="1" thickBot="1">
      <c r="A7" s="26">
        <v>43101</v>
      </c>
      <c r="B7" s="108"/>
      <c r="C7" s="107">
        <v>23190</v>
      </c>
      <c r="D7" s="57">
        <v>23190</v>
      </c>
      <c r="E7" s="27">
        <v>0</v>
      </c>
      <c r="F7" s="140">
        <v>0</v>
      </c>
      <c r="G7" s="107">
        <v>350</v>
      </c>
      <c r="H7" s="107">
        <v>1306</v>
      </c>
      <c r="I7" s="57">
        <v>1306</v>
      </c>
      <c r="J7" s="28">
        <v>0</v>
      </c>
      <c r="K7" s="71"/>
      <c r="L7" s="29">
        <v>0</v>
      </c>
      <c r="M7" s="60">
        <v>350</v>
      </c>
      <c r="N7" s="30">
        <v>0</v>
      </c>
      <c r="O7" s="29">
        <v>0</v>
      </c>
      <c r="P7" s="31">
        <v>0</v>
      </c>
      <c r="R7" s="116">
        <v>43101</v>
      </c>
      <c r="S7" s="141"/>
      <c r="T7" s="83"/>
      <c r="U7" s="123"/>
      <c r="V7" s="142"/>
      <c r="W7" s="83"/>
      <c r="X7" s="83"/>
      <c r="Y7" s="124"/>
      <c r="Z7" s="116">
        <v>43101</v>
      </c>
    </row>
    <row r="8" spans="1:26" ht="12.75" customHeight="1">
      <c r="A8" s="32">
        <v>43102</v>
      </c>
      <c r="B8" s="109"/>
      <c r="C8" s="39">
        <v>23190</v>
      </c>
      <c r="D8" s="56">
        <v>23190</v>
      </c>
      <c r="E8" s="34">
        <v>0</v>
      </c>
      <c r="F8" s="140">
        <v>0</v>
      </c>
      <c r="G8" s="39">
        <v>350</v>
      </c>
      <c r="H8" s="39">
        <v>1306</v>
      </c>
      <c r="I8" s="56">
        <v>1306</v>
      </c>
      <c r="J8" s="33">
        <v>0</v>
      </c>
      <c r="K8" s="72"/>
      <c r="L8" s="35">
        <v>0</v>
      </c>
      <c r="M8" s="60">
        <v>350</v>
      </c>
      <c r="N8" s="36">
        <v>0</v>
      </c>
      <c r="O8" s="35">
        <v>0</v>
      </c>
      <c r="P8" s="37">
        <v>0</v>
      </c>
      <c r="R8" s="117">
        <v>43102</v>
      </c>
      <c r="S8" s="143"/>
      <c r="T8" s="84"/>
      <c r="U8" s="62"/>
      <c r="V8" s="144"/>
      <c r="W8" s="84"/>
      <c r="X8" s="84"/>
      <c r="Y8" s="125"/>
      <c r="Z8" s="117">
        <v>43102</v>
      </c>
    </row>
    <row r="9" spans="1:26">
      <c r="A9" s="32">
        <v>43103</v>
      </c>
      <c r="B9" s="109"/>
      <c r="C9" s="39">
        <v>23190</v>
      </c>
      <c r="D9" s="56">
        <v>23190</v>
      </c>
      <c r="E9" s="34">
        <v>0</v>
      </c>
      <c r="F9" s="140">
        <v>0</v>
      </c>
      <c r="G9" s="33">
        <v>350</v>
      </c>
      <c r="H9" s="39">
        <v>1306</v>
      </c>
      <c r="I9" s="56">
        <v>1306</v>
      </c>
      <c r="J9" s="33">
        <v>0</v>
      </c>
      <c r="K9" s="72"/>
      <c r="L9" s="35">
        <v>0</v>
      </c>
      <c r="M9" s="60">
        <v>350</v>
      </c>
      <c r="N9" s="36">
        <v>0</v>
      </c>
      <c r="O9" s="35">
        <v>0</v>
      </c>
      <c r="P9" s="37">
        <v>0</v>
      </c>
      <c r="R9" s="117">
        <v>43103</v>
      </c>
      <c r="S9" s="143"/>
      <c r="T9" s="84"/>
      <c r="U9" s="62"/>
      <c r="V9" s="144"/>
      <c r="W9" s="84"/>
      <c r="X9" s="84"/>
      <c r="Y9" s="125"/>
      <c r="Z9" s="117">
        <v>43103</v>
      </c>
    </row>
    <row r="10" spans="1:26">
      <c r="A10" s="32">
        <v>43104</v>
      </c>
      <c r="B10" s="109"/>
      <c r="C10" s="39">
        <v>23190</v>
      </c>
      <c r="D10" s="56">
        <v>23190</v>
      </c>
      <c r="E10" s="34">
        <v>0</v>
      </c>
      <c r="F10" s="140">
        <v>0</v>
      </c>
      <c r="G10" s="33">
        <v>350</v>
      </c>
      <c r="H10" s="39">
        <v>1306</v>
      </c>
      <c r="I10" s="56">
        <v>1306</v>
      </c>
      <c r="J10" s="33">
        <v>0</v>
      </c>
      <c r="K10" s="72"/>
      <c r="L10" s="35">
        <v>0</v>
      </c>
      <c r="M10" s="60">
        <v>350</v>
      </c>
      <c r="N10" s="36">
        <v>0</v>
      </c>
      <c r="O10" s="35">
        <v>0</v>
      </c>
      <c r="P10" s="37">
        <v>0</v>
      </c>
      <c r="R10" s="117">
        <v>43104</v>
      </c>
      <c r="S10" s="143"/>
      <c r="T10" s="84"/>
      <c r="U10" s="62"/>
      <c r="V10" s="144"/>
      <c r="W10" s="84"/>
      <c r="X10" s="84"/>
      <c r="Y10" s="125"/>
      <c r="Z10" s="117">
        <v>43104</v>
      </c>
    </row>
    <row r="11" spans="1:26">
      <c r="A11" s="32">
        <v>43105</v>
      </c>
      <c r="B11" s="109"/>
      <c r="C11" s="39">
        <v>23190</v>
      </c>
      <c r="D11" s="56">
        <v>23190</v>
      </c>
      <c r="E11" s="34">
        <v>0</v>
      </c>
      <c r="F11" s="140">
        <v>0</v>
      </c>
      <c r="G11" s="33">
        <v>350</v>
      </c>
      <c r="H11" s="39">
        <v>1306</v>
      </c>
      <c r="I11" s="56">
        <v>1306</v>
      </c>
      <c r="J11" s="33">
        <v>0</v>
      </c>
      <c r="K11" s="72"/>
      <c r="L11" s="35">
        <v>0</v>
      </c>
      <c r="M11" s="60">
        <v>350</v>
      </c>
      <c r="N11" s="36">
        <v>0</v>
      </c>
      <c r="O11" s="35">
        <v>0</v>
      </c>
      <c r="P11" s="37">
        <v>0</v>
      </c>
      <c r="R11" s="117">
        <v>43105</v>
      </c>
      <c r="S11" s="143"/>
      <c r="T11" s="84"/>
      <c r="U11" s="62"/>
      <c r="V11" s="144"/>
      <c r="W11" s="84"/>
      <c r="X11" s="84"/>
      <c r="Y11" s="125"/>
      <c r="Z11" s="117">
        <v>43105</v>
      </c>
    </row>
    <row r="12" spans="1:26">
      <c r="A12" s="32">
        <v>43106</v>
      </c>
      <c r="B12" s="109"/>
      <c r="C12" s="39">
        <v>23190</v>
      </c>
      <c r="D12" s="56">
        <v>23190</v>
      </c>
      <c r="E12" s="34">
        <v>0</v>
      </c>
      <c r="F12" s="140">
        <v>0</v>
      </c>
      <c r="G12" s="33">
        <v>350</v>
      </c>
      <c r="H12" s="39">
        <v>1306</v>
      </c>
      <c r="I12" s="56">
        <v>1306</v>
      </c>
      <c r="J12" s="33">
        <v>0</v>
      </c>
      <c r="K12" s="72"/>
      <c r="L12" s="35">
        <v>0</v>
      </c>
      <c r="M12" s="60">
        <v>350</v>
      </c>
      <c r="N12" s="36">
        <v>0</v>
      </c>
      <c r="O12" s="35">
        <v>0</v>
      </c>
      <c r="P12" s="37">
        <v>0</v>
      </c>
      <c r="R12" s="117">
        <v>43106</v>
      </c>
      <c r="S12" s="143"/>
      <c r="T12" s="84"/>
      <c r="U12" s="62"/>
      <c r="V12" s="144"/>
      <c r="W12" s="84"/>
      <c r="X12" s="84"/>
      <c r="Y12" s="125"/>
      <c r="Z12" s="117">
        <v>43106</v>
      </c>
    </row>
    <row r="13" spans="1:26">
      <c r="A13" s="32">
        <v>43107</v>
      </c>
      <c r="B13" s="109"/>
      <c r="C13" s="39">
        <v>23190</v>
      </c>
      <c r="D13" s="56">
        <v>23190</v>
      </c>
      <c r="E13" s="34">
        <v>0</v>
      </c>
      <c r="F13" s="140">
        <v>0</v>
      </c>
      <c r="G13" s="33">
        <v>350</v>
      </c>
      <c r="H13" s="39">
        <v>1306</v>
      </c>
      <c r="I13" s="56">
        <v>1306</v>
      </c>
      <c r="J13" s="33">
        <v>0</v>
      </c>
      <c r="K13" s="72"/>
      <c r="L13" s="35">
        <v>0</v>
      </c>
      <c r="M13" s="60">
        <v>350</v>
      </c>
      <c r="N13" s="36">
        <v>0</v>
      </c>
      <c r="O13" s="35">
        <v>0</v>
      </c>
      <c r="P13" s="37">
        <v>0</v>
      </c>
      <c r="R13" s="117">
        <v>43107</v>
      </c>
      <c r="S13" s="143"/>
      <c r="T13" s="84"/>
      <c r="U13" s="62"/>
      <c r="V13" s="144"/>
      <c r="W13" s="84"/>
      <c r="X13" s="84"/>
      <c r="Y13" s="125"/>
      <c r="Z13" s="117">
        <v>43107</v>
      </c>
    </row>
    <row r="14" spans="1:26">
      <c r="A14" s="32">
        <v>43108</v>
      </c>
      <c r="B14" s="109"/>
      <c r="C14" s="39">
        <v>23190</v>
      </c>
      <c r="D14" s="56">
        <v>23190</v>
      </c>
      <c r="E14" s="34">
        <v>0</v>
      </c>
      <c r="F14" s="140">
        <v>0</v>
      </c>
      <c r="G14" s="33">
        <v>350</v>
      </c>
      <c r="H14" s="39">
        <v>1306</v>
      </c>
      <c r="I14" s="56">
        <v>1306</v>
      </c>
      <c r="J14" s="33">
        <v>0</v>
      </c>
      <c r="K14" s="72"/>
      <c r="L14" s="35">
        <v>0</v>
      </c>
      <c r="M14" s="60">
        <v>350</v>
      </c>
      <c r="N14" s="36">
        <v>0</v>
      </c>
      <c r="O14" s="35">
        <v>0</v>
      </c>
      <c r="P14" s="37">
        <v>0</v>
      </c>
      <c r="R14" s="117">
        <v>43108</v>
      </c>
      <c r="S14" s="143"/>
      <c r="T14" s="84"/>
      <c r="U14" s="62"/>
      <c r="V14" s="144"/>
      <c r="W14" s="84"/>
      <c r="X14" s="84"/>
      <c r="Y14" s="125"/>
      <c r="Z14" s="117">
        <v>43108</v>
      </c>
    </row>
    <row r="15" spans="1:26">
      <c r="A15" s="32">
        <v>43109</v>
      </c>
      <c r="B15" s="109"/>
      <c r="C15" s="39">
        <v>23190</v>
      </c>
      <c r="D15" s="56">
        <v>23190</v>
      </c>
      <c r="E15" s="34">
        <v>0</v>
      </c>
      <c r="F15" s="140">
        <v>0</v>
      </c>
      <c r="G15" s="33">
        <v>350</v>
      </c>
      <c r="H15" s="39">
        <v>1306</v>
      </c>
      <c r="I15" s="56">
        <v>1306</v>
      </c>
      <c r="J15" s="33">
        <v>0</v>
      </c>
      <c r="K15" s="72"/>
      <c r="L15" s="35">
        <v>0</v>
      </c>
      <c r="M15" s="60">
        <v>350</v>
      </c>
      <c r="N15" s="36">
        <v>0</v>
      </c>
      <c r="O15" s="35">
        <v>0</v>
      </c>
      <c r="P15" s="37">
        <v>0</v>
      </c>
      <c r="R15" s="117">
        <v>43109</v>
      </c>
      <c r="S15" s="143"/>
      <c r="T15" s="84"/>
      <c r="U15" s="62"/>
      <c r="V15" s="144"/>
      <c r="W15" s="84"/>
      <c r="X15" s="84"/>
      <c r="Y15" s="125"/>
      <c r="Z15" s="117">
        <v>43109</v>
      </c>
    </row>
    <row r="16" spans="1:26">
      <c r="A16" s="32">
        <v>43110</v>
      </c>
      <c r="B16" s="109"/>
      <c r="C16" s="39">
        <v>23190</v>
      </c>
      <c r="D16" s="56">
        <v>23190</v>
      </c>
      <c r="E16" s="34">
        <v>0</v>
      </c>
      <c r="F16" s="140">
        <v>0</v>
      </c>
      <c r="G16" s="33">
        <v>350</v>
      </c>
      <c r="H16" s="39">
        <v>1306</v>
      </c>
      <c r="I16" s="56">
        <v>1306</v>
      </c>
      <c r="J16" s="33">
        <v>0</v>
      </c>
      <c r="K16" s="72"/>
      <c r="L16" s="35">
        <v>0</v>
      </c>
      <c r="M16" s="60">
        <v>350</v>
      </c>
      <c r="N16" s="36">
        <v>0</v>
      </c>
      <c r="O16" s="35">
        <v>0</v>
      </c>
      <c r="P16" s="37">
        <v>0</v>
      </c>
      <c r="R16" s="117">
        <v>43110</v>
      </c>
      <c r="S16" s="143"/>
      <c r="T16" s="84"/>
      <c r="U16" s="62"/>
      <c r="V16" s="144"/>
      <c r="W16" s="84"/>
      <c r="X16" s="84"/>
      <c r="Y16" s="125"/>
      <c r="Z16" s="117">
        <v>43110</v>
      </c>
    </row>
    <row r="17" spans="1:26">
      <c r="A17" s="32">
        <v>43111</v>
      </c>
      <c r="B17" s="109"/>
      <c r="C17" s="39">
        <v>23190</v>
      </c>
      <c r="D17" s="56">
        <v>23190</v>
      </c>
      <c r="E17" s="34">
        <v>0</v>
      </c>
      <c r="F17" s="140">
        <v>0</v>
      </c>
      <c r="G17" s="33">
        <v>350</v>
      </c>
      <c r="H17" s="39">
        <v>1306</v>
      </c>
      <c r="I17" s="56">
        <v>1306</v>
      </c>
      <c r="J17" s="33">
        <v>0</v>
      </c>
      <c r="K17" s="72"/>
      <c r="L17" s="35">
        <v>0</v>
      </c>
      <c r="M17" s="60">
        <v>350</v>
      </c>
      <c r="N17" s="36">
        <v>0</v>
      </c>
      <c r="O17" s="35">
        <v>0</v>
      </c>
      <c r="P17" s="37">
        <v>0</v>
      </c>
      <c r="R17" s="117">
        <v>43111</v>
      </c>
      <c r="S17" s="143"/>
      <c r="T17" s="84"/>
      <c r="U17" s="62"/>
      <c r="V17" s="144"/>
      <c r="W17" s="84"/>
      <c r="X17" s="84"/>
      <c r="Y17" s="125"/>
      <c r="Z17" s="117">
        <v>43111</v>
      </c>
    </row>
    <row r="18" spans="1:26">
      <c r="A18" s="32">
        <v>43112</v>
      </c>
      <c r="B18" s="109"/>
      <c r="C18" s="39">
        <v>23190</v>
      </c>
      <c r="D18" s="56">
        <v>23190</v>
      </c>
      <c r="E18" s="34">
        <v>0</v>
      </c>
      <c r="F18" s="140">
        <v>0</v>
      </c>
      <c r="G18" s="33">
        <v>350</v>
      </c>
      <c r="H18" s="39">
        <v>1306</v>
      </c>
      <c r="I18" s="56">
        <v>1306</v>
      </c>
      <c r="J18" s="33">
        <v>0</v>
      </c>
      <c r="K18" s="72"/>
      <c r="L18" s="35">
        <v>0</v>
      </c>
      <c r="M18" s="60">
        <v>350</v>
      </c>
      <c r="N18" s="36">
        <v>0</v>
      </c>
      <c r="O18" s="35">
        <v>0</v>
      </c>
      <c r="P18" s="37">
        <v>0</v>
      </c>
      <c r="R18" s="117">
        <v>43112</v>
      </c>
      <c r="S18" s="143"/>
      <c r="T18" s="84"/>
      <c r="U18" s="62"/>
      <c r="V18" s="144"/>
      <c r="W18" s="84"/>
      <c r="X18" s="84"/>
      <c r="Y18" s="125"/>
      <c r="Z18" s="117">
        <v>43112</v>
      </c>
    </row>
    <row r="19" spans="1:26">
      <c r="A19" s="32">
        <v>43113</v>
      </c>
      <c r="B19" s="109"/>
      <c r="C19" s="39">
        <v>23190</v>
      </c>
      <c r="D19" s="56">
        <v>23190</v>
      </c>
      <c r="E19" s="34">
        <v>0</v>
      </c>
      <c r="F19" s="140">
        <v>0</v>
      </c>
      <c r="G19" s="33">
        <v>350</v>
      </c>
      <c r="H19" s="39">
        <v>1306</v>
      </c>
      <c r="I19" s="56">
        <v>1306</v>
      </c>
      <c r="J19" s="33">
        <v>0</v>
      </c>
      <c r="K19" s="72"/>
      <c r="L19" s="35">
        <v>0</v>
      </c>
      <c r="M19" s="60">
        <v>350</v>
      </c>
      <c r="N19" s="36">
        <v>0</v>
      </c>
      <c r="O19" s="35">
        <v>0</v>
      </c>
      <c r="P19" s="37">
        <v>0</v>
      </c>
      <c r="R19" s="117">
        <v>43113</v>
      </c>
      <c r="S19" s="143"/>
      <c r="T19" s="84"/>
      <c r="U19" s="62"/>
      <c r="V19" s="144"/>
      <c r="W19" s="84"/>
      <c r="X19" s="84"/>
      <c r="Y19" s="125"/>
      <c r="Z19" s="117">
        <v>43113</v>
      </c>
    </row>
    <row r="20" spans="1:26">
      <c r="A20" s="32">
        <v>43114</v>
      </c>
      <c r="B20" s="109"/>
      <c r="C20" s="39">
        <v>23190</v>
      </c>
      <c r="D20" s="56">
        <v>23190</v>
      </c>
      <c r="E20" s="34">
        <v>0</v>
      </c>
      <c r="F20" s="140">
        <v>0</v>
      </c>
      <c r="G20" s="33">
        <v>350</v>
      </c>
      <c r="H20" s="39">
        <v>1306</v>
      </c>
      <c r="I20" s="56">
        <v>1306</v>
      </c>
      <c r="J20" s="33">
        <v>0</v>
      </c>
      <c r="K20" s="72"/>
      <c r="L20" s="35">
        <v>0</v>
      </c>
      <c r="M20" s="60">
        <v>350</v>
      </c>
      <c r="N20" s="36">
        <v>0</v>
      </c>
      <c r="O20" s="35">
        <v>0</v>
      </c>
      <c r="P20" s="37">
        <v>0</v>
      </c>
      <c r="R20" s="117">
        <v>43114</v>
      </c>
      <c r="S20" s="143"/>
      <c r="T20" s="84"/>
      <c r="U20" s="62"/>
      <c r="V20" s="144"/>
      <c r="W20" s="84"/>
      <c r="X20" s="84"/>
      <c r="Y20" s="125"/>
      <c r="Z20" s="117">
        <v>43114</v>
      </c>
    </row>
    <row r="21" spans="1:26">
      <c r="A21" s="32">
        <v>43115</v>
      </c>
      <c r="B21" s="109"/>
      <c r="C21" s="39">
        <v>23190</v>
      </c>
      <c r="D21" s="56">
        <v>23190</v>
      </c>
      <c r="E21" s="34">
        <v>0</v>
      </c>
      <c r="F21" s="140">
        <v>0</v>
      </c>
      <c r="G21" s="33">
        <v>350</v>
      </c>
      <c r="H21" s="39">
        <v>1306</v>
      </c>
      <c r="I21" s="56">
        <v>1306</v>
      </c>
      <c r="J21" s="33">
        <v>0</v>
      </c>
      <c r="K21" s="72"/>
      <c r="L21" s="35">
        <v>0</v>
      </c>
      <c r="M21" s="60">
        <v>350</v>
      </c>
      <c r="N21" s="36">
        <v>0</v>
      </c>
      <c r="O21" s="35">
        <v>0</v>
      </c>
      <c r="P21" s="37">
        <v>0</v>
      </c>
      <c r="R21" s="117">
        <v>43115</v>
      </c>
      <c r="S21" s="143"/>
      <c r="T21" s="84"/>
      <c r="U21" s="62"/>
      <c r="V21" s="144"/>
      <c r="W21" s="84"/>
      <c r="X21" s="84"/>
      <c r="Y21" s="125"/>
      <c r="Z21" s="117">
        <v>43115</v>
      </c>
    </row>
    <row r="22" spans="1:26">
      <c r="A22" s="32">
        <v>43116</v>
      </c>
      <c r="B22" s="109"/>
      <c r="C22" s="39">
        <v>23190</v>
      </c>
      <c r="D22" s="56">
        <v>23190</v>
      </c>
      <c r="E22" s="34">
        <v>0</v>
      </c>
      <c r="F22" s="140">
        <v>0</v>
      </c>
      <c r="G22" s="33">
        <v>350</v>
      </c>
      <c r="H22" s="39">
        <v>1306</v>
      </c>
      <c r="I22" s="56">
        <v>1306</v>
      </c>
      <c r="J22" s="33">
        <v>0</v>
      </c>
      <c r="K22" s="72"/>
      <c r="L22" s="35">
        <v>0</v>
      </c>
      <c r="M22" s="60">
        <v>350</v>
      </c>
      <c r="N22" s="36">
        <v>0</v>
      </c>
      <c r="O22" s="35">
        <v>0</v>
      </c>
      <c r="P22" s="37">
        <v>0</v>
      </c>
      <c r="R22" s="117">
        <v>43116</v>
      </c>
      <c r="S22" s="143"/>
      <c r="T22" s="84"/>
      <c r="U22" s="62"/>
      <c r="V22" s="144"/>
      <c r="W22" s="84"/>
      <c r="X22" s="84"/>
      <c r="Y22" s="125"/>
      <c r="Z22" s="117">
        <v>43116</v>
      </c>
    </row>
    <row r="23" spans="1:26">
      <c r="A23" s="32">
        <v>43117</v>
      </c>
      <c r="B23" s="109"/>
      <c r="C23" s="39">
        <v>23190</v>
      </c>
      <c r="D23" s="56">
        <v>23190</v>
      </c>
      <c r="E23" s="34">
        <v>0</v>
      </c>
      <c r="F23" s="140">
        <v>0</v>
      </c>
      <c r="G23" s="33">
        <v>350</v>
      </c>
      <c r="H23" s="39">
        <v>1306</v>
      </c>
      <c r="I23" s="56">
        <v>1306</v>
      </c>
      <c r="J23" s="33">
        <v>0</v>
      </c>
      <c r="K23" s="72"/>
      <c r="L23" s="35">
        <v>0</v>
      </c>
      <c r="M23" s="60">
        <v>350</v>
      </c>
      <c r="N23" s="36">
        <v>0</v>
      </c>
      <c r="O23" s="35">
        <v>0</v>
      </c>
      <c r="P23" s="37">
        <v>0</v>
      </c>
      <c r="R23" s="117">
        <v>43117</v>
      </c>
      <c r="S23" s="143"/>
      <c r="T23" s="84"/>
      <c r="U23" s="62"/>
      <c r="V23" s="144"/>
      <c r="W23" s="84"/>
      <c r="X23" s="84"/>
      <c r="Y23" s="125"/>
      <c r="Z23" s="117">
        <v>43117</v>
      </c>
    </row>
    <row r="24" spans="1:26">
      <c r="A24" s="38">
        <v>43118</v>
      </c>
      <c r="B24" s="109"/>
      <c r="C24" s="39">
        <v>23190</v>
      </c>
      <c r="D24" s="56">
        <v>23190</v>
      </c>
      <c r="E24" s="27">
        <v>0</v>
      </c>
      <c r="F24" s="140">
        <v>0</v>
      </c>
      <c r="G24" s="33">
        <v>350</v>
      </c>
      <c r="H24" s="39">
        <v>1306</v>
      </c>
      <c r="I24" s="56">
        <v>1306</v>
      </c>
      <c r="J24" s="33">
        <v>0</v>
      </c>
      <c r="K24" s="72"/>
      <c r="L24" s="35">
        <v>0</v>
      </c>
      <c r="M24" s="60">
        <v>350</v>
      </c>
      <c r="N24" s="36">
        <v>0</v>
      </c>
      <c r="O24" s="35">
        <v>0</v>
      </c>
      <c r="P24" s="37">
        <v>0</v>
      </c>
      <c r="R24" s="117">
        <v>43118</v>
      </c>
      <c r="S24" s="143"/>
      <c r="T24" s="84"/>
      <c r="U24" s="62"/>
      <c r="V24" s="144"/>
      <c r="W24" s="84"/>
      <c r="X24" s="84"/>
      <c r="Y24" s="125"/>
      <c r="Z24" s="117">
        <v>43118</v>
      </c>
    </row>
    <row r="25" spans="1:26">
      <c r="A25" s="32">
        <v>43119</v>
      </c>
      <c r="B25" s="109"/>
      <c r="C25" s="39">
        <v>23190</v>
      </c>
      <c r="D25" s="56">
        <v>23190</v>
      </c>
      <c r="E25" s="27">
        <v>0</v>
      </c>
      <c r="F25" s="140">
        <v>0</v>
      </c>
      <c r="G25" s="39">
        <v>350</v>
      </c>
      <c r="H25" s="39">
        <v>1306</v>
      </c>
      <c r="I25" s="56">
        <v>1306</v>
      </c>
      <c r="J25" s="39">
        <v>0</v>
      </c>
      <c r="K25" s="73"/>
      <c r="L25" s="40">
        <v>0</v>
      </c>
      <c r="M25" s="61">
        <v>350</v>
      </c>
      <c r="N25" s="41">
        <v>0</v>
      </c>
      <c r="O25" s="40">
        <v>0</v>
      </c>
      <c r="P25" s="42">
        <v>0</v>
      </c>
      <c r="R25" s="117">
        <v>43119</v>
      </c>
      <c r="S25" s="143"/>
      <c r="T25" s="84"/>
      <c r="U25" s="62"/>
      <c r="V25" s="144"/>
      <c r="W25" s="84"/>
      <c r="X25" s="84"/>
      <c r="Y25" s="125"/>
      <c r="Z25" s="117">
        <v>43119</v>
      </c>
    </row>
    <row r="26" spans="1:26">
      <c r="A26" s="32">
        <v>43120</v>
      </c>
      <c r="B26" s="109"/>
      <c r="C26" s="39">
        <v>23190</v>
      </c>
      <c r="D26" s="56">
        <v>23190</v>
      </c>
      <c r="E26" s="34">
        <v>0</v>
      </c>
      <c r="F26" s="140">
        <v>0</v>
      </c>
      <c r="G26" s="33">
        <v>350</v>
      </c>
      <c r="H26" s="39">
        <v>1306</v>
      </c>
      <c r="I26" s="56">
        <v>1306</v>
      </c>
      <c r="J26" s="33">
        <v>0</v>
      </c>
      <c r="K26" s="72"/>
      <c r="L26" s="35">
        <v>0</v>
      </c>
      <c r="M26" s="60">
        <v>350</v>
      </c>
      <c r="N26" s="36">
        <v>0</v>
      </c>
      <c r="O26" s="35">
        <v>0</v>
      </c>
      <c r="P26" s="37">
        <v>0</v>
      </c>
      <c r="R26" s="117">
        <v>43120</v>
      </c>
      <c r="S26" s="143"/>
      <c r="T26" s="84"/>
      <c r="U26" s="62"/>
      <c r="V26" s="144"/>
      <c r="W26" s="84"/>
      <c r="X26" s="84"/>
      <c r="Y26" s="125"/>
      <c r="Z26" s="117">
        <v>43120</v>
      </c>
    </row>
    <row r="27" spans="1:26">
      <c r="A27" s="32">
        <v>43121</v>
      </c>
      <c r="B27" s="109"/>
      <c r="C27" s="39">
        <v>23190</v>
      </c>
      <c r="D27" s="56">
        <v>23190</v>
      </c>
      <c r="E27" s="34">
        <v>0</v>
      </c>
      <c r="F27" s="140">
        <v>0</v>
      </c>
      <c r="G27" s="33">
        <v>350</v>
      </c>
      <c r="H27" s="39">
        <v>1306</v>
      </c>
      <c r="I27" s="56">
        <v>1306</v>
      </c>
      <c r="J27" s="33">
        <v>0</v>
      </c>
      <c r="K27" s="72"/>
      <c r="L27" s="35">
        <v>0</v>
      </c>
      <c r="M27" s="60">
        <v>350</v>
      </c>
      <c r="N27" s="36">
        <v>0</v>
      </c>
      <c r="O27" s="35">
        <v>0</v>
      </c>
      <c r="P27" s="37">
        <v>0</v>
      </c>
      <c r="R27" s="117">
        <v>43121</v>
      </c>
      <c r="S27" s="143"/>
      <c r="T27" s="84"/>
      <c r="U27" s="62"/>
      <c r="V27" s="144"/>
      <c r="W27" s="84"/>
      <c r="X27" s="84"/>
      <c r="Y27" s="125"/>
      <c r="Z27" s="117">
        <v>43121</v>
      </c>
    </row>
    <row r="28" spans="1:26">
      <c r="A28" s="32">
        <v>43122</v>
      </c>
      <c r="B28" s="109"/>
      <c r="C28" s="39">
        <v>23190</v>
      </c>
      <c r="D28" s="56">
        <v>23190</v>
      </c>
      <c r="E28" s="34">
        <v>0</v>
      </c>
      <c r="F28" s="140">
        <v>0</v>
      </c>
      <c r="G28" s="33">
        <v>350</v>
      </c>
      <c r="H28" s="39">
        <v>1306</v>
      </c>
      <c r="I28" s="56">
        <v>1306</v>
      </c>
      <c r="J28" s="33">
        <v>0</v>
      </c>
      <c r="K28" s="72"/>
      <c r="L28" s="35">
        <v>0</v>
      </c>
      <c r="M28" s="60">
        <v>350</v>
      </c>
      <c r="N28" s="36">
        <v>0</v>
      </c>
      <c r="O28" s="35">
        <v>0</v>
      </c>
      <c r="P28" s="37">
        <v>0</v>
      </c>
      <c r="R28" s="117">
        <v>43122</v>
      </c>
      <c r="S28" s="143"/>
      <c r="T28" s="84"/>
      <c r="U28" s="62"/>
      <c r="V28" s="144"/>
      <c r="W28" s="84"/>
      <c r="X28" s="84"/>
      <c r="Y28" s="125"/>
      <c r="Z28" s="117">
        <v>43122</v>
      </c>
    </row>
    <row r="29" spans="1:26">
      <c r="A29" s="32">
        <v>43123</v>
      </c>
      <c r="B29" s="109"/>
      <c r="C29" s="39">
        <v>23190</v>
      </c>
      <c r="D29" s="56">
        <v>23190</v>
      </c>
      <c r="E29" s="34">
        <v>0</v>
      </c>
      <c r="F29" s="140">
        <v>0</v>
      </c>
      <c r="G29" s="33">
        <v>350</v>
      </c>
      <c r="H29" s="39">
        <v>1306</v>
      </c>
      <c r="I29" s="56">
        <v>1306</v>
      </c>
      <c r="J29" s="33">
        <v>0</v>
      </c>
      <c r="K29" s="72"/>
      <c r="L29" s="35">
        <v>0</v>
      </c>
      <c r="M29" s="60">
        <v>350</v>
      </c>
      <c r="N29" s="36">
        <v>0</v>
      </c>
      <c r="O29" s="35">
        <v>0</v>
      </c>
      <c r="P29" s="37">
        <v>0</v>
      </c>
      <c r="R29" s="117">
        <v>43123</v>
      </c>
      <c r="S29" s="143"/>
      <c r="T29" s="84"/>
      <c r="U29" s="62"/>
      <c r="V29" s="144"/>
      <c r="W29" s="84"/>
      <c r="X29" s="84"/>
      <c r="Y29" s="125"/>
      <c r="Z29" s="117">
        <v>43123</v>
      </c>
    </row>
    <row r="30" spans="1:26">
      <c r="A30" s="32">
        <v>43124</v>
      </c>
      <c r="B30" s="109"/>
      <c r="C30" s="39">
        <v>23190</v>
      </c>
      <c r="D30" s="56">
        <v>23190</v>
      </c>
      <c r="E30" s="34">
        <v>0</v>
      </c>
      <c r="F30" s="140">
        <v>280</v>
      </c>
      <c r="G30" s="33">
        <v>350</v>
      </c>
      <c r="H30" s="39">
        <v>1306</v>
      </c>
      <c r="I30" s="56">
        <v>1306</v>
      </c>
      <c r="J30" s="33">
        <v>0</v>
      </c>
      <c r="K30" s="72"/>
      <c r="L30" s="35">
        <v>0</v>
      </c>
      <c r="M30" s="60">
        <v>630</v>
      </c>
      <c r="N30" s="36">
        <v>0</v>
      </c>
      <c r="O30" s="35">
        <v>0</v>
      </c>
      <c r="P30" s="37">
        <v>0</v>
      </c>
      <c r="R30" s="117">
        <v>43124</v>
      </c>
      <c r="S30" s="143"/>
      <c r="T30" s="84"/>
      <c r="U30" s="62"/>
      <c r="V30" s="144"/>
      <c r="W30" s="84"/>
      <c r="X30" s="84"/>
      <c r="Y30" s="125"/>
      <c r="Z30" s="117">
        <v>43124</v>
      </c>
    </row>
    <row r="31" spans="1:26">
      <c r="A31" s="32">
        <v>43125</v>
      </c>
      <c r="B31" s="109"/>
      <c r="C31" s="39">
        <v>23190</v>
      </c>
      <c r="D31" s="56">
        <v>23190</v>
      </c>
      <c r="E31" s="34">
        <v>0</v>
      </c>
      <c r="F31" s="140">
        <v>0</v>
      </c>
      <c r="G31" s="33">
        <v>630</v>
      </c>
      <c r="H31" s="39">
        <v>1306</v>
      </c>
      <c r="I31" s="56">
        <v>1306</v>
      </c>
      <c r="J31" s="33">
        <v>0</v>
      </c>
      <c r="K31" s="72"/>
      <c r="L31" s="35">
        <v>0</v>
      </c>
      <c r="M31" s="60">
        <v>630</v>
      </c>
      <c r="N31" s="36">
        <v>0</v>
      </c>
      <c r="O31" s="35">
        <v>0</v>
      </c>
      <c r="P31" s="37">
        <v>0</v>
      </c>
      <c r="R31" s="117">
        <v>43125</v>
      </c>
      <c r="S31" s="143"/>
      <c r="T31" s="84"/>
      <c r="U31" s="62"/>
      <c r="V31" s="144"/>
      <c r="W31" s="84"/>
      <c r="X31" s="84"/>
      <c r="Y31" s="125"/>
      <c r="Z31" s="117">
        <v>43125</v>
      </c>
    </row>
    <row r="32" spans="1:26">
      <c r="A32" s="32">
        <v>43126</v>
      </c>
      <c r="B32" s="109"/>
      <c r="C32" s="39">
        <v>23190</v>
      </c>
      <c r="D32" s="56">
        <v>23190</v>
      </c>
      <c r="E32" s="34">
        <v>0</v>
      </c>
      <c r="F32" s="140">
        <v>0</v>
      </c>
      <c r="G32" s="33">
        <v>630</v>
      </c>
      <c r="H32" s="39">
        <v>1306</v>
      </c>
      <c r="I32" s="56">
        <v>1306</v>
      </c>
      <c r="J32" s="33">
        <v>0</v>
      </c>
      <c r="K32" s="72"/>
      <c r="L32" s="35">
        <v>0</v>
      </c>
      <c r="M32" s="60">
        <v>630</v>
      </c>
      <c r="N32" s="36">
        <v>0</v>
      </c>
      <c r="O32" s="35">
        <v>0</v>
      </c>
      <c r="P32" s="37">
        <v>0</v>
      </c>
      <c r="R32" s="117">
        <v>43126</v>
      </c>
      <c r="S32" s="143"/>
      <c r="T32" s="84"/>
      <c r="U32" s="62"/>
      <c r="V32" s="144"/>
      <c r="W32" s="84"/>
      <c r="X32" s="84"/>
      <c r="Y32" s="125"/>
      <c r="Z32" s="117">
        <v>43126</v>
      </c>
    </row>
    <row r="33" spans="1:26">
      <c r="A33" s="32">
        <v>43127</v>
      </c>
      <c r="B33" s="109"/>
      <c r="C33" s="39">
        <v>23190</v>
      </c>
      <c r="D33" s="56">
        <v>23190</v>
      </c>
      <c r="E33" s="34">
        <v>0</v>
      </c>
      <c r="F33" s="140">
        <v>310</v>
      </c>
      <c r="G33" s="33">
        <v>630</v>
      </c>
      <c r="H33" s="39">
        <v>1306</v>
      </c>
      <c r="I33" s="56">
        <v>1306</v>
      </c>
      <c r="J33" s="33">
        <v>0</v>
      </c>
      <c r="K33" s="72"/>
      <c r="L33" s="35">
        <v>0</v>
      </c>
      <c r="M33" s="60">
        <v>940</v>
      </c>
      <c r="N33" s="36">
        <v>0</v>
      </c>
      <c r="O33" s="35">
        <v>0</v>
      </c>
      <c r="P33" s="37">
        <v>0</v>
      </c>
      <c r="R33" s="117">
        <v>43127</v>
      </c>
      <c r="S33" s="143"/>
      <c r="T33" s="84"/>
      <c r="U33" s="62"/>
      <c r="V33" s="144"/>
      <c r="W33" s="84"/>
      <c r="X33" s="84"/>
      <c r="Y33" s="125"/>
      <c r="Z33" s="117">
        <v>43127</v>
      </c>
    </row>
    <row r="34" spans="1:26">
      <c r="A34" s="32">
        <v>43128</v>
      </c>
      <c r="B34" s="109"/>
      <c r="C34" s="39">
        <v>23190</v>
      </c>
      <c r="D34" s="56">
        <v>23190</v>
      </c>
      <c r="E34" s="34">
        <v>0</v>
      </c>
      <c r="F34" s="140">
        <v>0</v>
      </c>
      <c r="G34" s="33">
        <v>940</v>
      </c>
      <c r="H34" s="39">
        <v>1306</v>
      </c>
      <c r="I34" s="56">
        <v>1306</v>
      </c>
      <c r="J34" s="33">
        <v>0</v>
      </c>
      <c r="K34" s="72"/>
      <c r="L34" s="35">
        <v>0</v>
      </c>
      <c r="M34" s="60">
        <v>940</v>
      </c>
      <c r="N34" s="36">
        <v>0</v>
      </c>
      <c r="O34" s="35">
        <v>0</v>
      </c>
      <c r="P34" s="37">
        <v>0</v>
      </c>
      <c r="R34" s="117">
        <v>43128</v>
      </c>
      <c r="S34" s="143"/>
      <c r="T34" s="84"/>
      <c r="U34" s="62"/>
      <c r="V34" s="144"/>
      <c r="W34" s="84"/>
      <c r="X34" s="84"/>
      <c r="Y34" s="125"/>
      <c r="Z34" s="117">
        <v>43128</v>
      </c>
    </row>
    <row r="35" spans="1:26">
      <c r="A35" s="32">
        <v>43129</v>
      </c>
      <c r="B35" s="109"/>
      <c r="C35" s="39">
        <v>23190</v>
      </c>
      <c r="D35" s="56">
        <v>23190</v>
      </c>
      <c r="E35" s="34">
        <v>0</v>
      </c>
      <c r="F35" s="140">
        <v>0</v>
      </c>
      <c r="G35" s="33">
        <v>940</v>
      </c>
      <c r="H35" s="39">
        <v>1306</v>
      </c>
      <c r="I35" s="56">
        <v>1306</v>
      </c>
      <c r="J35" s="33">
        <v>0</v>
      </c>
      <c r="K35" s="72"/>
      <c r="L35" s="35">
        <v>0</v>
      </c>
      <c r="M35" s="60">
        <v>940</v>
      </c>
      <c r="N35" s="36">
        <v>0</v>
      </c>
      <c r="O35" s="35">
        <v>0</v>
      </c>
      <c r="P35" s="37">
        <v>0</v>
      </c>
      <c r="R35" s="117">
        <v>43129</v>
      </c>
      <c r="S35" s="143"/>
      <c r="T35" s="84"/>
      <c r="U35" s="62"/>
      <c r="V35" s="144"/>
      <c r="W35" s="84"/>
      <c r="X35" s="84"/>
      <c r="Y35" s="125"/>
      <c r="Z35" s="117">
        <v>43129</v>
      </c>
    </row>
    <row r="36" spans="1:26">
      <c r="A36" s="32">
        <v>43130</v>
      </c>
      <c r="B36" s="109"/>
      <c r="C36" s="39">
        <v>23190</v>
      </c>
      <c r="D36" s="56">
        <v>23190</v>
      </c>
      <c r="E36" s="34">
        <v>0</v>
      </c>
      <c r="F36" s="140">
        <v>280</v>
      </c>
      <c r="G36" s="33">
        <v>940</v>
      </c>
      <c r="H36" s="39">
        <v>1306</v>
      </c>
      <c r="I36" s="56">
        <v>1306</v>
      </c>
      <c r="J36" s="33">
        <v>0</v>
      </c>
      <c r="K36" s="72"/>
      <c r="L36" s="35">
        <v>0</v>
      </c>
      <c r="M36" s="60">
        <v>1220</v>
      </c>
      <c r="N36" s="36">
        <v>0</v>
      </c>
      <c r="O36" s="35">
        <v>0</v>
      </c>
      <c r="P36" s="37">
        <v>0</v>
      </c>
      <c r="R36" s="117">
        <v>43130</v>
      </c>
      <c r="S36" s="143"/>
      <c r="T36" s="84"/>
      <c r="U36" s="62"/>
      <c r="V36" s="144"/>
      <c r="W36" s="84"/>
      <c r="X36" s="84"/>
      <c r="Y36" s="125"/>
      <c r="Z36" s="117">
        <v>43130</v>
      </c>
    </row>
    <row r="37" spans="1:26" ht="13.8" thickBot="1">
      <c r="A37" s="32">
        <v>43131</v>
      </c>
      <c r="B37" s="109"/>
      <c r="C37" s="39">
        <v>23190</v>
      </c>
      <c r="D37" s="56">
        <v>23190</v>
      </c>
      <c r="E37" s="34">
        <v>0</v>
      </c>
      <c r="F37" s="140">
        <v>50</v>
      </c>
      <c r="G37" s="33">
        <v>1220</v>
      </c>
      <c r="H37" s="39">
        <v>1306</v>
      </c>
      <c r="I37" s="56">
        <v>1306</v>
      </c>
      <c r="J37" s="33">
        <v>0</v>
      </c>
      <c r="K37" s="72"/>
      <c r="L37" s="35">
        <v>0</v>
      </c>
      <c r="M37" s="60">
        <v>1270</v>
      </c>
      <c r="N37" s="36">
        <v>0</v>
      </c>
      <c r="O37" s="35">
        <v>0</v>
      </c>
      <c r="P37" s="37">
        <v>0</v>
      </c>
      <c r="R37" s="128">
        <v>43131</v>
      </c>
      <c r="S37" s="145"/>
      <c r="T37" s="121"/>
      <c r="U37" s="122"/>
      <c r="V37" s="146"/>
      <c r="W37" s="121"/>
      <c r="X37" s="121"/>
      <c r="Y37" s="126"/>
      <c r="Z37" s="128">
        <v>43131</v>
      </c>
    </row>
    <row r="38" spans="1:26" ht="16.2" thickBot="1">
      <c r="A38" s="43" t="s">
        <v>52</v>
      </c>
      <c r="B38" s="44"/>
      <c r="C38" s="45"/>
      <c r="D38" s="46"/>
      <c r="E38" s="47">
        <v>0</v>
      </c>
      <c r="F38" s="47">
        <v>920</v>
      </c>
      <c r="G38" s="48"/>
      <c r="H38" s="48"/>
      <c r="I38" s="49"/>
      <c r="J38" s="47">
        <v>0</v>
      </c>
      <c r="K38" s="50">
        <v>0</v>
      </c>
      <c r="L38" s="51">
        <v>0</v>
      </c>
      <c r="M38" s="48"/>
      <c r="N38" s="51">
        <v>0</v>
      </c>
      <c r="O38" s="47">
        <v>0</v>
      </c>
      <c r="P38" s="52">
        <v>0</v>
      </c>
      <c r="R38" s="129" t="s">
        <v>74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29" t="s">
        <v>74</v>
      </c>
    </row>
    <row r="39" spans="1:26" ht="16.2" thickBo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38">
        <v>0</v>
      </c>
      <c r="L39" s="53"/>
      <c r="M39" s="54"/>
      <c r="N39" s="53"/>
      <c r="O39" s="53"/>
      <c r="P39" s="53"/>
      <c r="R39" s="130" t="s">
        <v>75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0" t="s">
        <v>75</v>
      </c>
    </row>
    <row r="40" spans="1:26" ht="16.2" thickBo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39">
        <v>0</v>
      </c>
      <c r="L40" s="53"/>
      <c r="M40" s="55"/>
      <c r="N40" s="53"/>
      <c r="O40" s="97"/>
      <c r="P40" s="53"/>
      <c r="R40" s="53"/>
      <c r="S40" s="70"/>
      <c r="T40" s="70"/>
      <c r="U40" s="70"/>
      <c r="V40" s="70"/>
      <c r="W40" s="70"/>
    </row>
    <row r="41" spans="1:26">
      <c r="A41" s="53"/>
      <c r="I41" s="53"/>
      <c r="O41" s="97"/>
      <c r="R41" s="53"/>
      <c r="S41" s="70"/>
      <c r="T41" s="70"/>
      <c r="U41" s="70"/>
      <c r="V41" s="70"/>
      <c r="W41" s="70"/>
    </row>
  </sheetData>
  <mergeCells count="3">
    <mergeCell ref="A2:P2"/>
    <mergeCell ref="A3:P3"/>
    <mergeCell ref="O4:P4"/>
  </mergeCells>
  <conditionalFormatting sqref="M7:M37">
    <cfRule type="cellIs" dxfId="190" priority="2" operator="lessThan">
      <formula>10</formula>
    </cfRule>
    <cfRule type="cellIs" dxfId="189" priority="3" operator="equal">
      <formula>350</formula>
    </cfRule>
    <cfRule type="cellIs" dxfId="188" priority="4" operator="greaterThan">
      <formula>350</formula>
    </cfRule>
  </conditionalFormatting>
  <conditionalFormatting sqref="G7:G37">
    <cfRule type="cellIs" dxfId="187" priority="1" operator="equal">
      <formula>350</formula>
    </cfRule>
  </conditionalFormatting>
  <dataValidations disablePrompts="1" count="4">
    <dataValidation type="list" allowBlank="1" showInputMessage="1" showErrorMessage="1" sqref="Z4">
      <formula1>ТС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P1">
      <formula1>Месяц</formula1>
    </dataValidation>
    <dataValidation type="list" allowBlank="1" sqref="B7:B37">
      <formula1>Сотрудники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Сотрудники!$B$2:$B$25</xm:f>
          </x14:formula1>
          <xm:sqref>B7:B37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Z41"/>
  <sheetViews>
    <sheetView zoomScale="70" zoomScaleNormal="70" workbookViewId="0">
      <pane xSplit="1" ySplit="6" topLeftCell="E7" activePane="bottomRight" state="frozen"/>
      <selection activeCell="O4" sqref="O4:P4"/>
      <selection pane="topRight" activeCell="O4" sqref="O4:P4"/>
      <selection pane="bottomLeft" activeCell="O4" sqref="O4:P4"/>
      <selection pane="bottomRight" sqref="A1:Z40"/>
    </sheetView>
  </sheetViews>
  <sheetFormatPr defaultColWidth="9.109375" defaultRowHeight="13.2"/>
  <cols>
    <col min="1" max="1" width="12.6640625" style="23" customWidth="1"/>
    <col min="2" max="2" width="15.6640625" style="23" customWidth="1"/>
    <col min="3" max="15" width="12.6640625" style="23" customWidth="1"/>
    <col min="16" max="16" width="17.6640625" style="23" customWidth="1"/>
    <col min="17" max="17" width="3.109375" style="70" customWidth="1"/>
    <col min="18" max="26" width="11.6640625" style="23" customWidth="1"/>
    <col min="27" max="27" width="11" style="23" bestFit="1" customWidth="1"/>
    <col min="28" max="16384" width="9.109375" style="23"/>
  </cols>
  <sheetData>
    <row r="1" spans="1:26" ht="51" customHeight="1" thickBot="1">
      <c r="P1" s="114" t="s">
        <v>54</v>
      </c>
      <c r="R1" s="74"/>
      <c r="S1" s="74"/>
      <c r="T1" s="111"/>
      <c r="V1" s="74"/>
      <c r="W1" s="74"/>
      <c r="X1" s="75" t="s">
        <v>65</v>
      </c>
      <c r="Y1" s="98" t="s">
        <v>32</v>
      </c>
      <c r="Z1" s="99" t="s">
        <v>37</v>
      </c>
    </row>
    <row r="2" spans="1:26" ht="22.8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R2" s="91" t="s">
        <v>74</v>
      </c>
      <c r="S2" s="100">
        <v>43132</v>
      </c>
      <c r="T2" s="87">
        <v>43146</v>
      </c>
      <c r="U2" s="89">
        <v>350</v>
      </c>
      <c r="V2" s="101">
        <v>0</v>
      </c>
      <c r="W2" s="88">
        <v>0</v>
      </c>
      <c r="X2" s="85">
        <v>0</v>
      </c>
      <c r="Y2" s="76">
        <v>46.860000000000007</v>
      </c>
      <c r="Z2" s="77">
        <v>5.5</v>
      </c>
    </row>
    <row r="3" spans="1:26" ht="23.4" thickBo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R3" s="92" t="s">
        <v>75</v>
      </c>
      <c r="S3" s="102">
        <v>43147</v>
      </c>
      <c r="T3" s="103">
        <v>43159</v>
      </c>
      <c r="U3" s="90">
        <v>350</v>
      </c>
      <c r="V3" s="104">
        <v>810</v>
      </c>
      <c r="W3" s="96">
        <v>0</v>
      </c>
      <c r="X3" s="86">
        <v>0</v>
      </c>
      <c r="Y3" s="93"/>
      <c r="Z3" s="94"/>
    </row>
    <row r="4" spans="1:26" ht="23.4" thickBot="1">
      <c r="A4" s="24"/>
      <c r="D4" s="24"/>
      <c r="E4" s="24"/>
      <c r="F4" s="24"/>
      <c r="G4" s="24"/>
      <c r="H4" s="25" t="s">
        <v>2</v>
      </c>
      <c r="I4" s="58">
        <v>2018</v>
      </c>
      <c r="K4" s="24"/>
      <c r="L4" s="24"/>
      <c r="M4" s="24"/>
      <c r="N4" s="24"/>
      <c r="O4" s="192" t="s">
        <v>85</v>
      </c>
      <c r="P4" s="192"/>
      <c r="R4" s="74"/>
      <c r="S4" s="105" t="s">
        <v>86</v>
      </c>
      <c r="V4" s="74"/>
      <c r="W4" s="95" t="s">
        <v>86</v>
      </c>
      <c r="X4" s="74"/>
      <c r="Y4" s="112" t="s">
        <v>33</v>
      </c>
      <c r="Z4" s="113" t="s">
        <v>69</v>
      </c>
    </row>
    <row r="5" spans="1:26" ht="8.25" customHeight="1" thickBot="1"/>
    <row r="6" spans="1:26" ht="63.75" customHeight="1" thickBot="1">
      <c r="A6" s="78" t="s">
        <v>3</v>
      </c>
      <c r="B6" s="79" t="s">
        <v>4</v>
      </c>
      <c r="C6" s="80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1" t="s">
        <v>11</v>
      </c>
      <c r="J6" s="81" t="s">
        <v>12</v>
      </c>
      <c r="K6" s="81" t="s">
        <v>13</v>
      </c>
      <c r="L6" s="81" t="s">
        <v>14</v>
      </c>
      <c r="M6" s="81" t="s">
        <v>15</v>
      </c>
      <c r="N6" s="81" t="s">
        <v>16</v>
      </c>
      <c r="O6" s="81" t="s">
        <v>17</v>
      </c>
      <c r="P6" s="82" t="s">
        <v>18</v>
      </c>
      <c r="R6" s="115" t="s">
        <v>3</v>
      </c>
      <c r="S6" s="127" t="s">
        <v>72</v>
      </c>
      <c r="T6" s="106" t="s">
        <v>7</v>
      </c>
      <c r="U6" s="106" t="s">
        <v>8</v>
      </c>
      <c r="V6" s="106" t="s">
        <v>73</v>
      </c>
      <c r="W6" s="106" t="s">
        <v>12</v>
      </c>
      <c r="X6" s="106" t="s">
        <v>16</v>
      </c>
      <c r="Y6" s="133" t="s">
        <v>17</v>
      </c>
      <c r="Z6" s="115" t="s">
        <v>3</v>
      </c>
    </row>
    <row r="7" spans="1:26" ht="15" customHeight="1" thickBot="1">
      <c r="A7" s="26">
        <v>43132</v>
      </c>
      <c r="B7" s="108"/>
      <c r="C7" s="107">
        <v>23190</v>
      </c>
      <c r="D7" s="161">
        <v>23190</v>
      </c>
      <c r="E7" s="27">
        <v>0</v>
      </c>
      <c r="F7" s="140">
        <v>0</v>
      </c>
      <c r="G7" s="107">
        <v>350</v>
      </c>
      <c r="H7" s="107">
        <v>1306</v>
      </c>
      <c r="I7" s="57">
        <v>1306</v>
      </c>
      <c r="J7" s="28">
        <v>0</v>
      </c>
      <c r="K7" s="71"/>
      <c r="L7" s="29">
        <v>0</v>
      </c>
      <c r="M7" s="59">
        <v>350</v>
      </c>
      <c r="N7" s="30">
        <v>0</v>
      </c>
      <c r="O7" s="29">
        <v>0</v>
      </c>
      <c r="P7" s="31">
        <v>0</v>
      </c>
      <c r="R7" s="136">
        <v>43132</v>
      </c>
      <c r="S7" s="147"/>
      <c r="T7" s="118"/>
      <c r="U7" s="63"/>
      <c r="V7" s="148"/>
      <c r="W7" s="118"/>
      <c r="X7" s="118"/>
      <c r="Y7" s="134"/>
      <c r="Z7" s="136">
        <v>43132</v>
      </c>
    </row>
    <row r="8" spans="1:26" ht="12.75" customHeight="1">
      <c r="A8" s="32">
        <v>43133</v>
      </c>
      <c r="B8" s="109"/>
      <c r="C8" s="39">
        <v>23190</v>
      </c>
      <c r="D8" s="72">
        <v>23190</v>
      </c>
      <c r="E8" s="34">
        <v>0</v>
      </c>
      <c r="F8" s="140">
        <v>0</v>
      </c>
      <c r="G8" s="39">
        <v>350</v>
      </c>
      <c r="H8" s="39">
        <v>1306</v>
      </c>
      <c r="I8" s="56">
        <v>1306</v>
      </c>
      <c r="J8" s="33">
        <v>0</v>
      </c>
      <c r="K8" s="72"/>
      <c r="L8" s="35">
        <v>0</v>
      </c>
      <c r="M8" s="60">
        <v>350</v>
      </c>
      <c r="N8" s="36">
        <v>0</v>
      </c>
      <c r="O8" s="35">
        <v>0</v>
      </c>
      <c r="P8" s="37">
        <v>0</v>
      </c>
      <c r="R8" s="117">
        <v>43133</v>
      </c>
      <c r="S8" s="149"/>
      <c r="T8" s="84"/>
      <c r="U8" s="62"/>
      <c r="V8" s="150"/>
      <c r="W8" s="84"/>
      <c r="X8" s="84"/>
      <c r="Y8" s="135"/>
      <c r="Z8" s="117">
        <v>43133</v>
      </c>
    </row>
    <row r="9" spans="1:26">
      <c r="A9" s="32">
        <v>43134</v>
      </c>
      <c r="B9" s="109"/>
      <c r="C9" s="39">
        <v>23190</v>
      </c>
      <c r="D9" s="72">
        <v>23190</v>
      </c>
      <c r="E9" s="34">
        <v>0</v>
      </c>
      <c r="F9" s="140">
        <v>0</v>
      </c>
      <c r="G9" s="33">
        <v>350</v>
      </c>
      <c r="H9" s="39">
        <v>1306</v>
      </c>
      <c r="I9" s="56">
        <v>1306</v>
      </c>
      <c r="J9" s="33">
        <v>0</v>
      </c>
      <c r="K9" s="72"/>
      <c r="L9" s="35">
        <v>0</v>
      </c>
      <c r="M9" s="60">
        <v>350</v>
      </c>
      <c r="N9" s="36">
        <v>0</v>
      </c>
      <c r="O9" s="35">
        <v>0</v>
      </c>
      <c r="P9" s="37">
        <v>0</v>
      </c>
      <c r="R9" s="117">
        <v>43134</v>
      </c>
      <c r="S9" s="149"/>
      <c r="T9" s="84"/>
      <c r="U9" s="62"/>
      <c r="V9" s="150"/>
      <c r="W9" s="84"/>
      <c r="X9" s="84"/>
      <c r="Y9" s="135"/>
      <c r="Z9" s="117">
        <v>43134</v>
      </c>
    </row>
    <row r="10" spans="1:26">
      <c r="A10" s="32">
        <v>43135</v>
      </c>
      <c r="B10" s="109"/>
      <c r="C10" s="39">
        <v>23190</v>
      </c>
      <c r="D10" s="72">
        <v>23190</v>
      </c>
      <c r="E10" s="34">
        <v>0</v>
      </c>
      <c r="F10" s="140">
        <v>0</v>
      </c>
      <c r="G10" s="33">
        <v>350</v>
      </c>
      <c r="H10" s="39">
        <v>1306</v>
      </c>
      <c r="I10" s="56">
        <v>1306</v>
      </c>
      <c r="J10" s="33">
        <v>0</v>
      </c>
      <c r="K10" s="72"/>
      <c r="L10" s="35">
        <v>0</v>
      </c>
      <c r="M10" s="60">
        <v>350</v>
      </c>
      <c r="N10" s="36">
        <v>0</v>
      </c>
      <c r="O10" s="35">
        <v>0</v>
      </c>
      <c r="P10" s="37">
        <v>0</v>
      </c>
      <c r="R10" s="117">
        <v>43135</v>
      </c>
      <c r="S10" s="149"/>
      <c r="T10" s="84"/>
      <c r="U10" s="62"/>
      <c r="V10" s="150"/>
      <c r="W10" s="84"/>
      <c r="X10" s="84"/>
      <c r="Y10" s="135"/>
      <c r="Z10" s="117">
        <v>43135</v>
      </c>
    </row>
    <row r="11" spans="1:26">
      <c r="A11" s="32">
        <v>43136</v>
      </c>
      <c r="B11" s="109"/>
      <c r="C11" s="39">
        <v>23190</v>
      </c>
      <c r="D11" s="72">
        <v>23190</v>
      </c>
      <c r="E11" s="34">
        <v>0</v>
      </c>
      <c r="F11" s="140">
        <v>0</v>
      </c>
      <c r="G11" s="33">
        <v>350</v>
      </c>
      <c r="H11" s="39">
        <v>1306</v>
      </c>
      <c r="I11" s="56">
        <v>1306</v>
      </c>
      <c r="J11" s="33">
        <v>0</v>
      </c>
      <c r="K11" s="72"/>
      <c r="L11" s="35">
        <v>0</v>
      </c>
      <c r="M11" s="60">
        <v>350</v>
      </c>
      <c r="N11" s="36">
        <v>0</v>
      </c>
      <c r="O11" s="35">
        <v>0</v>
      </c>
      <c r="P11" s="37">
        <v>0</v>
      </c>
      <c r="R11" s="117">
        <v>43136</v>
      </c>
      <c r="S11" s="149"/>
      <c r="T11" s="84"/>
      <c r="U11" s="62"/>
      <c r="V11" s="150"/>
      <c r="W11" s="84"/>
      <c r="X11" s="84"/>
      <c r="Y11" s="135"/>
      <c r="Z11" s="117">
        <v>43136</v>
      </c>
    </row>
    <row r="12" spans="1:26">
      <c r="A12" s="32">
        <v>43137</v>
      </c>
      <c r="B12" s="109"/>
      <c r="C12" s="39">
        <v>23190</v>
      </c>
      <c r="D12" s="72">
        <v>23190</v>
      </c>
      <c r="E12" s="34">
        <v>0</v>
      </c>
      <c r="F12" s="140">
        <v>0</v>
      </c>
      <c r="G12" s="33">
        <v>350</v>
      </c>
      <c r="H12" s="39">
        <v>1306</v>
      </c>
      <c r="I12" s="56">
        <v>1306</v>
      </c>
      <c r="J12" s="33">
        <v>0</v>
      </c>
      <c r="K12" s="72"/>
      <c r="L12" s="35">
        <v>0</v>
      </c>
      <c r="M12" s="60">
        <v>350</v>
      </c>
      <c r="N12" s="36">
        <v>0</v>
      </c>
      <c r="O12" s="35">
        <v>0</v>
      </c>
      <c r="P12" s="37">
        <v>0</v>
      </c>
      <c r="R12" s="117">
        <v>43137</v>
      </c>
      <c r="S12" s="149"/>
      <c r="T12" s="84"/>
      <c r="U12" s="62"/>
      <c r="V12" s="150"/>
      <c r="W12" s="84"/>
      <c r="X12" s="84"/>
      <c r="Y12" s="135"/>
      <c r="Z12" s="117">
        <v>43137</v>
      </c>
    </row>
    <row r="13" spans="1:26">
      <c r="A13" s="32">
        <v>43138</v>
      </c>
      <c r="B13" s="109"/>
      <c r="C13" s="39">
        <v>23190</v>
      </c>
      <c r="D13" s="72">
        <v>23190</v>
      </c>
      <c r="E13" s="34">
        <v>0</v>
      </c>
      <c r="F13" s="140">
        <v>0</v>
      </c>
      <c r="G13" s="33">
        <v>350</v>
      </c>
      <c r="H13" s="39">
        <v>1306</v>
      </c>
      <c r="I13" s="56">
        <v>1306</v>
      </c>
      <c r="J13" s="33">
        <v>0</v>
      </c>
      <c r="K13" s="72"/>
      <c r="L13" s="35">
        <v>0</v>
      </c>
      <c r="M13" s="60">
        <v>350</v>
      </c>
      <c r="N13" s="36">
        <v>0</v>
      </c>
      <c r="O13" s="35">
        <v>0</v>
      </c>
      <c r="P13" s="37">
        <v>0</v>
      </c>
      <c r="R13" s="117">
        <v>43138</v>
      </c>
      <c r="S13" s="149"/>
      <c r="T13" s="84"/>
      <c r="U13" s="62"/>
      <c r="V13" s="150"/>
      <c r="W13" s="84"/>
      <c r="X13" s="84"/>
      <c r="Y13" s="135"/>
      <c r="Z13" s="117">
        <v>43138</v>
      </c>
    </row>
    <row r="14" spans="1:26">
      <c r="A14" s="32">
        <v>43139</v>
      </c>
      <c r="B14" s="109"/>
      <c r="C14" s="39">
        <v>23190</v>
      </c>
      <c r="D14" s="72">
        <v>23190</v>
      </c>
      <c r="E14" s="34">
        <v>0</v>
      </c>
      <c r="F14" s="140">
        <v>0</v>
      </c>
      <c r="G14" s="33">
        <v>350</v>
      </c>
      <c r="H14" s="39">
        <v>1306</v>
      </c>
      <c r="I14" s="56">
        <v>1306</v>
      </c>
      <c r="J14" s="33">
        <v>0</v>
      </c>
      <c r="K14" s="72"/>
      <c r="L14" s="35">
        <v>0</v>
      </c>
      <c r="M14" s="60">
        <v>350</v>
      </c>
      <c r="N14" s="36">
        <v>0</v>
      </c>
      <c r="O14" s="35">
        <v>0</v>
      </c>
      <c r="P14" s="37">
        <v>0</v>
      </c>
      <c r="R14" s="117">
        <v>43139</v>
      </c>
      <c r="S14" s="149"/>
      <c r="T14" s="84"/>
      <c r="U14" s="62"/>
      <c r="V14" s="150"/>
      <c r="W14" s="84"/>
      <c r="X14" s="84"/>
      <c r="Y14" s="135"/>
      <c r="Z14" s="117">
        <v>43139</v>
      </c>
    </row>
    <row r="15" spans="1:26">
      <c r="A15" s="32">
        <v>43140</v>
      </c>
      <c r="B15" s="109"/>
      <c r="C15" s="39">
        <v>23190</v>
      </c>
      <c r="D15" s="72">
        <v>23190</v>
      </c>
      <c r="E15" s="34">
        <v>0</v>
      </c>
      <c r="F15" s="140">
        <v>0</v>
      </c>
      <c r="G15" s="33">
        <v>350</v>
      </c>
      <c r="H15" s="39">
        <v>1306</v>
      </c>
      <c r="I15" s="56">
        <v>1306</v>
      </c>
      <c r="J15" s="33">
        <v>0</v>
      </c>
      <c r="K15" s="72"/>
      <c r="L15" s="35">
        <v>0</v>
      </c>
      <c r="M15" s="60">
        <v>350</v>
      </c>
      <c r="N15" s="36">
        <v>0</v>
      </c>
      <c r="O15" s="35">
        <v>0</v>
      </c>
      <c r="P15" s="37">
        <v>0</v>
      </c>
      <c r="R15" s="117">
        <v>43140</v>
      </c>
      <c r="S15" s="149"/>
      <c r="T15" s="84"/>
      <c r="U15" s="62"/>
      <c r="V15" s="150"/>
      <c r="W15" s="84"/>
      <c r="X15" s="84"/>
      <c r="Y15" s="135"/>
      <c r="Z15" s="117">
        <v>43140</v>
      </c>
    </row>
    <row r="16" spans="1:26">
      <c r="A16" s="32">
        <v>43141</v>
      </c>
      <c r="B16" s="109"/>
      <c r="C16" s="39">
        <v>23190</v>
      </c>
      <c r="D16" s="72">
        <v>23190</v>
      </c>
      <c r="E16" s="34">
        <v>0</v>
      </c>
      <c r="F16" s="140">
        <v>0</v>
      </c>
      <c r="G16" s="33">
        <v>350</v>
      </c>
      <c r="H16" s="39">
        <v>1306</v>
      </c>
      <c r="I16" s="56">
        <v>1306</v>
      </c>
      <c r="J16" s="33">
        <v>0</v>
      </c>
      <c r="K16" s="72"/>
      <c r="L16" s="35">
        <v>0</v>
      </c>
      <c r="M16" s="60">
        <v>350</v>
      </c>
      <c r="N16" s="36">
        <v>0</v>
      </c>
      <c r="O16" s="35">
        <v>0</v>
      </c>
      <c r="P16" s="37">
        <v>0</v>
      </c>
      <c r="R16" s="117">
        <v>43141</v>
      </c>
      <c r="S16" s="149"/>
      <c r="T16" s="84"/>
      <c r="U16" s="62"/>
      <c r="V16" s="150"/>
      <c r="W16" s="84"/>
      <c r="X16" s="84"/>
      <c r="Y16" s="135"/>
      <c r="Z16" s="117">
        <v>43141</v>
      </c>
    </row>
    <row r="17" spans="1:26">
      <c r="A17" s="32">
        <v>43142</v>
      </c>
      <c r="B17" s="109"/>
      <c r="C17" s="39">
        <v>23190</v>
      </c>
      <c r="D17" s="72">
        <v>23190</v>
      </c>
      <c r="E17" s="34">
        <v>0</v>
      </c>
      <c r="F17" s="140">
        <v>0</v>
      </c>
      <c r="G17" s="33">
        <v>350</v>
      </c>
      <c r="H17" s="39">
        <v>1306</v>
      </c>
      <c r="I17" s="56">
        <v>1306</v>
      </c>
      <c r="J17" s="33">
        <v>0</v>
      </c>
      <c r="K17" s="72"/>
      <c r="L17" s="35">
        <v>0</v>
      </c>
      <c r="M17" s="60">
        <v>350</v>
      </c>
      <c r="N17" s="36">
        <v>0</v>
      </c>
      <c r="O17" s="35">
        <v>0</v>
      </c>
      <c r="P17" s="37">
        <v>0</v>
      </c>
      <c r="R17" s="117">
        <v>43142</v>
      </c>
      <c r="S17" s="149"/>
      <c r="T17" s="84"/>
      <c r="U17" s="62"/>
      <c r="V17" s="150"/>
      <c r="W17" s="84"/>
      <c r="X17" s="84"/>
      <c r="Y17" s="135"/>
      <c r="Z17" s="117">
        <v>43142</v>
      </c>
    </row>
    <row r="18" spans="1:26">
      <c r="A18" s="32">
        <v>43143</v>
      </c>
      <c r="B18" s="109"/>
      <c r="C18" s="39">
        <v>23190</v>
      </c>
      <c r="D18" s="72">
        <v>23190</v>
      </c>
      <c r="E18" s="34">
        <v>0</v>
      </c>
      <c r="F18" s="140">
        <v>0</v>
      </c>
      <c r="G18" s="33">
        <v>350</v>
      </c>
      <c r="H18" s="39">
        <v>1306</v>
      </c>
      <c r="I18" s="56">
        <v>1306</v>
      </c>
      <c r="J18" s="33">
        <v>0</v>
      </c>
      <c r="K18" s="72"/>
      <c r="L18" s="35">
        <v>0</v>
      </c>
      <c r="M18" s="60">
        <v>350</v>
      </c>
      <c r="N18" s="36">
        <v>0</v>
      </c>
      <c r="O18" s="35">
        <v>0</v>
      </c>
      <c r="P18" s="37">
        <v>0</v>
      </c>
      <c r="R18" s="117">
        <v>43143</v>
      </c>
      <c r="S18" s="149"/>
      <c r="T18" s="84"/>
      <c r="U18" s="62"/>
      <c r="V18" s="150"/>
      <c r="W18" s="84"/>
      <c r="X18" s="84"/>
      <c r="Y18" s="135"/>
      <c r="Z18" s="117">
        <v>43143</v>
      </c>
    </row>
    <row r="19" spans="1:26">
      <c r="A19" s="32">
        <v>43144</v>
      </c>
      <c r="B19" s="109"/>
      <c r="C19" s="39">
        <v>23190</v>
      </c>
      <c r="D19" s="72">
        <v>23190</v>
      </c>
      <c r="E19" s="34">
        <v>0</v>
      </c>
      <c r="F19" s="140">
        <v>0</v>
      </c>
      <c r="G19" s="33">
        <v>350</v>
      </c>
      <c r="H19" s="39">
        <v>1306</v>
      </c>
      <c r="I19" s="56">
        <v>1306</v>
      </c>
      <c r="J19" s="33">
        <v>0</v>
      </c>
      <c r="K19" s="72"/>
      <c r="L19" s="35">
        <v>0</v>
      </c>
      <c r="M19" s="60">
        <v>350</v>
      </c>
      <c r="N19" s="36">
        <v>0</v>
      </c>
      <c r="O19" s="35">
        <v>0</v>
      </c>
      <c r="P19" s="37">
        <v>0</v>
      </c>
      <c r="R19" s="117">
        <v>43144</v>
      </c>
      <c r="S19" s="149"/>
      <c r="T19" s="84"/>
      <c r="U19" s="62"/>
      <c r="V19" s="150"/>
      <c r="W19" s="84"/>
      <c r="X19" s="84"/>
      <c r="Y19" s="135"/>
      <c r="Z19" s="117">
        <v>43144</v>
      </c>
    </row>
    <row r="20" spans="1:26">
      <c r="A20" s="32">
        <v>43145</v>
      </c>
      <c r="B20" s="109"/>
      <c r="C20" s="39">
        <v>23190</v>
      </c>
      <c r="D20" s="72">
        <v>23190</v>
      </c>
      <c r="E20" s="34">
        <v>0</v>
      </c>
      <c r="F20" s="140">
        <v>0</v>
      </c>
      <c r="G20" s="33">
        <v>350</v>
      </c>
      <c r="H20" s="39">
        <v>1306</v>
      </c>
      <c r="I20" s="56">
        <v>1306</v>
      </c>
      <c r="J20" s="33">
        <v>0</v>
      </c>
      <c r="K20" s="72"/>
      <c r="L20" s="35">
        <v>0</v>
      </c>
      <c r="M20" s="60">
        <v>350</v>
      </c>
      <c r="N20" s="36">
        <v>0</v>
      </c>
      <c r="O20" s="35">
        <v>0</v>
      </c>
      <c r="P20" s="37">
        <v>0</v>
      </c>
      <c r="R20" s="117">
        <v>43145</v>
      </c>
      <c r="S20" s="149"/>
      <c r="T20" s="84"/>
      <c r="U20" s="62"/>
      <c r="V20" s="150"/>
      <c r="W20" s="84"/>
      <c r="X20" s="84"/>
      <c r="Y20" s="135"/>
      <c r="Z20" s="117">
        <v>43145</v>
      </c>
    </row>
    <row r="21" spans="1:26">
      <c r="A21" s="32">
        <v>43146</v>
      </c>
      <c r="B21" s="109"/>
      <c r="C21" s="39">
        <v>23190</v>
      </c>
      <c r="D21" s="72">
        <v>23190</v>
      </c>
      <c r="E21" s="34">
        <v>0</v>
      </c>
      <c r="F21" s="140">
        <v>0</v>
      </c>
      <c r="G21" s="33">
        <v>350</v>
      </c>
      <c r="H21" s="39">
        <v>1306</v>
      </c>
      <c r="I21" s="56">
        <v>1306</v>
      </c>
      <c r="J21" s="33">
        <v>0</v>
      </c>
      <c r="K21" s="72"/>
      <c r="L21" s="35">
        <v>0</v>
      </c>
      <c r="M21" s="60">
        <v>350</v>
      </c>
      <c r="N21" s="36">
        <v>0</v>
      </c>
      <c r="O21" s="35">
        <v>0</v>
      </c>
      <c r="P21" s="37">
        <v>0</v>
      </c>
      <c r="R21" s="117">
        <v>43146</v>
      </c>
      <c r="S21" s="149"/>
      <c r="T21" s="84"/>
      <c r="U21" s="62"/>
      <c r="V21" s="150"/>
      <c r="W21" s="84"/>
      <c r="X21" s="84"/>
      <c r="Y21" s="135"/>
      <c r="Z21" s="117">
        <v>43146</v>
      </c>
    </row>
    <row r="22" spans="1:26">
      <c r="A22" s="32">
        <v>43147</v>
      </c>
      <c r="B22" s="110"/>
      <c r="C22" s="39">
        <v>23190</v>
      </c>
      <c r="D22" s="72">
        <v>23190</v>
      </c>
      <c r="E22" s="34">
        <v>0</v>
      </c>
      <c r="F22" s="140">
        <v>0</v>
      </c>
      <c r="G22" s="33">
        <v>350</v>
      </c>
      <c r="H22" s="39">
        <v>1306</v>
      </c>
      <c r="I22" s="56">
        <v>1306</v>
      </c>
      <c r="J22" s="33">
        <v>0</v>
      </c>
      <c r="K22" s="72"/>
      <c r="L22" s="35">
        <v>0</v>
      </c>
      <c r="M22" s="60">
        <v>350</v>
      </c>
      <c r="N22" s="36">
        <v>0</v>
      </c>
      <c r="O22" s="35">
        <v>0</v>
      </c>
      <c r="P22" s="37">
        <v>0</v>
      </c>
      <c r="R22" s="117">
        <v>43147</v>
      </c>
      <c r="S22" s="149"/>
      <c r="T22" s="84"/>
      <c r="U22" s="62"/>
      <c r="V22" s="150"/>
      <c r="W22" s="84"/>
      <c r="X22" s="84"/>
      <c r="Y22" s="135"/>
      <c r="Z22" s="117">
        <v>43147</v>
      </c>
    </row>
    <row r="23" spans="1:26">
      <c r="A23" s="32">
        <v>43148</v>
      </c>
      <c r="B23" s="110"/>
      <c r="C23" s="39">
        <v>23190</v>
      </c>
      <c r="D23" s="72">
        <v>23190</v>
      </c>
      <c r="E23" s="34">
        <v>0</v>
      </c>
      <c r="F23" s="140">
        <v>0</v>
      </c>
      <c r="G23" s="33">
        <v>350</v>
      </c>
      <c r="H23" s="39">
        <v>1306</v>
      </c>
      <c r="I23" s="56">
        <v>1306</v>
      </c>
      <c r="J23" s="33">
        <v>0</v>
      </c>
      <c r="K23" s="72"/>
      <c r="L23" s="35">
        <v>0</v>
      </c>
      <c r="M23" s="60">
        <v>350</v>
      </c>
      <c r="N23" s="36">
        <v>0</v>
      </c>
      <c r="O23" s="35">
        <v>0</v>
      </c>
      <c r="P23" s="37">
        <v>0</v>
      </c>
      <c r="R23" s="117">
        <v>43148</v>
      </c>
      <c r="S23" s="149"/>
      <c r="T23" s="84"/>
      <c r="U23" s="62"/>
      <c r="V23" s="150"/>
      <c r="W23" s="84"/>
      <c r="X23" s="84"/>
      <c r="Y23" s="135"/>
      <c r="Z23" s="117">
        <v>43148</v>
      </c>
    </row>
    <row r="24" spans="1:26">
      <c r="A24" s="38">
        <v>43149</v>
      </c>
      <c r="B24" s="110"/>
      <c r="C24" s="39">
        <v>23190</v>
      </c>
      <c r="D24" s="72">
        <v>23190</v>
      </c>
      <c r="E24" s="27">
        <v>0</v>
      </c>
      <c r="F24" s="140">
        <v>0</v>
      </c>
      <c r="G24" s="33">
        <v>350</v>
      </c>
      <c r="H24" s="39">
        <v>1306</v>
      </c>
      <c r="I24" s="56">
        <v>1306</v>
      </c>
      <c r="J24" s="33">
        <v>0</v>
      </c>
      <c r="K24" s="72"/>
      <c r="L24" s="35">
        <v>0</v>
      </c>
      <c r="M24" s="60">
        <v>350</v>
      </c>
      <c r="N24" s="36">
        <v>0</v>
      </c>
      <c r="O24" s="35">
        <v>0</v>
      </c>
      <c r="P24" s="37">
        <v>0</v>
      </c>
      <c r="R24" s="117">
        <v>43149</v>
      </c>
      <c r="S24" s="149"/>
      <c r="T24" s="84"/>
      <c r="U24" s="62"/>
      <c r="V24" s="150"/>
      <c r="W24" s="84"/>
      <c r="X24" s="84"/>
      <c r="Y24" s="135"/>
      <c r="Z24" s="117">
        <v>43149</v>
      </c>
    </row>
    <row r="25" spans="1:26">
      <c r="A25" s="32">
        <v>43150</v>
      </c>
      <c r="B25" s="110"/>
      <c r="C25" s="39">
        <v>23190</v>
      </c>
      <c r="D25" s="72">
        <v>23190</v>
      </c>
      <c r="E25" s="27">
        <v>0</v>
      </c>
      <c r="F25" s="140">
        <v>280</v>
      </c>
      <c r="G25" s="39">
        <v>350</v>
      </c>
      <c r="H25" s="39">
        <v>1306</v>
      </c>
      <c r="I25" s="56">
        <v>1306</v>
      </c>
      <c r="J25" s="39">
        <v>0</v>
      </c>
      <c r="K25" s="73"/>
      <c r="L25" s="40">
        <v>0</v>
      </c>
      <c r="M25" s="61">
        <v>630</v>
      </c>
      <c r="N25" s="41">
        <v>0</v>
      </c>
      <c r="O25" s="40">
        <v>0</v>
      </c>
      <c r="P25" s="42">
        <v>0</v>
      </c>
      <c r="R25" s="117">
        <v>43150</v>
      </c>
      <c r="S25" s="149"/>
      <c r="T25" s="84"/>
      <c r="U25" s="62"/>
      <c r="V25" s="150"/>
      <c r="W25" s="84"/>
      <c r="X25" s="84"/>
      <c r="Y25" s="135"/>
      <c r="Z25" s="117">
        <v>43150</v>
      </c>
    </row>
    <row r="26" spans="1:26">
      <c r="A26" s="32">
        <v>43151</v>
      </c>
      <c r="B26" s="110"/>
      <c r="C26" s="39">
        <v>23190</v>
      </c>
      <c r="D26" s="72">
        <v>23190</v>
      </c>
      <c r="E26" s="34">
        <v>0</v>
      </c>
      <c r="F26" s="140">
        <v>0</v>
      </c>
      <c r="G26" s="33">
        <v>630</v>
      </c>
      <c r="H26" s="39">
        <v>1306</v>
      </c>
      <c r="I26" s="56">
        <v>1306</v>
      </c>
      <c r="J26" s="33">
        <v>0</v>
      </c>
      <c r="K26" s="72"/>
      <c r="L26" s="35">
        <v>0</v>
      </c>
      <c r="M26" s="60">
        <v>630</v>
      </c>
      <c r="N26" s="36">
        <v>0</v>
      </c>
      <c r="O26" s="35">
        <v>0</v>
      </c>
      <c r="P26" s="37">
        <v>0</v>
      </c>
      <c r="R26" s="117">
        <v>43151</v>
      </c>
      <c r="S26" s="149"/>
      <c r="T26" s="84"/>
      <c r="U26" s="62"/>
      <c r="V26" s="150"/>
      <c r="W26" s="84"/>
      <c r="X26" s="84"/>
      <c r="Y26" s="135"/>
      <c r="Z26" s="117">
        <v>43151</v>
      </c>
    </row>
    <row r="27" spans="1:26">
      <c r="A27" s="32">
        <v>43152</v>
      </c>
      <c r="B27" s="110"/>
      <c r="C27" s="39">
        <v>23190</v>
      </c>
      <c r="D27" s="72">
        <v>23190</v>
      </c>
      <c r="E27" s="34">
        <v>0</v>
      </c>
      <c r="F27" s="140">
        <v>0</v>
      </c>
      <c r="G27" s="33">
        <v>630</v>
      </c>
      <c r="H27" s="39">
        <v>1306</v>
      </c>
      <c r="I27" s="56">
        <v>1306</v>
      </c>
      <c r="J27" s="33">
        <v>0</v>
      </c>
      <c r="K27" s="72"/>
      <c r="L27" s="35">
        <v>0</v>
      </c>
      <c r="M27" s="60">
        <v>630</v>
      </c>
      <c r="N27" s="36">
        <v>0</v>
      </c>
      <c r="O27" s="35">
        <v>0</v>
      </c>
      <c r="P27" s="37">
        <v>0</v>
      </c>
      <c r="R27" s="117">
        <v>43152</v>
      </c>
      <c r="S27" s="149"/>
      <c r="T27" s="84"/>
      <c r="U27" s="62"/>
      <c r="V27" s="150"/>
      <c r="W27" s="84"/>
      <c r="X27" s="84"/>
      <c r="Y27" s="135"/>
      <c r="Z27" s="117">
        <v>43152</v>
      </c>
    </row>
    <row r="28" spans="1:26">
      <c r="A28" s="32">
        <v>43153</v>
      </c>
      <c r="B28" s="110"/>
      <c r="C28" s="39">
        <v>23190</v>
      </c>
      <c r="D28" s="72">
        <v>23190</v>
      </c>
      <c r="E28" s="34">
        <v>0</v>
      </c>
      <c r="F28" s="140">
        <v>240</v>
      </c>
      <c r="G28" s="33">
        <v>630</v>
      </c>
      <c r="H28" s="39">
        <v>1306</v>
      </c>
      <c r="I28" s="56">
        <v>1306</v>
      </c>
      <c r="J28" s="33">
        <v>0</v>
      </c>
      <c r="K28" s="72"/>
      <c r="L28" s="35">
        <v>0</v>
      </c>
      <c r="M28" s="60">
        <v>870</v>
      </c>
      <c r="N28" s="36">
        <v>0</v>
      </c>
      <c r="O28" s="35">
        <v>0</v>
      </c>
      <c r="P28" s="37">
        <v>0</v>
      </c>
      <c r="R28" s="117">
        <v>43153</v>
      </c>
      <c r="S28" s="149"/>
      <c r="T28" s="84"/>
      <c r="U28" s="62"/>
      <c r="V28" s="150"/>
      <c r="W28" s="84"/>
      <c r="X28" s="84"/>
      <c r="Y28" s="135"/>
      <c r="Z28" s="117">
        <v>43153</v>
      </c>
    </row>
    <row r="29" spans="1:26">
      <c r="A29" s="32">
        <v>43154</v>
      </c>
      <c r="B29" s="110"/>
      <c r="C29" s="39">
        <v>23190</v>
      </c>
      <c r="D29" s="72">
        <v>23190</v>
      </c>
      <c r="E29" s="34">
        <v>0</v>
      </c>
      <c r="F29" s="140">
        <v>0</v>
      </c>
      <c r="G29" s="33">
        <v>870</v>
      </c>
      <c r="H29" s="39">
        <v>1306</v>
      </c>
      <c r="I29" s="56">
        <v>1306</v>
      </c>
      <c r="J29" s="33">
        <v>0</v>
      </c>
      <c r="K29" s="72"/>
      <c r="L29" s="35">
        <v>0</v>
      </c>
      <c r="M29" s="60">
        <v>870</v>
      </c>
      <c r="N29" s="36">
        <v>0</v>
      </c>
      <c r="O29" s="35">
        <v>0</v>
      </c>
      <c r="P29" s="37">
        <v>0</v>
      </c>
      <c r="R29" s="117">
        <v>43154</v>
      </c>
      <c r="S29" s="149"/>
      <c r="T29" s="84"/>
      <c r="U29" s="62"/>
      <c r="V29" s="150"/>
      <c r="W29" s="84"/>
      <c r="X29" s="84"/>
      <c r="Y29" s="135"/>
      <c r="Z29" s="117">
        <v>43154</v>
      </c>
    </row>
    <row r="30" spans="1:26">
      <c r="A30" s="32">
        <v>43155</v>
      </c>
      <c r="B30" s="110"/>
      <c r="C30" s="39">
        <v>23190</v>
      </c>
      <c r="D30" s="72">
        <v>23190</v>
      </c>
      <c r="E30" s="34">
        <v>0</v>
      </c>
      <c r="F30" s="140">
        <v>0</v>
      </c>
      <c r="G30" s="33">
        <v>870</v>
      </c>
      <c r="H30" s="39">
        <v>1306</v>
      </c>
      <c r="I30" s="56">
        <v>1306</v>
      </c>
      <c r="J30" s="33">
        <v>0</v>
      </c>
      <c r="K30" s="72"/>
      <c r="L30" s="35">
        <v>0</v>
      </c>
      <c r="M30" s="60">
        <v>870</v>
      </c>
      <c r="N30" s="36">
        <v>0</v>
      </c>
      <c r="O30" s="35">
        <v>0</v>
      </c>
      <c r="P30" s="37">
        <v>0</v>
      </c>
      <c r="R30" s="117">
        <v>43155</v>
      </c>
      <c r="S30" s="149"/>
      <c r="T30" s="84"/>
      <c r="U30" s="62"/>
      <c r="V30" s="150"/>
      <c r="W30" s="84"/>
      <c r="X30" s="84"/>
      <c r="Y30" s="135"/>
      <c r="Z30" s="117">
        <v>43155</v>
      </c>
    </row>
    <row r="31" spans="1:26">
      <c r="A31" s="32">
        <v>43156</v>
      </c>
      <c r="B31" s="110"/>
      <c r="C31" s="39">
        <v>23190</v>
      </c>
      <c r="D31" s="72">
        <v>23190</v>
      </c>
      <c r="E31" s="34">
        <v>0</v>
      </c>
      <c r="F31" s="140">
        <v>0</v>
      </c>
      <c r="G31" s="33">
        <v>870</v>
      </c>
      <c r="H31" s="39">
        <v>1306</v>
      </c>
      <c r="I31" s="56">
        <v>1306</v>
      </c>
      <c r="J31" s="33">
        <v>0</v>
      </c>
      <c r="K31" s="72"/>
      <c r="L31" s="35">
        <v>0</v>
      </c>
      <c r="M31" s="60">
        <v>870</v>
      </c>
      <c r="N31" s="36">
        <v>0</v>
      </c>
      <c r="O31" s="35">
        <v>0</v>
      </c>
      <c r="P31" s="37">
        <v>0</v>
      </c>
      <c r="R31" s="117">
        <v>43156</v>
      </c>
      <c r="S31" s="149"/>
      <c r="T31" s="84"/>
      <c r="U31" s="62"/>
      <c r="V31" s="150"/>
      <c r="W31" s="84"/>
      <c r="X31" s="84"/>
      <c r="Y31" s="135"/>
      <c r="Z31" s="117">
        <v>43156</v>
      </c>
    </row>
    <row r="32" spans="1:26">
      <c r="A32" s="32">
        <v>43157</v>
      </c>
      <c r="B32" s="110"/>
      <c r="C32" s="39">
        <v>23190</v>
      </c>
      <c r="D32" s="72">
        <v>23190</v>
      </c>
      <c r="E32" s="34">
        <v>0</v>
      </c>
      <c r="F32" s="140">
        <v>0</v>
      </c>
      <c r="G32" s="33">
        <v>870</v>
      </c>
      <c r="H32" s="39">
        <v>1306</v>
      </c>
      <c r="I32" s="56">
        <v>1306</v>
      </c>
      <c r="J32" s="33">
        <v>0</v>
      </c>
      <c r="K32" s="72"/>
      <c r="L32" s="35">
        <v>0</v>
      </c>
      <c r="M32" s="60">
        <v>870</v>
      </c>
      <c r="N32" s="36">
        <v>0</v>
      </c>
      <c r="O32" s="35">
        <v>0</v>
      </c>
      <c r="P32" s="37">
        <v>0</v>
      </c>
      <c r="R32" s="117">
        <v>43157</v>
      </c>
      <c r="S32" s="149"/>
      <c r="T32" s="84"/>
      <c r="U32" s="62"/>
      <c r="V32" s="150"/>
      <c r="W32" s="84"/>
      <c r="X32" s="84"/>
      <c r="Y32" s="135"/>
      <c r="Z32" s="117">
        <v>43157</v>
      </c>
    </row>
    <row r="33" spans="1:26">
      <c r="A33" s="32">
        <v>43158</v>
      </c>
      <c r="B33" s="110"/>
      <c r="C33" s="39">
        <v>23190</v>
      </c>
      <c r="D33" s="72">
        <v>23190</v>
      </c>
      <c r="E33" s="34">
        <v>0</v>
      </c>
      <c r="F33" s="140">
        <v>0</v>
      </c>
      <c r="G33" s="33">
        <v>870</v>
      </c>
      <c r="H33" s="39">
        <v>1306</v>
      </c>
      <c r="I33" s="56">
        <v>1306</v>
      </c>
      <c r="J33" s="33">
        <v>0</v>
      </c>
      <c r="K33" s="72"/>
      <c r="L33" s="35">
        <v>0</v>
      </c>
      <c r="M33" s="60">
        <v>870</v>
      </c>
      <c r="N33" s="36">
        <v>0</v>
      </c>
      <c r="O33" s="35">
        <v>0</v>
      </c>
      <c r="P33" s="37">
        <v>0</v>
      </c>
      <c r="R33" s="117">
        <v>43158</v>
      </c>
      <c r="S33" s="149"/>
      <c r="T33" s="84"/>
      <c r="U33" s="62"/>
      <c r="V33" s="150"/>
      <c r="W33" s="84"/>
      <c r="X33" s="84"/>
      <c r="Y33" s="135"/>
      <c r="Z33" s="117">
        <v>43158</v>
      </c>
    </row>
    <row r="34" spans="1:26">
      <c r="A34" s="32">
        <v>43159</v>
      </c>
      <c r="B34" s="110"/>
      <c r="C34" s="39">
        <v>23190</v>
      </c>
      <c r="D34" s="72">
        <v>23190</v>
      </c>
      <c r="E34" s="34">
        <v>0</v>
      </c>
      <c r="F34" s="140">
        <v>290</v>
      </c>
      <c r="G34" s="33">
        <v>870</v>
      </c>
      <c r="H34" s="39">
        <v>1306</v>
      </c>
      <c r="I34" s="56">
        <v>1306</v>
      </c>
      <c r="J34" s="33">
        <v>0</v>
      </c>
      <c r="K34" s="72"/>
      <c r="L34" s="35">
        <v>0</v>
      </c>
      <c r="M34" s="60">
        <v>1160</v>
      </c>
      <c r="N34" s="36">
        <v>0</v>
      </c>
      <c r="O34" s="35">
        <v>0</v>
      </c>
      <c r="P34" s="37">
        <v>0</v>
      </c>
      <c r="R34" s="117">
        <v>43159</v>
      </c>
      <c r="S34" s="149"/>
      <c r="T34" s="84"/>
      <c r="U34" s="62"/>
      <c r="V34" s="150"/>
      <c r="W34" s="84"/>
      <c r="X34" s="84"/>
      <c r="Y34" s="135"/>
      <c r="Z34" s="117">
        <v>43159</v>
      </c>
    </row>
    <row r="35" spans="1:26">
      <c r="A35" s="32" t="s">
        <v>86</v>
      </c>
      <c r="B35" s="110"/>
      <c r="C35" s="39" t="s">
        <v>86</v>
      </c>
      <c r="D35" s="72"/>
      <c r="E35" s="34" t="s">
        <v>86</v>
      </c>
      <c r="F35" s="140" t="s">
        <v>86</v>
      </c>
      <c r="G35" s="33" t="s">
        <v>86</v>
      </c>
      <c r="H35" s="39" t="s">
        <v>86</v>
      </c>
      <c r="I35" s="56"/>
      <c r="J35" s="33" t="s">
        <v>86</v>
      </c>
      <c r="K35" s="72"/>
      <c r="L35" s="35" t="s">
        <v>86</v>
      </c>
      <c r="M35" s="60" t="s">
        <v>86</v>
      </c>
      <c r="N35" s="36" t="s">
        <v>86</v>
      </c>
      <c r="O35" s="35" t="s">
        <v>86</v>
      </c>
      <c r="P35" s="37" t="s">
        <v>86</v>
      </c>
      <c r="R35" s="117" t="s">
        <v>86</v>
      </c>
      <c r="S35" s="149"/>
      <c r="T35" s="84"/>
      <c r="U35" s="62"/>
      <c r="V35" s="150"/>
      <c r="W35" s="84"/>
      <c r="X35" s="84"/>
      <c r="Y35" s="135"/>
      <c r="Z35" s="117" t="s">
        <v>86</v>
      </c>
    </row>
    <row r="36" spans="1:26">
      <c r="A36" s="32" t="s">
        <v>86</v>
      </c>
      <c r="B36" s="110"/>
      <c r="C36" s="39" t="s">
        <v>86</v>
      </c>
      <c r="D36" s="72"/>
      <c r="E36" s="34" t="s">
        <v>86</v>
      </c>
      <c r="F36" s="140" t="s">
        <v>86</v>
      </c>
      <c r="G36" s="33" t="s">
        <v>86</v>
      </c>
      <c r="H36" s="39" t="s">
        <v>86</v>
      </c>
      <c r="I36" s="56"/>
      <c r="J36" s="33" t="s">
        <v>86</v>
      </c>
      <c r="K36" s="72"/>
      <c r="L36" s="35" t="s">
        <v>86</v>
      </c>
      <c r="M36" s="60" t="s">
        <v>86</v>
      </c>
      <c r="N36" s="36" t="s">
        <v>86</v>
      </c>
      <c r="O36" s="35" t="s">
        <v>86</v>
      </c>
      <c r="P36" s="37" t="s">
        <v>86</v>
      </c>
      <c r="R36" s="117" t="s">
        <v>86</v>
      </c>
      <c r="S36" s="149"/>
      <c r="T36" s="84"/>
      <c r="U36" s="62"/>
      <c r="V36" s="150"/>
      <c r="W36" s="84"/>
      <c r="X36" s="84"/>
      <c r="Y36" s="135"/>
      <c r="Z36" s="117" t="s">
        <v>86</v>
      </c>
    </row>
    <row r="37" spans="1:26" ht="13.8" thickBot="1">
      <c r="A37" s="32" t="s">
        <v>86</v>
      </c>
      <c r="B37" s="110"/>
      <c r="C37" s="39" t="s">
        <v>86</v>
      </c>
      <c r="D37" s="72"/>
      <c r="E37" s="34" t="s">
        <v>86</v>
      </c>
      <c r="F37" s="140" t="s">
        <v>86</v>
      </c>
      <c r="G37" s="33" t="s">
        <v>86</v>
      </c>
      <c r="H37" s="39" t="s">
        <v>86</v>
      </c>
      <c r="I37" s="56"/>
      <c r="J37" s="33" t="s">
        <v>86</v>
      </c>
      <c r="K37" s="72"/>
      <c r="L37" s="35" t="s">
        <v>86</v>
      </c>
      <c r="M37" s="60" t="s">
        <v>86</v>
      </c>
      <c r="N37" s="36" t="s">
        <v>86</v>
      </c>
      <c r="O37" s="35" t="s">
        <v>86</v>
      </c>
      <c r="P37" s="37" t="s">
        <v>86</v>
      </c>
      <c r="R37" s="128" t="s">
        <v>86</v>
      </c>
      <c r="S37" s="151"/>
      <c r="T37" s="121"/>
      <c r="U37" s="122"/>
      <c r="V37" s="152"/>
      <c r="W37" s="121"/>
      <c r="X37" s="121"/>
      <c r="Y37" s="137"/>
      <c r="Z37" s="128" t="s">
        <v>86</v>
      </c>
    </row>
    <row r="38" spans="1:26" ht="16.2" thickBot="1">
      <c r="A38" s="43" t="s">
        <v>52</v>
      </c>
      <c r="B38" s="44"/>
      <c r="C38" s="45"/>
      <c r="D38" s="46"/>
      <c r="E38" s="47">
        <v>0</v>
      </c>
      <c r="F38" s="47">
        <v>810</v>
      </c>
      <c r="G38" s="48"/>
      <c r="H38" s="48"/>
      <c r="I38" s="49"/>
      <c r="J38" s="47">
        <v>0</v>
      </c>
      <c r="K38" s="50">
        <v>0</v>
      </c>
      <c r="L38" s="51">
        <v>0</v>
      </c>
      <c r="M38" s="48"/>
      <c r="N38" s="51">
        <v>0</v>
      </c>
      <c r="O38" s="47">
        <v>0</v>
      </c>
      <c r="P38" s="52">
        <v>0</v>
      </c>
      <c r="R38" s="129" t="s">
        <v>74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29" t="s">
        <v>74</v>
      </c>
    </row>
    <row r="39" spans="1:26" ht="16.2" thickBo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38">
        <v>0</v>
      </c>
      <c r="L39" s="53"/>
      <c r="M39" s="54"/>
      <c r="N39" s="53"/>
      <c r="O39" s="53"/>
      <c r="P39" s="53"/>
      <c r="R39" s="130" t="s">
        <v>75</v>
      </c>
      <c r="S39" s="132">
        <v>0</v>
      </c>
      <c r="T39" s="132">
        <v>0</v>
      </c>
      <c r="U39" s="132">
        <v>0</v>
      </c>
      <c r="V39" s="132">
        <v>0</v>
      </c>
      <c r="W39" s="132">
        <v>0</v>
      </c>
      <c r="X39" s="132">
        <v>0</v>
      </c>
      <c r="Y39" s="132">
        <v>0</v>
      </c>
      <c r="Z39" s="130" t="s">
        <v>75</v>
      </c>
    </row>
    <row r="40" spans="1:26" ht="16.2" thickBo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39">
        <v>0</v>
      </c>
      <c r="L40" s="53"/>
      <c r="M40" s="55"/>
      <c r="N40" s="53"/>
      <c r="O40" s="53"/>
      <c r="P40" s="53"/>
      <c r="R40" s="53"/>
      <c r="S40" s="70"/>
      <c r="T40" s="70"/>
      <c r="U40" s="70"/>
      <c r="V40" s="70"/>
      <c r="W40" s="70"/>
    </row>
    <row r="41" spans="1:26">
      <c r="A41" s="53"/>
      <c r="I41" s="53"/>
      <c r="R41" s="53"/>
      <c r="S41" s="70"/>
      <c r="T41" s="70"/>
      <c r="U41" s="70"/>
      <c r="V41" s="70"/>
      <c r="W41" s="70"/>
    </row>
  </sheetData>
  <mergeCells count="3">
    <mergeCell ref="A2:P2"/>
    <mergeCell ref="A3:P3"/>
    <mergeCell ref="O4:P4"/>
  </mergeCells>
  <conditionalFormatting sqref="M7:M37">
    <cfRule type="cellIs" dxfId="149" priority="2" operator="lessThan">
      <formula>10</formula>
    </cfRule>
    <cfRule type="cellIs" dxfId="148" priority="3" operator="equal">
      <formula>350</formula>
    </cfRule>
    <cfRule type="cellIs" dxfId="147" priority="4" operator="greaterThan">
      <formula>350</formula>
    </cfRule>
  </conditionalFormatting>
  <conditionalFormatting sqref="G7:G37">
    <cfRule type="cellIs" dxfId="146" priority="1" operator="equal">
      <formula>350</formula>
    </cfRule>
  </conditionalFormatting>
  <dataValidations count="4">
    <dataValidation type="list" allowBlank="1" showInputMessage="1" showErrorMessage="1" sqref="P1">
      <formula1>Месяц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Z4">
      <formula1>ТС</formula1>
    </dataValidation>
    <dataValidation type="list" allowBlank="1" sqref="B7:B37">
      <formula1>Сотрудники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Сотрудники!$B$2:$B$25</xm:f>
          </x14:formula1>
          <xm:sqref>B7:B37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Z41"/>
  <sheetViews>
    <sheetView zoomScale="60" zoomScaleNormal="60" workbookViewId="0">
      <pane xSplit="1" ySplit="6" topLeftCell="B7" activePane="bottomRight" state="frozen"/>
      <selection activeCell="O4" sqref="O4:P4"/>
      <selection pane="topRight" activeCell="O4" sqref="O4:P4"/>
      <selection pane="bottomLeft" activeCell="O4" sqref="O4:P4"/>
      <selection pane="bottomRight" sqref="A1:Z40"/>
    </sheetView>
  </sheetViews>
  <sheetFormatPr defaultColWidth="9.109375" defaultRowHeight="13.2"/>
  <cols>
    <col min="1" max="1" width="12.6640625" style="23" customWidth="1"/>
    <col min="2" max="2" width="15.6640625" style="23" customWidth="1"/>
    <col min="3" max="15" width="12.6640625" style="23" customWidth="1"/>
    <col min="16" max="16" width="17.6640625" style="23" customWidth="1"/>
    <col min="17" max="17" width="3.109375" style="70" customWidth="1"/>
    <col min="18" max="26" width="11.6640625" style="23" customWidth="1"/>
    <col min="27" max="27" width="11" style="23" bestFit="1" customWidth="1"/>
    <col min="28" max="16384" width="9.109375" style="23"/>
  </cols>
  <sheetData>
    <row r="1" spans="1:26" ht="51" customHeight="1" thickBot="1">
      <c r="P1" s="114" t="s">
        <v>55</v>
      </c>
      <c r="R1" s="74"/>
      <c r="S1" s="74"/>
      <c r="T1" s="111"/>
      <c r="V1" s="74"/>
      <c r="W1" s="74"/>
      <c r="X1" s="75" t="s">
        <v>65</v>
      </c>
      <c r="Y1" s="98" t="s">
        <v>32</v>
      </c>
      <c r="Z1" s="99" t="s">
        <v>37</v>
      </c>
    </row>
    <row r="2" spans="1:26" ht="22.8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R2" s="91" t="s">
        <v>74</v>
      </c>
      <c r="S2" s="100">
        <v>43160</v>
      </c>
      <c r="T2" s="87">
        <v>43174</v>
      </c>
      <c r="U2" s="89">
        <v>350</v>
      </c>
      <c r="V2" s="101">
        <v>0</v>
      </c>
      <c r="W2" s="88">
        <v>0</v>
      </c>
      <c r="X2" s="85">
        <v>0</v>
      </c>
      <c r="Y2" s="76">
        <v>46.860000000000007</v>
      </c>
      <c r="Z2" s="77">
        <v>5.5</v>
      </c>
    </row>
    <row r="3" spans="1:26" ht="23.4" thickBo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R3" s="92" t="s">
        <v>75</v>
      </c>
      <c r="S3" s="102">
        <v>43175</v>
      </c>
      <c r="T3" s="103">
        <v>43190</v>
      </c>
      <c r="U3" s="90">
        <v>350</v>
      </c>
      <c r="V3" s="104">
        <v>917</v>
      </c>
      <c r="W3" s="96">
        <v>0.40144601962922571</v>
      </c>
      <c r="X3" s="86">
        <v>198.87399999999997</v>
      </c>
      <c r="Y3" s="93"/>
      <c r="Z3" s="94"/>
    </row>
    <row r="4" spans="1:26" ht="23.4" thickBot="1">
      <c r="A4" s="24"/>
      <c r="D4" s="24"/>
      <c r="E4" s="24"/>
      <c r="F4" s="24"/>
      <c r="G4" s="24"/>
      <c r="H4" s="25" t="s">
        <v>2</v>
      </c>
      <c r="I4" s="58">
        <v>2018</v>
      </c>
      <c r="K4" s="24"/>
      <c r="L4" s="24"/>
      <c r="M4" s="24"/>
      <c r="N4" s="24"/>
      <c r="O4" s="192" t="s">
        <v>85</v>
      </c>
      <c r="P4" s="192"/>
      <c r="R4" s="74"/>
      <c r="S4" s="105" t="s">
        <v>86</v>
      </c>
      <c r="V4" s="74"/>
      <c r="W4" s="95" t="s">
        <v>86</v>
      </c>
      <c r="X4" s="74"/>
      <c r="Y4" s="112" t="s">
        <v>33</v>
      </c>
      <c r="Z4" s="113" t="s">
        <v>69</v>
      </c>
    </row>
    <row r="5" spans="1:26" ht="8.25" customHeight="1" thickBot="1"/>
    <row r="6" spans="1:26" ht="63.75" customHeight="1" thickBot="1">
      <c r="A6" s="78" t="s">
        <v>3</v>
      </c>
      <c r="B6" s="79" t="s">
        <v>4</v>
      </c>
      <c r="C6" s="80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1" t="s">
        <v>11</v>
      </c>
      <c r="J6" s="81" t="s">
        <v>12</v>
      </c>
      <c r="K6" s="81" t="s">
        <v>13</v>
      </c>
      <c r="L6" s="81" t="s">
        <v>14</v>
      </c>
      <c r="M6" s="81" t="s">
        <v>15</v>
      </c>
      <c r="N6" s="81" t="s">
        <v>16</v>
      </c>
      <c r="O6" s="81" t="s">
        <v>17</v>
      </c>
      <c r="P6" s="82" t="s">
        <v>18</v>
      </c>
      <c r="R6" s="115" t="s">
        <v>3</v>
      </c>
      <c r="S6" s="127" t="s">
        <v>72</v>
      </c>
      <c r="T6" s="106" t="s">
        <v>7</v>
      </c>
      <c r="U6" s="106" t="s">
        <v>8</v>
      </c>
      <c r="V6" s="106" t="s">
        <v>73</v>
      </c>
      <c r="W6" s="106" t="s">
        <v>12</v>
      </c>
      <c r="X6" s="106" t="s">
        <v>16</v>
      </c>
      <c r="Y6" s="133" t="s">
        <v>17</v>
      </c>
      <c r="Z6" s="115" t="s">
        <v>3</v>
      </c>
    </row>
    <row r="7" spans="1:26" ht="15" customHeight="1" thickBot="1">
      <c r="A7" s="26">
        <v>43160</v>
      </c>
      <c r="B7" s="108"/>
      <c r="C7" s="107">
        <v>23190</v>
      </c>
      <c r="D7" s="57">
        <v>23190</v>
      </c>
      <c r="E7" s="27">
        <v>0</v>
      </c>
      <c r="F7" s="140">
        <v>0</v>
      </c>
      <c r="G7" s="107">
        <v>350</v>
      </c>
      <c r="H7" s="107">
        <v>1306</v>
      </c>
      <c r="I7" s="57">
        <v>1306</v>
      </c>
      <c r="J7" s="28">
        <v>0</v>
      </c>
      <c r="K7" s="71"/>
      <c r="L7" s="29">
        <v>0</v>
      </c>
      <c r="M7" s="59">
        <v>350</v>
      </c>
      <c r="N7" s="30">
        <v>0</v>
      </c>
      <c r="O7" s="29">
        <v>0</v>
      </c>
      <c r="P7" s="31">
        <v>0</v>
      </c>
      <c r="R7" s="136">
        <v>43160</v>
      </c>
      <c r="S7" s="147"/>
      <c r="T7" s="118"/>
      <c r="U7" s="63"/>
      <c r="V7" s="148"/>
      <c r="W7" s="118"/>
      <c r="X7" s="118"/>
      <c r="Y7" s="134"/>
      <c r="Z7" s="136">
        <v>43160</v>
      </c>
    </row>
    <row r="8" spans="1:26" ht="12.75" customHeight="1">
      <c r="A8" s="32">
        <v>43161</v>
      </c>
      <c r="B8" s="109"/>
      <c r="C8" s="39">
        <v>23190</v>
      </c>
      <c r="D8" s="56">
        <v>23190</v>
      </c>
      <c r="E8" s="34">
        <v>0</v>
      </c>
      <c r="F8" s="140">
        <v>0</v>
      </c>
      <c r="G8" s="39">
        <v>350</v>
      </c>
      <c r="H8" s="39">
        <v>1306</v>
      </c>
      <c r="I8" s="56">
        <v>1306</v>
      </c>
      <c r="J8" s="33">
        <v>0</v>
      </c>
      <c r="K8" s="72"/>
      <c r="L8" s="35">
        <v>0</v>
      </c>
      <c r="M8" s="60">
        <v>350</v>
      </c>
      <c r="N8" s="36">
        <v>0</v>
      </c>
      <c r="O8" s="35">
        <v>0</v>
      </c>
      <c r="P8" s="37">
        <v>0</v>
      </c>
      <c r="R8" s="117">
        <v>43161</v>
      </c>
      <c r="S8" s="149"/>
      <c r="T8" s="84"/>
      <c r="U8" s="62"/>
      <c r="V8" s="150"/>
      <c r="W8" s="84"/>
      <c r="X8" s="84"/>
      <c r="Y8" s="135"/>
      <c r="Z8" s="117">
        <v>43161</v>
      </c>
    </row>
    <row r="9" spans="1:26">
      <c r="A9" s="32">
        <v>43162</v>
      </c>
      <c r="B9" s="109"/>
      <c r="C9" s="39">
        <v>23190</v>
      </c>
      <c r="D9" s="56">
        <v>23190</v>
      </c>
      <c r="E9" s="34">
        <v>0</v>
      </c>
      <c r="F9" s="140">
        <v>0</v>
      </c>
      <c r="G9" s="33">
        <v>350</v>
      </c>
      <c r="H9" s="39">
        <v>1306</v>
      </c>
      <c r="I9" s="56">
        <v>1306</v>
      </c>
      <c r="J9" s="33">
        <v>0</v>
      </c>
      <c r="K9" s="72"/>
      <c r="L9" s="35">
        <v>0</v>
      </c>
      <c r="M9" s="60">
        <v>350</v>
      </c>
      <c r="N9" s="36">
        <v>0</v>
      </c>
      <c r="O9" s="35">
        <v>0</v>
      </c>
      <c r="P9" s="37">
        <v>0</v>
      </c>
      <c r="R9" s="117">
        <v>43162</v>
      </c>
      <c r="S9" s="149"/>
      <c r="T9" s="84"/>
      <c r="U9" s="62"/>
      <c r="V9" s="150"/>
      <c r="W9" s="84"/>
      <c r="X9" s="84"/>
      <c r="Y9" s="135"/>
      <c r="Z9" s="117">
        <v>43162</v>
      </c>
    </row>
    <row r="10" spans="1:26">
      <c r="A10" s="32">
        <v>43163</v>
      </c>
      <c r="B10" s="109"/>
      <c r="C10" s="39">
        <v>23190</v>
      </c>
      <c r="D10" s="56">
        <v>23190</v>
      </c>
      <c r="E10" s="34">
        <v>0</v>
      </c>
      <c r="F10" s="140">
        <v>0</v>
      </c>
      <c r="G10" s="33">
        <v>350</v>
      </c>
      <c r="H10" s="39">
        <v>1306</v>
      </c>
      <c r="I10" s="56">
        <v>1306</v>
      </c>
      <c r="J10" s="33">
        <v>0</v>
      </c>
      <c r="K10" s="72"/>
      <c r="L10" s="35">
        <v>0</v>
      </c>
      <c r="M10" s="60">
        <v>350</v>
      </c>
      <c r="N10" s="36">
        <v>0</v>
      </c>
      <c r="O10" s="35">
        <v>0</v>
      </c>
      <c r="P10" s="37">
        <v>0</v>
      </c>
      <c r="R10" s="117">
        <v>43163</v>
      </c>
      <c r="S10" s="149"/>
      <c r="T10" s="84"/>
      <c r="U10" s="62"/>
      <c r="V10" s="150"/>
      <c r="W10" s="84"/>
      <c r="X10" s="84"/>
      <c r="Y10" s="135"/>
      <c r="Z10" s="117">
        <v>43163</v>
      </c>
    </row>
    <row r="11" spans="1:26">
      <c r="A11" s="32">
        <v>43164</v>
      </c>
      <c r="B11" s="109"/>
      <c r="C11" s="39">
        <v>23190</v>
      </c>
      <c r="D11" s="56">
        <v>23190</v>
      </c>
      <c r="E11" s="34">
        <v>0</v>
      </c>
      <c r="F11" s="140">
        <v>0</v>
      </c>
      <c r="G11" s="33">
        <v>350</v>
      </c>
      <c r="H11" s="39">
        <v>1306</v>
      </c>
      <c r="I11" s="56">
        <v>1306</v>
      </c>
      <c r="J11" s="33">
        <v>0</v>
      </c>
      <c r="K11" s="72"/>
      <c r="L11" s="35">
        <v>0</v>
      </c>
      <c r="M11" s="60">
        <v>350</v>
      </c>
      <c r="N11" s="36">
        <v>0</v>
      </c>
      <c r="O11" s="35">
        <v>0</v>
      </c>
      <c r="P11" s="37">
        <v>0</v>
      </c>
      <c r="R11" s="117">
        <v>43164</v>
      </c>
      <c r="S11" s="149"/>
      <c r="T11" s="84"/>
      <c r="U11" s="62"/>
      <c r="V11" s="150"/>
      <c r="W11" s="84"/>
      <c r="X11" s="84"/>
      <c r="Y11" s="135"/>
      <c r="Z11" s="117">
        <v>43164</v>
      </c>
    </row>
    <row r="12" spans="1:26">
      <c r="A12" s="32">
        <v>43165</v>
      </c>
      <c r="B12" s="109"/>
      <c r="C12" s="39">
        <v>23190</v>
      </c>
      <c r="D12" s="56">
        <v>23190</v>
      </c>
      <c r="E12" s="34">
        <v>0</v>
      </c>
      <c r="F12" s="140">
        <v>0</v>
      </c>
      <c r="G12" s="33">
        <v>350</v>
      </c>
      <c r="H12" s="39">
        <v>1306</v>
      </c>
      <c r="I12" s="56">
        <v>1306</v>
      </c>
      <c r="J12" s="33">
        <v>0</v>
      </c>
      <c r="K12" s="72"/>
      <c r="L12" s="35">
        <v>0</v>
      </c>
      <c r="M12" s="60">
        <v>350</v>
      </c>
      <c r="N12" s="36">
        <v>0</v>
      </c>
      <c r="O12" s="35">
        <v>0</v>
      </c>
      <c r="P12" s="37">
        <v>0</v>
      </c>
      <c r="R12" s="117">
        <v>43165</v>
      </c>
      <c r="S12" s="149"/>
      <c r="T12" s="84"/>
      <c r="U12" s="62"/>
      <c r="V12" s="150"/>
      <c r="W12" s="84"/>
      <c r="X12" s="84"/>
      <c r="Y12" s="135"/>
      <c r="Z12" s="117">
        <v>43165</v>
      </c>
    </row>
    <row r="13" spans="1:26">
      <c r="A13" s="32">
        <v>43166</v>
      </c>
      <c r="B13" s="109"/>
      <c r="C13" s="39">
        <v>23190</v>
      </c>
      <c r="D13" s="56">
        <v>23190</v>
      </c>
      <c r="E13" s="34">
        <v>0</v>
      </c>
      <c r="F13" s="140">
        <v>0</v>
      </c>
      <c r="G13" s="33">
        <v>350</v>
      </c>
      <c r="H13" s="39">
        <v>1306</v>
      </c>
      <c r="I13" s="56">
        <v>1306</v>
      </c>
      <c r="J13" s="33">
        <v>0</v>
      </c>
      <c r="K13" s="72"/>
      <c r="L13" s="35">
        <v>0</v>
      </c>
      <c r="M13" s="60">
        <v>350</v>
      </c>
      <c r="N13" s="36">
        <v>0</v>
      </c>
      <c r="O13" s="35">
        <v>0</v>
      </c>
      <c r="P13" s="37">
        <v>0</v>
      </c>
      <c r="R13" s="117">
        <v>43166</v>
      </c>
      <c r="S13" s="149"/>
      <c r="T13" s="84"/>
      <c r="U13" s="62"/>
      <c r="V13" s="150"/>
      <c r="W13" s="84"/>
      <c r="X13" s="84"/>
      <c r="Y13" s="135"/>
      <c r="Z13" s="117">
        <v>43166</v>
      </c>
    </row>
    <row r="14" spans="1:26">
      <c r="A14" s="32">
        <v>43167</v>
      </c>
      <c r="B14" s="109"/>
      <c r="C14" s="39">
        <v>23190</v>
      </c>
      <c r="D14" s="56">
        <v>23190</v>
      </c>
      <c r="E14" s="34">
        <v>0</v>
      </c>
      <c r="F14" s="140">
        <v>0</v>
      </c>
      <c r="G14" s="33">
        <v>350</v>
      </c>
      <c r="H14" s="39">
        <v>1306</v>
      </c>
      <c r="I14" s="56">
        <v>1306</v>
      </c>
      <c r="J14" s="33">
        <v>0</v>
      </c>
      <c r="K14" s="72"/>
      <c r="L14" s="35">
        <v>0</v>
      </c>
      <c r="M14" s="60">
        <v>350</v>
      </c>
      <c r="N14" s="36">
        <v>0</v>
      </c>
      <c r="O14" s="35">
        <v>0</v>
      </c>
      <c r="P14" s="37">
        <v>0</v>
      </c>
      <c r="R14" s="117">
        <v>43167</v>
      </c>
      <c r="S14" s="149"/>
      <c r="T14" s="84"/>
      <c r="U14" s="62"/>
      <c r="V14" s="150"/>
      <c r="W14" s="84"/>
      <c r="X14" s="84"/>
      <c r="Y14" s="135"/>
      <c r="Z14" s="117">
        <v>43167</v>
      </c>
    </row>
    <row r="15" spans="1:26">
      <c r="A15" s="32">
        <v>43168</v>
      </c>
      <c r="B15" s="109"/>
      <c r="C15" s="39">
        <v>23190</v>
      </c>
      <c r="D15" s="56">
        <v>23190</v>
      </c>
      <c r="E15" s="34">
        <v>0</v>
      </c>
      <c r="F15" s="140">
        <v>0</v>
      </c>
      <c r="G15" s="33">
        <v>350</v>
      </c>
      <c r="H15" s="39">
        <v>1306</v>
      </c>
      <c r="I15" s="56">
        <v>1306</v>
      </c>
      <c r="J15" s="33">
        <v>0</v>
      </c>
      <c r="K15" s="72"/>
      <c r="L15" s="35">
        <v>0</v>
      </c>
      <c r="M15" s="60">
        <v>350</v>
      </c>
      <c r="N15" s="36">
        <v>0</v>
      </c>
      <c r="O15" s="35">
        <v>0</v>
      </c>
      <c r="P15" s="37">
        <v>0</v>
      </c>
      <c r="R15" s="117">
        <v>43168</v>
      </c>
      <c r="S15" s="149"/>
      <c r="T15" s="84"/>
      <c r="U15" s="62"/>
      <c r="V15" s="150"/>
      <c r="W15" s="84"/>
      <c r="X15" s="84"/>
      <c r="Y15" s="135"/>
      <c r="Z15" s="117">
        <v>43168</v>
      </c>
    </row>
    <row r="16" spans="1:26">
      <c r="A16" s="32">
        <v>43169</v>
      </c>
      <c r="B16" s="109"/>
      <c r="C16" s="39">
        <v>23190</v>
      </c>
      <c r="D16" s="56">
        <v>23190</v>
      </c>
      <c r="E16" s="34">
        <v>0</v>
      </c>
      <c r="F16" s="140">
        <v>0</v>
      </c>
      <c r="G16" s="33">
        <v>350</v>
      </c>
      <c r="H16" s="39">
        <v>1306</v>
      </c>
      <c r="I16" s="56">
        <v>1306</v>
      </c>
      <c r="J16" s="33">
        <v>0</v>
      </c>
      <c r="K16" s="72"/>
      <c r="L16" s="35">
        <v>0</v>
      </c>
      <c r="M16" s="60">
        <v>350</v>
      </c>
      <c r="N16" s="36">
        <v>0</v>
      </c>
      <c r="O16" s="35">
        <v>0</v>
      </c>
      <c r="P16" s="37">
        <v>0</v>
      </c>
      <c r="R16" s="117">
        <v>43169</v>
      </c>
      <c r="S16" s="149"/>
      <c r="T16" s="84"/>
      <c r="U16" s="62"/>
      <c r="V16" s="150"/>
      <c r="W16" s="84"/>
      <c r="X16" s="84"/>
      <c r="Y16" s="135"/>
      <c r="Z16" s="117">
        <v>43169</v>
      </c>
    </row>
    <row r="17" spans="1:26">
      <c r="A17" s="32">
        <v>43170</v>
      </c>
      <c r="B17" s="109"/>
      <c r="C17" s="39">
        <v>23190</v>
      </c>
      <c r="D17" s="56">
        <v>23190</v>
      </c>
      <c r="E17" s="34">
        <v>0</v>
      </c>
      <c r="F17" s="140">
        <v>0</v>
      </c>
      <c r="G17" s="33">
        <v>350</v>
      </c>
      <c r="H17" s="39">
        <v>1306</v>
      </c>
      <c r="I17" s="56">
        <v>1306</v>
      </c>
      <c r="J17" s="33">
        <v>0</v>
      </c>
      <c r="K17" s="72"/>
      <c r="L17" s="35">
        <v>0</v>
      </c>
      <c r="M17" s="60">
        <v>350</v>
      </c>
      <c r="N17" s="36">
        <v>0</v>
      </c>
      <c r="O17" s="35">
        <v>0</v>
      </c>
      <c r="P17" s="37">
        <v>0</v>
      </c>
      <c r="R17" s="117">
        <v>43170</v>
      </c>
      <c r="S17" s="149"/>
      <c r="T17" s="84"/>
      <c r="U17" s="62"/>
      <c r="V17" s="150"/>
      <c r="W17" s="84"/>
      <c r="X17" s="84"/>
      <c r="Y17" s="135"/>
      <c r="Z17" s="117">
        <v>43170</v>
      </c>
    </row>
    <row r="18" spans="1:26">
      <c r="A18" s="32">
        <v>43171</v>
      </c>
      <c r="B18" s="109"/>
      <c r="C18" s="39">
        <v>23190</v>
      </c>
      <c r="D18" s="56">
        <v>23190</v>
      </c>
      <c r="E18" s="34">
        <v>0</v>
      </c>
      <c r="F18" s="140">
        <v>0</v>
      </c>
      <c r="G18" s="33">
        <v>350</v>
      </c>
      <c r="H18" s="39">
        <v>1306</v>
      </c>
      <c r="I18" s="56">
        <v>1306</v>
      </c>
      <c r="J18" s="33">
        <v>0</v>
      </c>
      <c r="K18" s="72"/>
      <c r="L18" s="35">
        <v>0</v>
      </c>
      <c r="M18" s="60">
        <v>350</v>
      </c>
      <c r="N18" s="36">
        <v>0</v>
      </c>
      <c r="O18" s="35">
        <v>0</v>
      </c>
      <c r="P18" s="37">
        <v>0</v>
      </c>
      <c r="R18" s="117">
        <v>43171</v>
      </c>
      <c r="S18" s="149"/>
      <c r="T18" s="84"/>
      <c r="U18" s="62"/>
      <c r="V18" s="150"/>
      <c r="W18" s="84"/>
      <c r="X18" s="84"/>
      <c r="Y18" s="135"/>
      <c r="Z18" s="117">
        <v>43171</v>
      </c>
    </row>
    <row r="19" spans="1:26">
      <c r="A19" s="32">
        <v>43172</v>
      </c>
      <c r="B19" s="109"/>
      <c r="C19" s="39">
        <v>23190</v>
      </c>
      <c r="D19" s="56">
        <v>23190</v>
      </c>
      <c r="E19" s="34">
        <v>0</v>
      </c>
      <c r="F19" s="140">
        <v>0</v>
      </c>
      <c r="G19" s="33">
        <v>350</v>
      </c>
      <c r="H19" s="39">
        <v>1306</v>
      </c>
      <c r="I19" s="56">
        <v>1306</v>
      </c>
      <c r="J19" s="33">
        <v>0</v>
      </c>
      <c r="K19" s="72"/>
      <c r="L19" s="35">
        <v>0</v>
      </c>
      <c r="M19" s="60">
        <v>350</v>
      </c>
      <c r="N19" s="36">
        <v>0</v>
      </c>
      <c r="O19" s="35">
        <v>0</v>
      </c>
      <c r="P19" s="37">
        <v>0</v>
      </c>
      <c r="R19" s="117">
        <v>43172</v>
      </c>
      <c r="S19" s="149"/>
      <c r="T19" s="84"/>
      <c r="U19" s="62"/>
      <c r="V19" s="150"/>
      <c r="W19" s="84"/>
      <c r="X19" s="84"/>
      <c r="Y19" s="135"/>
      <c r="Z19" s="117">
        <v>43172</v>
      </c>
    </row>
    <row r="20" spans="1:26">
      <c r="A20" s="32">
        <v>43173</v>
      </c>
      <c r="B20" s="109"/>
      <c r="C20" s="39">
        <v>23190</v>
      </c>
      <c r="D20" s="56">
        <v>23190</v>
      </c>
      <c r="E20" s="34">
        <v>0</v>
      </c>
      <c r="F20" s="140">
        <v>0</v>
      </c>
      <c r="G20" s="33">
        <v>350</v>
      </c>
      <c r="H20" s="39">
        <v>1306</v>
      </c>
      <c r="I20" s="56">
        <v>1306</v>
      </c>
      <c r="J20" s="33">
        <v>0</v>
      </c>
      <c r="K20" s="72"/>
      <c r="L20" s="35">
        <v>0</v>
      </c>
      <c r="M20" s="60">
        <v>350</v>
      </c>
      <c r="N20" s="36">
        <v>0</v>
      </c>
      <c r="O20" s="35">
        <v>0</v>
      </c>
      <c r="P20" s="37">
        <v>0</v>
      </c>
      <c r="R20" s="117">
        <v>43173</v>
      </c>
      <c r="S20" s="149"/>
      <c r="T20" s="84"/>
      <c r="U20" s="62"/>
      <c r="V20" s="150"/>
      <c r="W20" s="84"/>
      <c r="X20" s="84"/>
      <c r="Y20" s="135"/>
      <c r="Z20" s="117">
        <v>43173</v>
      </c>
    </row>
    <row r="21" spans="1:26">
      <c r="A21" s="32">
        <v>43174</v>
      </c>
      <c r="B21" s="109"/>
      <c r="C21" s="39">
        <v>23190</v>
      </c>
      <c r="D21" s="56">
        <v>23190</v>
      </c>
      <c r="E21" s="34">
        <v>0</v>
      </c>
      <c r="F21" s="140">
        <v>0</v>
      </c>
      <c r="G21" s="33">
        <v>350</v>
      </c>
      <c r="H21" s="39">
        <v>1306</v>
      </c>
      <c r="I21" s="56">
        <v>1306</v>
      </c>
      <c r="J21" s="33">
        <v>0</v>
      </c>
      <c r="K21" s="72"/>
      <c r="L21" s="35">
        <v>0</v>
      </c>
      <c r="M21" s="60">
        <v>350</v>
      </c>
      <c r="N21" s="36">
        <v>0</v>
      </c>
      <c r="O21" s="35">
        <v>0</v>
      </c>
      <c r="P21" s="37">
        <v>0</v>
      </c>
      <c r="R21" s="117">
        <v>43174</v>
      </c>
      <c r="S21" s="149"/>
      <c r="T21" s="84"/>
      <c r="U21" s="62"/>
      <c r="V21" s="150"/>
      <c r="W21" s="84"/>
      <c r="X21" s="84"/>
      <c r="Y21" s="135"/>
      <c r="Z21" s="117">
        <v>43174</v>
      </c>
    </row>
    <row r="22" spans="1:26">
      <c r="A22" s="32">
        <v>43175</v>
      </c>
      <c r="B22" s="109"/>
      <c r="C22" s="39">
        <v>23190</v>
      </c>
      <c r="D22" s="56">
        <v>23190</v>
      </c>
      <c r="E22" s="34">
        <v>0</v>
      </c>
      <c r="F22" s="140">
        <v>0</v>
      </c>
      <c r="G22" s="33">
        <v>350</v>
      </c>
      <c r="H22" s="39">
        <v>1306</v>
      </c>
      <c r="I22" s="56">
        <v>1306</v>
      </c>
      <c r="J22" s="33">
        <v>0</v>
      </c>
      <c r="K22" s="72">
        <v>3</v>
      </c>
      <c r="L22" s="35">
        <v>0</v>
      </c>
      <c r="M22" s="60">
        <v>350</v>
      </c>
      <c r="N22" s="36">
        <v>0</v>
      </c>
      <c r="O22" s="35">
        <v>0</v>
      </c>
      <c r="P22" s="37">
        <v>0</v>
      </c>
      <c r="R22" s="117">
        <v>43175</v>
      </c>
      <c r="S22" s="149"/>
      <c r="T22" s="84"/>
      <c r="U22" s="62"/>
      <c r="V22" s="150"/>
      <c r="W22" s="84"/>
      <c r="X22" s="84"/>
      <c r="Y22" s="135"/>
      <c r="Z22" s="117">
        <v>43175</v>
      </c>
    </row>
    <row r="23" spans="1:26">
      <c r="A23" s="32">
        <v>43176</v>
      </c>
      <c r="B23" s="109"/>
      <c r="C23" s="39">
        <v>23190</v>
      </c>
      <c r="D23" s="56">
        <v>23190</v>
      </c>
      <c r="E23" s="34">
        <v>0</v>
      </c>
      <c r="F23" s="140">
        <v>0</v>
      </c>
      <c r="G23" s="33">
        <v>350</v>
      </c>
      <c r="H23" s="39">
        <v>1306</v>
      </c>
      <c r="I23" s="56">
        <v>1306</v>
      </c>
      <c r="J23" s="33">
        <v>0</v>
      </c>
      <c r="K23" s="72">
        <v>3</v>
      </c>
      <c r="L23" s="35">
        <v>0</v>
      </c>
      <c r="M23" s="60">
        <v>350</v>
      </c>
      <c r="N23" s="36">
        <v>0</v>
      </c>
      <c r="O23" s="35">
        <v>0</v>
      </c>
      <c r="P23" s="37">
        <v>0</v>
      </c>
      <c r="R23" s="117">
        <v>43176</v>
      </c>
      <c r="S23" s="149"/>
      <c r="T23" s="84"/>
      <c r="U23" s="62"/>
      <c r="V23" s="150"/>
      <c r="W23" s="84"/>
      <c r="X23" s="84"/>
      <c r="Y23" s="135"/>
      <c r="Z23" s="117">
        <v>43176</v>
      </c>
    </row>
    <row r="24" spans="1:26">
      <c r="A24" s="38">
        <v>43177</v>
      </c>
      <c r="B24" s="109"/>
      <c r="C24" s="39">
        <v>23190</v>
      </c>
      <c r="D24" s="56">
        <v>23190</v>
      </c>
      <c r="E24" s="27">
        <v>0</v>
      </c>
      <c r="F24" s="140">
        <v>0</v>
      </c>
      <c r="G24" s="33">
        <v>350</v>
      </c>
      <c r="H24" s="39">
        <v>1306</v>
      </c>
      <c r="I24" s="56">
        <v>1306</v>
      </c>
      <c r="J24" s="33">
        <v>0</v>
      </c>
      <c r="K24" s="72">
        <v>3</v>
      </c>
      <c r="L24" s="35">
        <v>0</v>
      </c>
      <c r="M24" s="60">
        <v>350</v>
      </c>
      <c r="N24" s="36">
        <v>0</v>
      </c>
      <c r="O24" s="35">
        <v>0</v>
      </c>
      <c r="P24" s="37">
        <v>0</v>
      </c>
      <c r="R24" s="117">
        <v>43177</v>
      </c>
      <c r="S24" s="149"/>
      <c r="T24" s="84"/>
      <c r="U24" s="62"/>
      <c r="V24" s="150"/>
      <c r="W24" s="84"/>
      <c r="X24" s="84"/>
      <c r="Y24" s="135"/>
      <c r="Z24" s="117">
        <v>43177</v>
      </c>
    </row>
    <row r="25" spans="1:26">
      <c r="A25" s="32">
        <v>43178</v>
      </c>
      <c r="B25" s="109"/>
      <c r="C25" s="39">
        <v>23190</v>
      </c>
      <c r="D25" s="56">
        <v>23190</v>
      </c>
      <c r="E25" s="27">
        <v>0</v>
      </c>
      <c r="F25" s="140">
        <v>0</v>
      </c>
      <c r="G25" s="39">
        <v>350</v>
      </c>
      <c r="H25" s="39">
        <v>1306</v>
      </c>
      <c r="I25" s="56">
        <v>1306</v>
      </c>
      <c r="J25" s="39">
        <v>0</v>
      </c>
      <c r="K25" s="73">
        <v>1</v>
      </c>
      <c r="L25" s="40">
        <v>0</v>
      </c>
      <c r="M25" s="61">
        <v>350</v>
      </c>
      <c r="N25" s="41">
        <v>0</v>
      </c>
      <c r="O25" s="40">
        <v>0</v>
      </c>
      <c r="P25" s="42">
        <v>0</v>
      </c>
      <c r="R25" s="117">
        <v>43178</v>
      </c>
      <c r="S25" s="149"/>
      <c r="T25" s="84"/>
      <c r="U25" s="62"/>
      <c r="V25" s="150"/>
      <c r="W25" s="84"/>
      <c r="X25" s="84"/>
      <c r="Y25" s="135"/>
      <c r="Z25" s="117">
        <v>43178</v>
      </c>
    </row>
    <row r="26" spans="1:26">
      <c r="A26" s="32">
        <v>43179</v>
      </c>
      <c r="B26" s="109"/>
      <c r="C26" s="39">
        <v>23190</v>
      </c>
      <c r="D26" s="56">
        <v>23190</v>
      </c>
      <c r="E26" s="34">
        <v>0</v>
      </c>
      <c r="F26" s="140">
        <v>280</v>
      </c>
      <c r="G26" s="33">
        <v>350</v>
      </c>
      <c r="H26" s="39">
        <v>1306</v>
      </c>
      <c r="I26" s="56">
        <v>1306</v>
      </c>
      <c r="J26" s="33">
        <v>0</v>
      </c>
      <c r="K26" s="72">
        <v>2</v>
      </c>
      <c r="L26" s="35">
        <v>0</v>
      </c>
      <c r="M26" s="60">
        <v>350</v>
      </c>
      <c r="N26" s="36">
        <v>0</v>
      </c>
      <c r="O26" s="35">
        <v>0</v>
      </c>
      <c r="P26" s="37">
        <v>0</v>
      </c>
      <c r="R26" s="117">
        <v>43179</v>
      </c>
      <c r="S26" s="149"/>
      <c r="T26" s="84"/>
      <c r="U26" s="62">
        <v>-280</v>
      </c>
      <c r="V26" s="150"/>
      <c r="W26" s="84"/>
      <c r="X26" s="84"/>
      <c r="Y26" s="135"/>
      <c r="Z26" s="117">
        <v>43179</v>
      </c>
    </row>
    <row r="27" spans="1:26">
      <c r="A27" s="32">
        <v>43180</v>
      </c>
      <c r="B27" s="109"/>
      <c r="C27" s="39">
        <v>23190</v>
      </c>
      <c r="D27" s="56">
        <v>23190</v>
      </c>
      <c r="E27" s="34">
        <v>0</v>
      </c>
      <c r="F27" s="140">
        <v>0</v>
      </c>
      <c r="G27" s="33">
        <v>350</v>
      </c>
      <c r="H27" s="39">
        <v>1306</v>
      </c>
      <c r="I27" s="56">
        <v>1306</v>
      </c>
      <c r="J27" s="33">
        <v>0</v>
      </c>
      <c r="K27" s="72">
        <v>2</v>
      </c>
      <c r="L27" s="35">
        <v>0</v>
      </c>
      <c r="M27" s="60">
        <v>350</v>
      </c>
      <c r="N27" s="36">
        <v>0</v>
      </c>
      <c r="O27" s="35">
        <v>0</v>
      </c>
      <c r="P27" s="37">
        <v>0</v>
      </c>
      <c r="R27" s="117">
        <v>43180</v>
      </c>
      <c r="S27" s="149"/>
      <c r="T27" s="84"/>
      <c r="U27" s="62"/>
      <c r="V27" s="150"/>
      <c r="W27" s="84"/>
      <c r="X27" s="84"/>
      <c r="Y27" s="135"/>
      <c r="Z27" s="117">
        <v>43180</v>
      </c>
    </row>
    <row r="28" spans="1:26">
      <c r="A28" s="32">
        <v>43181</v>
      </c>
      <c r="B28" s="109"/>
      <c r="C28" s="39">
        <v>23190</v>
      </c>
      <c r="D28" s="56">
        <v>23190</v>
      </c>
      <c r="E28" s="34">
        <v>0</v>
      </c>
      <c r="F28" s="140">
        <v>0</v>
      </c>
      <c r="G28" s="33">
        <v>350</v>
      </c>
      <c r="H28" s="39">
        <v>1306</v>
      </c>
      <c r="I28" s="56">
        <v>1306</v>
      </c>
      <c r="J28" s="33">
        <v>0</v>
      </c>
      <c r="K28" s="72">
        <v>2</v>
      </c>
      <c r="L28" s="35">
        <v>0</v>
      </c>
      <c r="M28" s="60">
        <v>350</v>
      </c>
      <c r="N28" s="36">
        <v>0</v>
      </c>
      <c r="O28" s="35">
        <v>0</v>
      </c>
      <c r="P28" s="37">
        <v>0</v>
      </c>
      <c r="R28" s="117">
        <v>43181</v>
      </c>
      <c r="S28" s="149"/>
      <c r="T28" s="84"/>
      <c r="U28" s="62"/>
      <c r="V28" s="150"/>
      <c r="W28" s="84"/>
      <c r="X28" s="84"/>
      <c r="Y28" s="135"/>
      <c r="Z28" s="117">
        <v>43181</v>
      </c>
    </row>
    <row r="29" spans="1:26">
      <c r="A29" s="32">
        <v>43182</v>
      </c>
      <c r="B29" s="109"/>
      <c r="C29" s="39">
        <v>23190</v>
      </c>
      <c r="D29" s="56">
        <v>23190</v>
      </c>
      <c r="E29" s="34">
        <v>0</v>
      </c>
      <c r="F29" s="140">
        <v>0</v>
      </c>
      <c r="G29" s="33">
        <v>350</v>
      </c>
      <c r="H29" s="39">
        <v>1306</v>
      </c>
      <c r="I29" s="56">
        <v>1306</v>
      </c>
      <c r="J29" s="33">
        <v>0</v>
      </c>
      <c r="K29" s="72">
        <v>2</v>
      </c>
      <c r="L29" s="35">
        <v>0</v>
      </c>
      <c r="M29" s="60">
        <v>350</v>
      </c>
      <c r="N29" s="36">
        <v>0</v>
      </c>
      <c r="O29" s="35">
        <v>0</v>
      </c>
      <c r="P29" s="37">
        <v>0</v>
      </c>
      <c r="R29" s="117">
        <v>43182</v>
      </c>
      <c r="S29" s="149"/>
      <c r="T29" s="84"/>
      <c r="U29" s="62"/>
      <c r="V29" s="150"/>
      <c r="W29" s="84"/>
      <c r="X29" s="84"/>
      <c r="Y29" s="135"/>
      <c r="Z29" s="117">
        <v>43182</v>
      </c>
    </row>
    <row r="30" spans="1:26">
      <c r="A30" s="32">
        <v>43183</v>
      </c>
      <c r="B30" s="109"/>
      <c r="C30" s="39">
        <v>23190</v>
      </c>
      <c r="D30" s="56">
        <v>23190</v>
      </c>
      <c r="E30" s="34">
        <v>0</v>
      </c>
      <c r="F30" s="140">
        <v>0</v>
      </c>
      <c r="G30" s="33">
        <v>350</v>
      </c>
      <c r="H30" s="39">
        <v>1306</v>
      </c>
      <c r="I30" s="56">
        <v>1306</v>
      </c>
      <c r="J30" s="33">
        <v>0</v>
      </c>
      <c r="K30" s="72">
        <v>1</v>
      </c>
      <c r="L30" s="35">
        <v>0</v>
      </c>
      <c r="M30" s="60">
        <v>350</v>
      </c>
      <c r="N30" s="36">
        <v>0</v>
      </c>
      <c r="O30" s="35">
        <v>0</v>
      </c>
      <c r="P30" s="37">
        <v>0</v>
      </c>
      <c r="R30" s="117">
        <v>43183</v>
      </c>
      <c r="S30" s="149"/>
      <c r="T30" s="84"/>
      <c r="U30" s="62"/>
      <c r="V30" s="150"/>
      <c r="W30" s="84"/>
      <c r="X30" s="84"/>
      <c r="Y30" s="135"/>
      <c r="Z30" s="117">
        <v>43183</v>
      </c>
    </row>
    <row r="31" spans="1:26">
      <c r="A31" s="32">
        <v>43184</v>
      </c>
      <c r="B31" s="109"/>
      <c r="C31" s="39">
        <v>23190</v>
      </c>
      <c r="D31" s="56">
        <v>23190</v>
      </c>
      <c r="E31" s="34">
        <v>0</v>
      </c>
      <c r="F31" s="140">
        <v>0</v>
      </c>
      <c r="G31" s="33">
        <v>350</v>
      </c>
      <c r="H31" s="39">
        <v>1306</v>
      </c>
      <c r="I31" s="56">
        <v>1306</v>
      </c>
      <c r="J31" s="33">
        <v>0</v>
      </c>
      <c r="K31" s="72">
        <v>3</v>
      </c>
      <c r="L31" s="35">
        <v>0</v>
      </c>
      <c r="M31" s="60">
        <v>350</v>
      </c>
      <c r="N31" s="36">
        <v>0</v>
      </c>
      <c r="O31" s="35">
        <v>0</v>
      </c>
      <c r="P31" s="37">
        <v>0</v>
      </c>
      <c r="R31" s="117">
        <v>43184</v>
      </c>
      <c r="S31" s="149"/>
      <c r="T31" s="84"/>
      <c r="U31" s="62"/>
      <c r="V31" s="150"/>
      <c r="W31" s="84"/>
      <c r="X31" s="84"/>
      <c r="Y31" s="135"/>
      <c r="Z31" s="117">
        <v>43184</v>
      </c>
    </row>
    <row r="32" spans="1:26">
      <c r="A32" s="32">
        <v>43185</v>
      </c>
      <c r="B32" s="109" t="s">
        <v>76</v>
      </c>
      <c r="C32" s="39">
        <v>23190</v>
      </c>
      <c r="D32" s="56">
        <v>23270</v>
      </c>
      <c r="E32" s="34">
        <v>80</v>
      </c>
      <c r="F32" s="140">
        <v>0</v>
      </c>
      <c r="G32" s="33">
        <v>350</v>
      </c>
      <c r="H32" s="39">
        <v>1306</v>
      </c>
      <c r="I32" s="56">
        <v>1312</v>
      </c>
      <c r="J32" s="33">
        <v>6</v>
      </c>
      <c r="K32" s="72">
        <v>3</v>
      </c>
      <c r="L32" s="35">
        <v>33</v>
      </c>
      <c r="M32" s="60">
        <v>521</v>
      </c>
      <c r="N32" s="36">
        <v>70.488</v>
      </c>
      <c r="O32" s="35">
        <v>109</v>
      </c>
      <c r="P32" s="37">
        <v>38.512</v>
      </c>
      <c r="R32" s="117">
        <v>43185</v>
      </c>
      <c r="S32" s="149"/>
      <c r="T32" s="84"/>
      <c r="U32" s="62">
        <v>280</v>
      </c>
      <c r="V32" s="150"/>
      <c r="W32" s="84"/>
      <c r="X32" s="84"/>
      <c r="Y32" s="135">
        <v>-67</v>
      </c>
      <c r="Z32" s="117">
        <v>43185</v>
      </c>
    </row>
    <row r="33" spans="1:26">
      <c r="A33" s="32">
        <v>43186</v>
      </c>
      <c r="B33" s="109" t="s">
        <v>76</v>
      </c>
      <c r="C33" s="39">
        <v>23270</v>
      </c>
      <c r="D33" s="56">
        <v>23280</v>
      </c>
      <c r="E33" s="34">
        <v>10</v>
      </c>
      <c r="F33" s="140">
        <v>230</v>
      </c>
      <c r="G33" s="33">
        <v>521</v>
      </c>
      <c r="H33" s="39">
        <v>1312</v>
      </c>
      <c r="I33" s="56">
        <v>1316</v>
      </c>
      <c r="J33" s="33">
        <v>4</v>
      </c>
      <c r="K33" s="72">
        <v>2</v>
      </c>
      <c r="L33" s="35">
        <v>22</v>
      </c>
      <c r="M33" s="60">
        <v>710</v>
      </c>
      <c r="N33" s="36">
        <v>26.686</v>
      </c>
      <c r="O33" s="35">
        <v>41</v>
      </c>
      <c r="P33" s="37">
        <v>14.314</v>
      </c>
      <c r="R33" s="117">
        <v>43186</v>
      </c>
      <c r="S33" s="149"/>
      <c r="T33" s="84"/>
      <c r="U33" s="62"/>
      <c r="V33" s="150"/>
      <c r="W33" s="84"/>
      <c r="X33" s="84"/>
      <c r="Y33" s="135">
        <v>-25</v>
      </c>
      <c r="Z33" s="117">
        <v>43186</v>
      </c>
    </row>
    <row r="34" spans="1:26">
      <c r="A34" s="32">
        <v>43187</v>
      </c>
      <c r="B34" s="109" t="s">
        <v>76</v>
      </c>
      <c r="C34" s="39">
        <v>23280</v>
      </c>
      <c r="D34" s="56">
        <v>23370</v>
      </c>
      <c r="E34" s="34">
        <v>90</v>
      </c>
      <c r="F34" s="140">
        <v>0</v>
      </c>
      <c r="G34" s="33">
        <v>710</v>
      </c>
      <c r="H34" s="39">
        <v>1316</v>
      </c>
      <c r="I34" s="56">
        <v>1324</v>
      </c>
      <c r="J34" s="33">
        <v>8</v>
      </c>
      <c r="K34" s="72">
        <v>4</v>
      </c>
      <c r="L34" s="35">
        <v>44</v>
      </c>
      <c r="M34" s="60">
        <v>577</v>
      </c>
      <c r="N34" s="36">
        <v>86.174000000000007</v>
      </c>
      <c r="O34" s="35">
        <v>133</v>
      </c>
      <c r="P34" s="37">
        <v>46.825999999999993</v>
      </c>
      <c r="R34" s="117">
        <v>43187</v>
      </c>
      <c r="S34" s="149"/>
      <c r="T34" s="84"/>
      <c r="U34" s="62"/>
      <c r="V34" s="150"/>
      <c r="W34" s="84"/>
      <c r="X34" s="84"/>
      <c r="Y34" s="135">
        <v>-82</v>
      </c>
      <c r="Z34" s="117">
        <v>43187</v>
      </c>
    </row>
    <row r="35" spans="1:26">
      <c r="A35" s="32">
        <v>43188</v>
      </c>
      <c r="B35" s="109" t="s">
        <v>76</v>
      </c>
      <c r="C35" s="39">
        <v>23370</v>
      </c>
      <c r="D35" s="56">
        <v>23580</v>
      </c>
      <c r="E35" s="34">
        <v>210</v>
      </c>
      <c r="F35" s="140">
        <v>0</v>
      </c>
      <c r="G35" s="33">
        <v>577</v>
      </c>
      <c r="H35" s="39">
        <v>1324</v>
      </c>
      <c r="I35" s="56">
        <v>1330</v>
      </c>
      <c r="J35" s="33">
        <v>6</v>
      </c>
      <c r="K35" s="72">
        <v>3</v>
      </c>
      <c r="L35" s="35">
        <v>33</v>
      </c>
      <c r="M35" s="60">
        <v>582</v>
      </c>
      <c r="N35" s="36">
        <v>131.40600000000001</v>
      </c>
      <c r="O35" s="35">
        <v>202</v>
      </c>
      <c r="P35" s="37">
        <v>70.593999999999994</v>
      </c>
      <c r="R35" s="117">
        <v>43188</v>
      </c>
      <c r="S35" s="149"/>
      <c r="T35" s="84"/>
      <c r="U35" s="62">
        <v>207</v>
      </c>
      <c r="V35" s="150"/>
      <c r="W35" s="84"/>
      <c r="X35" s="84"/>
      <c r="Y35" s="135">
        <v>-125</v>
      </c>
      <c r="Z35" s="117">
        <v>43188</v>
      </c>
    </row>
    <row r="36" spans="1:26">
      <c r="A36" s="32">
        <v>43189</v>
      </c>
      <c r="B36" s="109" t="s">
        <v>76</v>
      </c>
      <c r="C36" s="39">
        <v>23580</v>
      </c>
      <c r="D36" s="56">
        <v>23590</v>
      </c>
      <c r="E36" s="34">
        <v>10</v>
      </c>
      <c r="F36" s="140">
        <v>0</v>
      </c>
      <c r="G36" s="33">
        <v>582</v>
      </c>
      <c r="H36" s="39">
        <v>1330</v>
      </c>
      <c r="I36" s="56">
        <v>1334</v>
      </c>
      <c r="J36" s="33">
        <v>4</v>
      </c>
      <c r="K36" s="72">
        <v>2</v>
      </c>
      <c r="L36" s="35">
        <v>22</v>
      </c>
      <c r="M36" s="60">
        <v>541</v>
      </c>
      <c r="N36" s="36">
        <v>26.686</v>
      </c>
      <c r="O36" s="35">
        <v>41</v>
      </c>
      <c r="P36" s="37">
        <v>14.314</v>
      </c>
      <c r="R36" s="117">
        <v>43189</v>
      </c>
      <c r="S36" s="149"/>
      <c r="T36" s="84"/>
      <c r="U36" s="62"/>
      <c r="V36" s="150"/>
      <c r="W36" s="84"/>
      <c r="X36" s="84"/>
      <c r="Y36" s="135">
        <v>-25</v>
      </c>
      <c r="Z36" s="117">
        <v>43189</v>
      </c>
    </row>
    <row r="37" spans="1:26" ht="13.8" thickBot="1">
      <c r="A37" s="32">
        <v>43190</v>
      </c>
      <c r="B37" s="109" t="s">
        <v>76</v>
      </c>
      <c r="C37" s="39">
        <v>23590</v>
      </c>
      <c r="D37" s="56">
        <v>23600</v>
      </c>
      <c r="E37" s="34">
        <v>10</v>
      </c>
      <c r="F37" s="140">
        <v>200</v>
      </c>
      <c r="G37" s="33">
        <v>541</v>
      </c>
      <c r="H37" s="39">
        <v>1334</v>
      </c>
      <c r="I37" s="56">
        <v>1338</v>
      </c>
      <c r="J37" s="33">
        <v>4</v>
      </c>
      <c r="K37" s="72">
        <v>2</v>
      </c>
      <c r="L37" s="35">
        <v>22</v>
      </c>
      <c r="M37" s="60">
        <v>700</v>
      </c>
      <c r="N37" s="36">
        <v>26.686</v>
      </c>
      <c r="O37" s="35">
        <v>41</v>
      </c>
      <c r="P37" s="37">
        <v>14.314</v>
      </c>
      <c r="R37" s="128">
        <v>43190</v>
      </c>
      <c r="S37" s="151"/>
      <c r="T37" s="121"/>
      <c r="U37" s="122"/>
      <c r="V37" s="152"/>
      <c r="W37" s="121"/>
      <c r="X37" s="121"/>
      <c r="Y37" s="137">
        <v>-25</v>
      </c>
      <c r="Z37" s="128">
        <v>43190</v>
      </c>
    </row>
    <row r="38" spans="1:26" ht="16.2" thickBot="1">
      <c r="A38" s="43" t="s">
        <v>52</v>
      </c>
      <c r="B38" s="44"/>
      <c r="C38" s="45"/>
      <c r="D38" s="46"/>
      <c r="E38" s="47">
        <v>410</v>
      </c>
      <c r="F38" s="47">
        <v>710</v>
      </c>
      <c r="G38" s="48"/>
      <c r="H38" s="48"/>
      <c r="I38" s="49"/>
      <c r="J38" s="47">
        <v>32</v>
      </c>
      <c r="K38" s="50">
        <v>38</v>
      </c>
      <c r="L38" s="51">
        <v>176</v>
      </c>
      <c r="M38" s="48"/>
      <c r="N38" s="51">
        <v>368.12599999999998</v>
      </c>
      <c r="O38" s="47">
        <v>567</v>
      </c>
      <c r="P38" s="52">
        <v>198.87399999999997</v>
      </c>
      <c r="R38" s="129" t="s">
        <v>74</v>
      </c>
      <c r="S38" s="131">
        <v>0</v>
      </c>
      <c r="T38" s="131">
        <v>0</v>
      </c>
      <c r="U38" s="131">
        <v>0</v>
      </c>
      <c r="V38" s="131">
        <v>0</v>
      </c>
      <c r="W38" s="131">
        <v>0</v>
      </c>
      <c r="X38" s="131">
        <v>0</v>
      </c>
      <c r="Y38" s="131">
        <v>0</v>
      </c>
      <c r="Z38" s="129" t="s">
        <v>74</v>
      </c>
    </row>
    <row r="39" spans="1:26" ht="16.2" thickBo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38">
        <v>0</v>
      </c>
      <c r="L39" s="53"/>
      <c r="M39" s="54"/>
      <c r="N39" s="53"/>
      <c r="O39" s="53"/>
      <c r="P39" s="53"/>
      <c r="R39" s="130" t="s">
        <v>75</v>
      </c>
      <c r="S39" s="132">
        <v>0</v>
      </c>
      <c r="T39" s="132">
        <v>0</v>
      </c>
      <c r="U39" s="132">
        <v>207</v>
      </c>
      <c r="V39" s="132">
        <v>0</v>
      </c>
      <c r="W39" s="132">
        <v>0</v>
      </c>
      <c r="X39" s="132">
        <v>0</v>
      </c>
      <c r="Y39" s="132">
        <v>-349</v>
      </c>
      <c r="Z39" s="130" t="s">
        <v>75</v>
      </c>
    </row>
    <row r="40" spans="1:26" ht="16.2" thickBo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39">
        <v>38</v>
      </c>
      <c r="L40" s="53"/>
      <c r="M40" s="55"/>
      <c r="N40" s="53"/>
      <c r="O40" s="53"/>
      <c r="P40" s="53"/>
      <c r="R40" s="53"/>
      <c r="S40" s="70"/>
      <c r="T40" s="70"/>
      <c r="U40" s="70"/>
      <c r="V40" s="70"/>
      <c r="W40" s="70"/>
    </row>
    <row r="41" spans="1:26">
      <c r="A41" s="53"/>
      <c r="I41" s="53"/>
      <c r="R41" s="53"/>
      <c r="S41" s="70"/>
      <c r="T41" s="70"/>
      <c r="U41" s="70"/>
      <c r="V41" s="70"/>
      <c r="W41" s="70"/>
    </row>
  </sheetData>
  <mergeCells count="3">
    <mergeCell ref="A2:P2"/>
    <mergeCell ref="A3:P3"/>
    <mergeCell ref="O4:P4"/>
  </mergeCells>
  <conditionalFormatting sqref="M7:M37">
    <cfRule type="cellIs" dxfId="108" priority="2" operator="lessThan">
      <formula>10</formula>
    </cfRule>
    <cfRule type="cellIs" dxfId="107" priority="3" operator="equal">
      <formula>350</formula>
    </cfRule>
    <cfRule type="cellIs" dxfId="106" priority="4" operator="greaterThan">
      <formula>350</formula>
    </cfRule>
  </conditionalFormatting>
  <conditionalFormatting sqref="G7:G37">
    <cfRule type="cellIs" dxfId="105" priority="1" operator="equal">
      <formula>350</formula>
    </cfRule>
  </conditionalFormatting>
  <dataValidations count="4">
    <dataValidation type="list" allowBlank="1" showInputMessage="1" showErrorMessage="1" sqref="Z4">
      <formula1>ТС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P1">
      <formula1>Месяц</formula1>
    </dataValidation>
    <dataValidation type="list" allowBlank="1" sqref="B7:B37">
      <formula1>Сотрудники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1:Z41"/>
  <sheetViews>
    <sheetView zoomScale="65" zoomScaleNormal="65" workbookViewId="0">
      <pane xSplit="1" ySplit="6" topLeftCell="B7" activePane="bottomRight" state="frozen"/>
      <selection activeCell="O4" sqref="O4:P4"/>
      <selection pane="topRight" activeCell="O4" sqref="O4:P4"/>
      <selection pane="bottomLeft" activeCell="O4" sqref="O4:P4"/>
      <selection pane="bottomRight" activeCell="O21" sqref="O21:P21"/>
    </sheetView>
  </sheetViews>
  <sheetFormatPr defaultColWidth="9.109375" defaultRowHeight="13.2"/>
  <cols>
    <col min="1" max="1" width="12.6640625" style="23" customWidth="1"/>
    <col min="2" max="2" width="15.6640625" style="23" customWidth="1"/>
    <col min="3" max="15" width="12.6640625" style="23" customWidth="1"/>
    <col min="16" max="16" width="17.6640625" style="23" customWidth="1"/>
    <col min="17" max="17" width="3.109375" style="70" customWidth="1"/>
    <col min="18" max="26" width="11.6640625" style="23" customWidth="1"/>
    <col min="27" max="27" width="11" style="23" bestFit="1" customWidth="1"/>
    <col min="28" max="16384" width="9.109375" style="23"/>
  </cols>
  <sheetData>
    <row r="1" spans="1:26" ht="51" customHeight="1" thickBot="1">
      <c r="P1" s="114" t="s">
        <v>56</v>
      </c>
      <c r="R1" s="74"/>
      <c r="S1" s="74"/>
      <c r="T1" s="111"/>
      <c r="V1" s="74"/>
      <c r="W1" s="74"/>
      <c r="X1" s="75" t="s">
        <v>65</v>
      </c>
      <c r="Y1" s="98" t="s">
        <v>32</v>
      </c>
      <c r="Z1" s="99" t="s">
        <v>37</v>
      </c>
    </row>
    <row r="2" spans="1:26" ht="22.8">
      <c r="A2" s="191" t="s">
        <v>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R2" s="91" t="s">
        <v>74</v>
      </c>
      <c r="S2" s="100">
        <f ca="1">INDIRECT(TEXT(A7-1,"ММММ")&amp;"!T3")+1</f>
        <v>43191</v>
      </c>
      <c r="T2" s="87">
        <v>43204</v>
      </c>
      <c r="U2" s="89">
        <f>ТС!E5</f>
        <v>350</v>
      </c>
      <c r="V2" s="101">
        <f ca="1">SUMIFS(Апрель[Выдано топливо, литр],Апрель[Дата],"&gt;="&amp;$S$2,Апрель[Дата],"&lt;="&amp;$T$2)+IF(MONTH(T2)&lt;&gt;MONTH(S2),INDIRECT(TEXT(A7-1,"ММММ")&amp;"!F38")-SUM(INDIRECT(TEXT(A7-1,"ММММ")&amp;"!V1:V2")))+SUMIFS($U$7:$U$37,Апрель[Дата],"&gt;="&amp;$S$2,Апрель[Дата],"&lt;="&amp;$T$2)+IF(MONTH(T2)&lt;&gt;MONTH(S2),INDIRECT(TEXT(A7-1,"ММММ")&amp;"!F38")-SUM(INDIRECT(TEXT(A7-1,"ММММ")&amp;"!V1:V2")))</f>
        <v>0</v>
      </c>
      <c r="W2" s="88">
        <f ca="1">IF(V2=0,0,(SUMIFS(N7:N37,A7:A37,"&gt;="&amp;S2,A7:A37,"&lt;="&amp;T2)+SUMIFS(INDIRECT(TEXT(A7-1,"ММММ")&amp;"!N7:N37"),INDIRECT(TEXT(A7-1,"ММММ")&amp;"!A7:A37"),"&gt;="&amp;S2))/(V2-U2+IF(MONTH(T2)=MONTH(S2),G7,INDEX(INDIRECT(TEXT(A7-1,"ММММ")&amp;"!G7:G37"),DAY(S2)))))</f>
        <v>0</v>
      </c>
      <c r="X2" s="85">
        <f ca="1">SUMIFS(Апрель[Отклонение от нормы (Перерасход(+), экономия(-)), литр],Апрель[Дата],"&gt;="&amp;$S$2,Апрель[Дата],"&lt;="&amp;$T$2)</f>
        <v>0</v>
      </c>
      <c r="Y2" s="76">
        <f>IF(Y4="Зима",VLOOKUP(Z4,Расчет[[Номер гос.регистрации / Заводской номер]:[Итога норма а/м "ЛЕТО"]],8,FALSE),VLOOKUP(Z4,Расчет[[Номер гос.регистрации / Заводской номер]:[Итога норма а/м "ЛЕТО"]],9,FALSE))</f>
        <v>42.6</v>
      </c>
      <c r="Z2" s="77">
        <f>IF(Y4="Зима",VLOOKUP(Z4,Расчет[[Номер гос.регистрации / Заводской номер]:[Итога норма а/м "ЛЕТО"]],13,FALSE),VLOOKUP(Z4,Расчет[[Номер гос.регистрации / Заводской номер]:[Итога норма а/м "ЛЕТО"]],14,FALSE))</f>
        <v>5</v>
      </c>
    </row>
    <row r="3" spans="1:26" ht="23.4" thickBot="1">
      <c r="A3" s="191" t="s">
        <v>1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R3" s="92" t="s">
        <v>75</v>
      </c>
      <c r="S3" s="102">
        <f>T2+1</f>
        <v>43205</v>
      </c>
      <c r="T3" s="103">
        <f>INDEX(Апрель[Дата],COUNT(Апрель[Дата]))-T1</f>
        <v>43220</v>
      </c>
      <c r="U3" s="90">
        <f>ТС!E6</f>
        <v>350</v>
      </c>
      <c r="V3" s="104">
        <f ca="1">SUMIFS(Апрель[Выдано топливо, литр],Апрель[Дата],"&gt;="&amp;$S$3,Апрель[Дата],"&lt;="&amp;$T$3)+IF(MONTH(T3)&lt;&gt;MONTH(S3),INDIRECT(TEXT(A7-1,"ММММ")&amp;"!F38")-SUM(INDIRECT(TEXT(A7-1,"ММММ")&amp;"!V1:V2")))+SUMIFS($U$7:$U$37,Апрель[Дата],"&gt;="&amp;$S$3,Апрель[Дата],"&lt;="&amp;$T$3)+IF(MONTH(T3)&lt;&gt;MONTH(S3),INDIRECT(TEXT(A7-1,"ММММ")&amp;"!F38")-SUM(INDIRECT(TEXT(A7-1,"ММММ")&amp;"!V1:V2")))</f>
        <v>1240</v>
      </c>
      <c r="W3" s="96">
        <f ca="1">IF(V3=0,0,(SUMIFS(N7:N37,A7:A37,"&gt;="&amp;S3,A7:A37,"&lt;="&amp;T3)+SUMIFS(INDIRECT(TEXT(A7-1,"ММММ")&amp;"!N7:N37"),INDIRECT(TEXT(A7-1,"ММММ")&amp;"!A7:A37"),"&gt;="&amp;S3))/(V3-U3+IF(MONTH(T3)=MONTH(S3),G7,INDEX(INDIRECT(TEXT(A7-1,"ММММ")&amp;"!G7:G37"),DAY(S3)))))</f>
        <v>0.99995161290322587</v>
      </c>
      <c r="X3" s="86">
        <f ca="1">SUMIFS(Апрель[Отклонение от нормы (Перерасход(+), экономия(-)), литр],Апрель[Дата],"&gt;="&amp;$S$3,Апрель[Дата],"&lt;="&amp;$T$3)</f>
        <v>1240</v>
      </c>
      <c r="Y3" s="93"/>
      <c r="Z3" s="94"/>
    </row>
    <row r="4" spans="1:26" ht="23.4" thickBot="1">
      <c r="A4" s="24"/>
      <c r="D4" s="24"/>
      <c r="E4" s="24"/>
      <c r="F4" s="24"/>
      <c r="G4" s="24"/>
      <c r="H4" s="25" t="s">
        <v>2</v>
      </c>
      <c r="I4" s="58">
        <v>2018</v>
      </c>
      <c r="K4" s="24"/>
      <c r="L4" s="24"/>
      <c r="M4" s="24"/>
      <c r="N4" s="24"/>
      <c r="O4" s="192" t="str">
        <f>Январь!O4</f>
        <v>с 504 уо 777</v>
      </c>
      <c r="P4" s="192"/>
      <c r="R4" s="74"/>
      <c r="S4" s="105" t="str">
        <f>IF(INDEX(Апрель[Дата],COUNT(Апрель[Дата]))=T3,"",T3+1)</f>
        <v/>
      </c>
      <c r="V4" s="74"/>
      <c r="W4" s="95" t="str">
        <f ca="1">IFERROR(IF(S4="","",INDIRECT(TEXT(A7+40,"ММММ")&amp;"!W2")),)</f>
        <v/>
      </c>
      <c r="X4" s="74"/>
      <c r="Y4" s="112" t="s">
        <v>34</v>
      </c>
      <c r="Z4" s="113" t="s">
        <v>69</v>
      </c>
    </row>
    <row r="5" spans="1:26" ht="8.25" customHeight="1" thickBot="1"/>
    <row r="6" spans="1:26" ht="63.75" customHeight="1" thickBot="1">
      <c r="A6" s="78" t="s">
        <v>3</v>
      </c>
      <c r="B6" s="79" t="s">
        <v>4</v>
      </c>
      <c r="C6" s="80" t="s">
        <v>5</v>
      </c>
      <c r="D6" s="80" t="s">
        <v>6</v>
      </c>
      <c r="E6" s="80" t="s">
        <v>7</v>
      </c>
      <c r="F6" s="80" t="s">
        <v>8</v>
      </c>
      <c r="G6" s="80" t="s">
        <v>9</v>
      </c>
      <c r="H6" s="80" t="s">
        <v>10</v>
      </c>
      <c r="I6" s="81" t="s">
        <v>11</v>
      </c>
      <c r="J6" s="81" t="s">
        <v>12</v>
      </c>
      <c r="K6" s="81" t="s">
        <v>13</v>
      </c>
      <c r="L6" s="81" t="s">
        <v>14</v>
      </c>
      <c r="M6" s="81" t="s">
        <v>15</v>
      </c>
      <c r="N6" s="81" t="s">
        <v>16</v>
      </c>
      <c r="O6" s="81" t="s">
        <v>17</v>
      </c>
      <c r="P6" s="82" t="s">
        <v>18</v>
      </c>
      <c r="R6" s="115" t="s">
        <v>3</v>
      </c>
      <c r="S6" s="127" t="s">
        <v>72</v>
      </c>
      <c r="T6" s="106" t="s">
        <v>7</v>
      </c>
      <c r="U6" s="106" t="s">
        <v>8</v>
      </c>
      <c r="V6" s="106" t="s">
        <v>73</v>
      </c>
      <c r="W6" s="106" t="s">
        <v>12</v>
      </c>
      <c r="X6" s="106" t="s">
        <v>16</v>
      </c>
      <c r="Y6" s="133" t="s">
        <v>17</v>
      </c>
      <c r="Z6" s="115" t="s">
        <v>3</v>
      </c>
    </row>
    <row r="7" spans="1:26" ht="15" customHeight="1" thickBot="1">
      <c r="A7" s="26">
        <f>IFERROR(DATEVALUE((COUNT($A$6:A6)+1)&amp;$P$1&amp;$I$4),"")</f>
        <v>43191</v>
      </c>
      <c r="B7" s="108"/>
      <c r="C7" s="107">
        <f>INDEX(Март!D7:D37,COUNT(Март!D7:D37))</f>
        <v>23600</v>
      </c>
      <c r="D7" s="57">
        <v>23600</v>
      </c>
      <c r="E7" s="27">
        <f>IFERROR(Апрель[[#This Row],[Показание одометра машины на конец дня, км]]-Апрель[[#This Row],[Показание одометра машины на начало дня, км]]+T7,"")</f>
        <v>0</v>
      </c>
      <c r="F7" s="140">
        <f>IF(Апрель[[#This Row],[Дата]]="","",SUMPRODUCT([1]Апрель!$E$4:$E$153*([1]Апрель!$G$4:$G$153=$O$4)*([1]Апрель!$D$4:$D$153=Апрель[[#This Row],[Дата]])))</f>
        <v>0</v>
      </c>
      <c r="G7" s="107">
        <f>U2</f>
        <v>350</v>
      </c>
      <c r="H7" s="107">
        <f>INDEX(Март!I7:I37,COUNT(Март!I7:I37))</f>
        <v>1338</v>
      </c>
      <c r="I7" s="57">
        <v>1338</v>
      </c>
      <c r="J7" s="28">
        <f>IFERROR(IF(W7="",Апрель[[#This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7" s="71"/>
      <c r="L7" s="29">
        <f>IF(Апрель[[#This Row],[Работа спецоборудования за день, м/ч]]="","",Апрель[[#This Row],[Работа спецоборудования за день, м/ч]]*$Z$2)</f>
        <v>0</v>
      </c>
      <c r="M7" s="59">
        <f ca="1">IFERROR(IF(VLOOKUP([Дата],S$2:U$3,3),IFERROR(IF(U7="",Апрель[[#This Row],[Выдано топливо, литр]],Апрель[[#This Row],[Выдано топливо, литр]]+U7)+Апрель[[#This Row],[Остаток топлива в баке на начало дня, литр]]-Апрель[[#This Row],[Фактический расход топлива, литр]],""),""),"")</f>
        <v>350</v>
      </c>
      <c r="N7" s="30">
        <f>IFERROR(ROUND((Апрель[[#This Row],[Пройдено за день, км]]*0.01*$Y$2+Апрель[[#This Row],[Расход топлива на работу спецоборудования, литр]]),3)+X7,"")</f>
        <v>0</v>
      </c>
      <c r="O7" s="183">
        <f ca="1">IFERROR(IF(Апрель[[#Totals],[Выдано топливо, литр]]=0,0,(ROUND(Апрель[[#This Row],[Расход топлива по норме, литр]]/IF(DAY([Дата])&lt;=18,$W$2,$W$3),0)))+Y7,)</f>
        <v>0</v>
      </c>
      <c r="P7" s="184">
        <f ca="1">IFERROR(IF(Апрель[[#Totals],[Выдано топливо, литр]]=0,0,(ROUND(Апрель[[#This Row],[Расход топлива по норме, литр]]/VLOOKUP([Дата],S$2:W$3,5),0)))+Y7,)</f>
        <v>0</v>
      </c>
      <c r="R7" s="136">
        <f>Апрель[[#This Row],[Дата]]</f>
        <v>43191</v>
      </c>
      <c r="S7" s="147"/>
      <c r="T7" s="118"/>
      <c r="U7" s="63"/>
      <c r="V7" s="148"/>
      <c r="W7" s="118"/>
      <c r="X7" s="118"/>
      <c r="Y7" s="134"/>
      <c r="Z7" s="136">
        <f>Апрель[[#This Row],[Дата]]</f>
        <v>43191</v>
      </c>
    </row>
    <row r="8" spans="1:26" ht="12.75" customHeight="1">
      <c r="A8" s="32">
        <f>IFERROR(DATEVALUE((COUNT($A$6:A7)+1)&amp;$P$1&amp;$I$4),"")</f>
        <v>43192</v>
      </c>
      <c r="B8" s="109"/>
      <c r="C8" s="39">
        <f ca="1">IFERROR(IF(INDIRECT(TEXT(A7-1,"ММММ")&amp;"!A7:A37")="","",IF(S7="",D7,S7)),"")</f>
        <v>23600</v>
      </c>
      <c r="D8" s="56">
        <v>23600</v>
      </c>
      <c r="E8" s="34">
        <f ca="1">IFERROR(Апрель[[#This Row],[Показание одометра машины на конец дня, км]]-Апрель[[#This Row],[Показание одометра машины на начало дня, км]]+T8,"")</f>
        <v>0</v>
      </c>
      <c r="F8" s="140">
        <f>IF(Апрель[[#This Row],[Дата]]="","",SUMPRODUCT([1]Апрель!$E$4:$E$153*([1]Апрель!$G$4:$G$153=$O$4)*([1]Апрель!$D$4:$D$153=Апрель[[#This Row],[Дата]])))</f>
        <v>0</v>
      </c>
      <c r="G8" s="39">
        <f ca="1">IF(Апрель[[#This Row],[Дата]]="","",M7)</f>
        <v>350</v>
      </c>
      <c r="H8" s="39">
        <f ca="1">IFERROR(IF(INDIRECT(TEXT(A7-1,"ММММ")&amp;"!A7:A37")="","",IF(V7="",I7,V7)),"")</f>
        <v>1338</v>
      </c>
      <c r="I8" s="56">
        <v>1338</v>
      </c>
      <c r="J8" s="33">
        <f ca="1">IFERROR(IF(W8="",Апрель[[#This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8" s="72"/>
      <c r="L8" s="35">
        <f ca="1">IF(Апрель[[#This Row],[Работа спецоборудования за день, м/ч]]="","",Апрель[[#This Row],[Работа спецоборудования за день, м/ч]]*$Z$2)</f>
        <v>0</v>
      </c>
      <c r="M8" s="60">
        <f ca="1">IFERROR(IF(VLOOKUP([Дата],S$2:U$3,3),IFERROR(IF(U8="",Апрель[[#This Row],[Выдано топливо, литр]],Апрель[[#This Row],[Выдано топливо, литр]]+U8)+Апрель[[#This Row],[Остаток топлива в баке на начало дня, литр]]-Апрель[[#This Row],[Фактический расход топлива, литр]],""),""),"")</f>
        <v>350</v>
      </c>
      <c r="N8" s="36">
        <f ca="1">IFERROR(ROUND((Апрель[[#This Row],[Пройдено за день, км]]*0.01*$Y$2+Апрель[[#This Row],[Расход топлива на работу спецоборудования, литр]]),3)+X8,"")</f>
        <v>0</v>
      </c>
      <c r="O8" s="185">
        <f ca="1">IFERROR(IF(Апрель[[#Totals],[Выдано топливо, литр]]=0,0,(ROUND(Апрель[[#This Row],[Расход топлива по норме, литр]]/IF(DAY([Дата])&lt;=18,$W$2,$W$3),0)))+Y8,)</f>
        <v>0</v>
      </c>
      <c r="P8" s="186">
        <f ca="1">IFERROR(IF(Апрель[[#Totals],[Выдано топливо, литр]]=0,0,(ROUND(Апрель[[#This Row],[Расход топлива по норме, литр]]/VLOOKUP([Дата],S$2:W$3,5),0)))+Y8,)</f>
        <v>0</v>
      </c>
      <c r="R8" s="117">
        <f>Апрель[[#This Row],[Дата]]</f>
        <v>43192</v>
      </c>
      <c r="S8" s="149"/>
      <c r="T8" s="84"/>
      <c r="U8" s="62"/>
      <c r="V8" s="150"/>
      <c r="W8" s="84"/>
      <c r="X8" s="84"/>
      <c r="Y8" s="135"/>
      <c r="Z8" s="117">
        <f>Апрель[[#This Row],[Дата]]</f>
        <v>43192</v>
      </c>
    </row>
    <row r="9" spans="1:26">
      <c r="A9" s="32">
        <f>IFERROR(DATEVALUE((COUNT($A$6:A8)+1)&amp;$P$1&amp;$I$4),"")</f>
        <v>43193</v>
      </c>
      <c r="B9" s="109"/>
      <c r="C9" s="39">
        <f t="shared" ref="C9:C37" ca="1" si="0">IFERROR(IF(INDIRECT(TEXT(A8-1,"ММММ")&amp;"!A7:A37")="","",IF(S8="",D8,S8)),"")</f>
        <v>23600</v>
      </c>
      <c r="D9" s="56">
        <v>23600</v>
      </c>
      <c r="E9" s="34">
        <f ca="1">IFERROR(Апрель[[#This Row],[Показание одометра машины на конец дня, км]]-Апрель[[#This Row],[Показание одометра машины на начало дня, км]]+T9,"")</f>
        <v>0</v>
      </c>
      <c r="F9" s="140">
        <f>IF(Апрель[[#This Row],[Дата]]="","",SUMPRODUCT([1]Апрель!$E$4:$E$153*([1]Апрель!$G$4:$G$153=$O$4)*([1]Апрель!$D$4:$D$153=Апрель[[#This Row],[Дата]])))</f>
        <v>0</v>
      </c>
      <c r="G9" s="33">
        <f ca="1">IF(Апрель[[#This Row],[Дата]]="","",M8)</f>
        <v>350</v>
      </c>
      <c r="H9" s="39">
        <f t="shared" ref="H9:H37" ca="1" si="1">IFERROR(IF(INDIRECT(TEXT(A8-1,"ММММ")&amp;"!A7:A37")="","",IF(V8="",I8,V8)),"")</f>
        <v>1338</v>
      </c>
      <c r="I9" s="56">
        <v>1338</v>
      </c>
      <c r="J9" s="33">
        <f ca="1">IFERROR(IF(W9="",Апрель[[#This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9" s="72"/>
      <c r="L9" s="35">
        <f ca="1">IF(Апрель[[#This Row],[Работа спецоборудования за день, м/ч]]="","",Апрель[[#This Row],[Работа спецоборудования за день, м/ч]]*$Z$2)</f>
        <v>0</v>
      </c>
      <c r="M9" s="60">
        <f ca="1">IFERROR(IF(VLOOKUP([Дата],S$2:U$3,3),IFERROR(IF(U9="",Апрель[[#This Row],[Выдано топливо, литр]],Апрель[[#This Row],[Выдано топливо, литр]]+U9)+Апрель[[#This Row],[Остаток топлива в баке на начало дня, литр]]-Апрель[[#This Row],[Фактический расход топлива, литр]],""),""),"")</f>
        <v>350</v>
      </c>
      <c r="N9" s="36">
        <f ca="1">IFERROR(ROUND((Апрель[[#This Row],[Пройдено за день, км]]*0.01*$Y$2+Апрель[[#This Row],[Расход топлива на работу спецоборудования, литр]]),3)+X9,"")</f>
        <v>0</v>
      </c>
      <c r="O9" s="185">
        <f ca="1">IFERROR(IF(Апрель[[#Totals],[Выдано топливо, литр]]=0,0,(ROUND(Апрель[[#This Row],[Расход топлива по норме, литр]]/IF(DAY([Дата])&lt;=18,$W$2,$W$3),0)))+Y9,)</f>
        <v>0</v>
      </c>
      <c r="P9" s="186">
        <f ca="1">IFERROR(IF(Апрель[[#Totals],[Выдано топливо, литр]]=0,0,(ROUND(Апрель[[#This Row],[Расход топлива по норме, литр]]/VLOOKUP([Дата],S$2:W$3,5),0)))+Y9,)</f>
        <v>0</v>
      </c>
      <c r="R9" s="117">
        <f>Апрель[[#This Row],[Дата]]</f>
        <v>43193</v>
      </c>
      <c r="S9" s="149"/>
      <c r="T9" s="84"/>
      <c r="U9" s="62"/>
      <c r="V9" s="150"/>
      <c r="W9" s="84"/>
      <c r="X9" s="84"/>
      <c r="Y9" s="135"/>
      <c r="Z9" s="117">
        <f>Апрель[[#This Row],[Дата]]</f>
        <v>43193</v>
      </c>
    </row>
    <row r="10" spans="1:26">
      <c r="A10" s="32">
        <f>IFERROR(DATEVALUE((COUNT($A$6:A9)+1)&amp;$P$1&amp;$I$4),"")</f>
        <v>43194</v>
      </c>
      <c r="B10" s="109"/>
      <c r="C10" s="39">
        <f t="shared" ca="1" si="0"/>
        <v>23600</v>
      </c>
      <c r="D10" s="56">
        <v>23600</v>
      </c>
      <c r="E10" s="34">
        <f ca="1">IFERROR(Апрель[[#This Row],[Показание одометра машины на конец дня, км]]-Апрель[[#This Row],[Показание одометра машины на начало дня, км]]+T10,"")</f>
        <v>0</v>
      </c>
      <c r="F10" s="140">
        <f>IF(Апрель[[#This Row],[Дата]]="","",SUMPRODUCT([1]Апрель!$E$4:$E$153*([1]Апрель!$G$4:$G$153=$O$4)*([1]Апрель!$D$4:$D$153=Апрель[[#This Row],[Дата]])))</f>
        <v>0</v>
      </c>
      <c r="G10" s="33">
        <f ca="1">IF(Апрель[[#This Row],[Дата]]="","",M9)</f>
        <v>350</v>
      </c>
      <c r="H10" s="39">
        <f t="shared" ca="1" si="1"/>
        <v>1338</v>
      </c>
      <c r="I10" s="56">
        <v>1338</v>
      </c>
      <c r="J10" s="33">
        <f ca="1">IFERROR(IF(W10="",Апрель[[#This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0" s="72"/>
      <c r="L10" s="35">
        <f ca="1">IF(Апрель[[#This Row],[Работа спецоборудования за день, м/ч]]="","",Апрель[[#This Row],[Работа спецоборудования за день, м/ч]]*$Z$2)</f>
        <v>0</v>
      </c>
      <c r="M10" s="60">
        <f ca="1">IFERROR(IF(VLOOKUP([Дата],S$2:U$3,3),IFERROR(IF(U10="",Апрель[[#This Row],[Выдано топливо, литр]],Апрель[[#This Row],[Выдано топливо, литр]]+U10)+Апрель[[#This Row],[Остаток топлива в баке на начало дня, литр]]-Апрель[[#This Row],[Фактический расход топлива, литр]],""),""),"")</f>
        <v>350</v>
      </c>
      <c r="N10" s="36">
        <f ca="1">IFERROR(ROUND((Апрель[[#This Row],[Пройдено за день, км]]*0.01*$Y$2+Апрель[[#This Row],[Расход топлива на работу спецоборудования, литр]]),3)+X10,"")</f>
        <v>0</v>
      </c>
      <c r="O10" s="185">
        <f ca="1">IFERROR(IF(Апрель[[#Totals],[Выдано топливо, литр]]=0,0,(ROUND(Апрель[[#This Row],[Расход топлива по норме, литр]]/IF(DAY([Дата])&lt;=18,$W$2,$W$3),0)))+Y10,)</f>
        <v>0</v>
      </c>
      <c r="P10" s="186">
        <f ca="1">IFERROR(IF(Апрель[[#Totals],[Выдано топливо, литр]]=0,0,(ROUND(Апрель[[#This Row],[Расход топлива по норме, литр]]/VLOOKUP([Дата],S$2:W$3,5),0)))+Y10,)</f>
        <v>0</v>
      </c>
      <c r="R10" s="117">
        <f>Апрель[[#This Row],[Дата]]</f>
        <v>43194</v>
      </c>
      <c r="S10" s="149"/>
      <c r="T10" s="84"/>
      <c r="U10" s="62"/>
      <c r="V10" s="150"/>
      <c r="W10" s="84"/>
      <c r="X10" s="84"/>
      <c r="Y10" s="135"/>
      <c r="Z10" s="117">
        <f>Апрель[[#This Row],[Дата]]</f>
        <v>43194</v>
      </c>
    </row>
    <row r="11" spans="1:26">
      <c r="A11" s="32">
        <f>IFERROR(DATEVALUE((COUNT($A$6:A10)+1)&amp;$P$1&amp;$I$4),"")</f>
        <v>43195</v>
      </c>
      <c r="B11" s="109"/>
      <c r="C11" s="39">
        <f t="shared" ca="1" si="0"/>
        <v>23600</v>
      </c>
      <c r="D11" s="56">
        <v>23600</v>
      </c>
      <c r="E11" s="34">
        <f ca="1">IFERROR(Апрель[[#This Row],[Показание одометра машины на конец дня, км]]-Апрель[[#This Row],[Показание одометра машины на начало дня, км]]+T11,"")</f>
        <v>0</v>
      </c>
      <c r="F11" s="140">
        <f>IF(Апрель[[#This Row],[Дата]]="","",SUMPRODUCT([1]Апрель!$E$4:$E$153*([1]Апрель!$G$4:$G$153=$O$4)*([1]Апрель!$D$4:$D$153=Апрель[[#This Row],[Дата]])))</f>
        <v>0</v>
      </c>
      <c r="G11" s="33">
        <f ca="1">IF(Апрель[[#This Row],[Дата]]="","",M10)</f>
        <v>350</v>
      </c>
      <c r="H11" s="39">
        <f t="shared" ca="1" si="1"/>
        <v>1338</v>
      </c>
      <c r="I11" s="56">
        <v>1338</v>
      </c>
      <c r="J11" s="33">
        <f ca="1">IFERROR(IF(W11="",Апрель[[#This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1" s="72"/>
      <c r="L11" s="35">
        <f ca="1">IF(Апрель[[#This Row],[Работа спецоборудования за день, м/ч]]="","",Апрель[[#This Row],[Работа спецоборудования за день, м/ч]]*$Z$2)</f>
        <v>0</v>
      </c>
      <c r="M11" s="60">
        <f ca="1">IFERROR(IF(VLOOKUP([Дата],S$2:U$3,3),IFERROR(IF(U11="",Апрель[[#This Row],[Выдано топливо, литр]],Апрель[[#This Row],[Выдано топливо, литр]]+U11)+Апрель[[#This Row],[Остаток топлива в баке на начало дня, литр]]-Апрель[[#This Row],[Фактический расход топлива, литр]],""),""),"")</f>
        <v>350</v>
      </c>
      <c r="N11" s="36">
        <f ca="1">IFERROR(ROUND((Апрель[[#This Row],[Пройдено за день, км]]*0.01*$Y$2+Апрель[[#This Row],[Расход топлива на работу спецоборудования, литр]]),3)+X11,"")</f>
        <v>0</v>
      </c>
      <c r="O11" s="185">
        <f ca="1">IFERROR(IF(Апрель[[#Totals],[Выдано топливо, литр]]=0,0,(ROUND(Апрель[[#This Row],[Расход топлива по норме, литр]]/IF(DAY([Дата])&lt;=18,$W$2,$W$3),0)))+Y11,)</f>
        <v>0</v>
      </c>
      <c r="P11" s="186">
        <f ca="1">IFERROR(IF(Апрель[[#Totals],[Выдано топливо, литр]]=0,0,(ROUND(Апрель[[#This Row],[Расход топлива по норме, литр]]/VLOOKUP([Дата],S$2:W$3,5),0)))+Y11,)</f>
        <v>0</v>
      </c>
      <c r="R11" s="117">
        <f>Апрель[[#This Row],[Дата]]</f>
        <v>43195</v>
      </c>
      <c r="S11" s="149"/>
      <c r="T11" s="84"/>
      <c r="U11" s="62"/>
      <c r="V11" s="150"/>
      <c r="W11" s="84"/>
      <c r="X11" s="84"/>
      <c r="Y11" s="135"/>
      <c r="Z11" s="117">
        <f>Апрель[[#This Row],[Дата]]</f>
        <v>43195</v>
      </c>
    </row>
    <row r="12" spans="1:26">
      <c r="A12" s="32">
        <f>IFERROR(DATEVALUE((COUNT($A$6:A11)+1)&amp;$P$1&amp;$I$4),"")</f>
        <v>43196</v>
      </c>
      <c r="B12" s="109"/>
      <c r="C12" s="39">
        <f t="shared" ca="1" si="0"/>
        <v>23600</v>
      </c>
      <c r="D12" s="56">
        <v>23600</v>
      </c>
      <c r="E12" s="34">
        <f ca="1">IFERROR(Апрель[[#This Row],[Показание одометра машины на конец дня, км]]-Апрель[[#This Row],[Показание одометра машины на начало дня, км]]+T12,"")</f>
        <v>0</v>
      </c>
      <c r="F12" s="140">
        <f>IF(Апрель[[#This Row],[Дата]]="","",SUMPRODUCT([1]Апрель!$E$4:$E$153*([1]Апрель!$G$4:$G$153=$O$4)*([1]Апрель!$D$4:$D$153=Апрель[[#This Row],[Дата]])))</f>
        <v>0</v>
      </c>
      <c r="G12" s="33">
        <f ca="1">IF(Апрель[[#This Row],[Дата]]="","",M11)</f>
        <v>350</v>
      </c>
      <c r="H12" s="39">
        <f t="shared" ca="1" si="1"/>
        <v>1338</v>
      </c>
      <c r="I12" s="56">
        <v>1338</v>
      </c>
      <c r="J12" s="33">
        <f ca="1">IFERROR(IF(W12="",Апрель[[#This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2" s="72"/>
      <c r="L12" s="35">
        <f ca="1">IF(Апрель[[#This Row],[Работа спецоборудования за день, м/ч]]="","",Апрель[[#This Row],[Работа спецоборудования за день, м/ч]]*$Z$2)</f>
        <v>0</v>
      </c>
      <c r="M12" s="60">
        <f ca="1">IFERROR(IF(VLOOKUP([Дата],S$2:U$3,3),IFERROR(IF(U12="",Апрель[[#This Row],[Выдано топливо, литр]],Апрель[[#This Row],[Выдано топливо, литр]]+U12)+Апрель[[#This Row],[Остаток топлива в баке на начало дня, литр]]-Апрель[[#This Row],[Фактический расход топлива, литр]],""),""),"")</f>
        <v>350</v>
      </c>
      <c r="N12" s="36">
        <f ca="1">IFERROR(ROUND((Апрель[[#This Row],[Пройдено за день, км]]*0.01*$Y$2+Апрель[[#This Row],[Расход топлива на работу спецоборудования, литр]]),3)+X12,"")</f>
        <v>0</v>
      </c>
      <c r="O12" s="185">
        <f ca="1">IFERROR(IF(Апрель[[#Totals],[Выдано топливо, литр]]=0,0,(ROUND(Апрель[[#This Row],[Расход топлива по норме, литр]]/IF(DAY([Дата])&lt;=18,$W$2,$W$3),0)))+Y12,)</f>
        <v>0</v>
      </c>
      <c r="P12" s="186">
        <f ca="1">IFERROR(IF(Апрель[[#Totals],[Выдано топливо, литр]]=0,0,(ROUND(Апрель[[#This Row],[Расход топлива по норме, литр]]/VLOOKUP([Дата],S$2:W$3,5),0)))+Y12,)</f>
        <v>0</v>
      </c>
      <c r="R12" s="117">
        <f>Апрель[[#This Row],[Дата]]</f>
        <v>43196</v>
      </c>
      <c r="S12" s="149"/>
      <c r="T12" s="84"/>
      <c r="U12" s="62"/>
      <c r="V12" s="150"/>
      <c r="W12" s="84"/>
      <c r="X12" s="84"/>
      <c r="Y12" s="135"/>
      <c r="Z12" s="117">
        <f>Апрель[[#This Row],[Дата]]</f>
        <v>43196</v>
      </c>
    </row>
    <row r="13" spans="1:26">
      <c r="A13" s="32">
        <f>IFERROR(DATEVALUE((COUNT($A$6:A12)+1)&amp;$P$1&amp;$I$4),"")</f>
        <v>43197</v>
      </c>
      <c r="B13" s="109"/>
      <c r="C13" s="39">
        <f t="shared" ca="1" si="0"/>
        <v>23600</v>
      </c>
      <c r="D13" s="56">
        <v>23600</v>
      </c>
      <c r="E13" s="34">
        <f ca="1">IFERROR(Апрель[[#This Row],[Показание одометра машины на конец дня, км]]-Апрель[[#This Row],[Показание одометра машины на начало дня, км]]+T13,"")</f>
        <v>0</v>
      </c>
      <c r="F13" s="140">
        <f>IF(Апрель[[#This Row],[Дата]]="","",SUMPRODUCT([1]Апрель!$E$4:$E$153*([1]Апрель!$G$4:$G$153=$O$4)*([1]Апрель!$D$4:$D$153=Апрель[[#This Row],[Дата]])))</f>
        <v>0</v>
      </c>
      <c r="G13" s="33">
        <f ca="1">IF(Апрель[[#This Row],[Дата]]="","",M12)</f>
        <v>350</v>
      </c>
      <c r="H13" s="39">
        <f t="shared" ca="1" si="1"/>
        <v>1338</v>
      </c>
      <c r="I13" s="56">
        <v>1338</v>
      </c>
      <c r="J13" s="33">
        <f ca="1">IFERROR(IF(W13="",Апрель[[#This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3" s="72"/>
      <c r="L13" s="35">
        <f ca="1">IF(Апрель[[#This Row],[Работа спецоборудования за день, м/ч]]="","",Апрель[[#This Row],[Работа спецоборудования за день, м/ч]]*$Z$2)</f>
        <v>0</v>
      </c>
      <c r="M13" s="60">
        <f ca="1">IFERROR(IF(VLOOKUP([Дата],S$2:U$3,3),IFERROR(IF(U13="",Апрель[[#This Row],[Выдано топливо, литр]],Апрель[[#This Row],[Выдано топливо, литр]]+U13)+Апрель[[#This Row],[Остаток топлива в баке на начало дня, литр]]-Апрель[[#This Row],[Фактический расход топлива, литр]],""),""),"")</f>
        <v>350</v>
      </c>
      <c r="N13" s="36">
        <f ca="1">IFERROR(ROUND((Апрель[[#This Row],[Пройдено за день, км]]*0.01*$Y$2+Апрель[[#This Row],[Расход топлива на работу спецоборудования, литр]]),3)+X13,"")</f>
        <v>0</v>
      </c>
      <c r="O13" s="185">
        <f ca="1">IFERROR(IF(Апрель[[#Totals],[Выдано топливо, литр]]=0,0,(ROUND(Апрель[[#This Row],[Расход топлива по норме, литр]]/IF(DAY([Дата])&lt;=18,$W$2,$W$3),0)))+Y13,)</f>
        <v>0</v>
      </c>
      <c r="P13" s="186">
        <f ca="1">IFERROR(IF(Апрель[[#Totals],[Выдано топливо, литр]]=0,0,(ROUND(Апрель[[#This Row],[Расход топлива по норме, литр]]/VLOOKUP([Дата],S$2:W$3,5),0)))+Y13,)</f>
        <v>0</v>
      </c>
      <c r="R13" s="117">
        <f>Апрель[[#This Row],[Дата]]</f>
        <v>43197</v>
      </c>
      <c r="S13" s="149"/>
      <c r="T13" s="84"/>
      <c r="U13" s="62"/>
      <c r="V13" s="150"/>
      <c r="W13" s="84"/>
      <c r="X13" s="84"/>
      <c r="Y13" s="135"/>
      <c r="Z13" s="117">
        <f>Апрель[[#This Row],[Дата]]</f>
        <v>43197</v>
      </c>
    </row>
    <row r="14" spans="1:26">
      <c r="A14" s="32">
        <f>IFERROR(DATEVALUE((COUNT($A$6:A13)+1)&amp;$P$1&amp;$I$4),"")</f>
        <v>43198</v>
      </c>
      <c r="B14" s="109"/>
      <c r="C14" s="39">
        <f t="shared" ca="1" si="0"/>
        <v>23600</v>
      </c>
      <c r="D14" s="56">
        <v>23600</v>
      </c>
      <c r="E14" s="34">
        <f ca="1">IFERROR(Апрель[[#This Row],[Показание одометра машины на конец дня, км]]-Апрель[[#This Row],[Показание одометра машины на начало дня, км]]+T14,"")</f>
        <v>0</v>
      </c>
      <c r="F14" s="140">
        <f>IF(Апрель[[#This Row],[Дата]]="","",SUMPRODUCT([1]Апрель!$E$4:$E$153*([1]Апрель!$G$4:$G$153=$O$4)*([1]Апрель!$D$4:$D$153=Апрель[[#This Row],[Дата]])))</f>
        <v>0</v>
      </c>
      <c r="G14" s="33">
        <f ca="1">IF(Апрель[[#This Row],[Дата]]="","",M13)</f>
        <v>350</v>
      </c>
      <c r="H14" s="39">
        <f t="shared" ca="1" si="1"/>
        <v>1338</v>
      </c>
      <c r="I14" s="56">
        <v>1338</v>
      </c>
      <c r="J14" s="33">
        <f ca="1">IFERROR(IF(W14="",Апрель[[#This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4" s="72"/>
      <c r="L14" s="35">
        <f ca="1">IF(Апрель[[#This Row],[Работа спецоборудования за день, м/ч]]="","",Апрель[[#This Row],[Работа спецоборудования за день, м/ч]]*$Z$2)</f>
        <v>0</v>
      </c>
      <c r="M14" s="60">
        <f ca="1">IFERROR(IF(VLOOKUP([Дата],S$2:U$3,3),IFERROR(IF(U14="",Апрель[[#This Row],[Выдано топливо, литр]],Апрель[[#This Row],[Выдано топливо, литр]]+U14)+Апрель[[#This Row],[Остаток топлива в баке на начало дня, литр]]-Апрель[[#This Row],[Фактический расход топлива, литр]],""),""),"")</f>
        <v>350</v>
      </c>
      <c r="N14" s="36">
        <f ca="1">IFERROR(ROUND((Апрель[[#This Row],[Пройдено за день, км]]*0.01*$Y$2+Апрель[[#This Row],[Расход топлива на работу спецоборудования, литр]]),3)+X14,"")</f>
        <v>0</v>
      </c>
      <c r="O14" s="185">
        <f ca="1">IFERROR(IF(Апрель[[#Totals],[Выдано топливо, литр]]=0,0,(ROUND(Апрель[[#This Row],[Расход топлива по норме, литр]]/IF(DAY([Дата])&lt;=18,$W$2,$W$3),0)))+Y14,)</f>
        <v>0</v>
      </c>
      <c r="P14" s="186">
        <f ca="1">IFERROR(IF(Апрель[[#Totals],[Выдано топливо, литр]]=0,0,(ROUND(Апрель[[#This Row],[Расход топлива по норме, литр]]/VLOOKUP([Дата],S$2:W$3,5),0)))+Y14,)</f>
        <v>0</v>
      </c>
      <c r="R14" s="117">
        <f>Апрель[[#This Row],[Дата]]</f>
        <v>43198</v>
      </c>
      <c r="S14" s="149"/>
      <c r="T14" s="84"/>
      <c r="U14" s="62"/>
      <c r="V14" s="150"/>
      <c r="W14" s="84"/>
      <c r="X14" s="84"/>
      <c r="Y14" s="135"/>
      <c r="Z14" s="117">
        <f>Апрель[[#This Row],[Дата]]</f>
        <v>43198</v>
      </c>
    </row>
    <row r="15" spans="1:26">
      <c r="A15" s="32">
        <f>IFERROR(DATEVALUE((COUNT($A$6:A14)+1)&amp;$P$1&amp;$I$4),"")</f>
        <v>43199</v>
      </c>
      <c r="B15" s="109"/>
      <c r="C15" s="39">
        <f t="shared" ca="1" si="0"/>
        <v>23600</v>
      </c>
      <c r="D15" s="56">
        <v>23600</v>
      </c>
      <c r="E15" s="34">
        <f ca="1">IFERROR(Апрель[[#This Row],[Показание одометра машины на конец дня, км]]-Апрель[[#This Row],[Показание одометра машины на начало дня, км]]+T15,"")</f>
        <v>0</v>
      </c>
      <c r="F15" s="140">
        <f>IF(Апрель[[#This Row],[Дата]]="","",SUMPRODUCT([1]Апрель!$E$4:$E$153*([1]Апрель!$G$4:$G$153=$O$4)*([1]Апрель!$D$4:$D$153=Апрель[[#This Row],[Дата]])))</f>
        <v>0</v>
      </c>
      <c r="G15" s="33">
        <f ca="1">IF(Апрель[[#This Row],[Дата]]="","",M14)</f>
        <v>350</v>
      </c>
      <c r="H15" s="39">
        <f t="shared" ca="1" si="1"/>
        <v>1338</v>
      </c>
      <c r="I15" s="56">
        <v>1338</v>
      </c>
      <c r="J15" s="33">
        <f ca="1">IFERROR(IF(W15="",Апрель[[#This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5" s="72"/>
      <c r="L15" s="35">
        <f ca="1">IF(Апрель[[#This Row],[Работа спецоборудования за день, м/ч]]="","",Апрель[[#This Row],[Работа спецоборудования за день, м/ч]]*$Z$2)</f>
        <v>0</v>
      </c>
      <c r="M15" s="60">
        <f ca="1">IFERROR(IF(VLOOKUP([Дата],S$2:U$3,3),IFERROR(IF(U15="",Апрель[[#This Row],[Выдано топливо, литр]],Апрель[[#This Row],[Выдано топливо, литр]]+U15)+Апрель[[#This Row],[Остаток топлива в баке на начало дня, литр]]-Апрель[[#This Row],[Фактический расход топлива, литр]],""),""),"")</f>
        <v>350</v>
      </c>
      <c r="N15" s="36">
        <f ca="1">IFERROR(ROUND((Апрель[[#This Row],[Пройдено за день, км]]*0.01*$Y$2+Апрель[[#This Row],[Расход топлива на работу спецоборудования, литр]]),3)+X15,"")</f>
        <v>0</v>
      </c>
      <c r="O15" s="185">
        <f ca="1">IFERROR(IF(Апрель[[#Totals],[Выдано топливо, литр]]=0,0,(ROUND(Апрель[[#This Row],[Расход топлива по норме, литр]]/IF(DAY([Дата])&lt;=18,$W$2,$W$3),0)))+Y15,)</f>
        <v>0</v>
      </c>
      <c r="P15" s="186">
        <f ca="1">IFERROR(IF(Апрель[[#Totals],[Выдано топливо, литр]]=0,0,(ROUND(Апрель[[#This Row],[Расход топлива по норме, литр]]/VLOOKUP([Дата],S$2:W$3,5),0)))+Y15,)</f>
        <v>0</v>
      </c>
      <c r="R15" s="117">
        <f>Апрель[[#This Row],[Дата]]</f>
        <v>43199</v>
      </c>
      <c r="S15" s="149"/>
      <c r="T15" s="84"/>
      <c r="U15" s="62"/>
      <c r="V15" s="150"/>
      <c r="W15" s="84"/>
      <c r="X15" s="84"/>
      <c r="Y15" s="135"/>
      <c r="Z15" s="117">
        <f>Апрель[[#This Row],[Дата]]</f>
        <v>43199</v>
      </c>
    </row>
    <row r="16" spans="1:26">
      <c r="A16" s="32">
        <f>IFERROR(DATEVALUE((COUNT($A$6:A15)+1)&amp;$P$1&amp;$I$4),"")</f>
        <v>43200</v>
      </c>
      <c r="B16" s="109"/>
      <c r="C16" s="39">
        <f t="shared" ca="1" si="0"/>
        <v>23600</v>
      </c>
      <c r="D16" s="56">
        <v>23600</v>
      </c>
      <c r="E16" s="34">
        <f ca="1">IFERROR(Апрель[[#This Row],[Показание одометра машины на конец дня, км]]-Апрель[[#This Row],[Показание одометра машины на начало дня, км]]+T16,"")</f>
        <v>0</v>
      </c>
      <c r="F16" s="140">
        <f>IF(Апрель[[#This Row],[Дата]]="","",SUMPRODUCT([1]Апрель!$E$4:$E$153*([1]Апрель!$G$4:$G$153=$O$4)*([1]Апрель!$D$4:$D$153=Апрель[[#This Row],[Дата]])))</f>
        <v>0</v>
      </c>
      <c r="G16" s="33">
        <f ca="1">IF(Апрель[[#This Row],[Дата]]="","",M15)</f>
        <v>350</v>
      </c>
      <c r="H16" s="39">
        <f t="shared" ca="1" si="1"/>
        <v>1338</v>
      </c>
      <c r="I16" s="56">
        <v>1338</v>
      </c>
      <c r="J16" s="33">
        <f ca="1">IFERROR(IF(W16="",Апрель[[#This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6" s="72"/>
      <c r="L16" s="35">
        <f ca="1">IF(Апрель[[#This Row],[Работа спецоборудования за день, м/ч]]="","",Апрель[[#This Row],[Работа спецоборудования за день, м/ч]]*$Z$2)</f>
        <v>0</v>
      </c>
      <c r="M16" s="60">
        <f ca="1">IFERROR(IF(VLOOKUP([Дата],S$2:U$3,3),IFERROR(IF(U16="",Апрель[[#This Row],[Выдано топливо, литр]],Апрель[[#This Row],[Выдано топливо, литр]]+U16)+Апрель[[#This Row],[Остаток топлива в баке на начало дня, литр]]-Апрель[[#This Row],[Фактический расход топлива, литр]],""),""),"")</f>
        <v>350</v>
      </c>
      <c r="N16" s="36">
        <f ca="1">IFERROR(ROUND((Апрель[[#This Row],[Пройдено за день, км]]*0.01*$Y$2+Апрель[[#This Row],[Расход топлива на работу спецоборудования, литр]]),3)+X16,"")</f>
        <v>0</v>
      </c>
      <c r="O16" s="185">
        <f ca="1">IFERROR(IF(Апрель[[#Totals],[Выдано топливо, литр]]=0,0,(ROUND(Апрель[[#This Row],[Расход топлива по норме, литр]]/IF(DAY([Дата])&lt;=18,$W$2,$W$3),0)))+Y16,)</f>
        <v>0</v>
      </c>
      <c r="P16" s="186">
        <f ca="1">IFERROR(IF(Апрель[[#Totals],[Выдано топливо, литр]]=0,0,(ROUND(Апрель[[#This Row],[Расход топлива по норме, литр]]/VLOOKUP([Дата],S$2:W$3,5),0)))+Y16,)</f>
        <v>0</v>
      </c>
      <c r="R16" s="117">
        <f>Апрель[[#This Row],[Дата]]</f>
        <v>43200</v>
      </c>
      <c r="S16" s="149"/>
      <c r="T16" s="84"/>
      <c r="U16" s="62"/>
      <c r="V16" s="150"/>
      <c r="W16" s="84"/>
      <c r="X16" s="84"/>
      <c r="Y16" s="135"/>
      <c r="Z16" s="117">
        <f>Апрель[[#This Row],[Дата]]</f>
        <v>43200</v>
      </c>
    </row>
    <row r="17" spans="1:26">
      <c r="A17" s="32">
        <f>IFERROR(DATEVALUE((COUNT($A$6:A16)+1)&amp;$P$1&amp;$I$4),"")</f>
        <v>43201</v>
      </c>
      <c r="B17" s="109"/>
      <c r="C17" s="39">
        <f t="shared" ca="1" si="0"/>
        <v>23600</v>
      </c>
      <c r="D17" s="56">
        <v>23600</v>
      </c>
      <c r="E17" s="34">
        <f ca="1">IFERROR(Апрель[[#This Row],[Показание одометра машины на конец дня, км]]-Апрель[[#This Row],[Показание одометра машины на начало дня, км]]+T17,"")</f>
        <v>0</v>
      </c>
      <c r="F17" s="140">
        <f>IF(Апрель[[#This Row],[Дата]]="","",SUMPRODUCT([1]Апрель!$E$4:$E$153*([1]Апрель!$G$4:$G$153=$O$4)*([1]Апрель!$D$4:$D$153=Апрель[[#This Row],[Дата]])))</f>
        <v>0</v>
      </c>
      <c r="G17" s="33">
        <f ca="1">IF(Апрель[[#This Row],[Дата]]="","",M16)</f>
        <v>350</v>
      </c>
      <c r="H17" s="39">
        <f t="shared" ca="1" si="1"/>
        <v>1338</v>
      </c>
      <c r="I17" s="56">
        <v>1338</v>
      </c>
      <c r="J17" s="33">
        <f ca="1">IFERROR(IF(W17="",Апрель[[#This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7" s="72"/>
      <c r="L17" s="35">
        <f ca="1">IF(Апрель[[#This Row],[Работа спецоборудования за день, м/ч]]="","",Апрель[[#This Row],[Работа спецоборудования за день, м/ч]]*$Z$2)</f>
        <v>0</v>
      </c>
      <c r="M17" s="60">
        <f ca="1">IFERROR(IF(VLOOKUP([Дата],S$2:U$3,3),IFERROR(IF(U17="",Апрель[[#This Row],[Выдано топливо, литр]],Апрель[[#This Row],[Выдано топливо, литр]]+U17)+Апрель[[#This Row],[Остаток топлива в баке на начало дня, литр]]-Апрель[[#This Row],[Фактический расход топлива, литр]],""),""),"")</f>
        <v>350</v>
      </c>
      <c r="N17" s="36">
        <f ca="1">IFERROR(ROUND((Апрель[[#This Row],[Пройдено за день, км]]*0.01*$Y$2+Апрель[[#This Row],[Расход топлива на работу спецоборудования, литр]]),3)+X17,"")</f>
        <v>0</v>
      </c>
      <c r="O17" s="185">
        <f ca="1">IFERROR(IF(Апрель[[#Totals],[Выдано топливо, литр]]=0,0,(ROUND(Апрель[[#This Row],[Расход топлива по норме, литр]]/IF(DAY([Дата])&lt;=18,$W$2,$W$3),0)))+Y17,)</f>
        <v>0</v>
      </c>
      <c r="P17" s="186">
        <f ca="1">IFERROR(IF(Апрель[[#Totals],[Выдано топливо, литр]]=0,0,(ROUND(Апрель[[#This Row],[Расход топлива по норме, литр]]/VLOOKUP([Дата],S$2:W$3,5),0)))+Y17,)</f>
        <v>0</v>
      </c>
      <c r="R17" s="117">
        <f>Апрель[[#This Row],[Дата]]</f>
        <v>43201</v>
      </c>
      <c r="S17" s="149"/>
      <c r="T17" s="84"/>
      <c r="U17" s="62"/>
      <c r="V17" s="150"/>
      <c r="W17" s="84"/>
      <c r="X17" s="84"/>
      <c r="Y17" s="135"/>
      <c r="Z17" s="117">
        <f>Апрель[[#This Row],[Дата]]</f>
        <v>43201</v>
      </c>
    </row>
    <row r="18" spans="1:26">
      <c r="A18" s="32">
        <f>IFERROR(DATEVALUE((COUNT($A$6:A17)+1)&amp;$P$1&amp;$I$4),"")</f>
        <v>43202</v>
      </c>
      <c r="B18" s="109"/>
      <c r="C18" s="39">
        <f t="shared" ca="1" si="0"/>
        <v>23600</v>
      </c>
      <c r="D18" s="56">
        <v>23600</v>
      </c>
      <c r="E18" s="34">
        <f ca="1">IFERROR(Апрель[[#This Row],[Показание одометра машины на конец дня, км]]-Апрель[[#This Row],[Показание одометра машины на начало дня, км]]+T18,"")</f>
        <v>0</v>
      </c>
      <c r="F18" s="140">
        <f>IF(Апрель[[#This Row],[Дата]]="","",SUMPRODUCT([1]Апрель!$E$4:$E$153*([1]Апрель!$G$4:$G$153=$O$4)*([1]Апрель!$D$4:$D$153=Апрель[[#This Row],[Дата]])))</f>
        <v>0</v>
      </c>
      <c r="G18" s="33">
        <f ca="1">IF(Апрель[[#This Row],[Дата]]="","",M17)</f>
        <v>350</v>
      </c>
      <c r="H18" s="39">
        <f t="shared" ca="1" si="1"/>
        <v>1338</v>
      </c>
      <c r="I18" s="56">
        <v>1338</v>
      </c>
      <c r="J18" s="33">
        <f ca="1">IFERROR(IF(W18="",Апрель[[#This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8" s="72"/>
      <c r="L18" s="35">
        <f ca="1">IF(Апрель[[#This Row],[Работа спецоборудования за день, м/ч]]="","",Апрель[[#This Row],[Работа спецоборудования за день, м/ч]]*$Z$2)</f>
        <v>0</v>
      </c>
      <c r="M18" s="60">
        <f ca="1">IFERROR(IF(VLOOKUP([Дата],S$2:U$3,3),IFERROR(IF(U18="",Апрель[[#This Row],[Выдано топливо, литр]],Апрель[[#This Row],[Выдано топливо, литр]]+U18)+Апрель[[#This Row],[Остаток топлива в баке на начало дня, литр]]-Апрель[[#This Row],[Фактический расход топлива, литр]],""),""),"")</f>
        <v>350</v>
      </c>
      <c r="N18" s="36">
        <f ca="1">IFERROR(ROUND((Апрель[[#This Row],[Пройдено за день, км]]*0.01*$Y$2+Апрель[[#This Row],[Расход топлива на работу спецоборудования, литр]]),3)+X18,"")</f>
        <v>0</v>
      </c>
      <c r="O18" s="185">
        <f ca="1">IFERROR(IF(Апрель[[#Totals],[Выдано топливо, литр]]=0,0,(ROUND(Апрель[[#This Row],[Расход топлива по норме, литр]]/IF(DAY([Дата])&lt;=18,$W$2,$W$3),0)))+Y18,)</f>
        <v>0</v>
      </c>
      <c r="P18" s="186">
        <f ca="1">IFERROR(IF(Апрель[[#Totals],[Выдано топливо, литр]]=0,0,(ROUND(Апрель[[#This Row],[Расход топлива по норме, литр]]/VLOOKUP([Дата],S$2:W$3,5),0)))+Y18,)</f>
        <v>0</v>
      </c>
      <c r="R18" s="117">
        <f>Апрель[[#This Row],[Дата]]</f>
        <v>43202</v>
      </c>
      <c r="S18" s="149"/>
      <c r="T18" s="84"/>
      <c r="U18" s="62"/>
      <c r="V18" s="150"/>
      <c r="W18" s="84"/>
      <c r="X18" s="84"/>
      <c r="Y18" s="135"/>
      <c r="Z18" s="117">
        <f>Апрель[[#This Row],[Дата]]</f>
        <v>43202</v>
      </c>
    </row>
    <row r="19" spans="1:26">
      <c r="A19" s="32">
        <f>IFERROR(DATEVALUE((COUNT($A$6:A18)+1)&amp;$P$1&amp;$I$4),"")</f>
        <v>43203</v>
      </c>
      <c r="B19" s="109"/>
      <c r="C19" s="39">
        <f t="shared" ca="1" si="0"/>
        <v>23600</v>
      </c>
      <c r="D19" s="56">
        <v>23600</v>
      </c>
      <c r="E19" s="34">
        <f ca="1">IFERROR(Апрель[[#This Row],[Показание одометра машины на конец дня, км]]-Апрель[[#This Row],[Показание одометра машины на начало дня, км]]+T19,"")</f>
        <v>0</v>
      </c>
      <c r="F19" s="140">
        <f>IF(Апрель[[#This Row],[Дата]]="","",SUMPRODUCT([1]Апрель!$E$4:$E$153*([1]Апрель!$G$4:$G$153=$O$4)*([1]Апрель!$D$4:$D$153=Апрель[[#This Row],[Дата]])))</f>
        <v>0</v>
      </c>
      <c r="G19" s="33">
        <f ca="1">IF(Апрель[[#This Row],[Дата]]="","",M18)</f>
        <v>350</v>
      </c>
      <c r="H19" s="39">
        <f t="shared" ca="1" si="1"/>
        <v>1338</v>
      </c>
      <c r="I19" s="56">
        <v>1338</v>
      </c>
      <c r="J19" s="33">
        <f ca="1">IFERROR(IF(W19="",Апрель[[#This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19" s="72"/>
      <c r="L19" s="35">
        <f ca="1">IF(Апрель[[#This Row],[Работа спецоборудования за день, м/ч]]="","",Апрель[[#This Row],[Работа спецоборудования за день, м/ч]]*$Z$2)</f>
        <v>0</v>
      </c>
      <c r="M19" s="60">
        <f ca="1">IFERROR(IF(VLOOKUP([Дата],S$2:U$3,3),IFERROR(IF(U19="",Апрель[[#This Row],[Выдано топливо, литр]],Апрель[[#This Row],[Выдано топливо, литр]]+U19)+Апрель[[#This Row],[Остаток топлива в баке на начало дня, литр]]-Апрель[[#This Row],[Фактический расход топлива, литр]],""),""),"")</f>
        <v>350</v>
      </c>
      <c r="N19" s="36">
        <f ca="1">IFERROR(ROUND((Апрель[[#This Row],[Пройдено за день, км]]*0.01*$Y$2+Апрель[[#This Row],[Расход топлива на работу спецоборудования, литр]]),3)+X19,"")</f>
        <v>0</v>
      </c>
      <c r="O19" s="185">
        <f ca="1">IFERROR(IF(Апрель[[#Totals],[Выдано топливо, литр]]=0,0,(ROUND(Апрель[[#This Row],[Расход топлива по норме, литр]]/IF(DAY([Дата])&lt;=18,$W$2,$W$3),0)))+Y19,)</f>
        <v>0</v>
      </c>
      <c r="P19" s="186">
        <f ca="1">IFERROR(IF(Апрель[[#Totals],[Выдано топливо, литр]]=0,0,(ROUND(Апрель[[#This Row],[Расход топлива по норме, литр]]/VLOOKUP([Дата],S$2:W$3,5),0)))+Y19,)</f>
        <v>0</v>
      </c>
      <c r="R19" s="117">
        <f>Апрель[[#This Row],[Дата]]</f>
        <v>43203</v>
      </c>
      <c r="S19" s="149"/>
      <c r="T19" s="84"/>
      <c r="U19" s="62"/>
      <c r="V19" s="150"/>
      <c r="W19" s="84"/>
      <c r="X19" s="84"/>
      <c r="Y19" s="135"/>
      <c r="Z19" s="117">
        <f>Апрель[[#This Row],[Дата]]</f>
        <v>43203</v>
      </c>
    </row>
    <row r="20" spans="1:26">
      <c r="A20" s="32">
        <f>IFERROR(DATEVALUE((COUNT($A$6:A19)+1)&amp;$P$1&amp;$I$4),"")</f>
        <v>43204</v>
      </c>
      <c r="B20" s="109"/>
      <c r="C20" s="39">
        <f t="shared" ca="1" si="0"/>
        <v>23600</v>
      </c>
      <c r="D20" s="56">
        <v>23600</v>
      </c>
      <c r="E20" s="34">
        <f ca="1">IFERROR(Апрель[[#This Row],[Показание одометра машины на конец дня, км]]-Апрель[[#This Row],[Показание одометра машины на начало дня, км]]+T20,"")</f>
        <v>0</v>
      </c>
      <c r="F20" s="140">
        <f>IF(Апрель[[#This Row],[Дата]]="","",SUMPRODUCT([1]Апрель!$E$4:$E$153*([1]Апрель!$G$4:$G$153=$O$4)*([1]Апрель!$D$4:$D$153=Апрель[[#This Row],[Дата]])))</f>
        <v>0</v>
      </c>
      <c r="G20" s="33">
        <f ca="1">IF(Апрель[[#This Row],[Дата]]="","",M19)</f>
        <v>350</v>
      </c>
      <c r="H20" s="39">
        <f t="shared" ca="1" si="1"/>
        <v>1338</v>
      </c>
      <c r="I20" s="56">
        <v>1338</v>
      </c>
      <c r="J20" s="33">
        <f ca="1">IFERROR(IF(W20="",Апрель[[#This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20" s="72"/>
      <c r="L20" s="35">
        <f ca="1">IF(Апрель[[#This Row],[Работа спецоборудования за день, м/ч]]="","",Апрель[[#This Row],[Работа спецоборудования за день, м/ч]]*$Z$2)</f>
        <v>0</v>
      </c>
      <c r="M20" s="60">
        <f ca="1">IFERROR(IF(VLOOKUP([Дата],S$2:U$3,3),IFERROR(IF(U20="",Апрель[[#This Row],[Выдано топливо, литр]],Апрель[[#This Row],[Выдано топливо, литр]]+U20)+Апрель[[#This Row],[Остаток топлива в баке на начало дня, литр]]-Апрель[[#This Row],[Фактический расход топлива, литр]],""),""),"")</f>
        <v>350</v>
      </c>
      <c r="N20" s="36">
        <f ca="1">IFERROR(ROUND((Апрель[[#This Row],[Пройдено за день, км]]*0.01*$Y$2+Апрель[[#This Row],[Расход топлива на работу спецоборудования, литр]]),3)+X20,"")</f>
        <v>0</v>
      </c>
      <c r="O20" s="185">
        <f ca="1">IFERROR(IF(Апрель[[#Totals],[Выдано топливо, литр]]=0,0,(ROUND(Апрель[[#This Row],[Расход топлива по норме, литр]]/IF(DAY([Дата])&lt;=18,$W$2,$W$3),0)))+Y20,)</f>
        <v>0</v>
      </c>
      <c r="P20" s="186">
        <f ca="1">IFERROR(IF(Апрель[[#Totals],[Выдано топливо, литр]]=0,0,(ROUND(Апрель[[#This Row],[Расход топлива по норме, литр]]/VLOOKUP([Дата],S$2:W$3,5),0)))+Y20,)</f>
        <v>0</v>
      </c>
      <c r="R20" s="117">
        <f>Апрель[[#This Row],[Дата]]</f>
        <v>43204</v>
      </c>
      <c r="S20" s="149"/>
      <c r="T20" s="84"/>
      <c r="U20" s="62"/>
      <c r="V20" s="150"/>
      <c r="W20" s="84"/>
      <c r="X20" s="84"/>
      <c r="Y20" s="135"/>
      <c r="Z20" s="117">
        <f>Апрель[[#This Row],[Дата]]</f>
        <v>43204</v>
      </c>
    </row>
    <row r="21" spans="1:26">
      <c r="A21" s="32">
        <f>IFERROR(DATEVALUE((COUNT($A$6:A20)+1)&amp;$P$1&amp;$I$4),"")</f>
        <v>43205</v>
      </c>
      <c r="B21" s="109" t="s">
        <v>76</v>
      </c>
      <c r="C21" s="39">
        <f t="shared" ca="1" si="0"/>
        <v>23600</v>
      </c>
      <c r="D21" s="56">
        <v>23700</v>
      </c>
      <c r="E21" s="34">
        <f ca="1">IFERROR(Апрель[[#This Row],[Показание одометра машины на конец дня, км]]-Апрель[[#This Row],[Показание одометра машины на начало дня, км]]+T21,"")</f>
        <v>100</v>
      </c>
      <c r="F21" s="140">
        <f>IF(Апрель[[#This Row],[Дата]]="","",SUMPRODUCT([1]Апрель!$E$4:$E$153*([1]Апрель!$G$4:$G$153=$O$4)*([1]Апрель!$D$4:$D$153=Апрель[[#This Row],[Дата]])))</f>
        <v>0</v>
      </c>
      <c r="G21" s="33">
        <f ca="1">IF(Апрель[[#This Row],[Дата]]="","",M20)</f>
        <v>350</v>
      </c>
      <c r="H21" s="39">
        <f t="shared" ca="1" si="1"/>
        <v>1338</v>
      </c>
      <c r="I21" s="56">
        <v>1348</v>
      </c>
      <c r="J21" s="33">
        <f ca="1">IFERROR(IF(W21="",Апрель[[#This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10</v>
      </c>
      <c r="K21" s="72">
        <v>5</v>
      </c>
      <c r="L21" s="35">
        <f ca="1">IF(Апрель[[#This Row],[Работа спецоборудования за день, м/ч]]="","",Апрель[[#This Row],[Работа спецоборудования за день, м/ч]]*$Z$2)</f>
        <v>50</v>
      </c>
      <c r="M21" s="60">
        <f ca="1">IFERROR(IF(VLOOKUP([Дата],S$2:U$3,3),IFERROR(IF(U21="",Апрель[[#This Row],[Выдано топливо, литр]],Апрель[[#This Row],[Выдано топливо, литр]]+U21)+Апрель[[#This Row],[Остаток топлива в баке на начало дня, литр]]-Апрель[[#This Row],[Фактический расход топлива, литр]],""),""),"")</f>
        <v>350</v>
      </c>
      <c r="N21" s="36">
        <f ca="1">IFERROR(ROUND((Апрель[[#This Row],[Пройдено за день, км]]*0.01*$Y$2+Апрель[[#This Row],[Расход топлива на работу спецоборудования, литр]]),3)+X21,"")</f>
        <v>92.6</v>
      </c>
      <c r="O21" s="189">
        <f ca="1">IFERROR(IF(Апрель[[#Totals],[Выдано топливо, литр]]=0,0,(ROUND(Апрель[[#This Row],[Расход топлива по норме, литр]]/IF(DAY([Дата])&lt;=18,$W$2,$W$3),0)))+Y21,)</f>
        <v>0</v>
      </c>
      <c r="P21" s="190">
        <f ca="1">IFERROR(IF(Апрель[[#Totals],[Выдано топливо, литр]]=0,0,(ROUND(Апрель[[#This Row],[Расход топлива по норме, литр]]/VLOOKUP([Дата],S$2:W$3,5),0)))+Y21,)</f>
        <v>93</v>
      </c>
      <c r="R21" s="117">
        <f>Апрель[[#This Row],[Дата]]</f>
        <v>43205</v>
      </c>
      <c r="S21" s="149"/>
      <c r="T21" s="84"/>
      <c r="U21" s="62"/>
      <c r="V21" s="150"/>
      <c r="W21" s="84"/>
      <c r="X21" s="84"/>
      <c r="Y21" s="135"/>
      <c r="Z21" s="117">
        <f>Апрель[[#This Row],[Дата]]</f>
        <v>43205</v>
      </c>
    </row>
    <row r="22" spans="1:26">
      <c r="A22" s="32">
        <f>IFERROR(DATEVALUE((COUNT($A$6:A21)+1)&amp;$P$1&amp;$I$4),"")</f>
        <v>43206</v>
      </c>
      <c r="B22" s="109" t="s">
        <v>76</v>
      </c>
      <c r="C22" s="39">
        <f t="shared" ca="1" si="0"/>
        <v>23700</v>
      </c>
      <c r="D22" s="56">
        <v>23810</v>
      </c>
      <c r="E22" s="34">
        <f ca="1">IFERROR(Апрель[[#This Row],[Показание одометра машины на конец дня, км]]-Апрель[[#This Row],[Показание одометра машины на начало дня, км]]+T22,"")</f>
        <v>110</v>
      </c>
      <c r="F22" s="140">
        <f>IF(Апрель[[#This Row],[Дата]]="","",SUMPRODUCT([1]Апрель!$E$4:$E$153*([1]Апрель!$G$4:$G$153=$O$4)*([1]Апрель!$D$4:$D$153=Апрель[[#This Row],[Дата]])))</f>
        <v>0</v>
      </c>
      <c r="G22" s="33">
        <f ca="1">IF(Апрель[[#This Row],[Дата]]="","",M21)</f>
        <v>350</v>
      </c>
      <c r="H22" s="39">
        <f t="shared" ca="1" si="1"/>
        <v>1348</v>
      </c>
      <c r="I22" s="56">
        <v>1358</v>
      </c>
      <c r="J22" s="33">
        <f ca="1">IFERROR(IF(W22="",Апрель[[#This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10</v>
      </c>
      <c r="K22" s="72">
        <v>5</v>
      </c>
      <c r="L22" s="35">
        <f ca="1">IF(Апрель[[#This Row],[Работа спецоборудования за день, м/ч]]="","",Апрель[[#This Row],[Работа спецоборудования за день, м/ч]]*$Z$2)</f>
        <v>50</v>
      </c>
      <c r="M22" s="60">
        <f ca="1">IFERROR(IF(VLOOKUP([Дата],S$2:U$3,3),IFERROR(IF(U22="",Апрель[[#This Row],[Выдано топливо, литр]],Апрель[[#This Row],[Выдано топливо, литр]]+U22)+Апрель[[#This Row],[Остаток топлива в баке на начало дня, литр]]-Апрель[[#This Row],[Фактический расход топлива, литр]],""),""),"")</f>
        <v>350</v>
      </c>
      <c r="N22" s="36">
        <f ca="1">IFERROR(ROUND((Апрель[[#This Row],[Пройдено за день, км]]*0.01*$Y$2+Апрель[[#This Row],[Расход топлива на работу спецоборудования, литр]]),3)+X22,"")</f>
        <v>96.86</v>
      </c>
      <c r="O22" s="185">
        <f ca="1">IFERROR(IF(Апрель[[#Totals],[Выдано топливо, литр]]=0,0,(ROUND(Апрель[[#This Row],[Расход топлива по норме, литр]]/IF(DAY([Дата])&lt;=18,$W$2,$W$3),0)))+Y22,)</f>
        <v>0</v>
      </c>
      <c r="P22" s="186">
        <f ca="1">IFERROR(IF(Апрель[[#Totals],[Выдано топливо, литр]]=0,0,(ROUND(Апрель[[#This Row],[Расход топлива по норме, литр]]/VLOOKUP([Дата],S$2:W$3,5),0)))+Y22,)</f>
        <v>97</v>
      </c>
      <c r="R22" s="117">
        <f>Апрель[[#This Row],[Дата]]</f>
        <v>43206</v>
      </c>
      <c r="S22" s="149"/>
      <c r="T22" s="84"/>
      <c r="U22" s="62"/>
      <c r="V22" s="150"/>
      <c r="W22" s="84"/>
      <c r="X22" s="84"/>
      <c r="Y22" s="135"/>
      <c r="Z22" s="117">
        <f>Апрель[[#This Row],[Дата]]</f>
        <v>43206</v>
      </c>
    </row>
    <row r="23" spans="1:26">
      <c r="A23" s="32">
        <f>IFERROR(DATEVALUE((COUNT($A$6:A22)+1)&amp;$P$1&amp;$I$4),"")</f>
        <v>43207</v>
      </c>
      <c r="B23" s="109" t="s">
        <v>76</v>
      </c>
      <c r="C23" s="39">
        <f t="shared" ca="1" si="0"/>
        <v>23810</v>
      </c>
      <c r="D23" s="56">
        <v>23970</v>
      </c>
      <c r="E23" s="34">
        <f ca="1">IFERROR(Апрель[[#This Row],[Показание одометра машины на конец дня, км]]-Апрель[[#This Row],[Показание одометра машины на начало дня, км]]+T23,"")</f>
        <v>160</v>
      </c>
      <c r="F23" s="140">
        <f>IF(Апрель[[#This Row],[Дата]]="","",SUMPRODUCT([1]Апрель!$E$4:$E$153*([1]Апрель!$G$4:$G$153=$O$4)*([1]Апрель!$D$4:$D$153=Апрель[[#This Row],[Дата]])))</f>
        <v>0</v>
      </c>
      <c r="G23" s="33">
        <f ca="1">IF(Апрель[[#This Row],[Дата]]="","",M22)</f>
        <v>350</v>
      </c>
      <c r="H23" s="39">
        <f t="shared" ca="1" si="1"/>
        <v>1358</v>
      </c>
      <c r="I23" s="56">
        <v>1368</v>
      </c>
      <c r="J23" s="33">
        <f ca="1">IFERROR(IF(W23="",Апрель[[#This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10</v>
      </c>
      <c r="K23" s="72">
        <v>5</v>
      </c>
      <c r="L23" s="35">
        <f ca="1">IF(Апрель[[#This Row],[Работа спецоборудования за день, м/ч]]="","",Апрель[[#This Row],[Работа спецоборудования за день, м/ч]]*$Z$2)</f>
        <v>50</v>
      </c>
      <c r="M23" s="60">
        <f ca="1">IFERROR(IF(VLOOKUP([Дата],S$2:U$3,3),IFERROR(IF(U23="",Апрель[[#This Row],[Выдано топливо, литр]],Апрель[[#This Row],[Выдано топливо, литр]]+U23)+Апрель[[#This Row],[Остаток топлива в баке на начало дня, литр]]-Апрель[[#This Row],[Фактический расход топлива, литр]],""),""),"")</f>
        <v>350</v>
      </c>
      <c r="N23" s="36">
        <f ca="1">IFERROR(ROUND((Апрель[[#This Row],[Пройдено за день, км]]*0.01*$Y$2+Апрель[[#This Row],[Расход топлива на работу спецоборудования, литр]]),3)+X23,"")</f>
        <v>118.16</v>
      </c>
      <c r="O23" s="185">
        <f ca="1">IFERROR(IF(Апрель[[#Totals],[Выдано топливо, литр]]=0,0,(ROUND(Апрель[[#This Row],[Расход топлива по норме, литр]]/IF(DAY([Дата])&lt;=18,$W$2,$W$3),0)))+Y23,)</f>
        <v>0</v>
      </c>
      <c r="P23" s="186">
        <f ca="1">IFERROR(IF(Апрель[[#Totals],[Выдано топливо, литр]]=0,0,(ROUND(Апрель[[#This Row],[Расход топлива по норме, литр]]/VLOOKUP([Дата],S$2:W$3,5),0)))+Y23,)</f>
        <v>118</v>
      </c>
      <c r="R23" s="117">
        <f>Апрель[[#This Row],[Дата]]</f>
        <v>43207</v>
      </c>
      <c r="S23" s="149"/>
      <c r="T23" s="84"/>
      <c r="U23" s="62"/>
      <c r="V23" s="150"/>
      <c r="W23" s="84"/>
      <c r="X23" s="84"/>
      <c r="Y23" s="135"/>
      <c r="Z23" s="117">
        <f>Апрель[[#This Row],[Дата]]</f>
        <v>43207</v>
      </c>
    </row>
    <row r="24" spans="1:26">
      <c r="A24" s="38">
        <f>IFERROR(DATEVALUE((COUNT($A$6:A23)+1)&amp;$P$1&amp;$I$4),"")</f>
        <v>43208</v>
      </c>
      <c r="B24" s="109" t="s">
        <v>76</v>
      </c>
      <c r="C24" s="39">
        <f t="shared" ca="1" si="0"/>
        <v>23970</v>
      </c>
      <c r="D24" s="56">
        <v>24080</v>
      </c>
      <c r="E24" s="27">
        <f ca="1">IFERROR(Апрель[[#This Row],[Показание одометра машины на конец дня, км]]-Апрель[[#This Row],[Показание одометра машины на начало дня, км]]+T24,"")</f>
        <v>110</v>
      </c>
      <c r="F24" s="140">
        <f>IF(Апрель[[#This Row],[Дата]]="","",SUMPRODUCT([1]Апрель!$E$4:$E$153*([1]Апрель!$G$4:$G$153=$O$4)*([1]Апрель!$D$4:$D$153=Апрель[[#This Row],[Дата]])))</f>
        <v>270</v>
      </c>
      <c r="G24" s="33">
        <f ca="1">IF(Апрель[[#This Row],[Дата]]="","",M23)</f>
        <v>350</v>
      </c>
      <c r="H24" s="39">
        <f t="shared" ca="1" si="1"/>
        <v>1368</v>
      </c>
      <c r="I24" s="56">
        <v>1378</v>
      </c>
      <c r="J24" s="33">
        <f ca="1">IFERROR(IF(W24="",Апрель[[#This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10</v>
      </c>
      <c r="K24" s="72">
        <v>5</v>
      </c>
      <c r="L24" s="35">
        <f ca="1">IF(Апрель[[#This Row],[Работа спецоборудования за день, м/ч]]="","",Апрель[[#This Row],[Работа спецоборудования за день, м/ч]]*$Z$2)</f>
        <v>50</v>
      </c>
      <c r="M24" s="60">
        <f ca="1">IFERROR(IF(VLOOKUP([Дата],S$2:U$3,3),IFERROR(IF(U24="",Апрель[[#This Row],[Выдано топливо, литр]],Апрель[[#This Row],[Выдано топливо, литр]]+U24)+Апрель[[#This Row],[Остаток топлива в баке на начало дня, литр]]-Апрель[[#This Row],[Фактический расход топлива, литр]],""),""),"")</f>
        <v>620</v>
      </c>
      <c r="N24" s="36">
        <f ca="1">IFERROR(ROUND((Апрель[[#This Row],[Пройдено за день, км]]*0.01*$Y$2+Апрель[[#This Row],[Расход топлива на работу спецоборудования, литр]]),3)+X24,"")</f>
        <v>96.86</v>
      </c>
      <c r="O24" s="185">
        <f ca="1">IFERROR(IF(Апрель[[#Totals],[Выдано топливо, литр]]=0,0,(ROUND(Апрель[[#This Row],[Расход топлива по норме, литр]]/IF(DAY([Дата])&lt;=18,$W$2,$W$3),0)))+Y24,)</f>
        <v>0</v>
      </c>
      <c r="P24" s="186">
        <f ca="1">IFERROR(IF(Апрель[[#Totals],[Выдано топливо, литр]]=0,0,(ROUND(Апрель[[#This Row],[Расход топлива по норме, литр]]/VLOOKUP([Дата],S$2:W$3,5),0)))+Y24,)</f>
        <v>97</v>
      </c>
      <c r="R24" s="117">
        <f>Апрель[[#This Row],[Дата]]</f>
        <v>43208</v>
      </c>
      <c r="S24" s="149"/>
      <c r="T24" s="84"/>
      <c r="U24" s="62"/>
      <c r="V24" s="150"/>
      <c r="W24" s="84"/>
      <c r="X24" s="84"/>
      <c r="Y24" s="135"/>
      <c r="Z24" s="117">
        <f>Апрель[[#This Row],[Дата]]</f>
        <v>43208</v>
      </c>
    </row>
    <row r="25" spans="1:26">
      <c r="A25" s="32">
        <f>IFERROR(DATEVALUE((COUNT($A$6:A24)+1)&amp;$P$1&amp;$I$4),"")</f>
        <v>43209</v>
      </c>
      <c r="B25" s="109" t="s">
        <v>76</v>
      </c>
      <c r="C25" s="39">
        <f t="shared" ca="1" si="0"/>
        <v>24080</v>
      </c>
      <c r="D25" s="56">
        <v>24230</v>
      </c>
      <c r="E25" s="27">
        <f ca="1">IFERROR(Апрель[[#This Row],[Показание одометра машины на конец дня, км]]-Апрель[[#This Row],[Показание одометра машины на начало дня, км]]+T25,"")</f>
        <v>150</v>
      </c>
      <c r="F25" s="140">
        <f>IF(Апрель[[#This Row],[Дата]]="","",SUMPRODUCT([1]Апрель!$E$4:$E$153*([1]Апрель!$G$4:$G$153=$O$4)*([1]Апрель!$D$4:$D$153=Апрель[[#This Row],[Дата]])))</f>
        <v>0</v>
      </c>
      <c r="G25" s="39">
        <f ca="1">IF(Апрель[[#This Row],[Дата]]="","",M24)</f>
        <v>620</v>
      </c>
      <c r="H25" s="39">
        <f t="shared" ca="1" si="1"/>
        <v>1378</v>
      </c>
      <c r="I25" s="56">
        <v>1386</v>
      </c>
      <c r="J25" s="39">
        <f ca="1">IFERROR(IF(W25="",Апрель[[#This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8</v>
      </c>
      <c r="K25" s="73">
        <v>4</v>
      </c>
      <c r="L25" s="40">
        <f ca="1">IF(Апрель[[#This Row],[Работа спецоборудования за день, м/ч]]="","",Апрель[[#This Row],[Работа спецоборудования за день, м/ч]]*$Z$2)</f>
        <v>40</v>
      </c>
      <c r="M25" s="61">
        <f ca="1">IFERROR(IF(VLOOKUP([Дата],S$2:U$3,3),IFERROR(IF(U25="",Апрель[[#This Row],[Выдано топливо, литр]],Апрель[[#This Row],[Выдано топливо, литр]]+U25)+Апрель[[#This Row],[Остаток топлива в баке на начало дня, литр]]-Апрель[[#This Row],[Фактический расход топлива, литр]],""),""),"")</f>
        <v>516</v>
      </c>
      <c r="N25" s="41">
        <f ca="1">IFERROR(ROUND((Апрель[[#This Row],[Пройдено за день, км]]*0.01*$Y$2+Апрель[[#This Row],[Расход топлива на работу спецоборудования, литр]]),3)+X25,"")</f>
        <v>103.9</v>
      </c>
      <c r="O25" s="187">
        <f ca="1">IFERROR(IF(Апрель[[#Totals],[Выдано топливо, литр]]=0,0,(ROUND(Апрель[[#This Row],[Расход топлива по норме, литр]]/IF(DAY([Дата])&lt;=18,$W$2,$W$3),0)))+Y25,)</f>
        <v>104</v>
      </c>
      <c r="P25" s="188">
        <f ca="1">IFERROR(IF(Апрель[[#Totals],[Выдано топливо, литр]]=0,0,(ROUND(Апрель[[#This Row],[Расход топлива по норме, литр]]/VLOOKUP([Дата],S$2:W$3,5),0)))+Y25,)</f>
        <v>104</v>
      </c>
      <c r="R25" s="117">
        <f>Апрель[[#This Row],[Дата]]</f>
        <v>43209</v>
      </c>
      <c r="S25" s="149"/>
      <c r="T25" s="84"/>
      <c r="U25" s="62"/>
      <c r="V25" s="150"/>
      <c r="W25" s="84"/>
      <c r="X25" s="84"/>
      <c r="Y25" s="135"/>
      <c r="Z25" s="117">
        <f>Апрель[[#This Row],[Дата]]</f>
        <v>43209</v>
      </c>
    </row>
    <row r="26" spans="1:26">
      <c r="A26" s="32">
        <f>IFERROR(DATEVALUE((COUNT($A$6:A25)+1)&amp;$P$1&amp;$I$4),"")</f>
        <v>43210</v>
      </c>
      <c r="B26" s="109" t="s">
        <v>76</v>
      </c>
      <c r="C26" s="39">
        <f t="shared" ca="1" si="0"/>
        <v>24230</v>
      </c>
      <c r="D26" s="56">
        <v>24350</v>
      </c>
      <c r="E26" s="34">
        <f ca="1">IFERROR(Апрель[[#This Row],[Показание одометра машины на конец дня, км]]-Апрель[[#This Row],[Показание одометра машины на начало дня, км]]+T26,"")</f>
        <v>120</v>
      </c>
      <c r="F26" s="140">
        <f>IF(Апрель[[#This Row],[Дата]]="","",SUMPRODUCT([1]Апрель!$E$4:$E$153*([1]Апрель!$G$4:$G$153=$O$4)*([1]Апрель!$D$4:$D$153=Апрель[[#This Row],[Дата]])))</f>
        <v>0</v>
      </c>
      <c r="G26" s="33">
        <f ca="1">IF(Апрель[[#This Row],[Дата]]="","",M25)</f>
        <v>516</v>
      </c>
      <c r="H26" s="39">
        <f t="shared" ca="1" si="1"/>
        <v>1386</v>
      </c>
      <c r="I26" s="56">
        <v>1394</v>
      </c>
      <c r="J26" s="33">
        <f ca="1">IFERROR(IF(W26="",Апрель[[#This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8</v>
      </c>
      <c r="K26" s="72">
        <v>4</v>
      </c>
      <c r="L26" s="35">
        <f ca="1">IF(Апрель[[#This Row],[Работа спецоборудования за день, м/ч]]="","",Апрель[[#This Row],[Работа спецоборудования за день, м/ч]]*$Z$2)</f>
        <v>40</v>
      </c>
      <c r="M26" s="60">
        <f ca="1">IFERROR(IF(VLOOKUP([Дата],S$2:U$3,3),IFERROR(IF(U26="",Апрель[[#This Row],[Выдано топливо, литр]],Апрель[[#This Row],[Выдано топливо, литр]]+U26)+Апрель[[#This Row],[Остаток топлива в баке на начало дня, литр]]-Апрель[[#This Row],[Фактический расход топлива, литр]],""),""),"")</f>
        <v>525</v>
      </c>
      <c r="N26" s="36">
        <f ca="1">IFERROR(ROUND((Апрель[[#This Row],[Пройдено за день, км]]*0.01*$Y$2+Апрель[[#This Row],[Расход топлива на работу спецоборудования, литр]]),3)+X26,"")</f>
        <v>91.12</v>
      </c>
      <c r="O26" s="185">
        <f ca="1">IFERROR(IF(Апрель[[#Totals],[Выдано топливо, литр]]=0,0,(ROUND(Апрель[[#This Row],[Расход топлива по норме, литр]]/IF(DAY([Дата])&lt;=18,$W$2,$W$3),0)))+Y26,)</f>
        <v>91</v>
      </c>
      <c r="P26" s="186">
        <f ca="1">IFERROR(IF(Апрель[[#Totals],[Выдано топливо, литр]]=0,0,(ROUND(Апрель[[#This Row],[Расход топлива по норме, литр]]/VLOOKUP([Дата],S$2:W$3,5),0)))+Y26,)</f>
        <v>91</v>
      </c>
      <c r="R26" s="117">
        <f>Апрель[[#This Row],[Дата]]</f>
        <v>43210</v>
      </c>
      <c r="S26" s="149"/>
      <c r="T26" s="84"/>
      <c r="U26" s="62">
        <v>100</v>
      </c>
      <c r="V26" s="150"/>
      <c r="W26" s="84"/>
      <c r="X26" s="84"/>
      <c r="Y26" s="135"/>
      <c r="Z26" s="117">
        <f>Апрель[[#This Row],[Дата]]</f>
        <v>43210</v>
      </c>
    </row>
    <row r="27" spans="1:26">
      <c r="A27" s="32">
        <f>IFERROR(DATEVALUE((COUNT($A$6:A26)+1)&amp;$P$1&amp;$I$4),"")</f>
        <v>43211</v>
      </c>
      <c r="B27" s="109" t="s">
        <v>76</v>
      </c>
      <c r="C27" s="39">
        <f t="shared" ca="1" si="0"/>
        <v>24350</v>
      </c>
      <c r="D27" s="56">
        <v>24480</v>
      </c>
      <c r="E27" s="34">
        <f ca="1">IFERROR(Апрель[[#This Row],[Показание одометра машины на конец дня, км]]-Апрель[[#This Row],[Показание одометра машины на начало дня, км]]+T27,"")</f>
        <v>130</v>
      </c>
      <c r="F27" s="140">
        <f>IF(Апрель[[#This Row],[Дата]]="","",SUMPRODUCT([1]Апрель!$E$4:$E$153*([1]Апрель!$G$4:$G$153=$O$4)*([1]Апрель!$D$4:$D$153=Апрель[[#This Row],[Дата]])))</f>
        <v>0</v>
      </c>
      <c r="G27" s="33">
        <f ca="1">IF(Апрель[[#This Row],[Дата]]="","",M26)</f>
        <v>525</v>
      </c>
      <c r="H27" s="39">
        <f t="shared" ca="1" si="1"/>
        <v>1394</v>
      </c>
      <c r="I27" s="56">
        <v>1404</v>
      </c>
      <c r="J27" s="33">
        <f ca="1">IFERROR(IF(W27="",Апрель[[#This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10</v>
      </c>
      <c r="K27" s="72">
        <v>5</v>
      </c>
      <c r="L27" s="35">
        <f ca="1">IF(Апрель[[#This Row],[Работа спецоборудования за день, м/ч]]="","",Апрель[[#This Row],[Работа спецоборудования за день, м/ч]]*$Z$2)</f>
        <v>50</v>
      </c>
      <c r="M27" s="60">
        <f ca="1">IFERROR(IF(VLOOKUP([Дата],S$2:U$3,3),IFERROR(IF(U27="",Апрель[[#This Row],[Выдано топливо, литр]],Апрель[[#This Row],[Выдано топливо, литр]]+U27)+Апрель[[#This Row],[Остаток топлива в баке на начало дня, литр]]-Апрель[[#This Row],[Фактический расход топлива, литр]],""),""),"")</f>
        <v>420</v>
      </c>
      <c r="N27" s="36">
        <f ca="1">IFERROR(ROUND((Апрель[[#This Row],[Пройдено за день, км]]*0.01*$Y$2+Апрель[[#This Row],[Расход топлива на работу спецоборудования, литр]]),3)+X27,"")</f>
        <v>105.38</v>
      </c>
      <c r="O27" s="185">
        <f ca="1">IFERROR(IF(Апрель[[#Totals],[Выдано топливо, литр]]=0,0,(ROUND(Апрель[[#This Row],[Расход топлива по норме, литр]]/IF(DAY([Дата])&lt;=18,$W$2,$W$3),0)))+Y27,)</f>
        <v>105</v>
      </c>
      <c r="P27" s="186">
        <f ca="1">IFERROR(IF(Апрель[[#Totals],[Выдано топливо, литр]]=0,0,(ROUND(Апрель[[#This Row],[Расход топлива по норме, литр]]/VLOOKUP([Дата],S$2:W$3,5),0)))+Y27,)</f>
        <v>105</v>
      </c>
      <c r="R27" s="117">
        <f>Апрель[[#This Row],[Дата]]</f>
        <v>43211</v>
      </c>
      <c r="S27" s="149"/>
      <c r="T27" s="84"/>
      <c r="U27" s="62"/>
      <c r="V27" s="150"/>
      <c r="W27" s="84"/>
      <c r="X27" s="84"/>
      <c r="Y27" s="135"/>
      <c r="Z27" s="117">
        <f>Апрель[[#This Row],[Дата]]</f>
        <v>43211</v>
      </c>
    </row>
    <row r="28" spans="1:26">
      <c r="A28" s="32">
        <f>IFERROR(DATEVALUE((COUNT($A$6:A27)+1)&amp;$P$1&amp;$I$4),"")</f>
        <v>43212</v>
      </c>
      <c r="B28" s="109" t="s">
        <v>76</v>
      </c>
      <c r="C28" s="39">
        <f t="shared" ca="1" si="0"/>
        <v>24480</v>
      </c>
      <c r="D28" s="56">
        <v>24610</v>
      </c>
      <c r="E28" s="34">
        <f ca="1">IFERROR(Апрель[[#This Row],[Показание одометра машины на конец дня, км]]-Апрель[[#This Row],[Показание одометра машины на начало дня, км]]+T28,"")</f>
        <v>130</v>
      </c>
      <c r="F28" s="140">
        <f>IF(Апрель[[#This Row],[Дата]]="","",SUMPRODUCT([1]Апрель!$E$4:$E$153*([1]Апрель!$G$4:$G$153=$O$4)*([1]Апрель!$D$4:$D$153=Апрель[[#This Row],[Дата]])))</f>
        <v>310</v>
      </c>
      <c r="G28" s="33">
        <f ca="1">IF(Апрель[[#This Row],[Дата]]="","",M27)</f>
        <v>420</v>
      </c>
      <c r="H28" s="39">
        <f t="shared" ca="1" si="1"/>
        <v>1404</v>
      </c>
      <c r="I28" s="56">
        <v>1412</v>
      </c>
      <c r="J28" s="33">
        <f ca="1">IFERROR(IF(W28="",Апрель[[#This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8</v>
      </c>
      <c r="K28" s="72">
        <v>4</v>
      </c>
      <c r="L28" s="35">
        <f ca="1">IF(Апрель[[#This Row],[Работа спецоборудования за день, м/ч]]="","",Апрель[[#This Row],[Работа спецоборудования за день, м/ч]]*$Z$2)</f>
        <v>40</v>
      </c>
      <c r="M28" s="60">
        <f ca="1">IFERROR(IF(VLOOKUP([Дата],S$2:U$3,3),IFERROR(IF(U28="",Апрель[[#This Row],[Выдано топливо, литр]],Апрель[[#This Row],[Выдано топливо, литр]]+U28)+Апрель[[#This Row],[Остаток топлива в баке на начало дня, литр]]-Апрель[[#This Row],[Фактический расход топлива, литр]],""),""),"")</f>
        <v>535</v>
      </c>
      <c r="N28" s="36">
        <f ca="1">IFERROR(ROUND((Апрель[[#This Row],[Пройдено за день, км]]*0.01*$Y$2+Апрель[[#This Row],[Расход топлива на работу спецоборудования, литр]]),3)+X28,"")</f>
        <v>95.38</v>
      </c>
      <c r="O28" s="185">
        <f ca="1">IFERROR(IF(Апрель[[#Totals],[Выдано топливо, литр]]=0,0,(ROUND(Апрель[[#This Row],[Расход топлива по норме, литр]]/IF(DAY([Дата])&lt;=18,$W$2,$W$3),0)))+Y28,)</f>
        <v>95</v>
      </c>
      <c r="P28" s="186">
        <f ca="1">IFERROR(IF(Апрель[[#Totals],[Выдано топливо, литр]]=0,0,(ROUND(Апрель[[#This Row],[Расход топлива по норме, литр]]/VLOOKUP([Дата],S$2:W$3,5),0)))+Y28,)</f>
        <v>95</v>
      </c>
      <c r="R28" s="117">
        <f>Апрель[[#This Row],[Дата]]</f>
        <v>43212</v>
      </c>
      <c r="S28" s="149"/>
      <c r="T28" s="84"/>
      <c r="U28" s="62">
        <v>-100</v>
      </c>
      <c r="V28" s="150"/>
      <c r="W28" s="84"/>
      <c r="X28" s="84"/>
      <c r="Y28" s="135"/>
      <c r="Z28" s="117">
        <f>Апрель[[#This Row],[Дата]]</f>
        <v>43212</v>
      </c>
    </row>
    <row r="29" spans="1:26">
      <c r="A29" s="32">
        <f>IFERROR(DATEVALUE((COUNT($A$6:A28)+1)&amp;$P$1&amp;$I$4),"")</f>
        <v>43213</v>
      </c>
      <c r="B29" s="109" t="s">
        <v>76</v>
      </c>
      <c r="C29" s="39">
        <f t="shared" ca="1" si="0"/>
        <v>24610</v>
      </c>
      <c r="D29" s="56">
        <v>24750</v>
      </c>
      <c r="E29" s="34">
        <f ca="1">IFERROR(Апрель[[#This Row],[Показание одометра машины на конец дня, км]]-Апрель[[#This Row],[Показание одометра машины на начало дня, км]]+T29,"")</f>
        <v>140</v>
      </c>
      <c r="F29" s="140">
        <f>IF(Апрель[[#This Row],[Дата]]="","",SUMPRODUCT([1]Апрель!$E$4:$E$153*([1]Апрель!$G$4:$G$153=$O$4)*([1]Апрель!$D$4:$D$153=Апрель[[#This Row],[Дата]])))</f>
        <v>0</v>
      </c>
      <c r="G29" s="33">
        <f ca="1">IF(Апрель[[#This Row],[Дата]]="","",M28)</f>
        <v>535</v>
      </c>
      <c r="H29" s="39">
        <f t="shared" ca="1" si="1"/>
        <v>1412</v>
      </c>
      <c r="I29" s="56">
        <v>1418</v>
      </c>
      <c r="J29" s="33">
        <f ca="1">IFERROR(IF(W29="",Апрель[[#This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6</v>
      </c>
      <c r="K29" s="72">
        <v>3</v>
      </c>
      <c r="L29" s="35">
        <f ca="1">IF(Апрель[[#This Row],[Работа спецоборудования за день, м/ч]]="","",Апрель[[#This Row],[Работа спецоборудования за день, м/ч]]*$Z$2)</f>
        <v>30</v>
      </c>
      <c r="M29" s="60">
        <f ca="1">IFERROR(IF(VLOOKUP([Дата],S$2:U$3,3),IFERROR(IF(U29="",Апрель[[#This Row],[Выдано топливо, литр]],Апрель[[#This Row],[Выдано топливо, литр]]+U29)+Апрель[[#This Row],[Остаток топлива в баке на начало дня, литр]]-Апрель[[#This Row],[Фактический расход топлива, литр]],""),""),"")</f>
        <v>445</v>
      </c>
      <c r="N29" s="36">
        <f ca="1">IFERROR(ROUND((Апрель[[#This Row],[Пройдено за день, км]]*0.01*$Y$2+Апрель[[#This Row],[Расход топлива на работу спецоборудования, литр]]),3)+X29,"")</f>
        <v>89.64</v>
      </c>
      <c r="O29" s="185">
        <f ca="1">IFERROR(IF(Апрель[[#Totals],[Выдано топливо, литр]]=0,0,(ROUND(Апрель[[#This Row],[Расход топлива по норме, литр]]/IF(DAY([Дата])&lt;=18,$W$2,$W$3),0)))+Y29,)</f>
        <v>90</v>
      </c>
      <c r="P29" s="186">
        <f ca="1">IFERROR(IF(Апрель[[#Totals],[Выдано топливо, литр]]=0,0,(ROUND(Апрель[[#This Row],[Расход топлива по норме, литр]]/VLOOKUP([Дата],S$2:W$3,5),0)))+Y29,)</f>
        <v>90</v>
      </c>
      <c r="R29" s="117">
        <f>Апрель[[#This Row],[Дата]]</f>
        <v>43213</v>
      </c>
      <c r="S29" s="149"/>
      <c r="T29" s="84"/>
      <c r="U29" s="62"/>
      <c r="V29" s="150"/>
      <c r="W29" s="84"/>
      <c r="X29" s="84"/>
      <c r="Y29" s="135"/>
      <c r="Z29" s="117">
        <f>Апрель[[#This Row],[Дата]]</f>
        <v>43213</v>
      </c>
    </row>
    <row r="30" spans="1:26">
      <c r="A30" s="32">
        <f>IFERROR(DATEVALUE((COUNT($A$6:A29)+1)&amp;$P$1&amp;$I$4),"")</f>
        <v>43214</v>
      </c>
      <c r="B30" s="109" t="s">
        <v>76</v>
      </c>
      <c r="C30" s="39">
        <f t="shared" ca="1" si="0"/>
        <v>24750</v>
      </c>
      <c r="D30" s="56">
        <v>24820</v>
      </c>
      <c r="E30" s="34">
        <f ca="1">IFERROR(Апрель[[#This Row],[Показание одометра машины на конец дня, км]]-Апрель[[#This Row],[Показание одометра машины на начало дня, км]]+T30,"")</f>
        <v>70</v>
      </c>
      <c r="F30" s="140">
        <f>IF(Апрель[[#This Row],[Дата]]="","",SUMPRODUCT([1]Апрель!$E$4:$E$153*([1]Апрель!$G$4:$G$153=$O$4)*([1]Апрель!$D$4:$D$153=Апрель[[#This Row],[Дата]])))</f>
        <v>0</v>
      </c>
      <c r="G30" s="33">
        <f ca="1">IF(Апрель[[#This Row],[Дата]]="","",M29)</f>
        <v>445</v>
      </c>
      <c r="H30" s="39">
        <f t="shared" ca="1" si="1"/>
        <v>1418</v>
      </c>
      <c r="I30" s="56">
        <v>1424</v>
      </c>
      <c r="J30" s="33">
        <f ca="1">IFERROR(IF(W30="",Апрель[[#This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6</v>
      </c>
      <c r="K30" s="72">
        <v>3</v>
      </c>
      <c r="L30" s="35">
        <f ca="1">IF(Апрель[[#This Row],[Работа спецоборудования за день, м/ч]]="","",Апрель[[#This Row],[Работа спецоборудования за день, м/ч]]*$Z$2)</f>
        <v>30</v>
      </c>
      <c r="M30" s="60">
        <f ca="1">IFERROR(IF(VLOOKUP([Дата],S$2:U$3,3),IFERROR(IF(U30="",Апрель[[#This Row],[Выдано топливо, литр]],Апрель[[#This Row],[Выдано топливо, литр]]+U30)+Апрель[[#This Row],[Остаток топлива в баке на начало дня, литр]]-Апрель[[#This Row],[Фактический расход топлива, литр]],""),""),"")</f>
        <v>505</v>
      </c>
      <c r="N30" s="36">
        <f ca="1">IFERROR(ROUND((Апрель[[#This Row],[Пройдено за день, км]]*0.01*$Y$2+Апрель[[#This Row],[Расход топлива на работу спецоборудования, литр]]),3)+X30,"")</f>
        <v>59.82</v>
      </c>
      <c r="O30" s="185">
        <f ca="1">IFERROR(IF(Апрель[[#Totals],[Выдано топливо, литр]]=0,0,(ROUND(Апрель[[#This Row],[Расход топлива по норме, литр]]/IF(DAY([Дата])&lt;=18,$W$2,$W$3),0)))+Y30,)</f>
        <v>60</v>
      </c>
      <c r="P30" s="186">
        <f ca="1">IFERROR(IF(Апрель[[#Totals],[Выдано топливо, литр]]=0,0,(ROUND(Апрель[[#This Row],[Расход топлива по норме, литр]]/VLOOKUP([Дата],S$2:W$3,5),0)))+Y30,)</f>
        <v>60</v>
      </c>
      <c r="R30" s="117">
        <f>Апрель[[#This Row],[Дата]]</f>
        <v>43214</v>
      </c>
      <c r="S30" s="149"/>
      <c r="T30" s="84"/>
      <c r="U30" s="62">
        <v>120</v>
      </c>
      <c r="V30" s="150"/>
      <c r="W30" s="84"/>
      <c r="X30" s="84"/>
      <c r="Y30" s="135"/>
      <c r="Z30" s="117">
        <f>Апрель[[#This Row],[Дата]]</f>
        <v>43214</v>
      </c>
    </row>
    <row r="31" spans="1:26">
      <c r="A31" s="32">
        <f>IFERROR(DATEVALUE((COUNT($A$6:A30)+1)&amp;$P$1&amp;$I$4),"")</f>
        <v>43215</v>
      </c>
      <c r="B31" s="109" t="s">
        <v>76</v>
      </c>
      <c r="C31" s="39">
        <f t="shared" ca="1" si="0"/>
        <v>24820</v>
      </c>
      <c r="D31" s="56">
        <v>24970</v>
      </c>
      <c r="E31" s="34">
        <f ca="1">IFERROR(Апрель[[#This Row],[Показание одометра машины на конец дня, км]]-Апрель[[#This Row],[Показание одометра машины на начало дня, км]]+T31,"")</f>
        <v>150</v>
      </c>
      <c r="F31" s="140">
        <f>IF(Апрель[[#This Row],[Дата]]="","",SUMPRODUCT([1]Апрель!$E$4:$E$153*([1]Апрель!$G$4:$G$153=$O$4)*([1]Апрель!$D$4:$D$153=Апрель[[#This Row],[Дата]])))</f>
        <v>0</v>
      </c>
      <c r="G31" s="33">
        <f ca="1">IF(Апрель[[#This Row],[Дата]]="","",M30)</f>
        <v>505</v>
      </c>
      <c r="H31" s="39">
        <f t="shared" ca="1" si="1"/>
        <v>1424</v>
      </c>
      <c r="I31" s="56">
        <v>1430</v>
      </c>
      <c r="J31" s="33">
        <f ca="1">IFERROR(IF(W31="",Апрель[[#This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6</v>
      </c>
      <c r="K31" s="72">
        <v>3</v>
      </c>
      <c r="L31" s="35">
        <f ca="1">IF(Апрель[[#This Row],[Работа спецоборудования за день, м/ч]]="","",Апрель[[#This Row],[Работа спецоборудования за день, м/ч]]*$Z$2)</f>
        <v>30</v>
      </c>
      <c r="M31" s="60">
        <f ca="1">IFERROR(IF(VLOOKUP([Дата],S$2:U$3,3),IFERROR(IF(U31="",Апрель[[#This Row],[Выдано топливо, литр]],Апрель[[#This Row],[Выдано топливо, литр]]+U31)+Апрель[[#This Row],[Остаток топлива в баке на начало дня, литр]]-Апрель[[#This Row],[Фактический расход топлива, литр]],""),""),"")</f>
        <v>411</v>
      </c>
      <c r="N31" s="36">
        <f ca="1">IFERROR(ROUND((Апрель[[#This Row],[Пройдено за день, км]]*0.01*$Y$2+Апрель[[#This Row],[Расход топлива на работу спецоборудования, литр]]),3)+X31,"")</f>
        <v>93.9</v>
      </c>
      <c r="O31" s="185">
        <f ca="1">IFERROR(IF(Апрель[[#Totals],[Выдано топливо, литр]]=0,0,(ROUND(Апрель[[#This Row],[Расход топлива по норме, литр]]/IF(DAY([Дата])&lt;=18,$W$2,$W$3),0)))+Y31,)</f>
        <v>94</v>
      </c>
      <c r="P31" s="186">
        <f ca="1">IFERROR(IF(Апрель[[#Totals],[Выдано топливо, литр]]=0,0,(ROUND(Апрель[[#This Row],[Расход топлива по норме, литр]]/VLOOKUP([Дата],S$2:W$3,5),0)))+Y31,)</f>
        <v>94</v>
      </c>
      <c r="R31" s="117">
        <f>Апрель[[#This Row],[Дата]]</f>
        <v>43215</v>
      </c>
      <c r="S31" s="149"/>
      <c r="T31" s="84"/>
      <c r="U31" s="62"/>
      <c r="V31" s="150"/>
      <c r="W31" s="84"/>
      <c r="X31" s="84"/>
      <c r="Y31" s="135"/>
      <c r="Z31" s="117">
        <f>Апрель[[#This Row],[Дата]]</f>
        <v>43215</v>
      </c>
    </row>
    <row r="32" spans="1:26">
      <c r="A32" s="32">
        <f>IFERROR(DATEVALUE((COUNT($A$6:A31)+1)&amp;$P$1&amp;$I$4),"")</f>
        <v>43216</v>
      </c>
      <c r="B32" s="109" t="s">
        <v>76</v>
      </c>
      <c r="C32" s="39">
        <f t="shared" ca="1" si="0"/>
        <v>24970</v>
      </c>
      <c r="D32" s="56">
        <v>25040</v>
      </c>
      <c r="E32" s="34">
        <f ca="1">IFERROR(Апрель[[#This Row],[Показание одометра машины на конец дня, км]]-Апрель[[#This Row],[Показание одометра машины на начало дня, км]]+T32,"")</f>
        <v>70</v>
      </c>
      <c r="F32" s="140">
        <f>IF(Апрель[[#This Row],[Дата]]="","",SUMPRODUCT([1]Апрель!$E$4:$E$153*([1]Апрель!$G$4:$G$153=$O$4)*([1]Апрель!$D$4:$D$153=Апрель[[#This Row],[Дата]])))</f>
        <v>280</v>
      </c>
      <c r="G32" s="33">
        <f ca="1">IF(Апрель[[#This Row],[Дата]]="","",M31)</f>
        <v>411</v>
      </c>
      <c r="H32" s="39">
        <f t="shared" ca="1" si="1"/>
        <v>1430</v>
      </c>
      <c r="I32" s="56">
        <v>1432</v>
      </c>
      <c r="J32" s="33">
        <f ca="1">IFERROR(IF(W32="",Апрель[[#This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2</v>
      </c>
      <c r="K32" s="72">
        <v>1</v>
      </c>
      <c r="L32" s="35">
        <f ca="1">IF(Апрель[[#This Row],[Работа спецоборудования за день, м/ч]]="","",Апрель[[#This Row],[Работа спецоборудования за день, м/ч]]*$Z$2)</f>
        <v>10</v>
      </c>
      <c r="M32" s="60">
        <f ca="1">IFERROR(IF(VLOOKUP([Дата],S$2:U$3,3),IFERROR(IF(U32="",Апрель[[#This Row],[Выдано топливо, литр]],Апрель[[#This Row],[Выдано топливо, литр]]+U32)+Апрель[[#This Row],[Остаток топлива в баке на начало дня, литр]]-Апрель[[#This Row],[Фактический расход топлива, литр]],""),""),"")</f>
        <v>651</v>
      </c>
      <c r="N32" s="36">
        <f ca="1">IFERROR(ROUND((Апрель[[#This Row],[Пройдено за день, км]]*0.01*$Y$2+Апрель[[#This Row],[Расход топлива на работу спецоборудования, литр]]),3)+X32,"")</f>
        <v>39.82</v>
      </c>
      <c r="O32" s="185">
        <f ca="1">IFERROR(IF(Апрель[[#Totals],[Выдано топливо, литр]]=0,0,(ROUND(Апрель[[#This Row],[Расход топлива по норме, литр]]/IF(DAY([Дата])&lt;=18,$W$2,$W$3),0)))+Y32,)</f>
        <v>40</v>
      </c>
      <c r="P32" s="186">
        <f ca="1">IFERROR(IF(Апрель[[#Totals],[Выдано топливо, литр]]=0,0,(ROUND(Апрель[[#This Row],[Расход топлива по норме, литр]]/VLOOKUP([Дата],S$2:W$3,5),0)))+Y32,)</f>
        <v>40</v>
      </c>
      <c r="R32" s="117">
        <f>Апрель[[#This Row],[Дата]]</f>
        <v>43216</v>
      </c>
      <c r="S32" s="149"/>
      <c r="T32" s="84"/>
      <c r="U32" s="62"/>
      <c r="V32" s="150"/>
      <c r="W32" s="84"/>
      <c r="X32" s="84"/>
      <c r="Y32" s="135"/>
      <c r="Z32" s="117">
        <f>Апрель[[#This Row],[Дата]]</f>
        <v>43216</v>
      </c>
    </row>
    <row r="33" spans="1:26">
      <c r="A33" s="32">
        <f>IFERROR(DATEVALUE((COUNT($A$6:A32)+1)&amp;$P$1&amp;$I$4),"")</f>
        <v>43217</v>
      </c>
      <c r="B33" s="109" t="s">
        <v>76</v>
      </c>
      <c r="C33" s="39">
        <f t="shared" ca="1" si="0"/>
        <v>25040</v>
      </c>
      <c r="D33" s="56">
        <v>25210</v>
      </c>
      <c r="E33" s="34">
        <f ca="1">IFERROR(Апрель[[#This Row],[Показание одометра машины на конец дня, км]]-Апрель[[#This Row],[Показание одометра машины на начало дня, км]]+T33,"")</f>
        <v>170</v>
      </c>
      <c r="F33" s="140">
        <f>IF(Апрель[[#This Row],[Дата]]="","",SUMPRODUCT([1]Апрель!$E$4:$E$153*([1]Апрель!$G$4:$G$153=$O$4)*([1]Апрель!$D$4:$D$153=Апрель[[#This Row],[Дата]])))</f>
        <v>0</v>
      </c>
      <c r="G33" s="33">
        <f ca="1">IF(Апрель[[#This Row],[Дата]]="","",M32)</f>
        <v>651</v>
      </c>
      <c r="H33" s="39">
        <f t="shared" ca="1" si="1"/>
        <v>1432</v>
      </c>
      <c r="I33" s="56">
        <v>1438</v>
      </c>
      <c r="J33" s="33">
        <f ca="1">IFERROR(IF(W33="",Апрель[[#This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6</v>
      </c>
      <c r="K33" s="72">
        <v>3</v>
      </c>
      <c r="L33" s="35">
        <f ca="1">IF(Апрель[[#This Row],[Работа спецоборудования за день, м/ч]]="","",Апрель[[#This Row],[Работа спецоборудования за день, м/ч]]*$Z$2)</f>
        <v>30</v>
      </c>
      <c r="M33" s="60">
        <f ca="1">IFERROR(IF(VLOOKUP([Дата],S$2:U$3,3),IFERROR(IF(U33="",Апрель[[#This Row],[Выдано топливо, литр]],Апрель[[#This Row],[Выдано топливо, литр]]+U33)+Апрель[[#This Row],[Остаток топлива в баке на начало дня, литр]]-Апрель[[#This Row],[Фактический расход топлива, литр]],""),""),"")</f>
        <v>649</v>
      </c>
      <c r="N33" s="36">
        <f ca="1">IFERROR(ROUND((Апрель[[#This Row],[Пройдено за день, км]]*0.01*$Y$2+Апрель[[#This Row],[Расход топлива на работу спецоборудования, литр]]),3)+X33,"")</f>
        <v>102.42</v>
      </c>
      <c r="O33" s="185">
        <f ca="1">IFERROR(IF(Апрель[[#Totals],[Выдано топливо, литр]]=0,0,(ROUND(Апрель[[#This Row],[Расход топлива по норме, литр]]/IF(DAY([Дата])&lt;=18,$W$2,$W$3),0)))+Y33,)</f>
        <v>102</v>
      </c>
      <c r="P33" s="186">
        <f ca="1">IFERROR(IF(Апрель[[#Totals],[Выдано топливо, литр]]=0,0,(ROUND(Апрель[[#This Row],[Расход топлива по норме, литр]]/VLOOKUP([Дата],S$2:W$3,5),0)))+Y33,)</f>
        <v>102</v>
      </c>
      <c r="R33" s="117">
        <f>Апрель[[#This Row],[Дата]]</f>
        <v>43217</v>
      </c>
      <c r="S33" s="149"/>
      <c r="T33" s="84"/>
      <c r="U33" s="62">
        <v>100</v>
      </c>
      <c r="V33" s="150"/>
      <c r="W33" s="84"/>
      <c r="X33" s="84"/>
      <c r="Y33" s="135"/>
      <c r="Z33" s="117">
        <f>Апрель[[#This Row],[Дата]]</f>
        <v>43217</v>
      </c>
    </row>
    <row r="34" spans="1:26">
      <c r="A34" s="32">
        <f>IFERROR(DATEVALUE((COUNT($A$6:A33)+1)&amp;$P$1&amp;$I$4),"")</f>
        <v>43218</v>
      </c>
      <c r="B34" s="109" t="s">
        <v>76</v>
      </c>
      <c r="C34" s="39">
        <f t="shared" ca="1" si="0"/>
        <v>25210</v>
      </c>
      <c r="D34" s="56">
        <v>25290</v>
      </c>
      <c r="E34" s="34">
        <f ca="1">IFERROR(Апрель[[#This Row],[Показание одометра машины на конец дня, км]]-Апрель[[#This Row],[Показание одометра машины на начало дня, км]]+T34,"")</f>
        <v>80</v>
      </c>
      <c r="F34" s="140">
        <f>IF(Апрель[[#This Row],[Дата]]="","",SUMPRODUCT([1]Апрель!$E$4:$E$153*([1]Апрель!$G$4:$G$153=$O$4)*([1]Апрель!$D$4:$D$153=Апрель[[#This Row],[Дата]])))</f>
        <v>120</v>
      </c>
      <c r="G34" s="33">
        <f ca="1">IF(Апрель[[#This Row],[Дата]]="","",M33)</f>
        <v>649</v>
      </c>
      <c r="H34" s="39">
        <f t="shared" ca="1" si="1"/>
        <v>1438</v>
      </c>
      <c r="I34" s="56">
        <v>1442</v>
      </c>
      <c r="J34" s="33">
        <f ca="1">IFERROR(IF(W34="",Апрель[[#This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4</v>
      </c>
      <c r="K34" s="72">
        <v>2</v>
      </c>
      <c r="L34" s="35">
        <f ca="1">IF(Апрель[[#This Row],[Работа спецоборудования за день, м/ч]]="","",Апрель[[#This Row],[Работа спецоборудования за день, м/ч]]*$Z$2)</f>
        <v>20</v>
      </c>
      <c r="M34" s="60">
        <f ca="1">IFERROR(IF(VLOOKUP([Дата],S$2:U$3,3),IFERROR(IF(U34="",Апрель[[#This Row],[Выдано топливо, литр]],Апрель[[#This Row],[Выдано топливо, литр]]+U34)+Апрель[[#This Row],[Остаток топлива в баке на начало дня, литр]]-Апрель[[#This Row],[Фактический расход топлива, литр]],""),""),"")</f>
        <v>755</v>
      </c>
      <c r="N34" s="36">
        <f ca="1">IFERROR(ROUND((Апрель[[#This Row],[Пройдено за день, км]]*0.01*$Y$2+Апрель[[#This Row],[Расход топлива на работу спецоборудования, литр]]),3)+X34,"")</f>
        <v>54.08</v>
      </c>
      <c r="O34" s="185">
        <f ca="1">IFERROR(IF(Апрель[[#Totals],[Выдано топливо, литр]]=0,0,(ROUND(Апрель[[#This Row],[Расход топлива по норме, литр]]/IF(DAY([Дата])&lt;=18,$W$2,$W$3),0)))+Y34,)</f>
        <v>54</v>
      </c>
      <c r="P34" s="186">
        <f ca="1">IFERROR(IF(Апрель[[#Totals],[Выдано топливо, литр]]=0,0,(ROUND(Апрель[[#This Row],[Расход топлива по норме, литр]]/VLOOKUP([Дата],S$2:W$3,5),0)))+Y34,)</f>
        <v>54</v>
      </c>
      <c r="R34" s="117">
        <f>Апрель[[#This Row],[Дата]]</f>
        <v>43218</v>
      </c>
      <c r="S34" s="149"/>
      <c r="T34" s="84"/>
      <c r="U34" s="62">
        <v>40</v>
      </c>
      <c r="V34" s="150"/>
      <c r="W34" s="84"/>
      <c r="X34" s="84"/>
      <c r="Y34" s="135"/>
      <c r="Z34" s="117">
        <f>Апрель[[#This Row],[Дата]]</f>
        <v>43218</v>
      </c>
    </row>
    <row r="35" spans="1:26">
      <c r="A35" s="32">
        <f>IFERROR(DATEVALUE((COUNT($A$6:A34)+1)&amp;$P$1&amp;$I$4),"")</f>
        <v>43219</v>
      </c>
      <c r="B35" s="109" t="s">
        <v>76</v>
      </c>
      <c r="C35" s="39">
        <f t="shared" ca="1" si="0"/>
        <v>25290</v>
      </c>
      <c r="D35" s="56">
        <v>25290</v>
      </c>
      <c r="E35" s="34">
        <f ca="1">IFERROR(Апрель[[#This Row],[Показание одометра машины на конец дня, км]]-Апрель[[#This Row],[Показание одометра машины на начало дня, км]]+T35,"")</f>
        <v>0</v>
      </c>
      <c r="F35" s="140">
        <f>IF(Апрель[[#This Row],[Дата]]="","",SUMPRODUCT([1]Апрель!$E$4:$E$153*([1]Апрель!$G$4:$G$153=$O$4)*([1]Апрель!$D$4:$D$153=Апрель[[#This Row],[Дата]])))</f>
        <v>0</v>
      </c>
      <c r="G35" s="33">
        <f ca="1">IF(Апрель[[#This Row],[Дата]]="","",M34)</f>
        <v>755</v>
      </c>
      <c r="H35" s="39">
        <f t="shared" ca="1" si="1"/>
        <v>1442</v>
      </c>
      <c r="I35" s="56">
        <v>1442</v>
      </c>
      <c r="J35" s="33">
        <f ca="1">IFERROR(IF(W35="",Апрель[[#This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35" s="72"/>
      <c r="L35" s="35">
        <f ca="1">IF(Апрель[[#This Row],[Работа спецоборудования за день, м/ч]]="","",Апрель[[#This Row],[Работа спецоборудования за день, м/ч]]*$Z$2)</f>
        <v>0</v>
      </c>
      <c r="M35" s="60">
        <f ca="1">IFERROR(IF(VLOOKUP([Дата],S$2:U$3,3),IFERROR(IF(U35="",Апрель[[#This Row],[Выдано топливо, литр]],Апрель[[#This Row],[Выдано топливо, литр]]+U35)+Апрель[[#This Row],[Остаток топлива в баке на начало дня, литр]]-Апрель[[#This Row],[Фактический расход топлива, литр]],""),""),"")</f>
        <v>755</v>
      </c>
      <c r="N35" s="36">
        <f ca="1">IFERROR(ROUND((Апрель[[#This Row],[Пройдено за день, км]]*0.01*$Y$2+Апрель[[#This Row],[Расход топлива на работу спецоборудования, литр]]),3)+X35,"")</f>
        <v>0</v>
      </c>
      <c r="O35" s="185">
        <f ca="1">IFERROR(IF(Апрель[[#Totals],[Выдано топливо, литр]]=0,0,(ROUND(Апрель[[#This Row],[Расход топлива по норме, литр]]/IF(DAY([Дата])&lt;=18,$W$2,$W$3),0)))+Y35,)</f>
        <v>0</v>
      </c>
      <c r="P35" s="186">
        <f ca="1">IFERROR(IF(Апрель[[#Totals],[Выдано топливо, литр]]=0,0,(ROUND(Апрель[[#This Row],[Расход топлива по норме, литр]]/VLOOKUP([Дата],S$2:W$3,5),0)))+Y35,)</f>
        <v>0</v>
      </c>
      <c r="R35" s="117">
        <f>Апрель[[#This Row],[Дата]]</f>
        <v>43219</v>
      </c>
      <c r="S35" s="149"/>
      <c r="T35" s="84"/>
      <c r="U35" s="62"/>
      <c r="V35" s="150"/>
      <c r="W35" s="84"/>
      <c r="X35" s="84"/>
      <c r="Y35" s="135"/>
      <c r="Z35" s="117">
        <f>Апрель[[#This Row],[Дата]]</f>
        <v>43219</v>
      </c>
    </row>
    <row r="36" spans="1:26">
      <c r="A36" s="32">
        <f>IFERROR(DATEVALUE((COUNT($A$6:A35)+1)&amp;$P$1&amp;$I$4),"")</f>
        <v>43220</v>
      </c>
      <c r="B36" s="109" t="s">
        <v>76</v>
      </c>
      <c r="C36" s="39">
        <f t="shared" ca="1" si="0"/>
        <v>25290</v>
      </c>
      <c r="D36" s="56">
        <v>25290</v>
      </c>
      <c r="E36" s="34">
        <f ca="1">IFERROR(Апрель[[#This Row],[Показание одометра машины на конец дня, км]]-Апрель[[#This Row],[Показание одометра машины на начало дня, км]]+T36,"")</f>
        <v>0</v>
      </c>
      <c r="F36" s="140">
        <f>IF(Апрель[[#This Row],[Дата]]="","",SUMPRODUCT([1]Апрель!$E$4:$E$153*([1]Апрель!$G$4:$G$153=$O$4)*([1]Апрель!$D$4:$D$153=Апрель[[#This Row],[Дата]])))</f>
        <v>0</v>
      </c>
      <c r="G36" s="33">
        <f ca="1">IF(Апрель[[#This Row],[Дата]]="","",M35)</f>
        <v>755</v>
      </c>
      <c r="H36" s="39">
        <f t="shared" ca="1" si="1"/>
        <v>1442</v>
      </c>
      <c r="I36" s="56">
        <v>1442</v>
      </c>
      <c r="J36" s="33">
        <f ca="1">IFERROR(IF(W36="",Апрель[[#This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>0</v>
      </c>
      <c r="K36" s="72"/>
      <c r="L36" s="35">
        <f ca="1">IF(Апрель[[#This Row],[Работа спецоборудования за день, м/ч]]="","",Апрель[[#This Row],[Работа спецоборудования за день, м/ч]]*$Z$2)</f>
        <v>0</v>
      </c>
      <c r="M36" s="60">
        <f ca="1">IFERROR(IF(VLOOKUP([Дата],S$2:U$3,3),IFERROR(IF(U36="",Апрель[[#This Row],[Выдано топливо, литр]],Апрель[[#This Row],[Выдано топливо, литр]]+U36)+Апрель[[#This Row],[Остаток топлива в баке на начало дня, литр]]-Апрель[[#This Row],[Фактический расход топлива, литр]],""),""),"")</f>
        <v>755</v>
      </c>
      <c r="N36" s="36">
        <f ca="1">IFERROR(ROUND((Апрель[[#This Row],[Пройдено за день, км]]*0.01*$Y$2+Апрель[[#This Row],[Расход топлива на работу спецоборудования, литр]]),3)+X36,"")</f>
        <v>0</v>
      </c>
      <c r="O36" s="185">
        <f ca="1">IFERROR(IF(Апрель[[#Totals],[Выдано топливо, литр]]=0,0,(ROUND(Апрель[[#This Row],[Расход топлива по норме, литр]]/IF(DAY([Дата])&lt;=18,$W$2,$W$3),0)))+Y36,)</f>
        <v>0</v>
      </c>
      <c r="P36" s="186">
        <f ca="1">IFERROR(IF(Апрель[[#Totals],[Выдано топливо, литр]]=0,0,(ROUND(Апрель[[#This Row],[Расход топлива по норме, литр]]/VLOOKUP([Дата],S$2:W$3,5),0)))+Y36,)</f>
        <v>0</v>
      </c>
      <c r="R36" s="117">
        <f>Апрель[[#This Row],[Дата]]</f>
        <v>43220</v>
      </c>
      <c r="S36" s="149"/>
      <c r="T36" s="84"/>
      <c r="U36" s="62"/>
      <c r="V36" s="150"/>
      <c r="W36" s="84"/>
      <c r="X36" s="84"/>
      <c r="Y36" s="135"/>
      <c r="Z36" s="117">
        <f>Апрель[[#This Row],[Дата]]</f>
        <v>43220</v>
      </c>
    </row>
    <row r="37" spans="1:26" ht="13.8" thickBot="1">
      <c r="A37" s="32" t="str">
        <f>IFERROR(DATEVALUE((COUNT($A$6:A36)+1)&amp;$P$1&amp;$I$4),"")</f>
        <v/>
      </c>
      <c r="B37" s="110"/>
      <c r="C37" s="39" t="str">
        <f t="shared" ca="1" si="0"/>
        <v/>
      </c>
      <c r="D37" s="56"/>
      <c r="E37" s="34" t="str">
        <f ca="1">IFERROR(Апрель[[#This Row],[Показание одометра машины на конец дня, км]]-Апрель[[#This Row],[Показание одометра машины на начало дня, км]]+T37,"")</f>
        <v/>
      </c>
      <c r="F37" s="140" t="str">
        <f>IF(Апрель[[#This Row],[Дата]]="","",SUMPRODUCT([1]Апрель!$E$4:$E$153*([1]Апрель!$G$4:$G$153=$O$4)*([1]Апрель!$D$4:$D$153=Апрель[[#This Row],[Дата]])))</f>
        <v/>
      </c>
      <c r="G37" s="33" t="str">
        <f>IF(Апрель[[#This Row],[Дата]]="","",M36)</f>
        <v/>
      </c>
      <c r="H37" s="39" t="str">
        <f t="shared" ca="1" si="1"/>
        <v/>
      </c>
      <c r="I37" s="56"/>
      <c r="J37" s="33" t="str">
        <f ca="1">IFERROR(IF(W37="",Апрель[[#This Row],[Показание счетчика моточасов  спецоборудования на конец дня, м/ч]],Апрель[[#This Row],[Показание счетчика моточасов  спецоборудования на конец дня, м/ч]]+1)-Апрель[[#This Row],[Показание счетчика моточасов спецоборудования на начало дня, м/ч]],"")</f>
        <v/>
      </c>
      <c r="K37" s="72"/>
      <c r="L37" s="35" t="str">
        <f ca="1">IF(Апрель[[#This Row],[Работа спецоборудования за день, м/ч]]="","",Апрель[[#This Row],[Работа спецоборудования за день, м/ч]]*$Z$2)</f>
        <v/>
      </c>
      <c r="M37" s="60" t="str">
        <f ca="1">IFERROR(IF(VLOOKUP([Дата],S$2:U$3,3),IFERROR(IF(U37="",Апрель[[#This Row],[Выдано топливо, литр]],Апрель[[#This Row],[Выдано топливо, литр]]+U37)+Апрель[[#This Row],[Остаток топлива в баке на начало дня, литр]]-Апрель[[#This Row],[Фактический расход топлива, литр]],""),""),"")</f>
        <v/>
      </c>
      <c r="N37" s="36" t="str">
        <f ca="1">IFERROR(ROUND((Апрель[[#This Row],[Пройдено за день, км]]*0.01*$Y$2+Апрель[[#This Row],[Расход топлива на работу спецоборудования, литр]]),3)+X37,"")</f>
        <v/>
      </c>
      <c r="O37" s="185">
        <f ca="1">IFERROR(IF(Апрель[[#Totals],[Выдано топливо, литр]]=0,0,(ROUND(Апрель[[#This Row],[Расход топлива по норме, литр]]/IF(DAY([Дата])&lt;=18,$W$2,$W$3),0)))+Y37,)</f>
        <v>0</v>
      </c>
      <c r="P37" s="186">
        <f ca="1">IFERROR(IF(Апрель[[#Totals],[Выдано топливо, литр]]=0,0,(ROUND(Апрель[[#This Row],[Расход топлива по норме, литр]]/VLOOKUP([Дата],S$2:W$3,5),0)))+Y37,)</f>
        <v>0</v>
      </c>
      <c r="R37" s="128" t="str">
        <f>Апрель[[#This Row],[Дата]]</f>
        <v/>
      </c>
      <c r="S37" s="151"/>
      <c r="T37" s="121"/>
      <c r="U37" s="122"/>
      <c r="V37" s="152"/>
      <c r="W37" s="121"/>
      <c r="X37" s="121"/>
      <c r="Y37" s="137"/>
      <c r="Z37" s="128" t="str">
        <f>Апрель[[#This Row],[Дата]]</f>
        <v/>
      </c>
    </row>
    <row r="38" spans="1:26" ht="16.2" thickBot="1">
      <c r="A38" s="43" t="s">
        <v>52</v>
      </c>
      <c r="B38" s="44"/>
      <c r="C38" s="45"/>
      <c r="D38" s="46"/>
      <c r="E38" s="47">
        <f ca="1">SUBTOTAL(109,[Пройдено за день, км])</f>
        <v>1690</v>
      </c>
      <c r="F38" s="47">
        <f>SUBTOTAL(109,[Выдано топливо, литр])</f>
        <v>980</v>
      </c>
      <c r="G38" s="48"/>
      <c r="H38" s="48"/>
      <c r="I38" s="49"/>
      <c r="J38" s="47">
        <f ca="1">SUBTOTAL(109,[Работа спецоборудования за день, м/ч])</f>
        <v>104</v>
      </c>
      <c r="K38" s="50">
        <f>SUBTOTAL(109,[Количество ходок])</f>
        <v>52</v>
      </c>
      <c r="L38" s="51">
        <f ca="1">SUBTOTAL(109,[Расход топлива на работу спецоборудования, литр])</f>
        <v>520</v>
      </c>
      <c r="M38" s="48"/>
      <c r="N38" s="51">
        <f ca="1">SUBTOTAL(109,[Расход топлива по норме, литр])</f>
        <v>1239.94</v>
      </c>
      <c r="O38" s="47">
        <f ca="1">SUBTOTAL(109,[Фактический расход топлива, литр])</f>
        <v>835</v>
      </c>
      <c r="P38" s="52">
        <f ca="1">SUBTOTAL(109,[Отклонение от нормы (Перерасход(+), экономия(-)), литр])</f>
        <v>1240</v>
      </c>
      <c r="R38" s="129" t="s">
        <v>74</v>
      </c>
      <c r="S38" s="131">
        <f ca="1">SUMIFS(S$7:S$37,INDIRECT("Апрель[Дата]"),"&gt;="&amp;$S$2,INDIRECT("Апрель[Дата]"),"&lt;="&amp;$T$2)+IF(MONTH($T$2)&lt;&gt;MONTH($S$2),INDIRECT(TEXT($A$7-1,"ММММ")&amp;"!F38")-SUM(INDIRECT(TEXT($A$7-1,"ММММ")&amp;"!V1:V2")))</f>
        <v>0</v>
      </c>
      <c r="T38" s="131">
        <f t="shared" ref="T38:Y38" ca="1" si="2">SUMIFS(T$7:T$37,INDIRECT("Апрель[Дата]"),"&gt;="&amp;$S$2,INDIRECT("Апрель[Дата]"),"&lt;="&amp;$T$2)+IF(MONTH($T$2)&lt;&gt;MONTH($S$2),INDIRECT(TEXT($A$7-1,"ММММ")&amp;"!F38")-SUM(INDIRECT(TEXT($A$7-1,"ММММ")&amp;"!V1:V2")))</f>
        <v>0</v>
      </c>
      <c r="U38" s="131">
        <f ca="1">SUMIFS(U$7:U$37,INDIRECT("Апрель[Дата]"),"&gt;="&amp;$S$2,INDIRECT("Апрель[Дата]"),"&lt;="&amp;$T$2)+IF(MONTH($T$2)&lt;&gt;MONTH($S$2),INDIRECT(TEXT($A$7-1,"ММММ")&amp;"!F38")-SUM(INDIRECT(TEXT($A$7-1,"ММММ")&amp;"!V1:V2")))</f>
        <v>0</v>
      </c>
      <c r="V38" s="131">
        <f t="shared" ca="1" si="2"/>
        <v>0</v>
      </c>
      <c r="W38" s="131">
        <f t="shared" ca="1" si="2"/>
        <v>0</v>
      </c>
      <c r="X38" s="131">
        <f t="shared" ca="1" si="2"/>
        <v>0</v>
      </c>
      <c r="Y38" s="131">
        <f t="shared" ca="1" si="2"/>
        <v>0</v>
      </c>
      <c r="Z38" s="129" t="s">
        <v>74</v>
      </c>
    </row>
    <row r="39" spans="1:26" ht="16.2" thickBo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138">
        <f ca="1">SUMIFS(K7:K37,A7:A37,"&gt;="&amp;$S$2,A7:A37,"&lt;="&amp;$T$2)</f>
        <v>0</v>
      </c>
      <c r="L39" s="53"/>
      <c r="M39" s="54"/>
      <c r="N39" s="53"/>
      <c r="O39" s="53"/>
      <c r="P39" s="53"/>
      <c r="R39" s="130" t="s">
        <v>75</v>
      </c>
      <c r="S39" s="132">
        <f ca="1">SUMIFS(S$7:S$37,INDIRECT("Апрель[Дата]"),"&gt;="&amp;$S$3,INDIRECT("Апрель[Дата]"),"&lt;="&amp;$T$3)+IF(MONTH($T$3)&lt;&gt;MONTH($S$3),INDIRECT(TEXT($A$7-1,"ММММ")&amp;"!F38")-SUM(INDIRECT(TEXT($A$7-1,"ММММ")&amp;"!V1:V2")))</f>
        <v>0</v>
      </c>
      <c r="T39" s="132">
        <f t="shared" ref="T39:Y39" ca="1" si="3">SUMIFS(T$7:T$37,INDIRECT("Апрель[Дата]"),"&gt;="&amp;$S$3,INDIRECT("Апрель[Дата]"),"&lt;="&amp;$T$3)+IF(MONTH($T$3)&lt;&gt;MONTH($S$3),INDIRECT(TEXT($A$7-1,"ММММ")&amp;"!F38")-SUM(INDIRECT(TEXT($A$7-1,"ММММ")&amp;"!V1:V2")))</f>
        <v>0</v>
      </c>
      <c r="U39" s="132">
        <f t="shared" ca="1" si="3"/>
        <v>260</v>
      </c>
      <c r="V39" s="132">
        <f t="shared" ca="1" si="3"/>
        <v>0</v>
      </c>
      <c r="W39" s="132">
        <f t="shared" ca="1" si="3"/>
        <v>0</v>
      </c>
      <c r="X39" s="132">
        <f t="shared" ca="1" si="3"/>
        <v>0</v>
      </c>
      <c r="Y39" s="132">
        <f t="shared" ca="1" si="3"/>
        <v>0</v>
      </c>
      <c r="Z39" s="130" t="s">
        <v>75</v>
      </c>
    </row>
    <row r="40" spans="1:26" ht="16.2" thickBo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139">
        <f>SUMIFS(K7:K37,A7:A37,"&gt;="&amp;$S$3,A7:A37,"&lt;="&amp;$T$3)</f>
        <v>52</v>
      </c>
      <c r="L40" s="53"/>
      <c r="M40" s="55"/>
      <c r="N40" s="53"/>
      <c r="O40" s="53"/>
      <c r="P40" s="53"/>
      <c r="R40" s="53"/>
      <c r="S40" s="70"/>
      <c r="T40" s="70"/>
      <c r="U40" s="70"/>
      <c r="V40" s="70"/>
      <c r="W40" s="70"/>
    </row>
    <row r="41" spans="1:26">
      <c r="A41" s="53"/>
      <c r="I41" s="53"/>
      <c r="R41" s="53"/>
      <c r="S41" s="70"/>
      <c r="T41" s="70"/>
      <c r="U41" s="70"/>
      <c r="V41" s="70"/>
      <c r="W41" s="70"/>
    </row>
  </sheetData>
  <mergeCells count="3">
    <mergeCell ref="A2:P2"/>
    <mergeCell ref="A3:P3"/>
    <mergeCell ref="O4:P4"/>
  </mergeCells>
  <conditionalFormatting sqref="M7:M37">
    <cfRule type="cellIs" dxfId="67" priority="2" operator="lessThan">
      <formula>10</formula>
    </cfRule>
    <cfRule type="cellIs" dxfId="66" priority="3" operator="equal">
      <formula>350</formula>
    </cfRule>
    <cfRule type="cellIs" dxfId="65" priority="4" operator="greaterThan">
      <formula>350</formula>
    </cfRule>
  </conditionalFormatting>
  <conditionalFormatting sqref="G7:G37">
    <cfRule type="cellIs" dxfId="64" priority="1" operator="equal">
      <formula>350</formula>
    </cfRule>
  </conditionalFormatting>
  <dataValidations disablePrompts="1" count="4">
    <dataValidation type="list" allowBlank="1" sqref="B7:B37">
      <formula1>Сотрудники</formula1>
    </dataValidation>
    <dataValidation type="list" allowBlank="1" showInputMessage="1" showErrorMessage="1" sqref="P1">
      <formula1>Месяц</formula1>
    </dataValidation>
    <dataValidation type="list" allowBlank="1" showInputMessage="1" showErrorMessage="1" sqref="Y4">
      <formula1>Сезон</formula1>
    </dataValidation>
    <dataValidation type="list" allowBlank="1" showInputMessage="1" showErrorMessage="1" sqref="Z4">
      <formula1>ТС</formula1>
    </dataValidation>
  </dataValidations>
  <printOptions horizontalCentered="1"/>
  <pageMargins left="0.23622047244094491" right="0" top="0.39370078740157483" bottom="0.39370078740157483" header="0" footer="0"/>
  <pageSetup paperSize="9" scale="60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Z33"/>
  <sheetViews>
    <sheetView zoomScale="80" zoomScaleNormal="80" workbookViewId="0">
      <pane xSplit="2" ySplit="4" topLeftCell="C5" activePane="bottomRight" state="frozen"/>
      <selection activeCell="F39" sqref="F39"/>
      <selection pane="topRight" activeCell="F39" sqref="F39"/>
      <selection pane="bottomLeft" activeCell="F39" sqref="F39"/>
      <selection pane="bottomRight" activeCell="K6" sqref="K6"/>
    </sheetView>
  </sheetViews>
  <sheetFormatPr defaultColWidth="9.109375" defaultRowHeight="13.2"/>
  <cols>
    <col min="1" max="1" width="6.109375" style="1" customWidth="1"/>
    <col min="2" max="2" width="17.33203125" style="1" customWidth="1"/>
    <col min="3" max="3" width="13.88671875" style="1" customWidth="1"/>
    <col min="4" max="4" width="22" style="1" customWidth="1"/>
    <col min="5" max="5" width="10.88671875" style="1" customWidth="1"/>
    <col min="6" max="6" width="9.88671875" style="1" bestFit="1" customWidth="1"/>
    <col min="7" max="8" width="12.6640625" style="1" customWidth="1"/>
    <col min="9" max="10" width="9.109375" style="1"/>
    <col min="11" max="11" width="10.33203125" style="1" customWidth="1"/>
    <col min="12" max="13" width="12.6640625" style="1" customWidth="1"/>
    <col min="14" max="15" width="9.109375" style="1"/>
    <col min="16" max="16" width="10.44140625" style="1" customWidth="1"/>
    <col min="17" max="17" width="15.33203125" style="1" customWidth="1"/>
    <col min="18" max="18" width="14.5546875" style="1" customWidth="1"/>
    <col min="19" max="19" width="7.33203125" style="1" bestFit="1" customWidth="1"/>
    <col min="20" max="20" width="10.44140625" style="1" customWidth="1"/>
    <col min="21" max="21" width="10.33203125" style="1" customWidth="1"/>
    <col min="22" max="22" width="9.88671875" style="1" customWidth="1"/>
    <col min="23" max="23" width="11.33203125" style="1" bestFit="1" customWidth="1"/>
    <col min="24" max="24" width="14.88671875" style="1" customWidth="1"/>
    <col min="25" max="25" width="14.109375" style="1" customWidth="1"/>
    <col min="26" max="16384" width="9.109375" style="1"/>
  </cols>
  <sheetData>
    <row r="1" spans="1:26">
      <c r="G1" s="2" t="s">
        <v>22</v>
      </c>
      <c r="H1" s="3" t="s">
        <v>23</v>
      </c>
      <c r="L1" s="2" t="s">
        <v>22</v>
      </c>
      <c r="M1" s="3" t="s">
        <v>23</v>
      </c>
      <c r="P1" s="193" t="s">
        <v>24</v>
      </c>
      <c r="Q1" s="193"/>
      <c r="R1" s="193"/>
      <c r="S1" s="193"/>
      <c r="T1" s="193"/>
      <c r="U1" s="193"/>
      <c r="V1" s="193"/>
      <c r="W1" s="193"/>
      <c r="X1" s="193"/>
      <c r="Y1" s="193"/>
    </row>
    <row r="2" spans="1:26" ht="13.8" thickBot="1">
      <c r="G2" s="4" t="s">
        <v>25</v>
      </c>
      <c r="H2" s="5" t="s">
        <v>26</v>
      </c>
      <c r="L2" s="4" t="s">
        <v>25</v>
      </c>
      <c r="M2" s="5" t="s">
        <v>26</v>
      </c>
      <c r="P2" s="193"/>
      <c r="Q2" s="193"/>
      <c r="R2" s="193"/>
      <c r="S2" s="193"/>
      <c r="T2" s="193"/>
      <c r="U2" s="193"/>
      <c r="V2" s="193"/>
      <c r="W2" s="193"/>
      <c r="X2" s="193"/>
      <c r="Y2" s="193"/>
    </row>
    <row r="3" spans="1:26" ht="13.8" thickBot="1">
      <c r="G3" s="195" t="s">
        <v>27</v>
      </c>
      <c r="H3" s="196"/>
      <c r="L3" s="195" t="s">
        <v>27</v>
      </c>
      <c r="M3" s="196"/>
      <c r="P3" s="194"/>
      <c r="Q3" s="194"/>
      <c r="R3" s="194"/>
      <c r="S3" s="194"/>
      <c r="T3" s="194"/>
      <c r="U3" s="194"/>
      <c r="V3" s="194"/>
      <c r="W3" s="194"/>
      <c r="X3" s="194"/>
      <c r="Y3" s="194"/>
    </row>
    <row r="4" spans="1:26" ht="72" customHeight="1">
      <c r="A4" s="6" t="s">
        <v>20</v>
      </c>
      <c r="B4" s="6" t="s">
        <v>28</v>
      </c>
      <c r="C4" s="6" t="s">
        <v>29</v>
      </c>
      <c r="D4" s="6" t="s">
        <v>30</v>
      </c>
      <c r="E4" s="6" t="s">
        <v>31</v>
      </c>
      <c r="F4" s="7" t="s">
        <v>32</v>
      </c>
      <c r="G4" s="8" t="s">
        <v>33</v>
      </c>
      <c r="H4" s="8" t="s">
        <v>34</v>
      </c>
      <c r="I4" s="8" t="s">
        <v>35</v>
      </c>
      <c r="J4" s="9" t="s">
        <v>36</v>
      </c>
      <c r="K4" s="7" t="s">
        <v>37</v>
      </c>
      <c r="L4" s="8" t="s">
        <v>38</v>
      </c>
      <c r="M4" s="8" t="s">
        <v>39</v>
      </c>
      <c r="N4" s="8" t="s">
        <v>40</v>
      </c>
      <c r="O4" s="9" t="s">
        <v>41</v>
      </c>
      <c r="P4" s="7" t="s">
        <v>42</v>
      </c>
      <c r="Q4" s="10" t="s">
        <v>43</v>
      </c>
      <c r="R4" s="11" t="s">
        <v>44</v>
      </c>
      <c r="S4" s="11" t="s">
        <v>45</v>
      </c>
      <c r="T4" s="10" t="s">
        <v>46</v>
      </c>
      <c r="U4" s="11" t="s">
        <v>47</v>
      </c>
      <c r="V4" s="10" t="s">
        <v>48</v>
      </c>
      <c r="W4" s="11" t="s">
        <v>49</v>
      </c>
      <c r="X4" s="10" t="s">
        <v>50</v>
      </c>
      <c r="Y4" s="12" t="s">
        <v>51</v>
      </c>
      <c r="Z4" s="6"/>
    </row>
    <row r="5" spans="1:26">
      <c r="A5" s="13">
        <v>1</v>
      </c>
      <c r="B5" s="1" t="s">
        <v>69</v>
      </c>
      <c r="C5" s="67">
        <v>23190</v>
      </c>
      <c r="D5" s="67">
        <v>1306</v>
      </c>
      <c r="E5" s="67">
        <v>350</v>
      </c>
      <c r="F5" s="69">
        <v>42.6</v>
      </c>
      <c r="G5" s="65">
        <v>10</v>
      </c>
      <c r="H5" s="65">
        <v>0</v>
      </c>
      <c r="I5" s="157">
        <f t="shared" ref="I5" si="0">F5*(100+G5)%</f>
        <v>46.860000000000007</v>
      </c>
      <c r="J5" s="158">
        <f>F5*(100+H5)%</f>
        <v>42.6</v>
      </c>
      <c r="K5" s="68">
        <v>5</v>
      </c>
      <c r="L5" s="65">
        <v>10</v>
      </c>
      <c r="M5" s="65">
        <v>0</v>
      </c>
      <c r="N5" s="160">
        <f t="shared" ref="N5" si="1">K5*(100+L5)%</f>
        <v>5.5</v>
      </c>
      <c r="O5" s="158">
        <f t="shared" ref="O5" si="2">K5*(100+M5)%</f>
        <v>5</v>
      </c>
      <c r="P5" s="64">
        <v>32.200000000000003</v>
      </c>
      <c r="Q5" s="14">
        <f t="shared" ref="Q5" si="3">R5*S5</f>
        <v>2.9379999999999997</v>
      </c>
      <c r="R5" s="66">
        <v>2.2599999999999998</v>
      </c>
      <c r="S5" s="66">
        <v>1.3</v>
      </c>
      <c r="T5" s="14">
        <f t="shared" ref="T5" si="4">U5*V5*S5</f>
        <v>5.2</v>
      </c>
      <c r="U5" s="66">
        <v>8</v>
      </c>
      <c r="V5" s="66">
        <v>0.5</v>
      </c>
      <c r="W5" s="15">
        <f t="shared" ref="W5" si="5">P5+Q5+T5</f>
        <v>40.338000000000008</v>
      </c>
      <c r="X5" s="16">
        <f t="shared" ref="X5" si="6">W5*25%+W5</f>
        <v>50.422500000000014</v>
      </c>
      <c r="Y5" s="17">
        <f t="shared" ref="Y5" si="7">W5*10%+X5</f>
        <v>54.456300000000013</v>
      </c>
      <c r="Z5" s="18"/>
    </row>
    <row r="6" spans="1:26">
      <c r="A6" s="13">
        <v>2</v>
      </c>
      <c r="B6" s="1" t="s">
        <v>70</v>
      </c>
      <c r="C6" s="67"/>
      <c r="D6" s="67"/>
      <c r="E6" s="67">
        <v>350</v>
      </c>
      <c r="F6" s="156">
        <f>F5-F5*5%</f>
        <v>40.47</v>
      </c>
      <c r="G6" s="65">
        <v>10</v>
      </c>
      <c r="H6" s="65">
        <v>0</v>
      </c>
      <c r="I6" s="157">
        <f>F6*(100+G6)%</f>
        <v>44.517000000000003</v>
      </c>
      <c r="J6" s="158">
        <f t="shared" ref="J6:J7" si="8">F6*(100+H6)%</f>
        <v>40.47</v>
      </c>
      <c r="K6" s="159">
        <f>K5-K5*5%</f>
        <v>4.75</v>
      </c>
      <c r="L6" s="65">
        <v>10</v>
      </c>
      <c r="M6" s="65">
        <v>0</v>
      </c>
      <c r="N6" s="160">
        <f>K6*(100+L6)%</f>
        <v>5.2250000000000005</v>
      </c>
      <c r="O6" s="158">
        <f>K6*(100+M6)%</f>
        <v>4.75</v>
      </c>
      <c r="P6" s="64">
        <v>32.200000000000003</v>
      </c>
      <c r="Q6" s="19">
        <f>R6*S6</f>
        <v>2.9379999999999997</v>
      </c>
      <c r="R6" s="66">
        <v>2.2599999999999998</v>
      </c>
      <c r="S6" s="66">
        <v>1.3</v>
      </c>
      <c r="T6" s="19">
        <f>U6*V6*S6</f>
        <v>5.2</v>
      </c>
      <c r="U6" s="66">
        <v>8</v>
      </c>
      <c r="V6" s="66">
        <v>0.5</v>
      </c>
      <c r="W6" s="20">
        <f>P6+Q6+T6</f>
        <v>40.338000000000008</v>
      </c>
      <c r="X6" s="21">
        <f>W6*25%+W6</f>
        <v>50.422500000000014</v>
      </c>
      <c r="Y6" s="22">
        <f>W6*10%+X6</f>
        <v>54.456300000000013</v>
      </c>
      <c r="Z6" s="18"/>
    </row>
    <row r="7" spans="1:26">
      <c r="A7" s="13">
        <v>3</v>
      </c>
      <c r="B7" s="1" t="s">
        <v>71</v>
      </c>
      <c r="C7" s="67"/>
      <c r="D7" s="67"/>
      <c r="E7" s="67">
        <v>350</v>
      </c>
      <c r="F7" s="156">
        <f>F5-F5*10%</f>
        <v>38.340000000000003</v>
      </c>
      <c r="G7" s="65">
        <v>10</v>
      </c>
      <c r="H7" s="65">
        <v>0</v>
      </c>
      <c r="I7" s="157">
        <f>F7*(100+G7)%</f>
        <v>42.174000000000007</v>
      </c>
      <c r="J7" s="158">
        <f t="shared" si="8"/>
        <v>38.340000000000003</v>
      </c>
      <c r="K7" s="159">
        <f>K5-K5*10%</f>
        <v>4.5</v>
      </c>
      <c r="L7" s="65">
        <v>10</v>
      </c>
      <c r="M7" s="65">
        <v>0</v>
      </c>
      <c r="N7" s="160">
        <f>K7*(100+L7)%</f>
        <v>4.95</v>
      </c>
      <c r="O7" s="158">
        <f>K7*(100+M7)%</f>
        <v>4.5</v>
      </c>
      <c r="P7" s="64">
        <v>32.200000000000003</v>
      </c>
      <c r="Q7" s="19">
        <f>R7*S7</f>
        <v>2.9379999999999997</v>
      </c>
      <c r="R7" s="66">
        <v>2.2599999999999998</v>
      </c>
      <c r="S7" s="66">
        <v>1.3</v>
      </c>
      <c r="T7" s="19">
        <f>U7*V7*S7</f>
        <v>5.2</v>
      </c>
      <c r="U7" s="66">
        <v>8</v>
      </c>
      <c r="V7" s="66">
        <v>0.5</v>
      </c>
      <c r="W7" s="20">
        <f>P7+Q7+T7</f>
        <v>40.338000000000008</v>
      </c>
      <c r="X7" s="21">
        <f>W7*25%+W7</f>
        <v>50.422500000000014</v>
      </c>
      <c r="Y7" s="22">
        <f>W7*10%+X7</f>
        <v>54.456300000000013</v>
      </c>
      <c r="Z7" s="18"/>
    </row>
    <row r="8" spans="1:26">
      <c r="A8" s="13">
        <v>4</v>
      </c>
      <c r="B8" s="162" t="s">
        <v>82</v>
      </c>
      <c r="C8" s="67"/>
      <c r="D8" s="67"/>
      <c r="E8" s="163">
        <v>350</v>
      </c>
      <c r="F8" s="69">
        <v>46.86</v>
      </c>
      <c r="G8" s="65">
        <v>10</v>
      </c>
      <c r="H8" s="65">
        <v>0</v>
      </c>
      <c r="I8" s="164">
        <f>F8*(100+G8)%</f>
        <v>51.546000000000006</v>
      </c>
      <c r="J8" s="165">
        <f>F8*(100+H8)%</f>
        <v>46.86</v>
      </c>
      <c r="K8" s="68">
        <v>5.5</v>
      </c>
      <c r="L8" s="65">
        <v>10</v>
      </c>
      <c r="M8" s="65">
        <v>0</v>
      </c>
      <c r="N8" s="166">
        <f>K8*(100+L8)%</f>
        <v>6.0500000000000007</v>
      </c>
      <c r="O8" s="165">
        <f>K8*(100+M8)%</f>
        <v>5.5</v>
      </c>
      <c r="P8" s="167"/>
      <c r="Q8" s="168">
        <f>R8*S8</f>
        <v>0</v>
      </c>
      <c r="R8" s="169"/>
      <c r="S8" s="169"/>
      <c r="T8" s="168">
        <f>U8*V8*S8</f>
        <v>0</v>
      </c>
      <c r="U8" s="169"/>
      <c r="V8" s="169"/>
      <c r="W8" s="170">
        <f>P8+Q8+T8</f>
        <v>0</v>
      </c>
      <c r="X8" s="171">
        <f>W8*25%+W8</f>
        <v>0</v>
      </c>
      <c r="Y8" s="172">
        <f>W8*10%+X8</f>
        <v>0</v>
      </c>
      <c r="Z8" s="18"/>
    </row>
    <row r="9" spans="1:26">
      <c r="A9" s="13">
        <v>5</v>
      </c>
      <c r="B9" s="162" t="s">
        <v>83</v>
      </c>
      <c r="C9" s="67"/>
      <c r="D9" s="67"/>
      <c r="E9" s="163">
        <v>350</v>
      </c>
      <c r="F9" s="156">
        <f>F8-F8*5%</f>
        <v>44.516999999999996</v>
      </c>
      <c r="G9" s="65">
        <v>10</v>
      </c>
      <c r="H9" s="65">
        <v>0</v>
      </c>
      <c r="I9" s="157">
        <f>F9*(100+G9)%</f>
        <v>48.968699999999998</v>
      </c>
      <c r="J9" s="158">
        <f t="shared" ref="J9:J10" si="9">F9*(100+H9)%</f>
        <v>44.516999999999996</v>
      </c>
      <c r="K9" s="159">
        <f>K8-K8*5%</f>
        <v>5.2249999999999996</v>
      </c>
      <c r="L9" s="65">
        <v>10</v>
      </c>
      <c r="M9" s="65">
        <v>0</v>
      </c>
      <c r="N9" s="160">
        <f>K9*(100+L9)%</f>
        <v>5.7475000000000005</v>
      </c>
      <c r="O9" s="158">
        <f>K9*(100+M9)%</f>
        <v>5.2249999999999996</v>
      </c>
      <c r="P9" s="167"/>
      <c r="Q9" s="173">
        <f>R9*S9</f>
        <v>0</v>
      </c>
      <c r="R9" s="174"/>
      <c r="S9" s="174"/>
      <c r="T9" s="173">
        <f>U9*V9*S9</f>
        <v>0</v>
      </c>
      <c r="U9" s="174"/>
      <c r="V9" s="174"/>
      <c r="W9" s="175">
        <f>P9+Q9+T9</f>
        <v>0</v>
      </c>
      <c r="X9" s="176">
        <f>W9*25%+W9</f>
        <v>0</v>
      </c>
      <c r="Y9" s="172">
        <f>W9*10%+X9</f>
        <v>0</v>
      </c>
    </row>
    <row r="10" spans="1:26">
      <c r="A10" s="177">
        <v>6</v>
      </c>
      <c r="B10" s="178" t="s">
        <v>84</v>
      </c>
      <c r="C10" s="179"/>
      <c r="D10" s="179"/>
      <c r="E10" s="163">
        <v>350</v>
      </c>
      <c r="F10" s="156">
        <f>F8-F8*10%</f>
        <v>42.173999999999999</v>
      </c>
      <c r="G10" s="65">
        <v>10</v>
      </c>
      <c r="H10" s="65">
        <v>0</v>
      </c>
      <c r="I10" s="157">
        <f>F10*(100+G10)%</f>
        <v>46.391400000000004</v>
      </c>
      <c r="J10" s="158">
        <f t="shared" si="9"/>
        <v>42.173999999999999</v>
      </c>
      <c r="K10" s="159">
        <f>K8-K8*10%</f>
        <v>4.95</v>
      </c>
      <c r="L10" s="65">
        <v>10</v>
      </c>
      <c r="M10" s="65">
        <v>0</v>
      </c>
      <c r="N10" s="160">
        <f>K10*(100+L10)%</f>
        <v>5.4450000000000003</v>
      </c>
      <c r="O10" s="158">
        <f>K10*(100+M10)%</f>
        <v>4.95</v>
      </c>
      <c r="P10" s="167"/>
      <c r="Q10" s="168">
        <f>R10*S10</f>
        <v>0</v>
      </c>
      <c r="R10" s="169"/>
      <c r="S10" s="169"/>
      <c r="T10" s="168">
        <f>U10*V10*S10</f>
        <v>0</v>
      </c>
      <c r="U10" s="169"/>
      <c r="V10" s="169"/>
      <c r="W10" s="170">
        <f>P10+Q10+T10</f>
        <v>0</v>
      </c>
      <c r="X10" s="171">
        <f>W10*25%+W10</f>
        <v>0</v>
      </c>
      <c r="Y10" s="172">
        <f>W10*10%+X10</f>
        <v>0</v>
      </c>
    </row>
    <row r="12" spans="1:26">
      <c r="B12" s="1" t="s">
        <v>33</v>
      </c>
    </row>
    <row r="13" spans="1:26">
      <c r="B13" s="1" t="s">
        <v>34</v>
      </c>
    </row>
    <row r="15" spans="1:26">
      <c r="B15" s="1" t="s">
        <v>53</v>
      </c>
    </row>
    <row r="16" spans="1:26">
      <c r="B16" s="1" t="s">
        <v>54</v>
      </c>
    </row>
    <row r="17" spans="2:2">
      <c r="B17" s="1" t="s">
        <v>55</v>
      </c>
    </row>
    <row r="18" spans="2:2">
      <c r="B18" s="1" t="s">
        <v>56</v>
      </c>
    </row>
    <row r="19" spans="2:2">
      <c r="B19" s="1" t="s">
        <v>57</v>
      </c>
    </row>
    <row r="20" spans="2:2">
      <c r="B20" s="1" t="s">
        <v>58</v>
      </c>
    </row>
    <row r="21" spans="2:2">
      <c r="B21" s="1" t="s">
        <v>59</v>
      </c>
    </row>
    <row r="22" spans="2:2">
      <c r="B22" s="1" t="s">
        <v>60</v>
      </c>
    </row>
    <row r="23" spans="2:2">
      <c r="B23" s="1" t="s">
        <v>61</v>
      </c>
    </row>
    <row r="24" spans="2:2">
      <c r="B24" s="1" t="s">
        <v>62</v>
      </c>
    </row>
    <row r="25" spans="2:2">
      <c r="B25" s="1" t="s">
        <v>63</v>
      </c>
    </row>
    <row r="26" spans="2:2">
      <c r="B26" s="1" t="s">
        <v>64</v>
      </c>
    </row>
    <row r="28" spans="2:2">
      <c r="B28" s="1" t="s">
        <v>69</v>
      </c>
    </row>
    <row r="29" spans="2:2">
      <c r="B29" s="1" t="s">
        <v>70</v>
      </c>
    </row>
    <row r="30" spans="2:2">
      <c r="B30" s="1" t="s">
        <v>71</v>
      </c>
    </row>
    <row r="31" spans="2:2">
      <c r="B31" s="180" t="s">
        <v>82</v>
      </c>
    </row>
    <row r="32" spans="2:2">
      <c r="B32" s="181" t="s">
        <v>83</v>
      </c>
    </row>
    <row r="33" spans="2:2" ht="13.8" thickBot="1">
      <c r="B33" s="182" t="s">
        <v>84</v>
      </c>
    </row>
  </sheetData>
  <mergeCells count="3">
    <mergeCell ref="P1:Y3"/>
    <mergeCell ref="G3:H3"/>
    <mergeCell ref="L3:M3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/>
  <dimension ref="B1:B25"/>
  <sheetViews>
    <sheetView workbookViewId="0">
      <selection activeCell="E6" sqref="E6"/>
    </sheetView>
  </sheetViews>
  <sheetFormatPr defaultRowHeight="13.2"/>
  <cols>
    <col min="2" max="2" width="19.6640625" style="154" customWidth="1"/>
  </cols>
  <sheetData>
    <row r="1" spans="2:2">
      <c r="B1" s="155" t="s">
        <v>21</v>
      </c>
    </row>
    <row r="2" spans="2:2">
      <c r="B2" s="153" t="s">
        <v>77</v>
      </c>
    </row>
    <row r="3" spans="2:2">
      <c r="B3" s="153" t="s">
        <v>66</v>
      </c>
    </row>
    <row r="4" spans="2:2">
      <c r="B4" s="153" t="s">
        <v>79</v>
      </c>
    </row>
    <row r="5" spans="2:2">
      <c r="B5" s="153" t="s">
        <v>76</v>
      </c>
    </row>
    <row r="6" spans="2:2">
      <c r="B6" s="153" t="s">
        <v>68</v>
      </c>
    </row>
    <row r="7" spans="2:2">
      <c r="B7" s="153" t="s">
        <v>81</v>
      </c>
    </row>
    <row r="8" spans="2:2">
      <c r="B8" s="153" t="s">
        <v>67</v>
      </c>
    </row>
    <row r="9" spans="2:2">
      <c r="B9" s="153" t="s">
        <v>19</v>
      </c>
    </row>
    <row r="10" spans="2:2">
      <c r="B10" s="153" t="s">
        <v>80</v>
      </c>
    </row>
    <row r="11" spans="2:2">
      <c r="B11" s="153" t="s">
        <v>78</v>
      </c>
    </row>
    <row r="12" spans="2:2">
      <c r="B12" s="153"/>
    </row>
    <row r="13" spans="2:2">
      <c r="B13" s="153"/>
    </row>
    <row r="14" spans="2:2">
      <c r="B14" s="153"/>
    </row>
    <row r="15" spans="2:2">
      <c r="B15" s="153"/>
    </row>
    <row r="16" spans="2:2">
      <c r="B16" s="153"/>
    </row>
    <row r="17" spans="2:2">
      <c r="B17" s="153"/>
    </row>
    <row r="18" spans="2:2">
      <c r="B18" s="153"/>
    </row>
    <row r="19" spans="2:2">
      <c r="B19" s="153"/>
    </row>
    <row r="20" spans="2:2">
      <c r="B20" s="153"/>
    </row>
    <row r="21" spans="2:2">
      <c r="B21" s="153"/>
    </row>
    <row r="22" spans="2:2">
      <c r="B22" s="153"/>
    </row>
    <row r="23" spans="2:2">
      <c r="B23" s="153"/>
    </row>
    <row r="24" spans="2:2">
      <c r="B24" s="153"/>
    </row>
    <row r="25" spans="2:2">
      <c r="B25" s="153"/>
    </row>
  </sheetData>
  <sheetProtection password="EC57" sheet="1" objects="1" scenarios="1"/>
  <sortState ref="B2:B25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ТС</vt:lpstr>
      <vt:lpstr>Сотрудники</vt:lpstr>
      <vt:lpstr>Месяц</vt:lpstr>
      <vt:lpstr>Сезон</vt:lpstr>
      <vt:lpstr>ТС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Admin</cp:lastModifiedBy>
  <dcterms:created xsi:type="dcterms:W3CDTF">2018-07-03T16:18:11Z</dcterms:created>
  <dcterms:modified xsi:type="dcterms:W3CDTF">2018-07-14T18:33:16Z</dcterms:modified>
</cp:coreProperties>
</file>