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716"/>
  </bookViews>
  <sheets>
    <sheet name="Январь" sheetId="4" r:id="rId1"/>
    <sheet name="Февраль" sheetId="22" r:id="rId2"/>
    <sheet name="ТС" sheetId="3" r:id="rId3"/>
    <sheet name="Отчет журнал" sheetId="1" r:id="rId4"/>
    <sheet name="Сотрудники" sheetId="2" r:id="rId5"/>
  </sheets>
  <externalReferences>
    <externalReference r:id="rId6"/>
    <externalReference r:id="rId7"/>
    <externalReference r:id="rId8"/>
  </externalReferences>
  <definedNames>
    <definedName name="Месяц">ТС!$B$14:$B$25</definedName>
    <definedName name="_xlnm.Print_Area" localSheetId="1">Февраль!$A$2:$P$41</definedName>
    <definedName name="_xlnm.Print_Area" localSheetId="0">Январь!$A$2:$P$41</definedName>
    <definedName name="Сезон">ТС!$B$11:$B$12</definedName>
    <definedName name="ТС">ТС!$B$5:$B$7</definedName>
    <definedName name="Фамилия">Сотрудники!$B$4:$B$23</definedName>
  </definedNames>
  <calcPr calcId="152511"/>
</workbook>
</file>

<file path=xl/calcChain.xml><?xml version="1.0" encoding="utf-8"?>
<calcChain xmlns="http://schemas.openxmlformats.org/spreadsheetml/2006/main">
  <c r="F31" i="4" l="1"/>
  <c r="C7" i="22" l="1"/>
  <c r="S3" i="4" l="1"/>
  <c r="H7" i="22" l="1"/>
  <c r="J7" i="22" s="1"/>
  <c r="E7" i="22"/>
  <c r="K38" i="22" l="1"/>
  <c r="F38" i="22"/>
  <c r="A7" i="22"/>
  <c r="U3" i="22"/>
  <c r="S3" i="22"/>
  <c r="U2" i="22"/>
  <c r="G7" i="22" s="1"/>
  <c r="U3" i="4"/>
  <c r="U2" i="4"/>
  <c r="Z7" i="22" l="1"/>
  <c r="A8" i="22"/>
  <c r="R7" i="22"/>
  <c r="Z8" i="22" l="1"/>
  <c r="A9" i="22"/>
  <c r="R8" i="22"/>
  <c r="K7" i="3"/>
  <c r="K6" i="3"/>
  <c r="H9" i="22"/>
  <c r="C9" i="22"/>
  <c r="Z9" i="22" l="1"/>
  <c r="J9" i="22"/>
  <c r="E9" i="22"/>
  <c r="R9" i="22"/>
  <c r="A10" i="22"/>
  <c r="H10" i="22"/>
  <c r="C10" i="22"/>
  <c r="Z10" i="22" l="1"/>
  <c r="A11" i="22"/>
  <c r="E10" i="22"/>
  <c r="J10" i="22"/>
  <c r="R10" i="22"/>
  <c r="C11" i="22"/>
  <c r="H11" i="22"/>
  <c r="A12" i="22" l="1"/>
  <c r="Z11" i="22"/>
  <c r="R11" i="22"/>
  <c r="J11" i="22"/>
  <c r="E11" i="22"/>
  <c r="H12" i="22"/>
  <c r="C12" i="22"/>
  <c r="E12" i="22" l="1"/>
  <c r="J12" i="22"/>
  <c r="Z12" i="22"/>
  <c r="R12" i="22"/>
  <c r="A13" i="22"/>
  <c r="H13" i="22"/>
  <c r="C13" i="22"/>
  <c r="E13" i="22" l="1"/>
  <c r="J13" i="22"/>
  <c r="Z13" i="22"/>
  <c r="A14" i="22"/>
  <c r="R13" i="22"/>
  <c r="G7" i="4"/>
  <c r="H7" i="4"/>
  <c r="J7" i="4" s="1"/>
  <c r="C7" i="4"/>
  <c r="H14" i="22"/>
  <c r="C14" i="22"/>
  <c r="J14" i="22" l="1"/>
  <c r="E14" i="22"/>
  <c r="Z14" i="22"/>
  <c r="A15" i="22"/>
  <c r="R14" i="22"/>
  <c r="F7" i="3"/>
  <c r="F6" i="3"/>
  <c r="C15" i="22"/>
  <c r="H15" i="22"/>
  <c r="J15" i="22" l="1"/>
  <c r="E15" i="22"/>
  <c r="R15" i="22"/>
  <c r="Z15" i="22"/>
  <c r="A16" i="22"/>
  <c r="R16" i="22" s="1"/>
  <c r="H16" i="22"/>
  <c r="C16" i="22"/>
  <c r="E16" i="22" l="1"/>
  <c r="J16" i="22"/>
  <c r="A17" i="22"/>
  <c r="Z16" i="22"/>
  <c r="E7" i="4"/>
  <c r="A7" i="4"/>
  <c r="K38" i="4"/>
  <c r="T7" i="3"/>
  <c r="Q7" i="3"/>
  <c r="O7" i="3"/>
  <c r="N7" i="3"/>
  <c r="J7" i="3"/>
  <c r="I7" i="3"/>
  <c r="T6" i="3"/>
  <c r="Q6" i="3"/>
  <c r="O6" i="3"/>
  <c r="N6" i="3"/>
  <c r="J6" i="3"/>
  <c r="I6" i="3"/>
  <c r="T5" i="3"/>
  <c r="Q5" i="3"/>
  <c r="O5" i="3"/>
  <c r="N5" i="3"/>
  <c r="J5" i="3"/>
  <c r="I5" i="3"/>
  <c r="P8" i="1"/>
  <c r="K8" i="1"/>
  <c r="M8" i="1" s="1"/>
  <c r="I8" i="1"/>
  <c r="F8" i="1"/>
  <c r="P7" i="1"/>
  <c r="I7" i="1"/>
  <c r="K7" i="1" s="1"/>
  <c r="M7" i="1" s="1"/>
  <c r="F7" i="1"/>
  <c r="P6" i="1"/>
  <c r="N6" i="1" s="1"/>
  <c r="H7" i="1" s="1"/>
  <c r="K6" i="1"/>
  <c r="M6" i="1" s="1"/>
  <c r="F6" i="1"/>
  <c r="C17" i="22"/>
  <c r="H17" i="22"/>
  <c r="J17" i="22" l="1"/>
  <c r="E17" i="22"/>
  <c r="N7" i="1"/>
  <c r="H8" i="1" s="1"/>
  <c r="N8" i="1" s="1"/>
  <c r="Z17" i="22"/>
  <c r="F7" i="4"/>
  <c r="Z7" i="4"/>
  <c r="A18" i="22"/>
  <c r="R18" i="22" s="1"/>
  <c r="O8" i="1"/>
  <c r="R17" i="22"/>
  <c r="S2" i="4"/>
  <c r="Y2" i="22"/>
  <c r="Y2" i="4"/>
  <c r="Z2" i="22"/>
  <c r="Z2" i="4"/>
  <c r="W5" i="3"/>
  <c r="X5" i="3" s="1"/>
  <c r="Y5" i="3" s="1"/>
  <c r="W6" i="3"/>
  <c r="W7" i="3"/>
  <c r="X7" i="3" s="1"/>
  <c r="A8" i="4"/>
  <c r="R7" i="4"/>
  <c r="X6" i="3"/>
  <c r="Y6" i="3" s="1"/>
  <c r="O6" i="1"/>
  <c r="O7" i="1"/>
  <c r="Q7" i="1" s="1"/>
  <c r="Q8" i="1"/>
  <c r="Q6" i="1"/>
  <c r="C8" i="4"/>
  <c r="H18" i="22"/>
  <c r="C18" i="22"/>
  <c r="H8" i="4"/>
  <c r="H8" i="22"/>
  <c r="C8" i="22"/>
  <c r="L17" i="22" l="1"/>
  <c r="N17" i="22" s="1"/>
  <c r="J8" i="22"/>
  <c r="L8" i="22" s="1"/>
  <c r="J8" i="4"/>
  <c r="L8" i="4" s="1"/>
  <c r="E18" i="22"/>
  <c r="J18" i="22"/>
  <c r="L18" i="22" s="1"/>
  <c r="E8" i="4"/>
  <c r="F8" i="4"/>
  <c r="Z8" i="4"/>
  <c r="Z18" i="22"/>
  <c r="Y7" i="3"/>
  <c r="A19" i="22"/>
  <c r="X38" i="4"/>
  <c r="V38" i="4"/>
  <c r="L7" i="4"/>
  <c r="N7" i="4" s="1"/>
  <c r="L7" i="22"/>
  <c r="N7" i="22" s="1"/>
  <c r="L9" i="22"/>
  <c r="N9" i="22" s="1"/>
  <c r="L10" i="22"/>
  <c r="N10" i="22" s="1"/>
  <c r="L11" i="22"/>
  <c r="N11" i="22" s="1"/>
  <c r="L12" i="22"/>
  <c r="N12" i="22" s="1"/>
  <c r="L13" i="22"/>
  <c r="N13" i="22" s="1"/>
  <c r="L14" i="22"/>
  <c r="N14" i="22" s="1"/>
  <c r="L15" i="22"/>
  <c r="N15" i="22" s="1"/>
  <c r="L16" i="22"/>
  <c r="N16" i="22" s="1"/>
  <c r="R19" i="22"/>
  <c r="R8" i="4"/>
  <c r="A9" i="4"/>
  <c r="H9" i="4"/>
  <c r="C9" i="4"/>
  <c r="H19" i="22"/>
  <c r="C19" i="22"/>
  <c r="N18" i="22" l="1"/>
  <c r="N8" i="4"/>
  <c r="E19" i="22"/>
  <c r="J19" i="22"/>
  <c r="L19" i="22" s="1"/>
  <c r="N19" i="22" s="1"/>
  <c r="J9" i="4"/>
  <c r="L9" i="4" s="1"/>
  <c r="E9" i="4"/>
  <c r="Z19" i="22"/>
  <c r="A20" i="22"/>
  <c r="R20" i="22" s="1"/>
  <c r="F9" i="4"/>
  <c r="Z9" i="4"/>
  <c r="R9" i="4"/>
  <c r="A10" i="4"/>
  <c r="C20" i="22"/>
  <c r="H10" i="4"/>
  <c r="C10" i="4"/>
  <c r="H20" i="22"/>
  <c r="J10" i="4" l="1"/>
  <c r="L10" i="4" s="1"/>
  <c r="E10" i="4"/>
  <c r="J20" i="22"/>
  <c r="L20" i="22" s="1"/>
  <c r="E20" i="22"/>
  <c r="F10" i="4"/>
  <c r="Z10" i="4"/>
  <c r="A21" i="22"/>
  <c r="R21" i="22" s="1"/>
  <c r="N9" i="4"/>
  <c r="Z20" i="22"/>
  <c r="R10" i="4"/>
  <c r="A11" i="4"/>
  <c r="C21" i="22"/>
  <c r="H11" i="4"/>
  <c r="C11" i="4"/>
  <c r="H21" i="22"/>
  <c r="N10" i="4" l="1"/>
  <c r="N20" i="22"/>
  <c r="E21" i="22"/>
  <c r="J21" i="22"/>
  <c r="L21" i="22" s="1"/>
  <c r="N21" i="22" s="1"/>
  <c r="E11" i="4"/>
  <c r="J11" i="4"/>
  <c r="L11" i="4" s="1"/>
  <c r="N11" i="4" s="1"/>
  <c r="A22" i="22"/>
  <c r="F11" i="4"/>
  <c r="Z11" i="4"/>
  <c r="Z21" i="22"/>
  <c r="R11" i="4"/>
  <c r="A12" i="4"/>
  <c r="C22" i="22"/>
  <c r="H12" i="4"/>
  <c r="C12" i="4"/>
  <c r="H22" i="22"/>
  <c r="J22" i="22" l="1"/>
  <c r="L22" i="22" s="1"/>
  <c r="E22" i="22"/>
  <c r="E12" i="4"/>
  <c r="J12" i="4"/>
  <c r="L12" i="4" s="1"/>
  <c r="N12" i="4" s="1"/>
  <c r="Z22" i="22"/>
  <c r="A23" i="22"/>
  <c r="R23" i="22" s="1"/>
  <c r="R22" i="22"/>
  <c r="F12" i="4"/>
  <c r="Z12" i="4"/>
  <c r="A24" i="22"/>
  <c r="R12" i="4"/>
  <c r="A13" i="4"/>
  <c r="H23" i="22"/>
  <c r="C13" i="4"/>
  <c r="C23" i="22"/>
  <c r="H13" i="4"/>
  <c r="N22" i="22" l="1"/>
  <c r="J23" i="22"/>
  <c r="L23" i="22" s="1"/>
  <c r="E23" i="22"/>
  <c r="J13" i="4"/>
  <c r="L13" i="4" s="1"/>
  <c r="E13" i="4"/>
  <c r="F13" i="4"/>
  <c r="Z13" i="4"/>
  <c r="Z24" i="22"/>
  <c r="Z23" i="22"/>
  <c r="R24" i="22"/>
  <c r="A25" i="22"/>
  <c r="R13" i="4"/>
  <c r="A14" i="4"/>
  <c r="H24" i="22"/>
  <c r="C14" i="4"/>
  <c r="H14" i="4"/>
  <c r="C24" i="22"/>
  <c r="H25" i="22"/>
  <c r="C25" i="22"/>
  <c r="N23" i="22" l="1"/>
  <c r="J14" i="4"/>
  <c r="L14" i="4" s="1"/>
  <c r="E14" i="4"/>
  <c r="J24" i="22"/>
  <c r="L24" i="22" s="1"/>
  <c r="E24" i="22"/>
  <c r="Z25" i="22"/>
  <c r="N13" i="4"/>
  <c r="F14" i="4"/>
  <c r="Z14" i="4"/>
  <c r="J25" i="22"/>
  <c r="L25" i="22" s="1"/>
  <c r="E25" i="22"/>
  <c r="R25" i="22"/>
  <c r="A26" i="22"/>
  <c r="R14" i="4"/>
  <c r="A15" i="4"/>
  <c r="H15" i="4"/>
  <c r="C26" i="22"/>
  <c r="H26" i="22"/>
  <c r="C15" i="4"/>
  <c r="N14" i="4" l="1"/>
  <c r="N24" i="22"/>
  <c r="J15" i="4"/>
  <c r="L15" i="4" s="1"/>
  <c r="E15" i="4"/>
  <c r="A27" i="22"/>
  <c r="Z26" i="22"/>
  <c r="A16" i="4"/>
  <c r="F15" i="4"/>
  <c r="Z15" i="4"/>
  <c r="N25" i="22"/>
  <c r="R27" i="22"/>
  <c r="A28" i="22"/>
  <c r="J26" i="22"/>
  <c r="L26" i="22" s="1"/>
  <c r="E26" i="22"/>
  <c r="R26" i="22"/>
  <c r="R15" i="4"/>
  <c r="H27" i="22"/>
  <c r="H16" i="4"/>
  <c r="C27" i="22"/>
  <c r="C16" i="4"/>
  <c r="N15" i="4" l="1"/>
  <c r="E27" i="22"/>
  <c r="J16" i="4"/>
  <c r="L16" i="4" s="1"/>
  <c r="J27" i="22"/>
  <c r="L27" i="22" s="1"/>
  <c r="N27" i="22" s="1"/>
  <c r="E16" i="4"/>
  <c r="F16" i="4"/>
  <c r="Z16" i="4"/>
  <c r="R16" i="4"/>
  <c r="A17" i="4"/>
  <c r="Z27" i="22"/>
  <c r="Z28" i="22"/>
  <c r="R28" i="22"/>
  <c r="N26" i="22"/>
  <c r="A29" i="22"/>
  <c r="R17" i="4"/>
  <c r="A18" i="4"/>
  <c r="H28" i="22"/>
  <c r="C28" i="22"/>
  <c r="H17" i="4"/>
  <c r="C29" i="22"/>
  <c r="H29" i="22"/>
  <c r="C17" i="4"/>
  <c r="E17" i="4" l="1"/>
  <c r="J17" i="4"/>
  <c r="L17" i="4" s="1"/>
  <c r="E28" i="22"/>
  <c r="J28" i="22"/>
  <c r="L28" i="22" s="1"/>
  <c r="F18" i="4"/>
  <c r="Z18" i="4"/>
  <c r="N16" i="4"/>
  <c r="Z29" i="22"/>
  <c r="F17" i="4"/>
  <c r="Z17" i="4"/>
  <c r="J29" i="22"/>
  <c r="L29" i="22" s="1"/>
  <c r="E29" i="22"/>
  <c r="R29" i="22"/>
  <c r="A30" i="22"/>
  <c r="R18" i="4"/>
  <c r="A19" i="4"/>
  <c r="C30" i="22"/>
  <c r="H30" i="22"/>
  <c r="C19" i="4"/>
  <c r="H19" i="4"/>
  <c r="C18" i="4"/>
  <c r="H18" i="4"/>
  <c r="N28" i="22" l="1"/>
  <c r="N17" i="4"/>
  <c r="J18" i="4"/>
  <c r="L18" i="4" s="1"/>
  <c r="E18" i="4"/>
  <c r="J19" i="4"/>
  <c r="L19" i="4" s="1"/>
  <c r="E19" i="4"/>
  <c r="A31" i="22"/>
  <c r="Z30" i="22"/>
  <c r="F19" i="4"/>
  <c r="Z19" i="4"/>
  <c r="N29" i="22"/>
  <c r="R31" i="22"/>
  <c r="A32" i="22"/>
  <c r="J30" i="22"/>
  <c r="L30" i="22" s="1"/>
  <c r="E30" i="22"/>
  <c r="R30" i="22"/>
  <c r="R19" i="4"/>
  <c r="A20" i="4"/>
  <c r="H31" i="22"/>
  <c r="H20" i="4"/>
  <c r="C20" i="4"/>
  <c r="C31" i="22"/>
  <c r="N19" i="4" l="1"/>
  <c r="N18" i="4"/>
  <c r="E31" i="22"/>
  <c r="J31" i="22"/>
  <c r="L31" i="22" s="1"/>
  <c r="N31" i="22" s="1"/>
  <c r="E20" i="4"/>
  <c r="J20" i="4"/>
  <c r="L20" i="4" s="1"/>
  <c r="N20" i="4" s="1"/>
  <c r="F20" i="4"/>
  <c r="Z20" i="4"/>
  <c r="Z31" i="22"/>
  <c r="A33" i="22"/>
  <c r="Z32" i="22"/>
  <c r="R32" i="22"/>
  <c r="N30" i="22"/>
  <c r="R20" i="4"/>
  <c r="A21" i="4"/>
  <c r="C33" i="22"/>
  <c r="C32" i="22"/>
  <c r="H21" i="4"/>
  <c r="C21" i="4"/>
  <c r="H33" i="22"/>
  <c r="H32" i="22"/>
  <c r="J33" i="22" l="1"/>
  <c r="L33" i="22" s="1"/>
  <c r="E21" i="4"/>
  <c r="J21" i="4"/>
  <c r="L21" i="4" s="1"/>
  <c r="N21" i="4" s="1"/>
  <c r="E32" i="22"/>
  <c r="E33" i="22"/>
  <c r="J32" i="22"/>
  <c r="L32" i="22" s="1"/>
  <c r="Z33" i="22"/>
  <c r="R33" i="22"/>
  <c r="F21" i="4"/>
  <c r="Z21" i="4"/>
  <c r="A34" i="22"/>
  <c r="A35" i="22" s="1"/>
  <c r="R21" i="4"/>
  <c r="A22" i="4"/>
  <c r="C34" i="22"/>
  <c r="C22" i="4"/>
  <c r="H34" i="22"/>
  <c r="H22" i="4"/>
  <c r="N32" i="22" l="1"/>
  <c r="N33" i="22"/>
  <c r="J34" i="22"/>
  <c r="L34" i="22" s="1"/>
  <c r="J22" i="4"/>
  <c r="L22" i="4" s="1"/>
  <c r="E22" i="4"/>
  <c r="E34" i="22"/>
  <c r="Z35" i="22"/>
  <c r="F22" i="4"/>
  <c r="Z22" i="4"/>
  <c r="Z34" i="22"/>
  <c r="R34" i="22"/>
  <c r="R22" i="4"/>
  <c r="R35" i="22"/>
  <c r="A36" i="22"/>
  <c r="A23" i="4"/>
  <c r="H36" i="22"/>
  <c r="C35" i="22"/>
  <c r="C36" i="22"/>
  <c r="H35" i="22"/>
  <c r="H23" i="4"/>
  <c r="C23" i="4"/>
  <c r="N22" i="4" l="1"/>
  <c r="N34" i="22"/>
  <c r="J23" i="4"/>
  <c r="L23" i="4" s="1"/>
  <c r="J35" i="22"/>
  <c r="L35" i="22" s="1"/>
  <c r="E35" i="22"/>
  <c r="E23" i="4"/>
  <c r="Z36" i="22"/>
  <c r="F23" i="4"/>
  <c r="Z23" i="4"/>
  <c r="J36" i="22"/>
  <c r="L36" i="22" s="1"/>
  <c r="E36" i="22"/>
  <c r="R23" i="4"/>
  <c r="R36" i="22"/>
  <c r="A37" i="22"/>
  <c r="A24" i="4"/>
  <c r="H37" i="22"/>
  <c r="C37" i="22"/>
  <c r="H24" i="4"/>
  <c r="C24" i="4"/>
  <c r="N35" i="22" l="1"/>
  <c r="O35" i="22" s="1"/>
  <c r="E24" i="4"/>
  <c r="J24" i="4"/>
  <c r="L24" i="4" s="1"/>
  <c r="N24" i="4" s="1"/>
  <c r="T3" i="22"/>
  <c r="Z37" i="22"/>
  <c r="F24" i="4"/>
  <c r="Z24" i="4"/>
  <c r="N23" i="4"/>
  <c r="N36" i="22"/>
  <c r="O36" i="22" s="1"/>
  <c r="J37" i="22"/>
  <c r="L37" i="22" s="1"/>
  <c r="E37" i="22"/>
  <c r="V3" i="22"/>
  <c r="A25" i="4"/>
  <c r="R37" i="22"/>
  <c r="R24" i="4"/>
  <c r="C25" i="4"/>
  <c r="H25" i="4"/>
  <c r="J25" i="4" l="1"/>
  <c r="L25" i="4" s="1"/>
  <c r="E25" i="4"/>
  <c r="R25" i="4"/>
  <c r="F25" i="4"/>
  <c r="Z25" i="4"/>
  <c r="S4" i="22"/>
  <c r="W4" i="22" s="1"/>
  <c r="X39" i="22"/>
  <c r="V39" i="22"/>
  <c r="N37" i="22"/>
  <c r="O37" i="22" s="1"/>
  <c r="P37" i="22" s="1"/>
  <c r="K40" i="22"/>
  <c r="A26" i="4"/>
  <c r="P35" i="22"/>
  <c r="P36" i="22"/>
  <c r="H26" i="4"/>
  <c r="C26" i="4"/>
  <c r="N25" i="4" l="1"/>
  <c r="E26" i="4"/>
  <c r="J26" i="4"/>
  <c r="L26" i="4" s="1"/>
  <c r="A27" i="4"/>
  <c r="F26" i="4"/>
  <c r="Z26" i="4"/>
  <c r="R26" i="4"/>
  <c r="C27" i="4"/>
  <c r="H27" i="4"/>
  <c r="N26" i="4" l="1"/>
  <c r="E27" i="4"/>
  <c r="J27" i="4"/>
  <c r="L27" i="4" s="1"/>
  <c r="F27" i="4"/>
  <c r="Z27" i="4"/>
  <c r="A28" i="4"/>
  <c r="R28" i="4" s="1"/>
  <c r="R27" i="4"/>
  <c r="C28" i="4"/>
  <c r="H28" i="4"/>
  <c r="J28" i="4" l="1"/>
  <c r="L28" i="4" s="1"/>
  <c r="E28" i="4"/>
  <c r="A29" i="4"/>
  <c r="F28" i="4"/>
  <c r="Z28" i="4"/>
  <c r="N27" i="4"/>
  <c r="H29" i="4"/>
  <c r="C29" i="4"/>
  <c r="E29" i="4" l="1"/>
  <c r="J29" i="4"/>
  <c r="L29" i="4" s="1"/>
  <c r="F29" i="4"/>
  <c r="Z29" i="4"/>
  <c r="A30" i="4"/>
  <c r="R29" i="4"/>
  <c r="N28" i="4"/>
  <c r="H30" i="4"/>
  <c r="C30" i="4"/>
  <c r="N29" i="4" l="1"/>
  <c r="E30" i="4"/>
  <c r="J30" i="4"/>
  <c r="L30" i="4" s="1"/>
  <c r="N30" i="4" s="1"/>
  <c r="F30" i="4"/>
  <c r="Z30" i="4"/>
  <c r="A31" i="4"/>
  <c r="R30" i="4"/>
  <c r="H31" i="4"/>
  <c r="C31" i="4"/>
  <c r="J31" i="4" l="1"/>
  <c r="L31" i="4" s="1"/>
  <c r="E31" i="4"/>
  <c r="Z31" i="4"/>
  <c r="A32" i="4"/>
  <c r="R32" i="4" s="1"/>
  <c r="R31" i="4"/>
  <c r="C32" i="4"/>
  <c r="H32" i="4"/>
  <c r="N31" i="4" l="1"/>
  <c r="E32" i="4"/>
  <c r="J32" i="4"/>
  <c r="L32" i="4" s="1"/>
  <c r="Z32" i="4"/>
  <c r="A33" i="4"/>
  <c r="A34" i="4" s="1"/>
  <c r="H33" i="4"/>
  <c r="C33" i="4"/>
  <c r="N32" i="4" l="1"/>
  <c r="E33" i="4"/>
  <c r="J33" i="4"/>
  <c r="L33" i="4" s="1"/>
  <c r="Z34" i="4"/>
  <c r="Z33" i="4"/>
  <c r="R33" i="4"/>
  <c r="R34" i="4"/>
  <c r="A35" i="4"/>
  <c r="H35" i="4"/>
  <c r="C35" i="4"/>
  <c r="H34" i="4"/>
  <c r="C34" i="4"/>
  <c r="E34" i="4" l="1"/>
  <c r="J35" i="4"/>
  <c r="L35" i="4" s="1"/>
  <c r="E35" i="4"/>
  <c r="J34" i="4"/>
  <c r="L34" i="4" s="1"/>
  <c r="Z35" i="4"/>
  <c r="N33" i="4"/>
  <c r="R35" i="4"/>
  <c r="A36" i="4"/>
  <c r="C36" i="4"/>
  <c r="H36" i="4"/>
  <c r="N34" i="4" l="1"/>
  <c r="N35" i="4"/>
  <c r="E36" i="4"/>
  <c r="J36" i="4"/>
  <c r="L36" i="4" s="1"/>
  <c r="N36" i="4" s="1"/>
  <c r="Z36" i="4"/>
  <c r="R36" i="4"/>
  <c r="A37" i="4"/>
  <c r="C37" i="4"/>
  <c r="H37" i="4"/>
  <c r="W3" i="22"/>
  <c r="E37" i="4" l="1"/>
  <c r="W38" i="4"/>
  <c r="W39" i="22"/>
  <c r="J37" i="4"/>
  <c r="T3" i="4"/>
  <c r="Z37" i="4"/>
  <c r="U38" i="4"/>
  <c r="F38" i="4"/>
  <c r="U39" i="22"/>
  <c r="X39" i="4"/>
  <c r="W39" i="4"/>
  <c r="V39" i="4"/>
  <c r="U39" i="4"/>
  <c r="Y39" i="4"/>
  <c r="S4" i="4"/>
  <c r="V2" i="4"/>
  <c r="R37" i="4"/>
  <c r="K39" i="4"/>
  <c r="K40" i="4"/>
  <c r="S2" i="22"/>
  <c r="Y38" i="22" l="1"/>
  <c r="V2" i="22"/>
  <c r="X38" i="22"/>
  <c r="M37" i="22"/>
  <c r="W38" i="22"/>
  <c r="V38" i="22"/>
  <c r="M35" i="22"/>
  <c r="K39" i="22"/>
  <c r="U38" i="22"/>
  <c r="M36" i="22"/>
  <c r="L37" i="4"/>
  <c r="L38" i="4" s="1"/>
  <c r="J38" i="4"/>
  <c r="V3" i="4"/>
  <c r="Y38" i="4"/>
  <c r="E38" i="4"/>
  <c r="Y39" i="22"/>
  <c r="W2" i="4"/>
  <c r="O7" i="4" s="1"/>
  <c r="W3" i="4" l="1"/>
  <c r="O30" i="4" s="1"/>
  <c r="N37" i="4"/>
  <c r="N38" i="4" s="1"/>
  <c r="O8" i="4"/>
  <c r="P8" i="4" s="1"/>
  <c r="O10" i="4"/>
  <c r="P10" i="4" s="1"/>
  <c r="O14" i="4"/>
  <c r="P14" i="4" s="1"/>
  <c r="O18" i="4"/>
  <c r="P18" i="4" s="1"/>
  <c r="O22" i="4"/>
  <c r="P22" i="4" s="1"/>
  <c r="O9" i="4"/>
  <c r="P9" i="4" s="1"/>
  <c r="O11" i="4"/>
  <c r="P11" i="4" s="1"/>
  <c r="O13" i="4"/>
  <c r="P13" i="4" s="1"/>
  <c r="O15" i="4"/>
  <c r="P15" i="4" s="1"/>
  <c r="O17" i="4"/>
  <c r="P17" i="4" s="1"/>
  <c r="O19" i="4"/>
  <c r="P19" i="4" s="1"/>
  <c r="O21" i="4"/>
  <c r="P21" i="4" s="1"/>
  <c r="O23" i="4"/>
  <c r="P23" i="4" s="1"/>
  <c r="O12" i="4"/>
  <c r="P12" i="4" s="1"/>
  <c r="O16" i="4"/>
  <c r="P16" i="4" s="1"/>
  <c r="O20" i="4"/>
  <c r="P20" i="4" s="1"/>
  <c r="O24" i="4"/>
  <c r="P24" i="4" s="1"/>
  <c r="O28" i="4" l="1"/>
  <c r="O31" i="4"/>
  <c r="O27" i="4"/>
  <c r="O29" i="4"/>
  <c r="O25" i="4"/>
  <c r="O32" i="4"/>
  <c r="O26" i="4"/>
  <c r="M7" i="4"/>
  <c r="G8" i="4" s="1"/>
  <c r="P7" i="4"/>
  <c r="X2" i="4" l="1"/>
  <c r="M8" i="4"/>
  <c r="G9" i="4" l="1"/>
  <c r="M9" i="4" s="1"/>
  <c r="G10" i="4" s="1"/>
  <c r="P27" i="4"/>
  <c r="P29" i="4"/>
  <c r="P31" i="4"/>
  <c r="P26" i="4"/>
  <c r="P28" i="4"/>
  <c r="P30" i="4"/>
  <c r="P32" i="4"/>
  <c r="P25" i="4" l="1"/>
  <c r="M10" i="4"/>
  <c r="G11" i="4" s="1"/>
  <c r="M11" i="4" l="1"/>
  <c r="G12" i="4" s="1"/>
  <c r="M12" i="4" l="1"/>
  <c r="G13" i="4" s="1"/>
  <c r="M13" i="4" l="1"/>
  <c r="G14" i="4" s="1"/>
  <c r="M14" i="4" l="1"/>
  <c r="G15" i="4" s="1"/>
  <c r="M15" i="4" l="1"/>
  <c r="G16" i="4" s="1"/>
  <c r="M16" i="4" l="1"/>
  <c r="G17" i="4" s="1"/>
  <c r="M17" i="4" l="1"/>
  <c r="G18" i="4" s="1"/>
  <c r="M18" i="4" l="1"/>
  <c r="G19" i="4" s="1"/>
  <c r="M19" i="4" l="1"/>
  <c r="G20" i="4" s="1"/>
  <c r="M20" i="4" l="1"/>
  <c r="G21" i="4" s="1"/>
  <c r="M21" i="4" l="1"/>
  <c r="G22" i="4" s="1"/>
  <c r="M22" i="4" l="1"/>
  <c r="G23" i="4" s="1"/>
  <c r="M23" i="4" l="1"/>
  <c r="G24" i="4" s="1"/>
  <c r="M24" i="4" s="1"/>
  <c r="G25" i="4" l="1"/>
  <c r="M25" i="4" l="1"/>
  <c r="G26" i="4" s="1"/>
  <c r="M26" i="4" l="1"/>
  <c r="G27" i="4" s="1"/>
  <c r="M27" i="4" l="1"/>
  <c r="G28" i="4" s="1"/>
  <c r="M28" i="4" l="1"/>
  <c r="G29" i="4" s="1"/>
  <c r="M29" i="4" l="1"/>
  <c r="G30" i="4" s="1"/>
  <c r="M30" i="4" l="1"/>
  <c r="G31" i="4" s="1"/>
  <c r="M31" i="4" l="1"/>
  <c r="G32" i="4" s="1"/>
  <c r="M32" i="4" s="1"/>
  <c r="G33" i="4" s="1"/>
  <c r="G35" i="22" l="1"/>
  <c r="G36" i="22"/>
  <c r="G37" i="22"/>
  <c r="J38" i="22"/>
  <c r="L38" i="22"/>
  <c r="O26" i="22" l="1"/>
  <c r="P26" i="22" s="1"/>
  <c r="O30" i="22"/>
  <c r="P30" i="22" s="1"/>
  <c r="O34" i="22"/>
  <c r="P34" i="22" s="1"/>
  <c r="O27" i="22"/>
  <c r="P27" i="22" s="1"/>
  <c r="O31" i="22"/>
  <c r="P31" i="22" s="1"/>
  <c r="O28" i="22"/>
  <c r="P28" i="22" s="1"/>
  <c r="O32" i="22"/>
  <c r="P32" i="22" s="1"/>
  <c r="O25" i="22"/>
  <c r="O29" i="22"/>
  <c r="P29" i="22" s="1"/>
  <c r="O33" i="22"/>
  <c r="P33" i="22" s="1"/>
  <c r="P25" i="22" l="1"/>
  <c r="O33" i="4" l="1"/>
  <c r="O34" i="4"/>
  <c r="P34" i="4" s="1"/>
  <c r="P33" i="4" l="1"/>
  <c r="M33" i="4"/>
  <c r="G34" i="4" s="1"/>
  <c r="M34" i="4" s="1"/>
  <c r="G35" i="4" s="1"/>
  <c r="E8" i="22" l="1"/>
  <c r="E38" i="22" s="1"/>
  <c r="N8" i="22" l="1"/>
  <c r="W4" i="4"/>
  <c r="W2" i="22"/>
  <c r="O36" i="4" l="1"/>
  <c r="P36" i="4" s="1"/>
  <c r="O35" i="4"/>
  <c r="O37" i="4"/>
  <c r="P37" i="4" s="1"/>
  <c r="O11" i="22"/>
  <c r="P11" i="22" s="1"/>
  <c r="O24" i="22"/>
  <c r="P24" i="22" s="1"/>
  <c r="O15" i="22"/>
  <c r="P15" i="22" s="1"/>
  <c r="O13" i="22"/>
  <c r="P13" i="22" s="1"/>
  <c r="O23" i="22"/>
  <c r="P23" i="22" s="1"/>
  <c r="O21" i="22"/>
  <c r="P21" i="22" s="1"/>
  <c r="O17" i="22"/>
  <c r="P17" i="22" s="1"/>
  <c r="O12" i="22"/>
  <c r="P12" i="22" s="1"/>
  <c r="O10" i="22"/>
  <c r="P10" i="22" s="1"/>
  <c r="O9" i="22"/>
  <c r="P9" i="22" s="1"/>
  <c r="O20" i="22"/>
  <c r="P20" i="22" s="1"/>
  <c r="O16" i="22"/>
  <c r="P16" i="22" s="1"/>
  <c r="O19" i="22"/>
  <c r="P19" i="22" s="1"/>
  <c r="O14" i="22"/>
  <c r="P14" i="22" s="1"/>
  <c r="O18" i="22"/>
  <c r="P18" i="22" s="1"/>
  <c r="O22" i="22"/>
  <c r="P22" i="22" s="1"/>
  <c r="O7" i="22"/>
  <c r="N38" i="22"/>
  <c r="O8" i="22"/>
  <c r="P8" i="22" s="1"/>
  <c r="S38" i="22"/>
  <c r="X3" i="22" l="1"/>
  <c r="O38" i="22"/>
  <c r="P7" i="22"/>
  <c r="M7" i="22"/>
  <c r="G8" i="22" s="1"/>
  <c r="M8" i="22" s="1"/>
  <c r="G9" i="22" s="1"/>
  <c r="M9" i="22" s="1"/>
  <c r="G10" i="22" s="1"/>
  <c r="M10" i="22" s="1"/>
  <c r="G11" i="22" s="1"/>
  <c r="M11" i="22" s="1"/>
  <c r="G12" i="22" s="1"/>
  <c r="M12" i="22" s="1"/>
  <c r="G13" i="22" s="1"/>
  <c r="M13" i="22" s="1"/>
  <c r="G14" i="22" s="1"/>
  <c r="M14" i="22" s="1"/>
  <c r="G15" i="22" s="1"/>
  <c r="M15" i="22" s="1"/>
  <c r="G16" i="22" s="1"/>
  <c r="M16" i="22" s="1"/>
  <c r="G17" i="22" s="1"/>
  <c r="M17" i="22" s="1"/>
  <c r="G18" i="22" s="1"/>
  <c r="M18" i="22" s="1"/>
  <c r="G19" i="22" s="1"/>
  <c r="M19" i="22" s="1"/>
  <c r="G20" i="22" s="1"/>
  <c r="M20" i="22" s="1"/>
  <c r="G21" i="22" s="1"/>
  <c r="M21" i="22" s="1"/>
  <c r="G22" i="22" s="1"/>
  <c r="M22" i="22" s="1"/>
  <c r="G23" i="22" s="1"/>
  <c r="M23" i="22" s="1"/>
  <c r="G24" i="22" s="1"/>
  <c r="M24" i="22" s="1"/>
  <c r="G25" i="22" s="1"/>
  <c r="M25" i="22" s="1"/>
  <c r="G26" i="22" s="1"/>
  <c r="M26" i="22" s="1"/>
  <c r="G27" i="22" s="1"/>
  <c r="M27" i="22" s="1"/>
  <c r="G28" i="22" s="1"/>
  <c r="M28" i="22" s="1"/>
  <c r="G29" i="22" s="1"/>
  <c r="M29" i="22" s="1"/>
  <c r="G30" i="22" s="1"/>
  <c r="M30" i="22" s="1"/>
  <c r="G31" i="22" s="1"/>
  <c r="M31" i="22" s="1"/>
  <c r="G32" i="22" s="1"/>
  <c r="M32" i="22" s="1"/>
  <c r="G33" i="22" s="1"/>
  <c r="M33" i="22" s="1"/>
  <c r="G34" i="22" s="1"/>
  <c r="M34" i="22" s="1"/>
  <c r="O38" i="4"/>
  <c r="S39" i="22"/>
  <c r="S38" i="4"/>
  <c r="S39" i="4"/>
  <c r="P35" i="4"/>
  <c r="T38" i="22" s="1"/>
  <c r="M35" i="4"/>
  <c r="G36" i="4" s="1"/>
  <c r="M36" i="4" s="1"/>
  <c r="G37" i="4" s="1"/>
  <c r="M37" i="4" s="1"/>
  <c r="T39" i="22" l="1"/>
  <c r="X3" i="4"/>
  <c r="T39" i="4"/>
  <c r="T38" i="4"/>
  <c r="P38" i="4"/>
  <c r="P38" i="22"/>
  <c r="X2" i="22"/>
</calcChain>
</file>

<file path=xl/sharedStrings.xml><?xml version="1.0" encoding="utf-8"?>
<sst xmlns="http://schemas.openxmlformats.org/spreadsheetml/2006/main" count="208" uniqueCount="84">
  <si>
    <t>Общество с ограниченной ответственностью  "Втормет Царицыно"</t>
  </si>
  <si>
    <t>Отчет водителя ломовоза с манипулятором</t>
  </si>
  <si>
    <t>за</t>
  </si>
  <si>
    <t>Дата</t>
  </si>
  <si>
    <t>ФИО водителя</t>
  </si>
  <si>
    <t>Номер гос.регистрации</t>
  </si>
  <si>
    <t>Показание одометра машины на начало дня, км</t>
  </si>
  <si>
    <t>Показание одометра машины на конец дня, км</t>
  </si>
  <si>
    <t>Пройдено за день, км</t>
  </si>
  <si>
    <t>Выдано топливо, литр</t>
  </si>
  <si>
    <t>Остаток топлива в баке на начало дня, литр</t>
  </si>
  <si>
    <t>Показание счетчика моточасов спецоборудования на начало дня, м/ч</t>
  </si>
  <si>
    <t>Показание счетчика моточасов  спецоборудования на конец дня, м/ч</t>
  </si>
  <si>
    <t>Работа спецоборудования за день, м/ч</t>
  </si>
  <si>
    <t>Количество ходок</t>
  </si>
  <si>
    <t>Расход топлива на работу спецоборудования, литр</t>
  </si>
  <si>
    <t>Остаток топлива в баке на конец дня, литр</t>
  </si>
  <si>
    <t>Расход топлива по норме, литр</t>
  </si>
  <si>
    <t>Фактический расход топлива, литр</t>
  </si>
  <si>
    <t>Отклонение от нормы (Перерасход(+), экономия(-)), литр</t>
  </si>
  <si>
    <t>Никляев В.А.</t>
  </si>
  <si>
    <t>т056вв 197</t>
  </si>
  <si>
    <t>Супрун С.В.</t>
  </si>
  <si>
    <t>к190вк 799</t>
  </si>
  <si>
    <t>Щинов М.</t>
  </si>
  <si>
    <t>х733ун 197</t>
  </si>
  <si>
    <t>Водители ломовоза с манипулятором</t>
  </si>
  <si>
    <t>№ п/п</t>
  </si>
  <si>
    <t>Ф.И.О.</t>
  </si>
  <si>
    <t>Зима :</t>
  </si>
  <si>
    <t>01.11 - 31.03</t>
  </si>
  <si>
    <t>Расчет максимальной нормы расхода ДТ (литр/100км)</t>
  </si>
  <si>
    <t>Лето:</t>
  </si>
  <si>
    <t>01.04 - 30.10</t>
  </si>
  <si>
    <t>доп.коэфф-т к норме</t>
  </si>
  <si>
    <t>Номер гос.регистрации / Заводской номер</t>
  </si>
  <si>
    <t>Километраж, км</t>
  </si>
  <si>
    <t>Спецоборудование, м/ч</t>
  </si>
  <si>
    <t>Топливо, л</t>
  </si>
  <si>
    <t>Базовая норма расхода на 100 км</t>
  </si>
  <si>
    <t>Зима</t>
  </si>
  <si>
    <t>Лето</t>
  </si>
  <si>
    <t>Итога норма а/м ЗИМА</t>
  </si>
  <si>
    <t>Итога норма а/м ЛЕТО</t>
  </si>
  <si>
    <t>Базовая норма расхода на 1 мото/час</t>
  </si>
  <si>
    <t>"Зима"</t>
  </si>
  <si>
    <t>"Лето"</t>
  </si>
  <si>
    <t>Итога норма а/м "ЗИМА"</t>
  </si>
  <si>
    <t>Итога норма а/м "ЛЕТО"</t>
  </si>
  <si>
    <t>Норма на 100 км, литров</t>
  </si>
  <si>
    <t>движение с манипулятором</t>
  </si>
  <si>
    <t>Тоннаж</t>
  </si>
  <si>
    <t>Литры</t>
  </si>
  <si>
    <t>На движение с грузом</t>
  </si>
  <si>
    <t>Тоннаж1</t>
  </si>
  <si>
    <t>К-т загрузки</t>
  </si>
  <si>
    <t>ИТОГ</t>
  </si>
  <si>
    <t>25% за работу в городе с населением свыше 3 млн. человек</t>
  </si>
  <si>
    <t>10 % за работу зимой</t>
  </si>
  <si>
    <t>Итог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</si>
  <si>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</si>
  <si>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</si>
  <si>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</si>
  <si>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</si>
  <si>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</si>
  <si>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</si>
  <si>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</si>
  <si>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</si>
  <si>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</si>
  <si>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</si>
  <si>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</si>
  <si>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</si>
  <si>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Экономия</t>
  </si>
  <si>
    <t>Ильин А.Г.</t>
  </si>
  <si>
    <t>Малышев О.С.</t>
  </si>
  <si>
    <t>Кобалян М.В.</t>
  </si>
  <si>
    <t>2-я половина</t>
  </si>
  <si>
    <t>Норма 1</t>
  </si>
  <si>
    <t>Норма 2</t>
  </si>
  <si>
    <t>Норма 3</t>
  </si>
  <si>
    <t>1-я половина</t>
  </si>
  <si>
    <t>Обнуление одометра, км</t>
  </si>
  <si>
    <t>Обнуление счетчика моточасов спецоборудования, м/ч</t>
  </si>
  <si>
    <t>т 056 вв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</si>
</sst>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2" x14ac:knownFonts="1"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b/>
      <i/>
      <sz val="10"/>
      <name val="Arial Cyr"/>
      <charset val="204"/>
    </font>
    <font>
      <b/>
      <sz val="10"/>
      <color theme="3"/>
      <name val="Arial Cyr"/>
      <charset val="204"/>
    </font>
    <font>
      <b/>
      <sz val="10"/>
      <color rgb="FF00B050"/>
      <name val="Arial Cyr"/>
      <charset val="204"/>
    </font>
    <font>
      <b/>
      <sz val="10"/>
      <color theme="4"/>
      <name val="Arial Cyr"/>
      <charset val="204"/>
    </font>
    <font>
      <sz val="10"/>
      <color theme="5" tint="-0.249977111117893"/>
      <name val="Arial Cyr"/>
      <charset val="204"/>
    </font>
    <font>
      <sz val="10"/>
      <color theme="4"/>
      <name val="Arial Cyr"/>
      <charset val="204"/>
    </font>
    <font>
      <b/>
      <sz val="11"/>
      <color indexed="52"/>
      <name val="Calibri"/>
      <family val="2"/>
      <charset val="204"/>
    </font>
    <font>
      <sz val="12"/>
      <name val="Arial Cyr"/>
    </font>
    <font>
      <b/>
      <sz val="12"/>
      <name val="Arial Cyr"/>
    </font>
    <font>
      <b/>
      <sz val="10"/>
      <color theme="1"/>
      <name val="Arial Cyr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9"/>
      <color theme="1"/>
      <name val="Arial Cyr"/>
      <charset val="204"/>
    </font>
    <font>
      <b/>
      <sz val="14"/>
      <color indexed="56"/>
      <name val="Cambria"/>
      <family val="2"/>
      <charset val="204"/>
    </font>
    <font>
      <b/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6" borderId="10" applyNumberFormat="0" applyAlignment="0" applyProtection="0"/>
    <xf numFmtId="0" fontId="2" fillId="8" borderId="16" applyNumberFormat="0" applyFont="0" applyAlignment="0" applyProtection="0"/>
    <xf numFmtId="0" fontId="16" fillId="9" borderId="0" applyNumberFormat="0" applyBorder="0" applyAlignment="0" applyProtection="0"/>
    <xf numFmtId="0" fontId="2" fillId="11" borderId="47" applyNumberFormat="0" applyFont="0" applyAlignment="0" applyProtection="0"/>
  </cellStyleXfs>
  <cellXfs count="191">
    <xf numFmtId="0" fontId="0" fillId="0" borderId="0" xfId="0"/>
    <xf numFmtId="2" fontId="1" fillId="0" borderId="0" xfId="1" applyNumberFormat="1" applyFill="1" applyAlignment="1"/>
    <xf numFmtId="2" fontId="1" fillId="0" borderId="0" xfId="1" applyNumberFormat="1" applyFill="1" applyAlignment="1">
      <alignment horizontal="right" vertical="center"/>
    </xf>
    <xf numFmtId="1" fontId="1" fillId="0" borderId="0" xfId="1" applyNumberFormat="1" applyFill="1" applyAlignment="1">
      <alignment horizontal="left" vertical="center"/>
    </xf>
    <xf numFmtId="0" fontId="1" fillId="0" borderId="0" xfId="1" applyNumberFormat="1" applyFill="1" applyAlignment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0" xfId="0" applyNumberFormat="1" applyFill="1" applyBorder="1"/>
    <xf numFmtId="3" fontId="0" fillId="2" borderId="0" xfId="0" applyNumberFormat="1" applyFill="1" applyBorder="1"/>
    <xf numFmtId="3" fontId="0" fillId="0" borderId="0" xfId="0" applyNumberFormat="1" applyFill="1" applyBorder="1"/>
    <xf numFmtId="1" fontId="2" fillId="0" borderId="0" xfId="0" applyNumberFormat="1" applyFont="1" applyFill="1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2" fontId="1" fillId="0" borderId="0" xfId="1" applyNumberFormat="1" applyFill="1" applyAlignment="1" applyProtection="1">
      <protection hidden="1"/>
    </xf>
    <xf numFmtId="2" fontId="1" fillId="0" borderId="0" xfId="1" applyNumberFormat="1" applyFill="1" applyAlignment="1" applyProtection="1">
      <alignment horizontal="right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26" xfId="0" applyNumberFormat="1" applyFont="1" applyBorder="1" applyProtection="1">
      <protection hidden="1"/>
    </xf>
    <xf numFmtId="3" fontId="0" fillId="0" borderId="17" xfId="0" applyNumberFormat="1" applyFill="1" applyBorder="1" applyAlignment="1" applyProtection="1">
      <alignment vertical="center"/>
      <protection hidden="1"/>
    </xf>
    <xf numFmtId="4" fontId="0" fillId="0" borderId="17" xfId="0" applyNumberFormat="1" applyFill="1" applyBorder="1" applyAlignment="1" applyProtection="1">
      <alignment vertical="center"/>
      <protection hidden="1"/>
    </xf>
    <xf numFmtId="165" fontId="0" fillId="0" borderId="17" xfId="0" applyNumberFormat="1" applyFill="1" applyBorder="1" applyAlignment="1" applyProtection="1">
      <alignment vertical="center"/>
      <protection hidden="1"/>
    </xf>
    <xf numFmtId="165" fontId="0" fillId="0" borderId="18" xfId="0" applyNumberFormat="1" applyFont="1" applyFill="1" applyBorder="1" applyAlignment="1" applyProtection="1">
      <alignment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3" fontId="0" fillId="0" borderId="9" xfId="0" applyNumberFormat="1" applyFill="1" applyBorder="1" applyAlignment="1" applyProtection="1">
      <alignment vertical="center"/>
      <protection hidden="1"/>
    </xf>
    <xf numFmtId="0" fontId="0" fillId="0" borderId="9" xfId="0" applyNumberFormat="1" applyFont="1" applyBorder="1" applyProtection="1"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165" fontId="0" fillId="0" borderId="9" xfId="0" applyNumberFormat="1" applyFill="1" applyBorder="1" applyAlignment="1" applyProtection="1">
      <alignment vertical="center"/>
      <protection hidden="1"/>
    </xf>
    <xf numFmtId="165" fontId="0" fillId="0" borderId="20" xfId="0" applyNumberFormat="1" applyFont="1" applyFill="1" applyBorder="1" applyAlignment="1" applyProtection="1">
      <alignment vertical="center"/>
      <protection hidden="1"/>
    </xf>
    <xf numFmtId="14" fontId="4" fillId="0" borderId="34" xfId="0" applyNumberFormat="1" applyFont="1" applyBorder="1" applyAlignment="1" applyProtection="1">
      <alignment horizontal="center" vertical="center"/>
      <protection hidden="1"/>
    </xf>
    <xf numFmtId="3" fontId="0" fillId="0" borderId="26" xfId="0" applyNumberFormat="1" applyFill="1" applyBorder="1" applyAlignment="1" applyProtection="1">
      <alignment vertical="center"/>
      <protection hidden="1"/>
    </xf>
    <xf numFmtId="4" fontId="0" fillId="0" borderId="26" xfId="0" applyNumberFormat="1" applyFill="1" applyBorder="1" applyAlignment="1" applyProtection="1">
      <alignment vertical="center"/>
      <protection hidden="1"/>
    </xf>
    <xf numFmtId="165" fontId="0" fillId="0" borderId="26" xfId="0" applyNumberFormat="1" applyFill="1" applyBorder="1" applyAlignment="1" applyProtection="1">
      <alignment vertical="center"/>
      <protection hidden="1"/>
    </xf>
    <xf numFmtId="165" fontId="0" fillId="0" borderId="27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2" xfId="0" applyFont="1" applyFill="1" applyBorder="1" applyAlignment="1" applyProtection="1">
      <alignment vertical="center"/>
      <protection hidden="1"/>
    </xf>
    <xf numFmtId="0" fontId="13" fillId="0" borderId="13" xfId="0" applyFont="1" applyFill="1" applyBorder="1" applyAlignment="1" applyProtection="1">
      <alignment vertical="center"/>
      <protection hidden="1"/>
    </xf>
    <xf numFmtId="0" fontId="13" fillId="7" borderId="13" xfId="0" applyFont="1" applyFill="1" applyBorder="1" applyAlignment="1" applyProtection="1">
      <alignment vertical="center"/>
      <protection hidden="1"/>
    </xf>
    <xf numFmtId="3" fontId="13" fillId="0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7" borderId="13" xfId="0" applyFont="1" applyFill="1" applyBorder="1" applyAlignment="1" applyProtection="1">
      <alignment horizontal="center" vertical="center"/>
      <protection hidden="1"/>
    </xf>
    <xf numFmtId="3" fontId="13" fillId="7" borderId="22" xfId="0" applyNumberFormat="1" applyFont="1" applyFill="1" applyBorder="1" applyAlignment="1" applyProtection="1">
      <alignment horizontal="center" vertical="center"/>
      <protection hidden="1"/>
    </xf>
    <xf numFmtId="165" fontId="13" fillId="0" borderId="13" xfId="0" applyNumberFormat="1" applyFont="1" applyFill="1" applyBorder="1" applyAlignment="1" applyProtection="1">
      <alignment horizontal="center" vertical="center"/>
      <protection hidden="1"/>
    </xf>
    <xf numFmtId="165" fontId="14" fillId="0" borderId="23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1" fontId="4" fillId="0" borderId="24" xfId="0" applyNumberFormat="1" applyFont="1" applyBorder="1" applyProtection="1">
      <protection hidden="1"/>
    </xf>
    <xf numFmtId="3" fontId="4" fillId="0" borderId="0" xfId="0" applyNumberFormat="1" applyFont="1" applyBorder="1" applyProtection="1">
      <protection hidden="1"/>
    </xf>
    <xf numFmtId="1" fontId="4" fillId="0" borderId="25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3" fontId="0" fillId="7" borderId="9" xfId="0" applyNumberFormat="1" applyFill="1" applyBorder="1" applyAlignment="1" applyProtection="1">
      <alignment vertical="center"/>
      <protection locked="0" hidden="1"/>
    </xf>
    <xf numFmtId="3" fontId="0" fillId="7" borderId="26" xfId="0" applyNumberFormat="1" applyFill="1" applyBorder="1" applyAlignment="1" applyProtection="1">
      <alignment vertical="center"/>
      <protection locked="0" hidden="1"/>
    </xf>
    <xf numFmtId="3" fontId="0" fillId="7" borderId="15" xfId="0" applyNumberFormat="1" applyFill="1" applyBorder="1" applyAlignment="1" applyProtection="1">
      <alignment vertical="center"/>
      <protection locked="0" hidden="1"/>
    </xf>
    <xf numFmtId="1" fontId="1" fillId="0" borderId="0" xfId="1" applyNumberFormat="1" applyFill="1" applyAlignment="1" applyProtection="1">
      <alignment horizontal="left" vertical="center"/>
      <protection locked="0" hidden="1"/>
    </xf>
    <xf numFmtId="164" fontId="8" fillId="0" borderId="8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 applyProtection="1">
      <alignment vertical="center"/>
      <protection hidden="1"/>
    </xf>
    <xf numFmtId="165" fontId="4" fillId="0" borderId="9" xfId="0" applyNumberFormat="1" applyFont="1" applyFill="1" applyBorder="1" applyAlignment="1" applyProtection="1">
      <alignment vertical="center"/>
      <protection hidden="1"/>
    </xf>
    <xf numFmtId="165" fontId="4" fillId="0" borderId="26" xfId="0" applyNumberFormat="1" applyFont="1" applyFill="1" applyBorder="1" applyAlignment="1" applyProtection="1">
      <alignment vertical="center"/>
      <protection hidden="1"/>
    </xf>
    <xf numFmtId="4" fontId="18" fillId="7" borderId="32" xfId="0" applyNumberFormat="1" applyFont="1" applyFill="1" applyBorder="1" applyAlignment="1" applyProtection="1">
      <alignment vertical="center"/>
      <protection locked="0" hidden="1"/>
    </xf>
    <xf numFmtId="4" fontId="18" fillId="7" borderId="9" xfId="0" applyNumberFormat="1" applyFont="1" applyFill="1" applyBorder="1" applyAlignment="1" applyProtection="1">
      <alignment vertical="center"/>
      <protection locked="0" hidden="1"/>
    </xf>
    <xf numFmtId="4" fontId="18" fillId="7" borderId="26" xfId="0" applyNumberFormat="1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3" fontId="0" fillId="7" borderId="17" xfId="0" applyNumberFormat="1" applyFont="1" applyFill="1" applyBorder="1" applyAlignment="1" applyProtection="1">
      <alignment vertical="center"/>
      <protection locked="0" hidden="1"/>
    </xf>
    <xf numFmtId="3" fontId="0" fillId="7" borderId="9" xfId="0" applyNumberFormat="1" applyFont="1" applyFill="1" applyBorder="1" applyAlignment="1" applyProtection="1">
      <alignment vertical="center"/>
      <protection locked="0" hidden="1"/>
    </xf>
    <xf numFmtId="3" fontId="0" fillId="7" borderId="26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4" fillId="5" borderId="30" xfId="0" applyFont="1" applyFill="1" applyBorder="1" applyAlignment="1" applyProtection="1">
      <alignment horizontal="center" vertical="center"/>
      <protection hidden="1"/>
    </xf>
    <xf numFmtId="164" fontId="4" fillId="5" borderId="15" xfId="0" applyNumberFormat="1" applyFont="1" applyFill="1" applyBorder="1" applyAlignment="1" applyProtection="1">
      <alignment horizontal="center" vertical="center"/>
      <protection hidden="1"/>
    </xf>
    <xf numFmtId="164" fontId="4" fillId="5" borderId="18" xfId="0" applyNumberFormat="1" applyFont="1" applyFill="1" applyBorder="1" applyAlignment="1" applyProtection="1">
      <alignment horizontal="center" vertical="center"/>
      <protection hidden="1"/>
    </xf>
    <xf numFmtId="2" fontId="3" fillId="5" borderId="11" xfId="0" applyNumberFormat="1" applyFont="1" applyFill="1" applyBorder="1" applyAlignment="1" applyProtection="1">
      <alignment horizontal="center" vertical="center"/>
      <protection hidden="1"/>
    </xf>
    <xf numFmtId="2" fontId="3" fillId="5" borderId="12" xfId="0" applyNumberFormat="1" applyFont="1" applyFill="1" applyBorder="1" applyAlignment="1" applyProtection="1">
      <alignment horizontal="center" vertical="center"/>
      <protection hidden="1"/>
    </xf>
    <xf numFmtId="2" fontId="3" fillId="5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5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165" fontId="15" fillId="5" borderId="43" xfId="0" applyNumberFormat="1" applyFont="1" applyFill="1" applyBorder="1" applyAlignment="1" applyProtection="1">
      <alignment horizontal="center" vertical="center"/>
      <protection hidden="1"/>
    </xf>
    <xf numFmtId="165" fontId="15" fillId="5" borderId="44" xfId="0" applyNumberFormat="1" applyFont="1" applyFill="1" applyBorder="1" applyAlignment="1" applyProtection="1">
      <alignment horizontal="center" vertical="center"/>
      <protection hidden="1"/>
    </xf>
    <xf numFmtId="14" fontId="4" fillId="0" borderId="17" xfId="0" applyNumberFormat="1" applyFont="1" applyFill="1" applyBorder="1" applyAlignment="1" applyProtection="1">
      <alignment horizontal="center" vertical="center"/>
      <protection locked="0" hidden="1"/>
    </xf>
    <xf numFmtId="165" fontId="15" fillId="5" borderId="18" xfId="0" applyNumberFormat="1" applyFont="1" applyFill="1" applyBorder="1" applyAlignment="1" applyProtection="1">
      <alignment horizontal="center" vertical="center"/>
      <protection hidden="1"/>
    </xf>
    <xf numFmtId="3" fontId="15" fillId="5" borderId="17" xfId="0" applyNumberFormat="1" applyFont="1" applyFill="1" applyBorder="1" applyAlignment="1" applyProtection="1">
      <alignment horizontal="center" vertical="center"/>
      <protection hidden="1"/>
    </xf>
    <xf numFmtId="3" fontId="15" fillId="5" borderId="37" xfId="0" applyNumberFormat="1" applyFont="1" applyFill="1" applyBorder="1" applyAlignment="1" applyProtection="1">
      <alignment horizontal="center" vertical="center"/>
      <protection hidden="1"/>
    </xf>
    <xf numFmtId="0" fontId="4" fillId="5" borderId="45" xfId="0" applyNumberFormat="1" applyFont="1" applyFill="1" applyBorder="1" applyAlignment="1" applyProtection="1">
      <alignment horizontal="center" vertical="center"/>
      <protection hidden="1"/>
    </xf>
    <xf numFmtId="0" fontId="4" fillId="5" borderId="46" xfId="0" applyNumberFormat="1" applyFont="1" applyFill="1" applyBorder="1" applyAlignment="1" applyProtection="1">
      <alignment horizontal="center" vertical="center"/>
      <protection hidden="1"/>
    </xf>
    <xf numFmtId="0" fontId="0" fillId="5" borderId="42" xfId="0" applyFill="1" applyBorder="1" applyAlignment="1" applyProtection="1">
      <alignment horizontal="center"/>
      <protection hidden="1"/>
    </xf>
    <xf numFmtId="0" fontId="0" fillId="5" borderId="28" xfId="0" applyFill="1" applyBorder="1" applyAlignment="1" applyProtection="1">
      <alignment horizontal="center"/>
      <protection hidden="1"/>
    </xf>
    <xf numFmtId="165" fontId="15" fillId="5" borderId="48" xfId="0" applyNumberFormat="1" applyFont="1" applyFill="1" applyBorder="1" applyAlignment="1" applyProtection="1">
      <alignment horizontal="center" vertical="center"/>
      <protection hidden="1"/>
    </xf>
    <xf numFmtId="165" fontId="15" fillId="5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2" fontId="19" fillId="5" borderId="41" xfId="0" applyNumberFormat="1" applyFont="1" applyFill="1" applyBorder="1" applyAlignment="1" applyProtection="1">
      <alignment horizontal="center" vertical="center" wrapText="1"/>
      <protection hidden="1"/>
    </xf>
    <xf numFmtId="2" fontId="19" fillId="5" borderId="40" xfId="0" applyNumberFormat="1" applyFont="1" applyFill="1" applyBorder="1" applyAlignment="1" applyProtection="1">
      <alignment horizontal="center" vertical="center" wrapText="1"/>
      <protection hidden="1"/>
    </xf>
    <xf numFmtId="14" fontId="4" fillId="5" borderId="31" xfId="0" applyNumberFormat="1" applyFont="1" applyFill="1" applyBorder="1" applyAlignment="1" applyProtection="1">
      <alignment horizontal="center" vertical="center"/>
      <protection hidden="1"/>
    </xf>
    <xf numFmtId="4" fontId="18" fillId="5" borderId="17" xfId="0" applyNumberFormat="1" applyFont="1" applyFill="1" applyBorder="1" applyAlignment="1" applyProtection="1">
      <alignment horizontal="center" vertical="center"/>
      <protection hidden="1"/>
    </xf>
    <xf numFmtId="14" fontId="4" fillId="5" borderId="36" xfId="0" applyNumberFormat="1" applyFont="1" applyFill="1" applyBorder="1" applyAlignment="1" applyProtection="1">
      <alignment horizontal="center" vertical="center"/>
      <protection hidden="1"/>
    </xf>
    <xf numFmtId="14" fontId="4" fillId="5" borderId="37" xfId="0" applyNumberFormat="1" applyFont="1" applyFill="1" applyBorder="1" applyAlignment="1" applyProtection="1">
      <alignment horizontal="center" vertical="center"/>
      <protection hidden="1"/>
    </xf>
    <xf numFmtId="4" fontId="18" fillId="5" borderId="37" xfId="0" applyNumberFormat="1" applyFont="1" applyFill="1" applyBorder="1" applyAlignment="1" applyProtection="1">
      <alignment horizontal="center" vertical="center"/>
      <protection hidden="1"/>
    </xf>
    <xf numFmtId="14" fontId="4" fillId="5" borderId="48" xfId="0" applyNumberFormat="1" applyFont="1" applyFill="1" applyBorder="1" applyAlignment="1" applyProtection="1">
      <alignment horizontal="center" vertical="center"/>
      <protection hidden="1"/>
    </xf>
    <xf numFmtId="2" fontId="19" fillId="10" borderId="13" xfId="0" applyNumberFormat="1" applyFont="1" applyFill="1" applyBorder="1" applyAlignment="1" applyProtection="1">
      <alignment horizontal="center" vertical="center" wrapText="1"/>
      <protection hidden="1"/>
    </xf>
    <xf numFmtId="3" fontId="17" fillId="9" borderId="29" xfId="5" applyNumberFormat="1" applyFont="1" applyBorder="1" applyAlignment="1" applyProtection="1">
      <alignment vertical="center"/>
      <protection hidden="1"/>
    </xf>
    <xf numFmtId="3" fontId="0" fillId="7" borderId="9" xfId="0" applyNumberFormat="1" applyFill="1" applyBorder="1" applyAlignment="1" applyProtection="1">
      <alignment vertical="center"/>
      <protection hidden="1"/>
    </xf>
    <xf numFmtId="14" fontId="4" fillId="7" borderId="33" xfId="0" applyNumberFormat="1" applyFont="1" applyFill="1" applyBorder="1" applyAlignment="1" applyProtection="1">
      <alignment vertical="center"/>
      <protection locked="0" hidden="1"/>
    </xf>
    <xf numFmtId="14" fontId="4" fillId="7" borderId="19" xfId="0" applyNumberFormat="1" applyFont="1" applyFill="1" applyBorder="1" applyAlignment="1" applyProtection="1">
      <alignment vertical="center"/>
      <protection locked="0" hidden="1"/>
    </xf>
    <xf numFmtId="14" fontId="4" fillId="7" borderId="9" xfId="0" applyNumberFormat="1" applyFont="1" applyFill="1" applyBorder="1" applyAlignment="1" applyProtection="1">
      <alignment vertical="center"/>
      <protection locked="0" hidden="1"/>
    </xf>
    <xf numFmtId="14" fontId="4" fillId="7" borderId="21" xfId="0" applyNumberFormat="1" applyFont="1" applyFill="1" applyBorder="1" applyAlignment="1" applyProtection="1">
      <alignment vertical="center"/>
      <protection locked="0" hidden="1"/>
    </xf>
    <xf numFmtId="0" fontId="4" fillId="11" borderId="29" xfId="6" applyFont="1" applyBorder="1" applyAlignment="1" applyProtection="1">
      <alignment horizontal="center" vertical="center"/>
      <protection locked="0" hidden="1"/>
    </xf>
    <xf numFmtId="2" fontId="20" fillId="0" borderId="38" xfId="4" applyNumberFormat="1" applyFont="1" applyFill="1" applyBorder="1" applyAlignment="1" applyProtection="1">
      <alignment horizontal="center" vertical="center"/>
      <protection locked="0"/>
    </xf>
    <xf numFmtId="2" fontId="20" fillId="0" borderId="39" xfId="4" applyNumberFormat="1" applyFont="1" applyFill="1" applyBorder="1" applyAlignment="1" applyProtection="1">
      <alignment horizontal="center" vertical="center"/>
      <protection locked="0"/>
    </xf>
    <xf numFmtId="2" fontId="1" fillId="8" borderId="29" xfId="4" applyNumberFormat="1" applyFont="1" applyBorder="1" applyAlignment="1" applyProtection="1">
      <alignment horizontal="center" vertical="center"/>
      <protection locked="0"/>
    </xf>
    <xf numFmtId="2" fontId="19" fillId="10" borderId="29" xfId="0" applyNumberFormat="1" applyFont="1" applyFill="1" applyBorder="1" applyAlignment="1" applyProtection="1">
      <alignment horizontal="center" vertical="center"/>
      <protection hidden="1"/>
    </xf>
    <xf numFmtId="14" fontId="4" fillId="5" borderId="24" xfId="0" applyNumberFormat="1" applyFont="1" applyFill="1" applyBorder="1" applyAlignment="1" applyProtection="1">
      <alignment horizontal="center" vertical="center"/>
      <protection hidden="1"/>
    </xf>
    <xf numFmtId="14" fontId="4" fillId="5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2" fontId="19" fillId="10" borderId="35" xfId="0" applyNumberFormat="1" applyFont="1" applyFill="1" applyBorder="1" applyAlignment="1" applyProtection="1">
      <alignment horizontal="center" vertical="center"/>
      <protection hidden="1"/>
    </xf>
    <xf numFmtId="2" fontId="19" fillId="1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Protection="1">
      <protection hidden="1"/>
    </xf>
    <xf numFmtId="0" fontId="4" fillId="0" borderId="50" xfId="0" applyFont="1" applyBorder="1" applyAlignment="1" applyProtection="1">
      <alignment horizontal="center" vertical="center"/>
      <protection locked="0" hidden="1"/>
    </xf>
    <xf numFmtId="4" fontId="18" fillId="7" borderId="50" xfId="0" applyNumberFormat="1" applyFont="1" applyFill="1" applyBorder="1" applyAlignment="1" applyProtection="1">
      <alignment vertical="center"/>
      <protection locked="0" hidden="1"/>
    </xf>
    <xf numFmtId="0" fontId="0" fillId="0" borderId="17" xfId="0" applyBorder="1" applyProtection="1">
      <protection hidden="1"/>
    </xf>
    <xf numFmtId="4" fontId="18" fillId="7" borderId="17" xfId="0" applyNumberFormat="1" applyFont="1" applyFill="1" applyBorder="1" applyAlignment="1" applyProtection="1">
      <alignment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0" fontId="4" fillId="0" borderId="53" xfId="0" applyFont="1" applyBorder="1" applyAlignment="1" applyProtection="1">
      <alignment horizontal="center" vertical="center"/>
      <protection locked="0" hidden="1"/>
    </xf>
    <xf numFmtId="0" fontId="0" fillId="0" borderId="19" xfId="0" applyBorder="1" applyProtection="1">
      <protection hidden="1"/>
    </xf>
    <xf numFmtId="2" fontId="19" fillId="10" borderId="5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Protection="1">
      <protection hidden="1"/>
    </xf>
    <xf numFmtId="0" fontId="0" fillId="0" borderId="55" xfId="0" applyBorder="1" applyProtection="1">
      <protection hidden="1"/>
    </xf>
    <xf numFmtId="14" fontId="4" fillId="5" borderId="56" xfId="0" applyNumberFormat="1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165" fontId="4" fillId="5" borderId="17" xfId="0" applyNumberFormat="1" applyFont="1" applyFill="1" applyBorder="1" applyAlignment="1" applyProtection="1">
      <alignment horizontal="center" vertical="center"/>
      <protection hidden="1"/>
    </xf>
    <xf numFmtId="165" fontId="4" fillId="5" borderId="57" xfId="0" applyNumberFormat="1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Protection="1">
      <protection hidden="1"/>
    </xf>
    <xf numFmtId="0" fontId="21" fillId="0" borderId="50" xfId="0" applyFont="1" applyBorder="1" applyProtection="1">
      <protection hidden="1"/>
    </xf>
    <xf numFmtId="0" fontId="21" fillId="0" borderId="19" xfId="0" applyFont="1" applyBorder="1" applyProtection="1">
      <protection hidden="1"/>
    </xf>
    <xf numFmtId="0" fontId="21" fillId="0" borderId="55" xfId="0" applyFont="1" applyBorder="1" applyProtection="1">
      <protection hidden="1"/>
    </xf>
    <xf numFmtId="165" fontId="4" fillId="5" borderId="37" xfId="0" applyNumberFormat="1" applyFont="1" applyFill="1" applyBorder="1" applyAlignment="1" applyProtection="1">
      <alignment horizontal="center" vertical="center"/>
      <protection hidden="1"/>
    </xf>
    <xf numFmtId="0" fontId="21" fillId="0" borderId="26" xfId="0" applyFont="1" applyBorder="1" applyProtection="1">
      <protection hidden="1"/>
    </xf>
    <xf numFmtId="2" fontId="19" fillId="10" borderId="5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horizontal="center" vertical="center"/>
      <protection locked="0" hidden="1"/>
    </xf>
    <xf numFmtId="0" fontId="4" fillId="0" borderId="54" xfId="0" applyFont="1" applyBorder="1" applyAlignment="1" applyProtection="1">
      <alignment horizontal="center" vertical="center"/>
      <protection locked="0" hidden="1"/>
    </xf>
    <xf numFmtId="165" fontId="4" fillId="5" borderId="59" xfId="0" applyNumberFormat="1" applyFont="1" applyFill="1" applyBorder="1" applyAlignment="1" applyProtection="1">
      <alignment horizontal="center" vertical="center"/>
      <protection hidden="1"/>
    </xf>
    <xf numFmtId="14" fontId="4" fillId="5" borderId="60" xfId="0" applyNumberFormat="1" applyFont="1" applyFill="1" applyBorder="1" applyAlignment="1" applyProtection="1">
      <alignment horizontal="center" vertical="center"/>
      <protection hidden="1"/>
    </xf>
    <xf numFmtId="0" fontId="21" fillId="0" borderId="61" xfId="0" applyFont="1" applyBorder="1" applyProtection="1">
      <protection hidden="1"/>
    </xf>
    <xf numFmtId="165" fontId="4" fillId="5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locked="0" hidden="1"/>
    </xf>
    <xf numFmtId="165" fontId="4" fillId="5" borderId="15" xfId="0" applyNumberFormat="1" applyFont="1" applyFill="1" applyBorder="1" applyAlignment="1" applyProtection="1">
      <alignment horizontal="center" vertical="center"/>
      <protection hidden="1"/>
    </xf>
    <xf numFmtId="165" fontId="4" fillId="5" borderId="32" xfId="0" applyNumberFormat="1" applyFont="1" applyFill="1" applyBorder="1" applyAlignment="1" applyProtection="1">
      <alignment horizontal="center" vertical="center"/>
      <protection hidden="1"/>
    </xf>
    <xf numFmtId="4" fontId="18" fillId="3" borderId="9" xfId="0" applyNumberFormat="1" applyFont="1" applyFill="1" applyBorder="1" applyAlignment="1" applyProtection="1">
      <alignment vertical="center"/>
      <protection locked="0" hidden="1"/>
    </xf>
    <xf numFmtId="4" fontId="18" fillId="12" borderId="9" xfId="0" applyNumberFormat="1" applyFont="1" applyFill="1" applyBorder="1" applyAlignment="1" applyProtection="1">
      <alignment vertical="center"/>
      <protection locked="0" hidden="1"/>
    </xf>
    <xf numFmtId="2" fontId="1" fillId="0" borderId="0" xfId="1" applyNumberFormat="1" applyFill="1" applyAlignment="1" applyProtection="1">
      <alignment horizontal="center" vertical="center"/>
      <protection hidden="1"/>
    </xf>
    <xf numFmtId="2" fontId="1" fillId="8" borderId="9" xfId="4" applyNumberFormat="1" applyFont="1" applyBorder="1" applyAlignment="1" applyProtection="1">
      <alignment horizontal="center" vertical="center"/>
      <protection locked="0" hidden="1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1" fillId="0" borderId="0" xfId="1" applyNumberFormat="1" applyFill="1" applyAlignment="1">
      <alignment horizontal="center" vertical="center"/>
    </xf>
    <xf numFmtId="0" fontId="5" fillId="0" borderId="0" xfId="2" applyAlignment="1">
      <alignment horizontal="center" vertical="center" wrapText="1"/>
    </xf>
  </cellXfs>
  <cellStyles count="7">
    <cellStyle name="Вычисление 2" xfId="3"/>
    <cellStyle name="Заголовок 4 2" xfId="2"/>
    <cellStyle name="Название" xfId="1" builtinId="15"/>
    <cellStyle name="Нейтральный" xfId="5" builtinId="28"/>
    <cellStyle name="Обычный" xfId="0" builtinId="0"/>
    <cellStyle name="Примечание" xfId="6" builtinId="10"/>
    <cellStyle name="Примечание 2" xfId="4"/>
  </cellStyles>
  <dxfs count="1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6" tint="0.59999389629810485"/>
        </patternFill>
      </fill>
    </dxf>
    <dxf>
      <numFmt numFmtId="3" formatCode="#,##0"/>
      <fill>
        <patternFill patternType="solid">
          <fgColor indexed="64"/>
          <bgColor theme="6" tint="0.5999938962981048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6" tint="0.59999389629810485"/>
        </patternFill>
      </fill>
    </dxf>
    <dxf>
      <numFmt numFmtId="3" formatCode="#,##0"/>
      <fill>
        <patternFill patternType="solid">
          <fgColor indexed="64"/>
          <bgColor theme="6" tint="0.5999938962981048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condense val="0"/>
        <extend val="0"/>
        <color indexed="5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outline="0">
        <right style="medium">
          <color indexed="64"/>
        </right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protection locked="1" hidden="1"/>
    </dxf>
    <dxf>
      <numFmt numFmtId="3" formatCode="#,##0"/>
      <border diagonalUp="0" diagonalDown="0">
        <right style="thin">
          <color indexed="64"/>
        </right>
        <bottom/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numFmt numFmtId="3" formatCode="#,##0"/>
      <protection locked="1" hidden="1"/>
    </dxf>
    <dxf>
      <protection locked="1" hidden="1"/>
    </dxf>
    <dxf>
      <numFmt numFmtId="3" formatCode="#,##0"/>
      <protection locked="1" hidden="1"/>
    </dxf>
    <dxf>
      <numFmt numFmtId="3" formatCode="#,##0"/>
      <border diagonalUp="0" diagonalDown="0">
        <left style="thin">
          <color indexed="64"/>
        </left>
        <right/>
        <bottom/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protection locked="0" hidden="1"/>
    </dxf>
    <dxf>
      <numFmt numFmtId="3" formatCode="#,##0"/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numFmt numFmtId="19" formatCode="dd/mm/yyyy"/>
      <protection locked="1" hidden="1"/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indexed="64"/>
        </patternFill>
      </fill>
      <alignment textRotation="0" indent="0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indexed="64"/>
        </patternFill>
      </fill>
      <alignment vertical="center" textRotation="0" indent="0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2;&#1040;&#1047;&#1099;/&#1044;&#1080;&#1079;.%20&#1090;&#1086;&#1087;&#1083;&#1080;&#1074;&#1086;%20&#1042;&#1090;&#1088;&#1084;&#1077;&#1090;%20&#1062;&#1072;&#1088;&#1080;&#1094;&#1099;&#1085;&#1086;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2;&#1040;&#1047;&#1099;/&#1044;&#1080;&#1079;.%20&#1090;&#1086;&#1087;&#1083;&#1080;&#1074;&#108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79;.%20&#1090;&#1086;&#1087;&#1083;&#1080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отрудники"/>
      <sheetName val="ТС"/>
      <sheetName val="Номер"/>
      <sheetName val="Промитогянварь"/>
    </sheetNames>
    <sheetDataSet>
      <sheetData sheetId="0">
        <row r="4">
          <cell r="D4">
            <v>43105</v>
          </cell>
          <cell r="E4">
            <v>200</v>
          </cell>
          <cell r="F4" t="str">
            <v>фукс 350д(Н)</v>
          </cell>
          <cell r="G4" t="str">
            <v>б/н</v>
          </cell>
        </row>
        <row r="5">
          <cell r="D5">
            <v>43106</v>
          </cell>
          <cell r="E5">
            <v>250</v>
          </cell>
          <cell r="F5" t="str">
            <v>фукс 350д(Н)</v>
          </cell>
          <cell r="G5" t="str">
            <v>б/н</v>
          </cell>
        </row>
        <row r="6">
          <cell r="D6">
            <v>43106</v>
          </cell>
          <cell r="E6">
            <v>150</v>
          </cell>
          <cell r="F6" t="str">
            <v>фукс 350c</v>
          </cell>
          <cell r="G6" t="str">
            <v>б/н</v>
          </cell>
        </row>
        <row r="7">
          <cell r="D7">
            <v>43106</v>
          </cell>
          <cell r="E7">
            <v>150</v>
          </cell>
          <cell r="F7" t="str">
            <v>фукс 350д(Н)</v>
          </cell>
          <cell r="G7" t="str">
            <v>б/н</v>
          </cell>
        </row>
        <row r="8">
          <cell r="D8">
            <v>43108</v>
          </cell>
          <cell r="E8">
            <v>320</v>
          </cell>
          <cell r="F8" t="str">
            <v>фукс 350д(Н)</v>
          </cell>
          <cell r="G8" t="str">
            <v>б/н</v>
          </cell>
        </row>
        <row r="9">
          <cell r="D9">
            <v>43108</v>
          </cell>
          <cell r="E9">
            <v>100</v>
          </cell>
          <cell r="F9" t="str">
            <v>фукс 350д(Н)</v>
          </cell>
          <cell r="G9" t="str">
            <v>б/н</v>
          </cell>
        </row>
        <row r="10">
          <cell r="D10">
            <v>43109</v>
          </cell>
          <cell r="E10">
            <v>300</v>
          </cell>
          <cell r="F10" t="str">
            <v>фукс 350д(Н)</v>
          </cell>
          <cell r="G10" t="str">
            <v>б/н</v>
          </cell>
        </row>
        <row r="11">
          <cell r="D11">
            <v>43109</v>
          </cell>
          <cell r="E11">
            <v>150</v>
          </cell>
          <cell r="F11" t="str">
            <v>Погрузчик LG</v>
          </cell>
          <cell r="G11" t="str">
            <v>б/н</v>
          </cell>
        </row>
        <row r="12">
          <cell r="D12">
            <v>43109</v>
          </cell>
          <cell r="E12">
            <v>280</v>
          </cell>
          <cell r="F12" t="str">
            <v>Камаз 65115</v>
          </cell>
          <cell r="G12" t="str">
            <v>с 546 уо 777</v>
          </cell>
        </row>
        <row r="13">
          <cell r="D13">
            <v>43109</v>
          </cell>
          <cell r="E13">
            <v>100</v>
          </cell>
          <cell r="F13" t="str">
            <v>фукс 350д(Н)</v>
          </cell>
          <cell r="G13" t="str">
            <v>б/н</v>
          </cell>
        </row>
        <row r="14">
          <cell r="D14">
            <v>43110</v>
          </cell>
        </row>
        <row r="15">
          <cell r="D15">
            <v>43110</v>
          </cell>
          <cell r="E15">
            <v>240</v>
          </cell>
          <cell r="F15" t="str">
            <v>Камаз 65115</v>
          </cell>
          <cell r="G15" t="str">
            <v>в 433 ру 197</v>
          </cell>
        </row>
        <row r="16">
          <cell r="D16">
            <v>43110</v>
          </cell>
          <cell r="E16">
            <v>200</v>
          </cell>
          <cell r="F16" t="str">
            <v>фукс 350д(Н)</v>
          </cell>
          <cell r="G16" t="str">
            <v>б/н</v>
          </cell>
        </row>
        <row r="17">
          <cell r="D17">
            <v>43110</v>
          </cell>
          <cell r="E17">
            <v>300</v>
          </cell>
          <cell r="F17" t="str">
            <v>фукс 350c</v>
          </cell>
          <cell r="G17" t="str">
            <v>б/н</v>
          </cell>
        </row>
        <row r="18">
          <cell r="D18">
            <v>43110</v>
          </cell>
          <cell r="E18">
            <v>100</v>
          </cell>
          <cell r="F18" t="str">
            <v>фукс 350д(Н)</v>
          </cell>
          <cell r="G18" t="str">
            <v>б/н</v>
          </cell>
        </row>
        <row r="19">
          <cell r="D19">
            <v>43111</v>
          </cell>
          <cell r="E19">
            <v>310</v>
          </cell>
          <cell r="F19" t="str">
            <v>Камаз 65115</v>
          </cell>
          <cell r="G19" t="str">
            <v>х 733 ун 197</v>
          </cell>
        </row>
        <row r="20">
          <cell r="D20">
            <v>43111</v>
          </cell>
          <cell r="E20">
            <v>120</v>
          </cell>
          <cell r="F20" t="str">
            <v>фукс 350д(Н)</v>
          </cell>
          <cell r="G20" t="str">
            <v>б/н</v>
          </cell>
        </row>
        <row r="21">
          <cell r="D21">
            <v>43111</v>
          </cell>
          <cell r="E21">
            <v>340</v>
          </cell>
          <cell r="F21" t="str">
            <v>Камаз 65115</v>
          </cell>
          <cell r="G21" t="str">
            <v>р 908 он 197</v>
          </cell>
        </row>
        <row r="22">
          <cell r="D22">
            <v>43111</v>
          </cell>
          <cell r="E22">
            <v>100</v>
          </cell>
          <cell r="F22" t="str">
            <v>фукс 350д(Н)</v>
          </cell>
          <cell r="G22" t="str">
            <v>б/н</v>
          </cell>
        </row>
        <row r="23">
          <cell r="D23">
            <v>43112</v>
          </cell>
          <cell r="E23">
            <v>170</v>
          </cell>
          <cell r="F23" t="str">
            <v>фукс 350д(Н)</v>
          </cell>
          <cell r="G23" t="str">
            <v>б/н</v>
          </cell>
        </row>
        <row r="24">
          <cell r="D24">
            <v>43112</v>
          </cell>
          <cell r="E24">
            <v>100</v>
          </cell>
          <cell r="F24" t="str">
            <v>фукс 350д(Н)</v>
          </cell>
          <cell r="G24" t="str">
            <v>б/н</v>
          </cell>
        </row>
        <row r="25">
          <cell r="D25">
            <v>43113</v>
          </cell>
          <cell r="E25">
            <v>150</v>
          </cell>
          <cell r="F25" t="str">
            <v>фукс 350д(Н)</v>
          </cell>
          <cell r="G25" t="str">
            <v>б/н</v>
          </cell>
        </row>
        <row r="26">
          <cell r="D26">
            <v>43113</v>
          </cell>
          <cell r="E26">
            <v>400</v>
          </cell>
          <cell r="F26" t="str">
            <v>Камаз 65115</v>
          </cell>
          <cell r="G26" t="str">
            <v>к 855 ке 197</v>
          </cell>
        </row>
        <row r="27">
          <cell r="D27">
            <v>43113</v>
          </cell>
          <cell r="E27">
            <v>300</v>
          </cell>
          <cell r="F27" t="str">
            <v>фукс 350c</v>
          </cell>
          <cell r="G27" t="str">
            <v>б/н</v>
          </cell>
        </row>
        <row r="28">
          <cell r="D28">
            <v>43113</v>
          </cell>
          <cell r="E28">
            <v>100</v>
          </cell>
          <cell r="F28" t="str">
            <v>фукс 350д(Н)</v>
          </cell>
          <cell r="G28" t="str">
            <v>б/н</v>
          </cell>
        </row>
        <row r="29">
          <cell r="D29">
            <v>43114</v>
          </cell>
          <cell r="E29">
            <v>100</v>
          </cell>
          <cell r="F29" t="str">
            <v>фукс 350д(Н)</v>
          </cell>
          <cell r="G29" t="str">
            <v>б/н</v>
          </cell>
        </row>
        <row r="30">
          <cell r="D30">
            <v>43114</v>
          </cell>
          <cell r="E30">
            <v>100</v>
          </cell>
          <cell r="F30" t="str">
            <v>фукс 350д(Н)</v>
          </cell>
          <cell r="G30" t="str">
            <v>б/н</v>
          </cell>
        </row>
        <row r="31">
          <cell r="D31">
            <v>43115</v>
          </cell>
          <cell r="E31">
            <v>170</v>
          </cell>
          <cell r="F31" t="str">
            <v>фукс 350д(Н)</v>
          </cell>
          <cell r="G31" t="str">
            <v>б/н</v>
          </cell>
        </row>
        <row r="32">
          <cell r="D32">
            <v>43115</v>
          </cell>
          <cell r="E32">
            <v>305</v>
          </cell>
          <cell r="F32" t="str">
            <v>Камаз 65115</v>
          </cell>
          <cell r="G32" t="str">
            <v>с 546 уо 777</v>
          </cell>
        </row>
        <row r="33">
          <cell r="D33">
            <v>43115</v>
          </cell>
          <cell r="E33">
            <v>100</v>
          </cell>
          <cell r="F33" t="str">
            <v>фукс 350д(Н)</v>
          </cell>
          <cell r="G33" t="str">
            <v>б/н</v>
          </cell>
        </row>
        <row r="34">
          <cell r="D34">
            <v>43116</v>
          </cell>
          <cell r="E34">
            <v>100</v>
          </cell>
          <cell r="F34" t="str">
            <v>фукс 350д(Н)</v>
          </cell>
          <cell r="G34" t="str">
            <v>б/н</v>
          </cell>
        </row>
        <row r="35">
          <cell r="D35">
            <v>43116</v>
          </cell>
          <cell r="E35">
            <v>200</v>
          </cell>
          <cell r="F35" t="str">
            <v>фукс 350c</v>
          </cell>
          <cell r="G35" t="str">
            <v>б/н</v>
          </cell>
        </row>
        <row r="36">
          <cell r="D36">
            <v>43116</v>
          </cell>
          <cell r="E36">
            <v>200</v>
          </cell>
          <cell r="F36" t="str">
            <v>Камаз 65115</v>
          </cell>
          <cell r="G36" t="str">
            <v>в 433 ру 197</v>
          </cell>
        </row>
        <row r="37">
          <cell r="D37">
            <v>43116</v>
          </cell>
          <cell r="E37">
            <v>100</v>
          </cell>
          <cell r="F37" t="str">
            <v>фукс 350д(Н)</v>
          </cell>
          <cell r="G37" t="str">
            <v>б/н</v>
          </cell>
        </row>
        <row r="38">
          <cell r="D38">
            <v>43116</v>
          </cell>
        </row>
        <row r="39">
          <cell r="D39">
            <v>43117</v>
          </cell>
          <cell r="E39">
            <v>150</v>
          </cell>
          <cell r="F39" t="str">
            <v>фукс 350д(Н)</v>
          </cell>
          <cell r="G39" t="str">
            <v>б/н</v>
          </cell>
        </row>
        <row r="40">
          <cell r="D40">
            <v>43117</v>
          </cell>
          <cell r="E40">
            <v>195</v>
          </cell>
          <cell r="F40" t="str">
            <v>Погрузчик LG</v>
          </cell>
          <cell r="G40" t="str">
            <v>б/н</v>
          </cell>
        </row>
        <row r="41">
          <cell r="D41">
            <v>43117</v>
          </cell>
          <cell r="E41">
            <v>410</v>
          </cell>
          <cell r="F41" t="str">
            <v>Камаз 65115</v>
          </cell>
          <cell r="G41" t="str">
            <v>р 908 он 197</v>
          </cell>
        </row>
        <row r="42">
          <cell r="D42">
            <v>43117</v>
          </cell>
          <cell r="E42">
            <v>100</v>
          </cell>
          <cell r="F42" t="str">
            <v>фукс 350д(Н)</v>
          </cell>
          <cell r="G42" t="str">
            <v>б/н</v>
          </cell>
        </row>
        <row r="43">
          <cell r="D43">
            <v>43118</v>
          </cell>
          <cell r="E43">
            <v>200</v>
          </cell>
          <cell r="F43" t="str">
            <v>фукс 350д(Н)</v>
          </cell>
          <cell r="G43" t="str">
            <v>б/н</v>
          </cell>
        </row>
        <row r="44">
          <cell r="D44">
            <v>43118</v>
          </cell>
          <cell r="E44">
            <v>345</v>
          </cell>
          <cell r="F44" t="str">
            <v>Камаз 65115</v>
          </cell>
          <cell r="G44" t="str">
            <v>х 733 ун 197</v>
          </cell>
        </row>
        <row r="45">
          <cell r="D45">
            <v>43118</v>
          </cell>
          <cell r="E45">
            <v>230</v>
          </cell>
          <cell r="F45" t="str">
            <v>Камаз 65115</v>
          </cell>
          <cell r="G45" t="str">
            <v>к 855 ке 197</v>
          </cell>
        </row>
        <row r="46">
          <cell r="D46">
            <v>43118</v>
          </cell>
          <cell r="E46">
            <v>150</v>
          </cell>
          <cell r="F46" t="str">
            <v>Камаз 65115</v>
          </cell>
          <cell r="G46" t="str">
            <v>с 546 уо 777</v>
          </cell>
        </row>
        <row r="47">
          <cell r="D47">
            <v>43118</v>
          </cell>
          <cell r="E47">
            <v>90</v>
          </cell>
          <cell r="F47" t="str">
            <v>Камаз 65115</v>
          </cell>
          <cell r="G47" t="str">
            <v>р 908 он 197</v>
          </cell>
        </row>
        <row r="48">
          <cell r="D48">
            <v>43118</v>
          </cell>
          <cell r="E48">
            <v>140</v>
          </cell>
          <cell r="F48" t="str">
            <v>Камаз 65115</v>
          </cell>
          <cell r="G48" t="str">
            <v>в 433 ру 197</v>
          </cell>
        </row>
        <row r="49">
          <cell r="D49">
            <v>43118</v>
          </cell>
          <cell r="E49">
            <v>380</v>
          </cell>
          <cell r="F49" t="str">
            <v>Камаз 65115</v>
          </cell>
          <cell r="G49" t="str">
            <v>т 056 вв 197</v>
          </cell>
        </row>
        <row r="50">
          <cell r="D50">
            <v>43118</v>
          </cell>
          <cell r="F50" t="str">
            <v>Прессножницы</v>
          </cell>
        </row>
        <row r="51">
          <cell r="D51">
            <v>43119</v>
          </cell>
          <cell r="E51">
            <v>170</v>
          </cell>
          <cell r="F51" t="str">
            <v>фукс 350д(Н)</v>
          </cell>
          <cell r="G51" t="str">
            <v>б/н</v>
          </cell>
        </row>
        <row r="52">
          <cell r="D52">
            <v>43119</v>
          </cell>
          <cell r="E52">
            <v>250</v>
          </cell>
          <cell r="F52" t="str">
            <v>фукс 350c</v>
          </cell>
          <cell r="G52" t="str">
            <v>б/н</v>
          </cell>
        </row>
        <row r="53">
          <cell r="D53">
            <v>43120</v>
          </cell>
          <cell r="E53">
            <v>230</v>
          </cell>
          <cell r="F53" t="str">
            <v>фукс 350д(Н)</v>
          </cell>
          <cell r="G53" t="str">
            <v>б/н</v>
          </cell>
        </row>
        <row r="54">
          <cell r="D54">
            <v>43120</v>
          </cell>
          <cell r="E54">
            <v>30</v>
          </cell>
          <cell r="F54" t="str">
            <v>Погрузчик LG</v>
          </cell>
          <cell r="G54" t="str">
            <v>б/н</v>
          </cell>
        </row>
        <row r="55">
          <cell r="D55">
            <v>43120</v>
          </cell>
          <cell r="E55">
            <v>250</v>
          </cell>
          <cell r="F55" t="str">
            <v>фукс 350c</v>
          </cell>
          <cell r="G55" t="str">
            <v>б/н</v>
          </cell>
        </row>
        <row r="56">
          <cell r="D56">
            <v>43122</v>
          </cell>
          <cell r="E56">
            <v>190</v>
          </cell>
          <cell r="F56" t="str">
            <v>фукс 350д(Н)</v>
          </cell>
          <cell r="G56" t="str">
            <v>б/н</v>
          </cell>
        </row>
        <row r="57">
          <cell r="D57">
            <v>43122</v>
          </cell>
          <cell r="E57">
            <v>100</v>
          </cell>
          <cell r="F57" t="str">
            <v>фукс 350д(Н)</v>
          </cell>
          <cell r="G57" t="str">
            <v>б/н</v>
          </cell>
        </row>
        <row r="58">
          <cell r="D58">
            <v>43123</v>
          </cell>
          <cell r="E58">
            <v>280</v>
          </cell>
          <cell r="F58" t="str">
            <v>фукс 350д(Н)</v>
          </cell>
          <cell r="G58" t="str">
            <v>б/н</v>
          </cell>
        </row>
        <row r="59">
          <cell r="D59">
            <v>43123</v>
          </cell>
          <cell r="E59">
            <v>310</v>
          </cell>
          <cell r="F59" t="str">
            <v>фукс 350c</v>
          </cell>
          <cell r="G59" t="str">
            <v>б/н</v>
          </cell>
        </row>
        <row r="60">
          <cell r="D60">
            <v>43124</v>
          </cell>
          <cell r="E60">
            <v>280</v>
          </cell>
          <cell r="F60" t="str">
            <v>Камаз 65115</v>
          </cell>
          <cell r="G60" t="str">
            <v>с 504 уо 777</v>
          </cell>
        </row>
        <row r="61">
          <cell r="D61">
            <v>43124</v>
          </cell>
          <cell r="E61">
            <v>220</v>
          </cell>
          <cell r="F61" t="str">
            <v>фукс 350д(Н)</v>
          </cell>
          <cell r="G61" t="str">
            <v>б/н</v>
          </cell>
        </row>
        <row r="62">
          <cell r="D62">
            <v>43124</v>
          </cell>
          <cell r="E62">
            <v>360</v>
          </cell>
          <cell r="F62" t="str">
            <v>Камаз 65115</v>
          </cell>
          <cell r="G62" t="str">
            <v>к 463 вт 197</v>
          </cell>
        </row>
        <row r="63">
          <cell r="D63">
            <v>43124</v>
          </cell>
        </row>
        <row r="64">
          <cell r="D64">
            <v>43124</v>
          </cell>
          <cell r="E64">
            <v>230</v>
          </cell>
          <cell r="F64" t="str">
            <v>Камаз 65115</v>
          </cell>
          <cell r="G64" t="str">
            <v>в 433 ру 197</v>
          </cell>
        </row>
        <row r="65">
          <cell r="D65">
            <v>43125</v>
          </cell>
          <cell r="E65">
            <v>300</v>
          </cell>
          <cell r="F65" t="str">
            <v>Камаз 65115</v>
          </cell>
          <cell r="G65" t="str">
            <v>т 056 вв 197</v>
          </cell>
        </row>
        <row r="66">
          <cell r="D66">
            <v>43125</v>
          </cell>
          <cell r="E66">
            <v>290</v>
          </cell>
          <cell r="F66" t="str">
            <v>фукс 350д(Н)</v>
          </cell>
          <cell r="G66" t="str">
            <v>б/н</v>
          </cell>
        </row>
        <row r="67">
          <cell r="D67">
            <v>43125</v>
          </cell>
          <cell r="E67">
            <v>240</v>
          </cell>
          <cell r="F67" t="str">
            <v>фукс 350c</v>
          </cell>
          <cell r="G67" t="str">
            <v>б/н</v>
          </cell>
        </row>
        <row r="68">
          <cell r="D68">
            <v>43125</v>
          </cell>
          <cell r="E68">
            <v>240</v>
          </cell>
          <cell r="F68" t="str">
            <v>Погрузчик LG</v>
          </cell>
          <cell r="G68" t="str">
            <v>б/н</v>
          </cell>
        </row>
        <row r="69">
          <cell r="D69">
            <v>43126</v>
          </cell>
          <cell r="E69">
            <v>280</v>
          </cell>
          <cell r="F69" t="str">
            <v>фукс 350д(Н)</v>
          </cell>
          <cell r="G69" t="str">
            <v>б/н</v>
          </cell>
        </row>
        <row r="70">
          <cell r="D70">
            <v>43126</v>
          </cell>
          <cell r="E70">
            <v>380</v>
          </cell>
          <cell r="F70" t="str">
            <v>Камаз 65115</v>
          </cell>
          <cell r="G70" t="str">
            <v>х 733 ун 197</v>
          </cell>
        </row>
        <row r="71">
          <cell r="D71">
            <v>43126</v>
          </cell>
          <cell r="E71">
            <v>340</v>
          </cell>
          <cell r="F71" t="str">
            <v>Камаз 65115</v>
          </cell>
          <cell r="G71" t="str">
            <v>р 908 он 197</v>
          </cell>
        </row>
        <row r="72">
          <cell r="D72">
            <v>43127</v>
          </cell>
          <cell r="E72">
            <v>300</v>
          </cell>
          <cell r="F72" t="str">
            <v>фукс 350д(Н)</v>
          </cell>
          <cell r="G72" t="str">
            <v>б/н</v>
          </cell>
        </row>
        <row r="73">
          <cell r="D73">
            <v>43127</v>
          </cell>
          <cell r="E73">
            <v>270</v>
          </cell>
          <cell r="F73" t="str">
            <v>фукс 350c</v>
          </cell>
          <cell r="G73" t="str">
            <v>б/н</v>
          </cell>
        </row>
        <row r="74">
          <cell r="D74">
            <v>43127</v>
          </cell>
          <cell r="E74">
            <v>310</v>
          </cell>
          <cell r="F74" t="str">
            <v>Камаз 65115</v>
          </cell>
          <cell r="G74" t="str">
            <v>с 504 уо 777</v>
          </cell>
        </row>
        <row r="75">
          <cell r="D75">
            <v>43127</v>
          </cell>
          <cell r="E75">
            <v>155</v>
          </cell>
          <cell r="F75" t="str">
            <v>Погрузчик LG</v>
          </cell>
          <cell r="G75" t="str">
            <v>б/н</v>
          </cell>
        </row>
        <row r="76">
          <cell r="D76">
            <v>43128</v>
          </cell>
          <cell r="E76">
            <v>290</v>
          </cell>
          <cell r="F76" t="str">
            <v>фукс 350д(Н)</v>
          </cell>
          <cell r="G76" t="str">
            <v>б/н</v>
          </cell>
        </row>
        <row r="77">
          <cell r="D77">
            <v>43128</v>
          </cell>
          <cell r="E77">
            <v>380</v>
          </cell>
          <cell r="F77" t="str">
            <v>Камаз 65115</v>
          </cell>
          <cell r="G77" t="str">
            <v>к 463 вт 197</v>
          </cell>
        </row>
        <row r="78">
          <cell r="D78">
            <v>43128</v>
          </cell>
          <cell r="E78">
            <v>220</v>
          </cell>
          <cell r="F78" t="str">
            <v>Камаз 65115</v>
          </cell>
          <cell r="G78" t="str">
            <v>х 733 ун 197</v>
          </cell>
        </row>
        <row r="79">
          <cell r="D79">
            <v>43128</v>
          </cell>
        </row>
        <row r="80">
          <cell r="D80">
            <v>43129</v>
          </cell>
          <cell r="E80">
            <v>300</v>
          </cell>
          <cell r="F80" t="str">
            <v>фукс 350д(Н)</v>
          </cell>
          <cell r="G80" t="str">
            <v>б/н</v>
          </cell>
        </row>
        <row r="81">
          <cell r="D81">
            <v>43129</v>
          </cell>
          <cell r="E81">
            <v>230</v>
          </cell>
          <cell r="F81" t="str">
            <v>фукс 350c</v>
          </cell>
          <cell r="G81" t="str">
            <v>б/н</v>
          </cell>
        </row>
        <row r="82">
          <cell r="D82">
            <v>43129</v>
          </cell>
          <cell r="E82">
            <v>240</v>
          </cell>
          <cell r="F82" t="str">
            <v>Камаз 65115</v>
          </cell>
          <cell r="G82" t="str">
            <v>в 433 ру 197</v>
          </cell>
        </row>
        <row r="83">
          <cell r="D83">
            <v>43129</v>
          </cell>
          <cell r="E83">
            <v>370</v>
          </cell>
          <cell r="F83" t="str">
            <v>Камаз 65115</v>
          </cell>
          <cell r="G83" t="str">
            <v>т 056 вв 197</v>
          </cell>
        </row>
        <row r="84">
          <cell r="D84">
            <v>43129</v>
          </cell>
          <cell r="E84">
            <v>360</v>
          </cell>
          <cell r="F84" t="str">
            <v>Камаз 65115</v>
          </cell>
          <cell r="G84" t="str">
            <v>р 908 он 197</v>
          </cell>
        </row>
        <row r="85">
          <cell r="D85">
            <v>43130</v>
          </cell>
          <cell r="E85">
            <v>290</v>
          </cell>
          <cell r="F85" t="str">
            <v>фукс 350д(Н)</v>
          </cell>
          <cell r="G85" t="str">
            <v>б/н</v>
          </cell>
        </row>
        <row r="86">
          <cell r="D86">
            <v>43130</v>
          </cell>
          <cell r="E86">
            <v>280</v>
          </cell>
          <cell r="F86" t="str">
            <v>Камаз 65115</v>
          </cell>
          <cell r="G86" t="str">
            <v>с 504 уо 777</v>
          </cell>
        </row>
        <row r="87">
          <cell r="D87">
            <v>43131</v>
          </cell>
          <cell r="E87">
            <v>240</v>
          </cell>
          <cell r="F87" t="str">
            <v>фукс 350д(Н)</v>
          </cell>
          <cell r="G87" t="str">
            <v>б/н</v>
          </cell>
        </row>
        <row r="88">
          <cell r="D88">
            <v>43131</v>
          </cell>
          <cell r="E88">
            <v>180</v>
          </cell>
          <cell r="F88" t="str">
            <v>фукс 350c</v>
          </cell>
          <cell r="G88" t="str">
            <v>б/н</v>
          </cell>
        </row>
        <row r="89">
          <cell r="D89">
            <v>43131</v>
          </cell>
          <cell r="E89">
            <v>50</v>
          </cell>
          <cell r="F89" t="str">
            <v>Камаз 65115</v>
          </cell>
          <cell r="G89" t="str">
            <v>с 504 уо 777</v>
          </cell>
        </row>
        <row r="90">
          <cell r="D90">
            <v>43131</v>
          </cell>
          <cell r="E90">
            <v>200</v>
          </cell>
          <cell r="F90" t="str">
            <v>Камаз 65115</v>
          </cell>
          <cell r="G90" t="str">
            <v>к 463 вт 197</v>
          </cell>
        </row>
        <row r="91">
          <cell r="D91">
            <v>43131</v>
          </cell>
          <cell r="E91">
            <v>30</v>
          </cell>
          <cell r="F91" t="str">
            <v>Камаз 65115</v>
          </cell>
          <cell r="G91" t="str">
            <v>х 733 ун 197</v>
          </cell>
        </row>
        <row r="92">
          <cell r="D92">
            <v>43131</v>
          </cell>
          <cell r="E92">
            <v>250</v>
          </cell>
          <cell r="F92" t="str">
            <v>Камаз 65115</v>
          </cell>
          <cell r="G92" t="str">
            <v>т 056 вв 197</v>
          </cell>
        </row>
        <row r="93">
          <cell r="D93">
            <v>43131</v>
          </cell>
          <cell r="E93">
            <v>250</v>
          </cell>
          <cell r="F93" t="str">
            <v>Камаз 65115</v>
          </cell>
          <cell r="G93" t="str">
            <v>р 908 он 197</v>
          </cell>
        </row>
        <row r="94">
          <cell r="D94">
            <v>43131</v>
          </cell>
          <cell r="E94">
            <v>140</v>
          </cell>
          <cell r="F94" t="str">
            <v>Камаз 65115</v>
          </cell>
          <cell r="G94" t="str">
            <v>в 433 ру 197</v>
          </cell>
        </row>
        <row r="95">
          <cell r="D95">
            <v>43131</v>
          </cell>
          <cell r="F95" t="str">
            <v>Прессножницы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отрудники"/>
      <sheetName val="ТС"/>
      <sheetName val="Номер"/>
    </sheetNames>
    <sheetDataSet>
      <sheetData sheetId="0">
        <row r="4">
          <cell r="D4">
            <v>43105</v>
          </cell>
          <cell r="E4">
            <v>200</v>
          </cell>
          <cell r="F4" t="str">
            <v>фукс 350д(Н)</v>
          </cell>
          <cell r="G4" t="str">
            <v>б/н</v>
          </cell>
        </row>
        <row r="5">
          <cell r="D5">
            <v>43106</v>
          </cell>
          <cell r="E5">
            <v>250</v>
          </cell>
          <cell r="F5" t="str">
            <v>фукс 350д(Н)</v>
          </cell>
          <cell r="G5" t="str">
            <v>б/н</v>
          </cell>
        </row>
        <row r="6">
          <cell r="D6">
            <v>43106</v>
          </cell>
          <cell r="E6">
            <v>150</v>
          </cell>
          <cell r="F6" t="str">
            <v>фукс 350c</v>
          </cell>
          <cell r="G6" t="str">
            <v>б/н</v>
          </cell>
        </row>
        <row r="7">
          <cell r="D7">
            <v>43106</v>
          </cell>
          <cell r="E7">
            <v>150</v>
          </cell>
          <cell r="F7" t="str">
            <v>фукс 350д(Н)</v>
          </cell>
          <cell r="G7" t="str">
            <v>б/н</v>
          </cell>
        </row>
        <row r="8">
          <cell r="D8">
            <v>43108</v>
          </cell>
          <cell r="E8">
            <v>320</v>
          </cell>
          <cell r="F8" t="str">
            <v>фукс 350д(Н)</v>
          </cell>
          <cell r="G8" t="str">
            <v>б/н</v>
          </cell>
        </row>
        <row r="9">
          <cell r="D9">
            <v>43108</v>
          </cell>
          <cell r="E9">
            <v>100</v>
          </cell>
          <cell r="F9" t="str">
            <v>фукс 350д(Н)</v>
          </cell>
          <cell r="G9" t="str">
            <v>б/н</v>
          </cell>
        </row>
        <row r="10">
          <cell r="D10">
            <v>43109</v>
          </cell>
          <cell r="E10">
            <v>300</v>
          </cell>
          <cell r="F10" t="str">
            <v>фукс 350д(Н)</v>
          </cell>
          <cell r="G10" t="str">
            <v>б/н</v>
          </cell>
        </row>
        <row r="11">
          <cell r="D11">
            <v>43109</v>
          </cell>
          <cell r="E11">
            <v>150</v>
          </cell>
          <cell r="F11" t="str">
            <v>Погрузчик LG</v>
          </cell>
          <cell r="G11" t="str">
            <v>б/н</v>
          </cell>
        </row>
        <row r="12">
          <cell r="D12">
            <v>43109</v>
          </cell>
          <cell r="E12">
            <v>280</v>
          </cell>
          <cell r="F12" t="str">
            <v>Камаз 65115</v>
          </cell>
          <cell r="G12" t="str">
            <v>с 546 уо 777</v>
          </cell>
        </row>
        <row r="13">
          <cell r="D13">
            <v>43109</v>
          </cell>
          <cell r="E13">
            <v>100</v>
          </cell>
          <cell r="F13" t="str">
            <v>фукс 350д(Н)</v>
          </cell>
          <cell r="G13" t="str">
            <v>б/н</v>
          </cell>
        </row>
        <row r="14">
          <cell r="D14">
            <v>43110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43110</v>
          </cell>
          <cell r="E15">
            <v>240</v>
          </cell>
          <cell r="F15" t="str">
            <v>Камаз 65115</v>
          </cell>
          <cell r="G15" t="str">
            <v>в 433 ру 197</v>
          </cell>
        </row>
        <row r="16">
          <cell r="D16">
            <v>43110</v>
          </cell>
          <cell r="E16">
            <v>200</v>
          </cell>
          <cell r="F16" t="str">
            <v>фукс 350д(Н)</v>
          </cell>
          <cell r="G16" t="str">
            <v>б/н</v>
          </cell>
        </row>
        <row r="17">
          <cell r="D17">
            <v>43110</v>
          </cell>
          <cell r="E17">
            <v>300</v>
          </cell>
          <cell r="F17" t="str">
            <v>фукс 350c</v>
          </cell>
          <cell r="G17" t="str">
            <v>б/н</v>
          </cell>
        </row>
        <row r="18">
          <cell r="D18">
            <v>43110</v>
          </cell>
          <cell r="E18">
            <v>100</v>
          </cell>
          <cell r="F18" t="str">
            <v>фукс 350д(Н)</v>
          </cell>
          <cell r="G18" t="str">
            <v>б/н</v>
          </cell>
        </row>
        <row r="19">
          <cell r="D19">
            <v>43111</v>
          </cell>
          <cell r="E19">
            <v>310</v>
          </cell>
          <cell r="F19" t="str">
            <v>Камаз 65115</v>
          </cell>
          <cell r="G19" t="str">
            <v>х 733 ун 197</v>
          </cell>
        </row>
        <row r="20">
          <cell r="D20">
            <v>43111</v>
          </cell>
          <cell r="E20">
            <v>120</v>
          </cell>
          <cell r="F20" t="str">
            <v>фукс 350д(Н)</v>
          </cell>
          <cell r="G20" t="str">
            <v>б/н</v>
          </cell>
        </row>
        <row r="21">
          <cell r="D21">
            <v>43111</v>
          </cell>
          <cell r="E21">
            <v>340</v>
          </cell>
          <cell r="F21" t="str">
            <v>Камаз 65115</v>
          </cell>
          <cell r="G21" t="str">
            <v>р 908 он 197</v>
          </cell>
        </row>
        <row r="22">
          <cell r="D22">
            <v>43111</v>
          </cell>
          <cell r="E22">
            <v>100</v>
          </cell>
          <cell r="F22" t="str">
            <v>фукс 350д(Н)</v>
          </cell>
          <cell r="G22" t="str">
            <v>б/н</v>
          </cell>
        </row>
        <row r="23">
          <cell r="D23">
            <v>43112</v>
          </cell>
          <cell r="E23">
            <v>170</v>
          </cell>
          <cell r="F23" t="str">
            <v>фукс 350д(Н)</v>
          </cell>
          <cell r="G23" t="str">
            <v>б/н</v>
          </cell>
        </row>
        <row r="24">
          <cell r="D24">
            <v>43112</v>
          </cell>
          <cell r="E24">
            <v>100</v>
          </cell>
          <cell r="F24" t="str">
            <v>фукс 350д(Н)</v>
          </cell>
          <cell r="G24" t="str">
            <v>б/н</v>
          </cell>
        </row>
        <row r="25">
          <cell r="D25">
            <v>43113</v>
          </cell>
          <cell r="E25">
            <v>150</v>
          </cell>
          <cell r="F25" t="str">
            <v>фукс 350д(Н)</v>
          </cell>
          <cell r="G25" t="str">
            <v>б/н</v>
          </cell>
        </row>
        <row r="26">
          <cell r="D26">
            <v>43113</v>
          </cell>
          <cell r="E26">
            <v>400</v>
          </cell>
          <cell r="F26" t="str">
            <v>Камаз 65115</v>
          </cell>
          <cell r="G26" t="str">
            <v>к 855 ке 197</v>
          </cell>
        </row>
        <row r="27">
          <cell r="D27">
            <v>43113</v>
          </cell>
          <cell r="E27">
            <v>300</v>
          </cell>
          <cell r="F27" t="str">
            <v>фукс 350c</v>
          </cell>
          <cell r="G27" t="str">
            <v>б/н</v>
          </cell>
        </row>
        <row r="28">
          <cell r="D28">
            <v>43113</v>
          </cell>
          <cell r="E28">
            <v>100</v>
          </cell>
          <cell r="F28" t="str">
            <v>фукс 350д(Н)</v>
          </cell>
          <cell r="G28" t="str">
            <v>б/н</v>
          </cell>
        </row>
        <row r="29">
          <cell r="D29">
            <v>43114</v>
          </cell>
          <cell r="E29">
            <v>100</v>
          </cell>
          <cell r="F29" t="str">
            <v>фукс 350д(Н)</v>
          </cell>
          <cell r="G29" t="str">
            <v>б/н</v>
          </cell>
        </row>
        <row r="30">
          <cell r="D30">
            <v>43114</v>
          </cell>
          <cell r="E30">
            <v>100</v>
          </cell>
          <cell r="F30" t="str">
            <v>фукс 350д(Н)</v>
          </cell>
          <cell r="G30" t="str">
            <v>б/н</v>
          </cell>
        </row>
        <row r="31">
          <cell r="D31">
            <v>43115</v>
          </cell>
          <cell r="E31">
            <v>170</v>
          </cell>
          <cell r="F31" t="str">
            <v>фукс 350д(Н)</v>
          </cell>
          <cell r="G31" t="str">
            <v>б/н</v>
          </cell>
        </row>
        <row r="32">
          <cell r="D32">
            <v>43115</v>
          </cell>
          <cell r="E32">
            <v>305</v>
          </cell>
          <cell r="F32" t="str">
            <v>Камаз 65115</v>
          </cell>
          <cell r="G32" t="str">
            <v>с 546 уо 777</v>
          </cell>
        </row>
        <row r="33">
          <cell r="D33">
            <v>43115</v>
          </cell>
          <cell r="E33">
            <v>100</v>
          </cell>
          <cell r="F33" t="str">
            <v>фукс 350д(Н)</v>
          </cell>
          <cell r="G33" t="str">
            <v>б/н</v>
          </cell>
        </row>
        <row r="34">
          <cell r="D34">
            <v>43116</v>
          </cell>
          <cell r="E34">
            <v>100</v>
          </cell>
          <cell r="F34" t="str">
            <v>фукс 350д(Н)</v>
          </cell>
          <cell r="G34" t="str">
            <v>б/н</v>
          </cell>
        </row>
        <row r="35">
          <cell r="D35">
            <v>43116</v>
          </cell>
          <cell r="E35">
            <v>200</v>
          </cell>
          <cell r="F35" t="str">
            <v>фукс 350c</v>
          </cell>
          <cell r="G35" t="str">
            <v>б/н</v>
          </cell>
        </row>
        <row r="36">
          <cell r="D36">
            <v>43116</v>
          </cell>
          <cell r="E36">
            <v>200</v>
          </cell>
          <cell r="F36" t="str">
            <v>Камаз 65115</v>
          </cell>
          <cell r="G36" t="str">
            <v>в 433 ру 197</v>
          </cell>
        </row>
        <row r="37">
          <cell r="D37">
            <v>43116</v>
          </cell>
          <cell r="E37">
            <v>100</v>
          </cell>
          <cell r="F37" t="str">
            <v>фукс 350д(Н)</v>
          </cell>
          <cell r="G37" t="str">
            <v>б/н</v>
          </cell>
        </row>
        <row r="38">
          <cell r="D38">
            <v>43116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43117</v>
          </cell>
          <cell r="E39">
            <v>150</v>
          </cell>
          <cell r="F39" t="str">
            <v>фукс 350д(Н)</v>
          </cell>
          <cell r="G39" t="str">
            <v>б/н</v>
          </cell>
        </row>
        <row r="40">
          <cell r="D40">
            <v>43117</v>
          </cell>
          <cell r="E40">
            <v>195</v>
          </cell>
          <cell r="F40" t="str">
            <v>Погрузчик LG</v>
          </cell>
          <cell r="G40" t="str">
            <v>б/н</v>
          </cell>
        </row>
        <row r="41">
          <cell r="D41">
            <v>43117</v>
          </cell>
          <cell r="E41">
            <v>410</v>
          </cell>
          <cell r="F41" t="str">
            <v>Камаз 65115</v>
          </cell>
          <cell r="G41" t="str">
            <v>р 908 он 197</v>
          </cell>
        </row>
        <row r="42">
          <cell r="D42">
            <v>43117</v>
          </cell>
          <cell r="E42">
            <v>100</v>
          </cell>
          <cell r="F42" t="str">
            <v>фукс 350д(Н)</v>
          </cell>
          <cell r="G42" t="str">
            <v>б/н</v>
          </cell>
        </row>
        <row r="43">
          <cell r="D43">
            <v>43118</v>
          </cell>
          <cell r="E43">
            <v>200</v>
          </cell>
          <cell r="F43" t="str">
            <v>фукс 350д(Н)</v>
          </cell>
          <cell r="G43" t="str">
            <v>б/н</v>
          </cell>
        </row>
        <row r="44">
          <cell r="D44">
            <v>43118</v>
          </cell>
          <cell r="E44">
            <v>345</v>
          </cell>
          <cell r="F44" t="str">
            <v>Камаз 65115</v>
          </cell>
          <cell r="G44" t="str">
            <v>х 733 ун 197</v>
          </cell>
        </row>
        <row r="45">
          <cell r="D45">
            <v>43118</v>
          </cell>
          <cell r="E45">
            <v>230</v>
          </cell>
          <cell r="F45" t="str">
            <v>Камаз 65115</v>
          </cell>
          <cell r="G45" t="str">
            <v>к 855 ке 197</v>
          </cell>
        </row>
        <row r="46">
          <cell r="D46">
            <v>43118</v>
          </cell>
          <cell r="E46">
            <v>150</v>
          </cell>
          <cell r="F46" t="str">
            <v>Камаз 65115</v>
          </cell>
          <cell r="G46" t="str">
            <v>с 546 уо 777</v>
          </cell>
        </row>
        <row r="47">
          <cell r="D47">
            <v>43118</v>
          </cell>
          <cell r="E47">
            <v>90</v>
          </cell>
          <cell r="F47" t="str">
            <v>Камаз 65115</v>
          </cell>
          <cell r="G47" t="str">
            <v>р 908 он 197</v>
          </cell>
        </row>
        <row r="48">
          <cell r="D48">
            <v>43118</v>
          </cell>
          <cell r="E48">
            <v>140</v>
          </cell>
          <cell r="F48" t="str">
            <v>Камаз 65115</v>
          </cell>
          <cell r="G48" t="str">
            <v>в 433 ру 197</v>
          </cell>
        </row>
        <row r="49">
          <cell r="D49">
            <v>43118</v>
          </cell>
          <cell r="E49">
            <v>380</v>
          </cell>
          <cell r="F49" t="str">
            <v>Камаз 65115</v>
          </cell>
          <cell r="G49" t="str">
            <v>т 056 вв 197</v>
          </cell>
        </row>
        <row r="50">
          <cell r="D50">
            <v>43118</v>
          </cell>
          <cell r="E50">
            <v>0</v>
          </cell>
          <cell r="F50" t="str">
            <v>Прессножницы</v>
          </cell>
          <cell r="G50">
            <v>0</v>
          </cell>
        </row>
        <row r="51">
          <cell r="D51">
            <v>43119</v>
          </cell>
          <cell r="E51">
            <v>170</v>
          </cell>
          <cell r="F51" t="str">
            <v>фукс 350д(Н)</v>
          </cell>
          <cell r="G51" t="str">
            <v>б/н</v>
          </cell>
        </row>
        <row r="52">
          <cell r="D52">
            <v>43119</v>
          </cell>
          <cell r="E52">
            <v>250</v>
          </cell>
          <cell r="F52" t="str">
            <v>фукс 350c</v>
          </cell>
          <cell r="G52" t="str">
            <v>б/н</v>
          </cell>
        </row>
        <row r="53">
          <cell r="D53">
            <v>43120</v>
          </cell>
          <cell r="E53">
            <v>230</v>
          </cell>
          <cell r="F53" t="str">
            <v>фукс 350д(Н)</v>
          </cell>
          <cell r="G53" t="str">
            <v>б/н</v>
          </cell>
        </row>
        <row r="54">
          <cell r="D54">
            <v>43120</v>
          </cell>
          <cell r="E54">
            <v>30</v>
          </cell>
          <cell r="F54" t="str">
            <v>Погрузчик LG</v>
          </cell>
          <cell r="G54" t="str">
            <v>б/н</v>
          </cell>
        </row>
        <row r="55">
          <cell r="D55">
            <v>43120</v>
          </cell>
          <cell r="E55">
            <v>250</v>
          </cell>
          <cell r="F55" t="str">
            <v>фукс 350c</v>
          </cell>
          <cell r="G55" t="str">
            <v>б/н</v>
          </cell>
        </row>
        <row r="56">
          <cell r="D56">
            <v>43122</v>
          </cell>
          <cell r="E56">
            <v>190</v>
          </cell>
          <cell r="F56" t="str">
            <v>фукс 350д(Н)</v>
          </cell>
          <cell r="G56" t="str">
            <v>б/н</v>
          </cell>
        </row>
        <row r="57">
          <cell r="D57">
            <v>43122</v>
          </cell>
          <cell r="E57">
            <v>100</v>
          </cell>
          <cell r="F57" t="str">
            <v>фукс 350д(Н)</v>
          </cell>
          <cell r="G57" t="str">
            <v>б/н</v>
          </cell>
        </row>
        <row r="58">
          <cell r="D58">
            <v>43123</v>
          </cell>
          <cell r="E58">
            <v>280</v>
          </cell>
          <cell r="F58" t="str">
            <v>фукс 350д(Н)</v>
          </cell>
          <cell r="G58" t="str">
            <v>б/н</v>
          </cell>
        </row>
        <row r="59">
          <cell r="D59">
            <v>43123</v>
          </cell>
          <cell r="E59">
            <v>310</v>
          </cell>
          <cell r="F59" t="str">
            <v>фукс 350c</v>
          </cell>
          <cell r="G59" t="str">
            <v>б/н</v>
          </cell>
        </row>
        <row r="60">
          <cell r="D60">
            <v>43124</v>
          </cell>
          <cell r="E60">
            <v>280</v>
          </cell>
          <cell r="F60" t="str">
            <v>Камаз 65115</v>
          </cell>
          <cell r="G60" t="str">
            <v>с 504 уо 777</v>
          </cell>
        </row>
        <row r="61">
          <cell r="D61">
            <v>43124</v>
          </cell>
          <cell r="E61">
            <v>220</v>
          </cell>
          <cell r="F61" t="str">
            <v>фукс 350д(Н)</v>
          </cell>
          <cell r="G61" t="str">
            <v>б/н</v>
          </cell>
        </row>
        <row r="62">
          <cell r="D62">
            <v>43124</v>
          </cell>
          <cell r="E62">
            <v>360</v>
          </cell>
          <cell r="F62" t="str">
            <v>Камаз 65115</v>
          </cell>
          <cell r="G62" t="str">
            <v>к 463 вт 197</v>
          </cell>
        </row>
        <row r="63">
          <cell r="D63">
            <v>43124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43124</v>
          </cell>
          <cell r="E64">
            <v>230</v>
          </cell>
          <cell r="F64" t="str">
            <v>Камаз 65115</v>
          </cell>
          <cell r="G64" t="str">
            <v>в 433 ру 197</v>
          </cell>
        </row>
        <row r="65">
          <cell r="D65">
            <v>43125</v>
          </cell>
          <cell r="E65">
            <v>300</v>
          </cell>
          <cell r="F65" t="str">
            <v>Камаз 65115</v>
          </cell>
          <cell r="G65" t="str">
            <v>т 056 вв 197</v>
          </cell>
        </row>
        <row r="66">
          <cell r="D66">
            <v>43125</v>
          </cell>
          <cell r="E66">
            <v>290</v>
          </cell>
          <cell r="F66" t="str">
            <v>фукс 350д(Н)</v>
          </cell>
          <cell r="G66" t="str">
            <v>б/н</v>
          </cell>
        </row>
        <row r="67">
          <cell r="D67">
            <v>43125</v>
          </cell>
          <cell r="E67">
            <v>240</v>
          </cell>
          <cell r="F67" t="str">
            <v>фукс 350c</v>
          </cell>
          <cell r="G67" t="str">
            <v>б/н</v>
          </cell>
        </row>
        <row r="68">
          <cell r="D68">
            <v>43125</v>
          </cell>
          <cell r="E68">
            <v>240</v>
          </cell>
          <cell r="F68" t="str">
            <v>Погрузчик LG</v>
          </cell>
          <cell r="G68" t="str">
            <v>б/н</v>
          </cell>
        </row>
        <row r="69">
          <cell r="D69">
            <v>43126</v>
          </cell>
          <cell r="E69">
            <v>280</v>
          </cell>
          <cell r="F69" t="str">
            <v>фукс 350д(Н)</v>
          </cell>
          <cell r="G69" t="str">
            <v>б/н</v>
          </cell>
        </row>
        <row r="70">
          <cell r="D70">
            <v>43126</v>
          </cell>
          <cell r="E70">
            <v>380</v>
          </cell>
          <cell r="F70" t="str">
            <v>Камаз 65115</v>
          </cell>
          <cell r="G70" t="str">
            <v>х 733 ун 197</v>
          </cell>
        </row>
        <row r="71">
          <cell r="D71">
            <v>43126</v>
          </cell>
          <cell r="E71">
            <v>340</v>
          </cell>
          <cell r="F71" t="str">
            <v>Камаз 65115</v>
          </cell>
          <cell r="G71" t="str">
            <v>р 908 он 197</v>
          </cell>
        </row>
        <row r="72">
          <cell r="D72">
            <v>43127</v>
          </cell>
          <cell r="E72">
            <v>300</v>
          </cell>
          <cell r="F72" t="str">
            <v>фукс 350д(Н)</v>
          </cell>
          <cell r="G72" t="str">
            <v>б/н</v>
          </cell>
        </row>
        <row r="73">
          <cell r="D73">
            <v>43127</v>
          </cell>
          <cell r="E73">
            <v>270</v>
          </cell>
          <cell r="F73" t="str">
            <v>фукс 350c</v>
          </cell>
          <cell r="G73" t="str">
            <v>б/н</v>
          </cell>
        </row>
        <row r="74">
          <cell r="D74">
            <v>43127</v>
          </cell>
          <cell r="E74">
            <v>310</v>
          </cell>
          <cell r="F74" t="str">
            <v>Камаз 65115</v>
          </cell>
          <cell r="G74" t="str">
            <v>с 504 уо 777</v>
          </cell>
        </row>
        <row r="75">
          <cell r="D75">
            <v>43127</v>
          </cell>
          <cell r="E75">
            <v>155</v>
          </cell>
          <cell r="F75" t="str">
            <v>Погрузчик LG</v>
          </cell>
          <cell r="G75" t="str">
            <v>б/н</v>
          </cell>
        </row>
        <row r="76">
          <cell r="D76">
            <v>43128</v>
          </cell>
          <cell r="E76">
            <v>290</v>
          </cell>
          <cell r="F76" t="str">
            <v>фукс 350д(Н)</v>
          </cell>
          <cell r="G76" t="str">
            <v>б/н</v>
          </cell>
        </row>
        <row r="77">
          <cell r="D77">
            <v>43128</v>
          </cell>
          <cell r="E77">
            <v>380</v>
          </cell>
          <cell r="F77" t="str">
            <v>Камаз 65115</v>
          </cell>
          <cell r="G77" t="str">
            <v>к 463 вт 197</v>
          </cell>
        </row>
        <row r="78">
          <cell r="D78">
            <v>43128</v>
          </cell>
          <cell r="E78">
            <v>220</v>
          </cell>
          <cell r="F78" t="str">
            <v>Камаз 65115</v>
          </cell>
          <cell r="G78" t="str">
            <v>х 733 ун 197</v>
          </cell>
        </row>
        <row r="79">
          <cell r="D79">
            <v>43128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43129</v>
          </cell>
          <cell r="E80">
            <v>300</v>
          </cell>
          <cell r="F80" t="str">
            <v>фукс 350д(Н)</v>
          </cell>
          <cell r="G80" t="str">
            <v>б/н</v>
          </cell>
        </row>
        <row r="81">
          <cell r="D81">
            <v>43129</v>
          </cell>
          <cell r="E81">
            <v>230</v>
          </cell>
          <cell r="F81" t="str">
            <v>фукс 350c</v>
          </cell>
          <cell r="G81" t="str">
            <v>б/н</v>
          </cell>
        </row>
        <row r="82">
          <cell r="D82">
            <v>43129</v>
          </cell>
          <cell r="E82">
            <v>240</v>
          </cell>
          <cell r="F82" t="str">
            <v>Камаз 65115</v>
          </cell>
          <cell r="G82" t="str">
            <v>в 433 ру 197</v>
          </cell>
        </row>
        <row r="83">
          <cell r="D83">
            <v>43129</v>
          </cell>
          <cell r="E83">
            <v>370</v>
          </cell>
          <cell r="F83" t="str">
            <v>Камаз 65115</v>
          </cell>
          <cell r="G83" t="str">
            <v>т 056 вв 197</v>
          </cell>
        </row>
        <row r="84">
          <cell r="D84">
            <v>43129</v>
          </cell>
          <cell r="E84">
            <v>360</v>
          </cell>
          <cell r="F84" t="str">
            <v>Камаз 65115</v>
          </cell>
          <cell r="G84" t="str">
            <v>р 908 он 197</v>
          </cell>
        </row>
        <row r="85">
          <cell r="D85">
            <v>43130</v>
          </cell>
          <cell r="E85">
            <v>290</v>
          </cell>
          <cell r="F85" t="str">
            <v>фукс 350д(Н)</v>
          </cell>
          <cell r="G85" t="str">
            <v>б/н</v>
          </cell>
        </row>
        <row r="86">
          <cell r="D86">
            <v>43130</v>
          </cell>
          <cell r="E86">
            <v>280</v>
          </cell>
          <cell r="F86" t="str">
            <v>Камаз 65115</v>
          </cell>
          <cell r="G86" t="str">
            <v>с 504 уо 777</v>
          </cell>
        </row>
        <row r="87">
          <cell r="D87">
            <v>43131</v>
          </cell>
          <cell r="E87">
            <v>240</v>
          </cell>
          <cell r="F87" t="str">
            <v>фукс 350д(Н)</v>
          </cell>
          <cell r="G87" t="str">
            <v>б/н</v>
          </cell>
        </row>
        <row r="88">
          <cell r="D88">
            <v>43131</v>
          </cell>
          <cell r="E88">
            <v>180</v>
          </cell>
          <cell r="F88" t="str">
            <v>фукс 350c</v>
          </cell>
          <cell r="G88" t="str">
            <v>б/н</v>
          </cell>
        </row>
        <row r="89">
          <cell r="D89">
            <v>43131</v>
          </cell>
          <cell r="E89">
            <v>50</v>
          </cell>
          <cell r="F89" t="str">
            <v>Камаз 65115</v>
          </cell>
          <cell r="G89" t="str">
            <v>с 504 уо 777</v>
          </cell>
        </row>
        <row r="90">
          <cell r="D90">
            <v>43131</v>
          </cell>
          <cell r="E90">
            <v>200</v>
          </cell>
          <cell r="F90" t="str">
            <v>Камаз 65115</v>
          </cell>
          <cell r="G90" t="str">
            <v>к 463 вт 197</v>
          </cell>
        </row>
        <row r="91">
          <cell r="D91">
            <v>43131</v>
          </cell>
          <cell r="E91">
            <v>30</v>
          </cell>
          <cell r="F91" t="str">
            <v>Камаз 65115</v>
          </cell>
          <cell r="G91" t="str">
            <v>х 733 ун 197</v>
          </cell>
        </row>
        <row r="92">
          <cell r="D92">
            <v>43131</v>
          </cell>
          <cell r="E92">
            <v>250</v>
          </cell>
          <cell r="F92" t="str">
            <v>Камаз 65115</v>
          </cell>
          <cell r="G92" t="str">
            <v>т 056 вв 197</v>
          </cell>
        </row>
        <row r="93">
          <cell r="D93">
            <v>43131</v>
          </cell>
          <cell r="E93">
            <v>250</v>
          </cell>
          <cell r="F93" t="str">
            <v>Камаз 65115</v>
          </cell>
          <cell r="G93" t="str">
            <v>р 908 он 197</v>
          </cell>
        </row>
        <row r="94">
          <cell r="D94">
            <v>43131</v>
          </cell>
          <cell r="E94">
            <v>140</v>
          </cell>
          <cell r="F94" t="str">
            <v>Камаз 65115</v>
          </cell>
          <cell r="G94" t="str">
            <v>в 433 ру 197</v>
          </cell>
        </row>
        <row r="95">
          <cell r="D95">
            <v>43131</v>
          </cell>
          <cell r="E95">
            <v>0</v>
          </cell>
          <cell r="F95" t="str">
            <v>Прессножницы</v>
          </cell>
          <cell r="G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отрудники"/>
      <sheetName val="ТС"/>
      <sheetName val="Номер"/>
    </sheetNames>
    <sheetDataSet>
      <sheetData sheetId="0">
        <row r="4">
          <cell r="D4">
            <v>43105</v>
          </cell>
          <cell r="E4">
            <v>200</v>
          </cell>
          <cell r="G4" t="str">
            <v>б/н</v>
          </cell>
        </row>
        <row r="5">
          <cell r="D5">
            <v>43106</v>
          </cell>
          <cell r="E5">
            <v>250</v>
          </cell>
          <cell r="G5" t="str">
            <v>б/н</v>
          </cell>
        </row>
        <row r="6">
          <cell r="D6">
            <v>43106</v>
          </cell>
          <cell r="E6">
            <v>150</v>
          </cell>
          <cell r="G6" t="str">
            <v>б/н</v>
          </cell>
        </row>
        <row r="7">
          <cell r="D7">
            <v>43106</v>
          </cell>
          <cell r="E7">
            <v>150</v>
          </cell>
          <cell r="G7" t="str">
            <v>б/н</v>
          </cell>
        </row>
        <row r="8">
          <cell r="D8">
            <v>43108</v>
          </cell>
          <cell r="E8">
            <v>320</v>
          </cell>
          <cell r="G8" t="str">
            <v>б/н</v>
          </cell>
        </row>
        <row r="9">
          <cell r="D9">
            <v>43108</v>
          </cell>
          <cell r="E9">
            <v>100</v>
          </cell>
          <cell r="G9" t="str">
            <v>б/н</v>
          </cell>
        </row>
        <row r="10">
          <cell r="D10">
            <v>43109</v>
          </cell>
          <cell r="E10">
            <v>300</v>
          </cell>
          <cell r="G10" t="str">
            <v>б/н</v>
          </cell>
        </row>
        <row r="11">
          <cell r="D11">
            <v>43109</v>
          </cell>
          <cell r="E11">
            <v>150</v>
          </cell>
          <cell r="G11" t="str">
            <v>б/н</v>
          </cell>
        </row>
        <row r="12">
          <cell r="D12">
            <v>43109</v>
          </cell>
          <cell r="E12">
            <v>280</v>
          </cell>
          <cell r="G12" t="str">
            <v>с 546 уо 777</v>
          </cell>
        </row>
        <row r="13">
          <cell r="D13">
            <v>43109</v>
          </cell>
          <cell r="E13">
            <v>100</v>
          </cell>
          <cell r="G13" t="str">
            <v>б/н</v>
          </cell>
        </row>
        <row r="14">
          <cell r="D14">
            <v>43110</v>
          </cell>
          <cell r="E14"/>
          <cell r="G14"/>
        </row>
        <row r="15">
          <cell r="D15">
            <v>43110</v>
          </cell>
          <cell r="E15">
            <v>240</v>
          </cell>
          <cell r="G15" t="str">
            <v>в 433 ру 197</v>
          </cell>
        </row>
        <row r="16">
          <cell r="D16">
            <v>43110</v>
          </cell>
          <cell r="E16">
            <v>200</v>
          </cell>
          <cell r="G16" t="str">
            <v>б/н</v>
          </cell>
        </row>
        <row r="17">
          <cell r="D17">
            <v>43110</v>
          </cell>
          <cell r="E17">
            <v>300</v>
          </cell>
          <cell r="G17" t="str">
            <v>б/н</v>
          </cell>
        </row>
        <row r="18">
          <cell r="D18">
            <v>43110</v>
          </cell>
          <cell r="E18">
            <v>100</v>
          </cell>
          <cell r="G18" t="str">
            <v>б/н</v>
          </cell>
        </row>
        <row r="19">
          <cell r="D19">
            <v>43111</v>
          </cell>
          <cell r="E19">
            <v>310</v>
          </cell>
          <cell r="G19" t="str">
            <v>х 733 ун 197</v>
          </cell>
        </row>
        <row r="20">
          <cell r="D20">
            <v>43111</v>
          </cell>
          <cell r="E20">
            <v>120</v>
          </cell>
          <cell r="G20" t="str">
            <v>б/н</v>
          </cell>
        </row>
        <row r="21">
          <cell r="D21">
            <v>43111</v>
          </cell>
          <cell r="E21">
            <v>340</v>
          </cell>
          <cell r="G21" t="str">
            <v>р 908 он 197</v>
          </cell>
        </row>
        <row r="22">
          <cell r="D22">
            <v>43111</v>
          </cell>
          <cell r="E22">
            <v>100</v>
          </cell>
          <cell r="G22" t="str">
            <v>б/н</v>
          </cell>
        </row>
        <row r="23">
          <cell r="D23">
            <v>43112</v>
          </cell>
          <cell r="E23">
            <v>170</v>
          </cell>
          <cell r="G23" t="str">
            <v>б/н</v>
          </cell>
        </row>
        <row r="24">
          <cell r="D24">
            <v>43112</v>
          </cell>
          <cell r="E24">
            <v>100</v>
          </cell>
          <cell r="G24" t="str">
            <v>б/н</v>
          </cell>
        </row>
        <row r="25">
          <cell r="D25">
            <v>43113</v>
          </cell>
          <cell r="E25">
            <v>150</v>
          </cell>
          <cell r="G25" t="str">
            <v>б/н</v>
          </cell>
        </row>
        <row r="26">
          <cell r="D26">
            <v>43113</v>
          </cell>
          <cell r="E26">
            <v>400</v>
          </cell>
          <cell r="G26" t="str">
            <v>к 855 ке 197</v>
          </cell>
        </row>
        <row r="27">
          <cell r="D27">
            <v>43113</v>
          </cell>
          <cell r="E27">
            <v>300</v>
          </cell>
          <cell r="G27" t="str">
            <v>б/н</v>
          </cell>
        </row>
        <row r="28">
          <cell r="D28">
            <v>43113</v>
          </cell>
          <cell r="E28">
            <v>100</v>
          </cell>
          <cell r="G28" t="str">
            <v>б/н</v>
          </cell>
        </row>
        <row r="29">
          <cell r="D29">
            <v>43114</v>
          </cell>
          <cell r="E29">
            <v>100</v>
          </cell>
          <cell r="G29" t="str">
            <v>б/н</v>
          </cell>
        </row>
        <row r="30">
          <cell r="D30">
            <v>43114</v>
          </cell>
          <cell r="E30">
            <v>100</v>
          </cell>
          <cell r="G30" t="str">
            <v>б/н</v>
          </cell>
        </row>
        <row r="31">
          <cell r="D31">
            <v>43115</v>
          </cell>
          <cell r="E31">
            <v>170</v>
          </cell>
          <cell r="G31" t="str">
            <v>б/н</v>
          </cell>
        </row>
        <row r="32">
          <cell r="D32">
            <v>43115</v>
          </cell>
          <cell r="E32">
            <v>305</v>
          </cell>
          <cell r="G32" t="str">
            <v>с 546 уо 777</v>
          </cell>
        </row>
        <row r="33">
          <cell r="D33">
            <v>43115</v>
          </cell>
          <cell r="E33">
            <v>100</v>
          </cell>
          <cell r="G33" t="str">
            <v>б/н</v>
          </cell>
        </row>
        <row r="34">
          <cell r="D34">
            <v>43116</v>
          </cell>
          <cell r="E34">
            <v>100</v>
          </cell>
          <cell r="G34" t="str">
            <v>б/н</v>
          </cell>
        </row>
        <row r="35">
          <cell r="D35">
            <v>43116</v>
          </cell>
          <cell r="E35">
            <v>200</v>
          </cell>
          <cell r="G35" t="str">
            <v>б/н</v>
          </cell>
        </row>
        <row r="36">
          <cell r="D36">
            <v>43116</v>
          </cell>
          <cell r="E36">
            <v>200</v>
          </cell>
          <cell r="G36" t="str">
            <v>в 433 ру 197</v>
          </cell>
        </row>
        <row r="37">
          <cell r="D37">
            <v>43116</v>
          </cell>
          <cell r="E37">
            <v>100</v>
          </cell>
          <cell r="G37" t="str">
            <v>б/н</v>
          </cell>
        </row>
        <row r="38">
          <cell r="D38">
            <v>43116</v>
          </cell>
          <cell r="E38"/>
          <cell r="G38"/>
        </row>
        <row r="39">
          <cell r="D39">
            <v>43117</v>
          </cell>
          <cell r="E39">
            <v>150</v>
          </cell>
          <cell r="G39" t="str">
            <v>б/н</v>
          </cell>
        </row>
        <row r="40">
          <cell r="D40">
            <v>43117</v>
          </cell>
          <cell r="E40">
            <v>195</v>
          </cell>
          <cell r="G40" t="str">
            <v>б/н</v>
          </cell>
        </row>
        <row r="41">
          <cell r="D41">
            <v>43117</v>
          </cell>
          <cell r="E41">
            <v>410</v>
          </cell>
          <cell r="G41" t="str">
            <v>р 908 он 197</v>
          </cell>
        </row>
        <row r="42">
          <cell r="D42">
            <v>43117</v>
          </cell>
          <cell r="E42">
            <v>100</v>
          </cell>
          <cell r="G42" t="str">
            <v>б/н</v>
          </cell>
        </row>
        <row r="43">
          <cell r="D43">
            <v>43118</v>
          </cell>
          <cell r="E43">
            <v>200</v>
          </cell>
          <cell r="G43" t="str">
            <v>б/н</v>
          </cell>
        </row>
        <row r="44">
          <cell r="D44">
            <v>43118</v>
          </cell>
          <cell r="E44">
            <v>345</v>
          </cell>
          <cell r="G44" t="str">
            <v>х 733 ун 197</v>
          </cell>
        </row>
        <row r="45">
          <cell r="D45">
            <v>43118</v>
          </cell>
          <cell r="E45">
            <v>230</v>
          </cell>
          <cell r="G45" t="str">
            <v>к 855 ке 197</v>
          </cell>
        </row>
        <row r="46">
          <cell r="D46">
            <v>43118</v>
          </cell>
          <cell r="E46">
            <v>150</v>
          </cell>
          <cell r="G46" t="str">
            <v>с 546 уо 777</v>
          </cell>
        </row>
        <row r="47">
          <cell r="D47">
            <v>43118</v>
          </cell>
          <cell r="E47">
            <v>90</v>
          </cell>
          <cell r="G47" t="str">
            <v>р 908 он 197</v>
          </cell>
        </row>
        <row r="48">
          <cell r="D48">
            <v>43118</v>
          </cell>
          <cell r="E48">
            <v>140</v>
          </cell>
          <cell r="G48" t="str">
            <v>в 433 ру 197</v>
          </cell>
        </row>
        <row r="49">
          <cell r="D49">
            <v>43118</v>
          </cell>
          <cell r="E49">
            <v>380</v>
          </cell>
          <cell r="G49" t="str">
            <v>т 056 вв 197</v>
          </cell>
        </row>
        <row r="50">
          <cell r="D50">
            <v>43118</v>
          </cell>
          <cell r="E50"/>
          <cell r="G50"/>
        </row>
        <row r="51">
          <cell r="D51">
            <v>43119</v>
          </cell>
          <cell r="E51">
            <v>170</v>
          </cell>
          <cell r="G51" t="str">
            <v>б/н</v>
          </cell>
        </row>
        <row r="52">
          <cell r="D52">
            <v>43119</v>
          </cell>
          <cell r="E52">
            <v>250</v>
          </cell>
          <cell r="G52" t="str">
            <v>б/н</v>
          </cell>
        </row>
        <row r="53">
          <cell r="D53">
            <v>43120</v>
          </cell>
          <cell r="E53">
            <v>230</v>
          </cell>
          <cell r="G53" t="str">
            <v>б/н</v>
          </cell>
        </row>
        <row r="54">
          <cell r="D54">
            <v>43120</v>
          </cell>
          <cell r="E54">
            <v>30</v>
          </cell>
          <cell r="G54" t="str">
            <v>б/н</v>
          </cell>
        </row>
        <row r="55">
          <cell r="D55">
            <v>43120</v>
          </cell>
          <cell r="E55">
            <v>250</v>
          </cell>
          <cell r="G55" t="str">
            <v>б/н</v>
          </cell>
        </row>
        <row r="56">
          <cell r="D56">
            <v>43122</v>
          </cell>
          <cell r="E56">
            <v>190</v>
          </cell>
          <cell r="G56" t="str">
            <v>б/н</v>
          </cell>
        </row>
        <row r="57">
          <cell r="D57">
            <v>43122</v>
          </cell>
          <cell r="E57">
            <v>100</v>
          </cell>
          <cell r="G57" t="str">
            <v>б/н</v>
          </cell>
        </row>
        <row r="58">
          <cell r="D58">
            <v>43123</v>
          </cell>
          <cell r="E58">
            <v>280</v>
          </cell>
          <cell r="G58" t="str">
            <v>б/н</v>
          </cell>
        </row>
        <row r="59">
          <cell r="D59">
            <v>43123</v>
          </cell>
          <cell r="E59">
            <v>310</v>
          </cell>
          <cell r="G59" t="str">
            <v>б/н</v>
          </cell>
        </row>
        <row r="60">
          <cell r="D60">
            <v>43124</v>
          </cell>
          <cell r="E60">
            <v>280</v>
          </cell>
          <cell r="G60" t="str">
            <v>с 504 уо 777</v>
          </cell>
        </row>
        <row r="61">
          <cell r="D61">
            <v>43124</v>
          </cell>
          <cell r="E61">
            <v>220</v>
          </cell>
          <cell r="G61" t="str">
            <v>б/н</v>
          </cell>
        </row>
        <row r="62">
          <cell r="D62">
            <v>43124</v>
          </cell>
          <cell r="E62">
            <v>360</v>
          </cell>
          <cell r="G62" t="str">
            <v>к 463 вт 197</v>
          </cell>
        </row>
        <row r="63">
          <cell r="D63">
            <v>43124</v>
          </cell>
          <cell r="E63"/>
          <cell r="G63"/>
        </row>
        <row r="64">
          <cell r="D64">
            <v>43124</v>
          </cell>
          <cell r="E64">
            <v>230</v>
          </cell>
          <cell r="G64" t="str">
            <v>в 433 ру 197</v>
          </cell>
        </row>
        <row r="65">
          <cell r="D65">
            <v>43125</v>
          </cell>
          <cell r="E65">
            <v>300</v>
          </cell>
          <cell r="G65" t="str">
            <v>т 056 вв 197</v>
          </cell>
        </row>
        <row r="66">
          <cell r="D66">
            <v>43125</v>
          </cell>
          <cell r="E66">
            <v>290</v>
          </cell>
          <cell r="G66" t="str">
            <v>б/н</v>
          </cell>
        </row>
        <row r="67">
          <cell r="D67">
            <v>43125</v>
          </cell>
          <cell r="E67">
            <v>240</v>
          </cell>
          <cell r="G67" t="str">
            <v>б/н</v>
          </cell>
        </row>
        <row r="68">
          <cell r="D68">
            <v>43125</v>
          </cell>
          <cell r="E68">
            <v>240</v>
          </cell>
          <cell r="G68" t="str">
            <v>б/н</v>
          </cell>
        </row>
        <row r="69">
          <cell r="D69">
            <v>43126</v>
          </cell>
          <cell r="E69">
            <v>280</v>
          </cell>
          <cell r="G69" t="str">
            <v>б/н</v>
          </cell>
        </row>
        <row r="70">
          <cell r="D70">
            <v>43126</v>
          </cell>
          <cell r="E70">
            <v>380</v>
          </cell>
          <cell r="G70" t="str">
            <v>х 733 ун 197</v>
          </cell>
        </row>
        <row r="71">
          <cell r="D71">
            <v>43126</v>
          </cell>
          <cell r="E71">
            <v>340</v>
          </cell>
          <cell r="G71" t="str">
            <v>р 908 он 197</v>
          </cell>
        </row>
        <row r="72">
          <cell r="D72">
            <v>43127</v>
          </cell>
          <cell r="E72">
            <v>300</v>
          </cell>
          <cell r="G72" t="str">
            <v>б/н</v>
          </cell>
        </row>
        <row r="73">
          <cell r="D73">
            <v>43127</v>
          </cell>
          <cell r="E73">
            <v>270</v>
          </cell>
          <cell r="G73" t="str">
            <v>б/н</v>
          </cell>
        </row>
        <row r="74">
          <cell r="D74">
            <v>43127</v>
          </cell>
          <cell r="E74">
            <v>310</v>
          </cell>
          <cell r="G74" t="str">
            <v>с 504 уо 777</v>
          </cell>
        </row>
        <row r="75">
          <cell r="D75">
            <v>43127</v>
          </cell>
          <cell r="E75">
            <v>155</v>
          </cell>
          <cell r="G75" t="str">
            <v>б/н</v>
          </cell>
        </row>
        <row r="76">
          <cell r="D76">
            <v>43128</v>
          </cell>
          <cell r="E76">
            <v>290</v>
          </cell>
          <cell r="G76" t="str">
            <v>б/н</v>
          </cell>
        </row>
        <row r="77">
          <cell r="D77">
            <v>43128</v>
          </cell>
          <cell r="E77">
            <v>380</v>
          </cell>
          <cell r="G77" t="str">
            <v>к 463 вт 197</v>
          </cell>
        </row>
        <row r="78">
          <cell r="D78">
            <v>43128</v>
          </cell>
          <cell r="E78">
            <v>220</v>
          </cell>
          <cell r="G78" t="str">
            <v>х 733 ун 197</v>
          </cell>
        </row>
        <row r="79">
          <cell r="D79">
            <v>43128</v>
          </cell>
          <cell r="E79"/>
          <cell r="G79"/>
        </row>
        <row r="80">
          <cell r="D80">
            <v>43129</v>
          </cell>
          <cell r="E80">
            <v>300</v>
          </cell>
          <cell r="G80" t="str">
            <v>б/н</v>
          </cell>
        </row>
        <row r="81">
          <cell r="D81">
            <v>43129</v>
          </cell>
          <cell r="E81">
            <v>230</v>
          </cell>
          <cell r="G81" t="str">
            <v>б/н</v>
          </cell>
        </row>
        <row r="82">
          <cell r="D82">
            <v>43129</v>
          </cell>
          <cell r="E82">
            <v>240</v>
          </cell>
          <cell r="G82" t="str">
            <v>в 433 ру 197</v>
          </cell>
        </row>
        <row r="83">
          <cell r="D83">
            <v>43129</v>
          </cell>
          <cell r="E83">
            <v>370</v>
          </cell>
          <cell r="G83" t="str">
            <v>т 056 вв 197</v>
          </cell>
        </row>
        <row r="84">
          <cell r="D84">
            <v>43129</v>
          </cell>
          <cell r="E84">
            <v>360</v>
          </cell>
          <cell r="G84" t="str">
            <v>р 908 он 197</v>
          </cell>
        </row>
        <row r="85">
          <cell r="D85">
            <v>43130</v>
          </cell>
          <cell r="E85">
            <v>290</v>
          </cell>
          <cell r="G85" t="str">
            <v>б/н</v>
          </cell>
        </row>
        <row r="86">
          <cell r="D86">
            <v>43130</v>
          </cell>
          <cell r="E86">
            <v>280</v>
          </cell>
          <cell r="G86" t="str">
            <v>с 504 уо 777</v>
          </cell>
        </row>
        <row r="87">
          <cell r="D87">
            <v>43131</v>
          </cell>
          <cell r="E87">
            <v>240</v>
          </cell>
          <cell r="G87" t="str">
            <v>б/н</v>
          </cell>
        </row>
        <row r="88">
          <cell r="D88">
            <v>43131</v>
          </cell>
          <cell r="E88">
            <v>180</v>
          </cell>
          <cell r="G88" t="str">
            <v>б/н</v>
          </cell>
        </row>
        <row r="89">
          <cell r="D89">
            <v>43131</v>
          </cell>
          <cell r="E89">
            <v>50</v>
          </cell>
          <cell r="G89" t="str">
            <v>с 504 уо 777</v>
          </cell>
        </row>
        <row r="90">
          <cell r="D90">
            <v>43131</v>
          </cell>
          <cell r="E90">
            <v>200</v>
          </cell>
          <cell r="G90" t="str">
            <v>к 463 вт 197</v>
          </cell>
        </row>
        <row r="91">
          <cell r="D91">
            <v>43131</v>
          </cell>
          <cell r="E91">
            <v>30</v>
          </cell>
          <cell r="G91" t="str">
            <v>х 733 ун 197</v>
          </cell>
        </row>
        <row r="92">
          <cell r="D92">
            <v>43131</v>
          </cell>
          <cell r="E92">
            <v>250</v>
          </cell>
          <cell r="G92" t="str">
            <v>т 056 вв 197</v>
          </cell>
        </row>
        <row r="93">
          <cell r="D93">
            <v>43131</v>
          </cell>
          <cell r="E93">
            <v>250</v>
          </cell>
          <cell r="G93" t="str">
            <v>р 908 он 197</v>
          </cell>
        </row>
        <row r="94">
          <cell r="D94">
            <v>43131</v>
          </cell>
          <cell r="E94">
            <v>140</v>
          </cell>
          <cell r="G94" t="str">
            <v>в 433 ру 197</v>
          </cell>
        </row>
        <row r="95">
          <cell r="D95">
            <v>43131</v>
          </cell>
          <cell r="E95"/>
          <cell r="G95"/>
        </row>
        <row r="96">
          <cell r="D96"/>
          <cell r="E96"/>
          <cell r="G96"/>
        </row>
        <row r="97">
          <cell r="D97"/>
          <cell r="E97"/>
          <cell r="G97"/>
        </row>
        <row r="98">
          <cell r="D98"/>
          <cell r="E98"/>
          <cell r="G98"/>
        </row>
        <row r="99">
          <cell r="D99"/>
          <cell r="E99"/>
          <cell r="G99"/>
        </row>
        <row r="100">
          <cell r="D100"/>
          <cell r="E100"/>
          <cell r="G100"/>
        </row>
        <row r="101">
          <cell r="D101"/>
          <cell r="E101"/>
          <cell r="G101"/>
        </row>
        <row r="102">
          <cell r="D102"/>
          <cell r="E102"/>
          <cell r="G102"/>
        </row>
        <row r="103">
          <cell r="D103"/>
          <cell r="E103"/>
          <cell r="G103"/>
        </row>
        <row r="104">
          <cell r="D104"/>
          <cell r="E104"/>
          <cell r="G104"/>
        </row>
        <row r="105">
          <cell r="D105"/>
          <cell r="E105"/>
          <cell r="G105"/>
        </row>
        <row r="106">
          <cell r="D106"/>
          <cell r="E106"/>
          <cell r="G106"/>
        </row>
        <row r="107">
          <cell r="D107"/>
          <cell r="E107"/>
          <cell r="G107"/>
        </row>
        <row r="108">
          <cell r="D108"/>
          <cell r="E108"/>
          <cell r="G108"/>
        </row>
        <row r="109">
          <cell r="D109"/>
          <cell r="E109"/>
          <cell r="G109"/>
        </row>
        <row r="110">
          <cell r="D110"/>
          <cell r="E110"/>
          <cell r="G110"/>
        </row>
        <row r="111">
          <cell r="D111"/>
          <cell r="E111"/>
          <cell r="G111"/>
        </row>
        <row r="112">
          <cell r="D112"/>
          <cell r="E112"/>
          <cell r="G112"/>
        </row>
        <row r="113">
          <cell r="D113"/>
          <cell r="E113"/>
          <cell r="G113"/>
        </row>
        <row r="114">
          <cell r="D114"/>
          <cell r="E114"/>
          <cell r="G114"/>
        </row>
        <row r="115">
          <cell r="D115"/>
          <cell r="E115"/>
          <cell r="G115"/>
        </row>
        <row r="116">
          <cell r="D116"/>
          <cell r="E116"/>
          <cell r="G116"/>
        </row>
        <row r="117">
          <cell r="D117"/>
          <cell r="E117"/>
          <cell r="G117"/>
        </row>
        <row r="118">
          <cell r="D118"/>
          <cell r="E118"/>
          <cell r="G118"/>
        </row>
        <row r="119">
          <cell r="D119"/>
          <cell r="E119"/>
          <cell r="G119"/>
        </row>
        <row r="120">
          <cell r="D120"/>
          <cell r="E120"/>
          <cell r="G120"/>
        </row>
        <row r="121">
          <cell r="D121"/>
          <cell r="E121"/>
          <cell r="G121"/>
        </row>
        <row r="122">
          <cell r="D122"/>
          <cell r="E122"/>
          <cell r="G122"/>
        </row>
        <row r="123">
          <cell r="D123"/>
          <cell r="E123"/>
          <cell r="G123"/>
        </row>
        <row r="124">
          <cell r="D124"/>
          <cell r="E124"/>
          <cell r="G124"/>
        </row>
        <row r="125">
          <cell r="D125"/>
          <cell r="E125"/>
          <cell r="G125"/>
        </row>
        <row r="126">
          <cell r="D126"/>
          <cell r="E126"/>
          <cell r="G126"/>
        </row>
        <row r="127">
          <cell r="D127"/>
          <cell r="E127"/>
          <cell r="G127"/>
        </row>
        <row r="128">
          <cell r="D128"/>
          <cell r="E128"/>
          <cell r="G128"/>
        </row>
        <row r="129">
          <cell r="D129"/>
          <cell r="E129"/>
          <cell r="G129"/>
        </row>
        <row r="130">
          <cell r="D130"/>
          <cell r="E130"/>
          <cell r="G130"/>
        </row>
        <row r="131">
          <cell r="D131"/>
          <cell r="E131"/>
          <cell r="G131"/>
        </row>
        <row r="132">
          <cell r="D132"/>
          <cell r="E132"/>
          <cell r="G132"/>
        </row>
        <row r="133">
          <cell r="D133"/>
          <cell r="E133"/>
          <cell r="G133"/>
        </row>
        <row r="134">
          <cell r="D134"/>
          <cell r="E134"/>
          <cell r="G134"/>
        </row>
        <row r="135">
          <cell r="D135"/>
          <cell r="E135"/>
          <cell r="G135"/>
        </row>
        <row r="136">
          <cell r="D136"/>
          <cell r="E136"/>
          <cell r="G136"/>
        </row>
        <row r="137">
          <cell r="D137"/>
          <cell r="E137"/>
          <cell r="G137"/>
        </row>
        <row r="138">
          <cell r="D138"/>
          <cell r="E138"/>
          <cell r="G138"/>
        </row>
        <row r="139">
          <cell r="D139"/>
          <cell r="E139"/>
          <cell r="G139"/>
        </row>
        <row r="140">
          <cell r="D140"/>
          <cell r="E140"/>
          <cell r="G140"/>
        </row>
        <row r="141">
          <cell r="D141"/>
          <cell r="E141"/>
          <cell r="G141"/>
        </row>
        <row r="142">
          <cell r="D142"/>
          <cell r="E142"/>
          <cell r="G142"/>
        </row>
        <row r="143">
          <cell r="D143"/>
          <cell r="E143"/>
          <cell r="G143"/>
        </row>
        <row r="144">
          <cell r="D144"/>
          <cell r="E144"/>
          <cell r="G144"/>
        </row>
        <row r="145">
          <cell r="D145"/>
          <cell r="E145"/>
          <cell r="G145"/>
        </row>
        <row r="146">
          <cell r="D146"/>
          <cell r="E146"/>
          <cell r="G146"/>
        </row>
        <row r="147">
          <cell r="D147"/>
          <cell r="E147"/>
          <cell r="G147"/>
        </row>
        <row r="148">
          <cell r="D148"/>
          <cell r="E148"/>
          <cell r="G148"/>
        </row>
        <row r="149">
          <cell r="D149"/>
          <cell r="E149"/>
          <cell r="G149"/>
        </row>
        <row r="150">
          <cell r="D150"/>
          <cell r="E150"/>
          <cell r="G150"/>
        </row>
        <row r="151">
          <cell r="D151"/>
          <cell r="E151"/>
          <cell r="G151"/>
        </row>
        <row r="152">
          <cell r="D152"/>
          <cell r="E152"/>
          <cell r="G152"/>
        </row>
        <row r="153">
          <cell r="D153"/>
          <cell r="E153"/>
          <cell r="G153"/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4" name="Январь" displayName="Январь" ref="A6:P38" totalsRowCount="1" headerRowDxfId="127" dataDxfId="125" totalsRowDxfId="124" headerRowBorderDxfId="126" totalsRowBorderDxfId="123">
  <tableColumns count="16">
    <tableColumn id="1" name="Дата" totalsRowLabel="Итог" dataDxfId="122" totalsRowDxfId="15">
      <calculatedColumnFormula>IFERROR(DATEVALUE((COUNT($A$6:A6)+1)&amp;$P$1&amp;$I$4),"")</calculatedColumnFormula>
    </tableColumn>
    <tableColumn id="2" name="ФИО водителя" dataDxfId="121" totalsRowDxfId="14"/>
    <tableColumn id="3" name="Показание одометра машины на начало дня, км" dataDxfId="120" totalsRowDxfId="13"/>
    <tableColumn id="4" name="Показание одометра машины на конец дня, км" dataDxfId="119" totalsRowDxfId="12"/>
    <tableColumn id="5" name="Пройдено за день, км" totalsRowFunction="sum" dataDxfId="118" totalsRowDxfId="11">
      <calculatedColumnFormula>Январь[[#This Row],[Показание одометра машины на конец дня, км]]-Январь[[#This Row],[Показание одометра машины на начало дня, км]]+T7</calculatedColumnFormula>
    </tableColumn>
    <tableColumn id="6" name="Выдано топливо, литр" totalsRowFunction="sum" dataDxfId="117" totalsRowDxfId="10">
      <calculatedColumnFormula>IF(INDEX([1]январь!$D$4:$G$153,MATCH($O$4,[1]январь!$G$4:$G$153,0),1)=Январь[[#This Row],[Дата]],INDEX([1]январь!$D$4:$G$153,MATCH($O$4,[1]январь!$G$4:$G$153,0),2),"")</calculatedColumnFormula>
    </tableColumn>
    <tableColumn id="7" name="Остаток топлива в баке на начало дня, литр" dataDxfId="116" totalsRowDxfId="9">
      <calculatedColumnFormula>IF(Январь[[#This Row],[Дата]]="","",VLOOKUP($O$4,ТС!$B$5:$E$7,4,FALSE))</calculatedColumnFormula>
    </tableColumn>
    <tableColumn id="8" name="Показание счетчика моточасов спецоборудования на начало дня, м/ч" dataDxfId="115" totalsRowDxfId="8">
      <calculatedColumnFormula>IF(Январь[[#This Row],[Дата]]="","",VLOOKUP($O$4,ТС!$B$5:$E$7,3,FALSE))</calculatedColumnFormula>
    </tableColumn>
    <tableColumn id="9" name="Показание счетчика моточасов  спецоборудования на конец дня, м/ч" dataDxfId="114" totalsRowDxfId="7"/>
    <tableColumn id="10" name="Работа спецоборудования за день, м/ч" totalsRowFunction="sum" dataDxfId="113" totalsRowDxfId="6">
      <calculatedColumnFormula>IF(W7="",Январь[[#This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calculatedColumnFormula>
    </tableColumn>
    <tableColumn id="11" name="Количество ходок" totalsRowFunction="sum" dataDxfId="112" totalsRowDxfId="5"/>
    <tableColumn id="12" name="Расход топлива на работу спецоборудования, литр" totalsRowFunction="sum" dataDxfId="111" totalsRowDxfId="4">
      <calculatedColumnFormula>IF(Январь[[#This Row],[Работа спецоборудования за день, м/ч]]="","",Январь[[#This Row],[Работа спецоборудования за день, м/ч]]*$Z$2)</calculatedColumnFormula>
    </tableColumn>
    <tableColumn id="13" name="Остаток топлива в баке на конец дня, литр" dataDxfId="110" totalsRowDxfId="3">
      <calculatedColumnFormula>IF(VLOOKUP(Январь[Дата],S$2:U$3,3),IFERROR(IF(U7="",Январь[[#This Row],[Выдано топливо, литр]],Январь[[#This Row],[Выдано топливо, литр]]+U7)+Январь[[#This Row],[Остаток топлива в баке на начало дня, литр]]-Январь[[#This Row],[Фактический расход топлива, литр]],""),"")</calculatedColumnFormula>
    </tableColumn>
    <tableColumn id="14" name="Расход топлива по норме, литр" totalsRowFunction="sum" dataDxfId="109" totalsRowDxfId="2">
      <calculatedColumnFormula>ROUND((Январь[[#This Row],[Пройдено за день, км]]*0.01*$Y$2+Январь[[#This Row],[Расход топлива на работу спецоборудования, литр]]),3)+X7</calculatedColumnFormula>
    </tableColumn>
    <tableColumn id="15" name="Фактический расход топлива, литр" totalsRowFunction="sum" dataDxfId="108" totalsRowDxfId="1">
      <calculatedColumnFormula>ROUND(Январь[[#This Row],[Расход топлива по норме, литр]]/VLOOKUP(Январь[Дата],S$2:W$4,5),0)+Y7</calculatedColumnFormula>
    </tableColumn>
    <tableColumn id="16" name="Отклонение от нормы (Перерасход(+), экономия(-)), литр" totalsRowFunction="sum" dataDxfId="107" totalsRowDxfId="0">
      <calculatedColumnFormula>IFERROR(Январь[[#This Row],[Фактический расход топлива, литр]]-Январь[[#This Row],[Расход топлива по норме, литр]],"")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5" name="Февраль" displayName="Февраль" ref="A6:P38" totalsRowCount="1" headerRowDxfId="102" dataDxfId="100" totalsRowDxfId="99" headerRowBorderDxfId="101" totalsRowBorderDxfId="98">
  <tableColumns count="16">
    <tableColumn id="1" name="Дата" totalsRowLabel="Итог" dataDxfId="97" totalsRowDxfId="96">
      <calculatedColumnFormula>IFERROR(DATEVALUE((COUNT($A$6:A6)+1)&amp;$P$1&amp;$I$4),"")</calculatedColumnFormula>
    </tableColumn>
    <tableColumn id="2" name="ФИО водителя" dataDxfId="95" totalsRowDxfId="94"/>
    <tableColumn id="3" name="Показание одометра машины на начало дня, км" dataDxfId="93" totalsRowDxfId="92"/>
    <tableColumn id="4" name="Показание одометра машины на конец дня, км" dataDxfId="91" totalsRowDxfId="90"/>
    <tableColumn id="5" name="Пройдено за день, км" totalsRowFunction="sum" dataDxfId="89" totalsRowDxfId="88">
      <calculatedColumnFormula>IFERROR(Февраль[[#This Row],[Показание одометра машины на конец дня, км]]-Февраль[[#This Row],[Показание одометра машины на начало дня, км]]+T7,"")</calculatedColumnFormula>
    </tableColumn>
    <tableColumn id="6" name="Выдано топливо, литр" totalsRowFunction="sum" dataDxfId="87" totalsRowDxfId="86"/>
    <tableColumn id="7" name="Остаток топлива в баке на начало дня, литр" dataDxfId="85" totalsRowDxfId="84">
      <calculatedColumnFormula>IF(Февраль[[#This Row],[Дата]]="","",VLOOKUP($O$4,ТС!$B$5:$E$7,4,FALSE))</calculatedColumnFormula>
    </tableColumn>
    <tableColumn id="8" name="Показание счетчика моточасов спецоборудования на начало дня, м/ч" dataDxfId="83" totalsRowDxfId="82">
      <calculatedColumnFormula>IF(Февраль[[#This Row],[Дата]]="","",VLOOKUP($O$4,ТС!$B$5:$E$7,3,FALSE))</calculatedColumnFormula>
    </tableColumn>
    <tableColumn id="9" name="Показание счетчика моточасов  спецоборудования на конец дня, м/ч" dataDxfId="81" totalsRowDxfId="80"/>
    <tableColumn id="10" name="Работа спецоборудования за день, м/ч" totalsRowFunction="sum" dataDxfId="79" totalsRowDxfId="78">
      <calculatedColumnFormula>IFERROR(IF(W7="",Февраль[[#This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calculatedColumnFormula>
    </tableColumn>
    <tableColumn id="11" name="Количество ходок" totalsRowFunction="sum" dataDxfId="77" totalsRowDxfId="76"/>
    <tableColumn id="12" name="Расход топлива на работу спецоборудования, литр" totalsRowFunction="sum" dataDxfId="75" totalsRowDxfId="74">
      <calculatedColumnFormula>IF(Февраль[[#This Row],[Работа спецоборудования за день, м/ч]]="","",Февраль[[#This Row],[Работа спецоборудования за день, м/ч]]*$Z$2)</calculatedColumnFormula>
    </tableColumn>
    <tableColumn id="13" name="Остаток топлива в баке на конец дня, литр" dataDxfId="73" totalsRowDxfId="72">
      <calculatedColumnFormula>IFERROR(IF(VLOOKUP(Февраль[Дата],S$2:U$3,3),IFERROR(IF(U7="",Февраль[[#This Row],[Выдано топливо, литр]],Февраль[[#This Row],[Выдано топливо, литр]]+U7)+Февраль[[#This Row],[Остаток топлива в баке на начало дня, литр]]-Февраль[[#This Row],[Фактический расход топлива, литр]],""),""),"")</calculatedColumnFormula>
    </tableColumn>
    <tableColumn id="14" name="Расход топлива по норме, литр" totalsRowFunction="sum" dataDxfId="71" totalsRowDxfId="70">
      <calculatedColumnFormula>IFERROR(ROUND((Февраль[[#This Row],[Пройдено за день, км]]*0.01*$Y$2+Февраль[[#This Row],[Расход топлива на работу спецоборудования, литр]]),3)+X7,"")</calculatedColumnFormula>
    </tableColumn>
    <tableColumn id="15" name="Фактический расход топлива, литр" totalsRowFunction="sum" dataDxfId="69" totalsRowDxfId="68">
      <calculatedColumnFormula>IFERROR(IF(Февраль[[#Totals],[Выдано топливо, литр]]=0,0,(ROUND(Февраль[[#This Row],[Расход топлива по норме, литр]]/IF(DAY(Февраль[Дата])&lt;=18,$W$2,$W$3),0)))+Y7,"")</calculatedColumnFormula>
    </tableColumn>
    <tableColumn id="16" name="Отклонение от нормы (Перерасход(+), экономия(-)), литр" totalsRowFunction="sum" dataDxfId="67" totalsRowDxfId="66">
      <calculatedColumnFormula>IFERROR(Февраль[[#This Row],[Фактический расход топлива, литр]]-Февраль[[#This Row],[Расход топлива по норме, литр]],"")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3" name="Расчет" displayName="Расчет" ref="A4:Y7" totalsRowShown="0" headerRowDxfId="65" dataDxfId="64">
  <tableColumns count="25">
    <tableColumn id="3" name="№ п/п" dataDxfId="63"/>
    <tableColumn id="5" name="Номер гос.регистрации / Заводской номер" dataDxfId="62"/>
    <tableColumn id="6" name="Километраж, км" dataDxfId="61"/>
    <tableColumn id="7" name="Спецоборудование, м/ч" dataDxfId="60"/>
    <tableColumn id="8" name="Топливо, л" dataDxfId="59"/>
    <tableColumn id="9" name="Базовая норма расхода на 100 км" dataDxfId="58"/>
    <tableColumn id="10" name="Зима" dataDxfId="57"/>
    <tableColumn id="11" name="Лето" dataDxfId="56"/>
    <tableColumn id="12" name="Итога норма а/м ЗИМА" dataDxfId="55">
      <calculatedColumnFormula>F5*(100+G5)%</calculatedColumnFormula>
    </tableColumn>
    <tableColumn id="13" name="Итога норма а/м ЛЕТО" dataDxfId="54">
      <calculatedColumnFormula>F5*(100+H5)%</calculatedColumnFormula>
    </tableColumn>
    <tableColumn id="14" name="Базовая норма расхода на 1 мото/час" dataDxfId="53"/>
    <tableColumn id="15" name="&quot;Зима&quot;" dataDxfId="52"/>
    <tableColumn id="16" name="&quot;Лето&quot;" dataDxfId="51"/>
    <tableColumn id="17" name="Итога норма а/м &quot;ЗИМА&quot;" dataDxfId="50">
      <calculatedColumnFormula>K5*(100+L5)%</calculatedColumnFormula>
    </tableColumn>
    <tableColumn id="18" name="Итога норма а/м &quot;ЛЕТО&quot;" dataDxfId="49">
      <calculatedColumnFormula>K5*(100+M5)%</calculatedColumnFormula>
    </tableColumn>
    <tableColumn id="19" name="Норма на 100 км, литров" dataDxfId="48"/>
    <tableColumn id="20" name="движение с манипулятором" dataDxfId="47">
      <calculatedColumnFormula>R5*S5</calculatedColumnFormula>
    </tableColumn>
    <tableColumn id="21" name="Тоннаж" dataDxfId="46"/>
    <tableColumn id="22" name="Литры" dataDxfId="45"/>
    <tableColumn id="23" name="На движение с грузом" dataDxfId="44">
      <calculatedColumnFormula>U5*V5*S5</calculatedColumnFormula>
    </tableColumn>
    <tableColumn id="24" name="Тоннаж1" dataDxfId="43"/>
    <tableColumn id="25" name="К-т загрузки" dataDxfId="42"/>
    <tableColumn id="26" name="ИТОГ" dataDxfId="41">
      <calculatedColumnFormula>P5+Q5+T5</calculatedColumnFormula>
    </tableColumn>
    <tableColumn id="27" name="25% за работу в городе с населением свыше 3 млн. человек" dataDxfId="40">
      <calculatedColumnFormula>W5*25%+W5</calculatedColumnFormula>
    </tableColumn>
    <tableColumn id="28" name="10 % за работу зимой" dataDxfId="39">
      <calculatedColumnFormula>W5*10%+X5</calculatedColumn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5:Q8" totalsRowShown="0" headerRowDxfId="36">
  <autoFilter ref="A5:Q8"/>
  <tableColumns count="17">
    <tableColumn id="1" name="Дата"/>
    <tableColumn id="2" name="ФИО водителя" dataDxfId="35"/>
    <tableColumn id="17" name="Номер гос.регистрации" dataDxfId="34"/>
    <tableColumn id="3" name="Показание одометра машины на начало дня, км" dataDxfId="33"/>
    <tableColumn id="4" name="Показание одометра машины на конец дня, км" dataDxfId="32"/>
    <tableColumn id="5" name="Пройдено за день, км" dataDxfId="31">
      <calculatedColumnFormula>E6-D6</calculatedColumnFormula>
    </tableColumn>
    <tableColumn id="6" name="Выдано топливо, литр" dataDxfId="30"/>
    <tableColumn id="7" name="Остаток топлива в баке на начало дня, литр" dataDxfId="29"/>
    <tableColumn id="8" name="Показание счетчика моточасов спецоборудования на начало дня, м/ч" dataDxfId="28"/>
    <tableColumn id="9" name="Показание счетчика моточасов  спецоборудования на конец дня, м/ч" dataDxfId="27"/>
    <tableColumn id="10" name="Работа спецоборудования за день, м/ч" dataDxfId="26">
      <calculatedColumnFormula>J6-I6</calculatedColumnFormula>
    </tableColumn>
    <tableColumn id="11" name="Количество ходок" dataDxfId="25"/>
    <tableColumn id="12" name="Расход топлива на работу спецоборудования, литр" dataDxfId="24"/>
    <tableColumn id="13" name="Остаток топлива в баке на конец дня, литр" dataDxfId="23">
      <calculatedColumnFormula>G6+H6-P6</calculatedColumnFormula>
    </tableColumn>
    <tableColumn id="14" name="Расход топлива по норме, литр" dataDxfId="22"/>
    <tableColumn id="15" name="Фактический расход топлива, литр" dataDxfId="21">
      <calculatedColumnFormula>IF($I$10=0,0,(ROUND(O6/$T$6,0)))</calculatedColumnFormula>
    </tableColumn>
    <tableColumn id="16" name="Отклонение от нормы (Перерасход(+), экономия(-)), литр" dataDxfId="20">
      <calculatedColumnFormula>P6-O6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id="2" name="Сотрудники" displayName="Сотрудники" ref="A3:B27" insertRowShift="1" totalsRowShown="0" headerRowDxfId="19" dataDxfId="18">
  <autoFilter ref="A3:B27"/>
  <tableColumns count="2">
    <tableColumn id="1" name="№ п/п" dataDxfId="17"/>
    <tableColumn id="2" name="Ф.И.О." dataDxfId="1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41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2" sqref="F32"/>
    </sheetView>
  </sheetViews>
  <sheetFormatPr defaultRowHeight="12.75" x14ac:dyDescent="0.2"/>
  <cols>
    <col min="1" max="1" width="10.7109375" style="37" bestFit="1" customWidth="1"/>
    <col min="2" max="2" width="15.85546875" style="37" customWidth="1"/>
    <col min="3" max="3" width="12.42578125" style="37" customWidth="1"/>
    <col min="4" max="4" width="12.140625" style="37" customWidth="1"/>
    <col min="5" max="5" width="11.140625" style="37" customWidth="1"/>
    <col min="6" max="6" width="10.7109375" style="37" customWidth="1"/>
    <col min="7" max="7" width="12.5703125" style="37" customWidth="1"/>
    <col min="8" max="8" width="19.28515625" style="37" customWidth="1"/>
    <col min="9" max="9" width="18.7109375" style="37" customWidth="1"/>
    <col min="10" max="10" width="19.28515625" style="37" customWidth="1"/>
    <col min="11" max="11" width="12.42578125" style="37" customWidth="1"/>
    <col min="12" max="12" width="19.7109375" style="37" customWidth="1"/>
    <col min="13" max="13" width="11.7109375" style="37" customWidth="1"/>
    <col min="14" max="14" width="12.85546875" style="37" customWidth="1"/>
    <col min="15" max="15" width="12.5703125" style="37" customWidth="1"/>
    <col min="16" max="16" width="16.140625" style="37" customWidth="1"/>
    <col min="17" max="17" width="3.140625" style="94" customWidth="1"/>
    <col min="18" max="18" width="15.28515625" style="37" customWidth="1"/>
    <col min="19" max="19" width="10.7109375" style="37" customWidth="1"/>
    <col min="20" max="20" width="11.5703125" style="37" customWidth="1"/>
    <col min="21" max="21" width="9" style="37" customWidth="1"/>
    <col min="22" max="22" width="11.140625" style="37" customWidth="1"/>
    <col min="23" max="23" width="12.140625" style="37" customWidth="1"/>
    <col min="24" max="24" width="11.5703125" style="37" customWidth="1"/>
    <col min="25" max="25" width="15.85546875" style="37" customWidth="1"/>
    <col min="26" max="26" width="20.5703125" style="37" customWidth="1"/>
    <col min="27" max="27" width="11" style="37" bestFit="1" customWidth="1"/>
    <col min="28" max="16384" width="9.140625" style="37"/>
  </cols>
  <sheetData>
    <row r="1" spans="1:26" ht="32.25" customHeight="1" thickBot="1" x14ac:dyDescent="0.25">
      <c r="P1" s="140" t="s">
        <v>60</v>
      </c>
      <c r="R1" s="98"/>
      <c r="S1" s="98"/>
      <c r="T1" s="137"/>
      <c r="V1" s="98"/>
      <c r="W1" s="98"/>
      <c r="X1" s="99" t="s">
        <v>72</v>
      </c>
      <c r="Y1" s="122" t="s">
        <v>39</v>
      </c>
      <c r="Z1" s="123" t="s">
        <v>44</v>
      </c>
    </row>
    <row r="2" spans="1:26" ht="22.5" x14ac:dyDescent="0.2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R2" s="115" t="s">
        <v>80</v>
      </c>
      <c r="S2" s="124">
        <f>A7</f>
        <v>43101</v>
      </c>
      <c r="T2" s="111">
        <v>43118</v>
      </c>
      <c r="U2" s="113">
        <f>ТС!E5</f>
        <v>500</v>
      </c>
      <c r="V2" s="125">
        <f ca="1">SUMIFS(Январь[Выдано топливо, литр],Январь[Дата],"&gt;="&amp;$S$2,Январь[Дата],"&lt;="&amp;$T$2)+IF(MONTH(T2)&lt;&gt;MONTH(S2),INDIRECT(TEXT(A7-1,"ММММ")&amp;"!F38")-SUM(INDIRECT(TEXT(A7-1,"ММММ")&amp;"!V1:V2")))</f>
        <v>380</v>
      </c>
      <c r="W2" s="112">
        <f ca="1">IF(V2=0,0,(SUMIFS($N$7:$N$37,$A$7:$A$37,"&gt;="&amp;$S$2,$A$7:$A$37,"&lt;="&amp;$T$2))/(V2-U2+G7))</f>
        <v>0.95396052631578965</v>
      </c>
      <c r="X2" s="109">
        <f ca="1">SUMIFS(Январь[Отклонение от нормы (Перерасход(+), экономия(-)), литр],Январь[Дата],"&gt;="&amp;$S$2,Январь[Дата],"&lt;="&amp;$T$2)</f>
        <v>15.49499999999999</v>
      </c>
      <c r="Y2" s="100">
        <f>IF(Y4="Зима",VLOOKUP(Z4,Расчет[[Номер гос.регистрации / Заводской номер]:[Итога норма а/м "ЛЕТО"]],8,FALSE),VLOOKUP(Z4,Расчет[[Номер гос.регистрации / Заводской номер]:[Итога норма а/м "ЛЕТО"]],9,FALSE))</f>
        <v>51.546000000000006</v>
      </c>
      <c r="Z2" s="101">
        <f>IF(Y4="Зима",VLOOKUP(Z4,Расчет[[Номер гос.регистрации / Заводской номер]:[Итога норма а/м "ЛЕТО"]],13,FALSE),VLOOKUP(Z4,Расчет[[Номер гос.регистрации / Заводской номер]:[Итога норма а/м "ЛЕТО"]],14,FALSE))</f>
        <v>6.0500000000000007</v>
      </c>
    </row>
    <row r="3" spans="1:26" ht="23.25" thickBot="1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R3" s="116" t="s">
        <v>76</v>
      </c>
      <c r="S3" s="126">
        <f>T2+1</f>
        <v>43119</v>
      </c>
      <c r="T3" s="127">
        <f>INDEX(Январь[Дата],COUNT(Январь[Дата]))-T1</f>
        <v>43131</v>
      </c>
      <c r="U3" s="114">
        <f>ТС!E6</f>
        <v>500</v>
      </c>
      <c r="V3" s="128">
        <f ca="1">SUMIFS(Январь[Выдано топливо, литр],Январь[Дата],"&gt;="&amp;$S$3,Январь[Дата],"&lt;="&amp;$T$3)+IF(MONTH(T3)&lt;&gt;MONTH(S3),INDIRECT(TEXT(A7-1,"ММММ")&amp;"!F38")-SUM(INDIRECT(TEXT(A7-1,"ММММ")&amp;"!V1:V2")))</f>
        <v>300</v>
      </c>
      <c r="W3" s="120">
        <f ca="1">IF(V3=0,0,(SUMIFS($N$7:$N$37,$A$7:$A$37,"&gt;="&amp;$S$3,$A$7:$A$37,"&lt;="&amp;$T$3))/(V3-U3+U3))</f>
        <v>2.7599933333333335</v>
      </c>
      <c r="X3" s="110">
        <f ca="1">SUMIFS(Январь[Отклонение от нормы (Перерасход(+), экономия(-)), литр],Январь[Дата],"&gt;="&amp;$S$3,Январь[Дата],"&lt;="&amp;$T$3)</f>
        <v>-527.99799999999993</v>
      </c>
      <c r="Y3" s="117"/>
      <c r="Z3" s="118"/>
    </row>
    <row r="4" spans="1:26" ht="23.25" thickBot="1" x14ac:dyDescent="0.35">
      <c r="A4" s="38"/>
      <c r="D4" s="38"/>
      <c r="E4" s="38"/>
      <c r="F4" s="38"/>
      <c r="G4" s="38"/>
      <c r="H4" s="39" t="s">
        <v>2</v>
      </c>
      <c r="I4" s="75">
        <v>2018</v>
      </c>
      <c r="K4" s="38"/>
      <c r="L4" s="38"/>
      <c r="M4" s="38"/>
      <c r="N4" s="38"/>
      <c r="O4" s="184" t="s">
        <v>83</v>
      </c>
      <c r="P4" s="184"/>
      <c r="R4" s="98"/>
      <c r="S4" s="129" t="str">
        <f>IF(INDEX(Январь[Дата],COUNT(Январь[Дата]))=T3,"",T3+1)</f>
        <v/>
      </c>
      <c r="V4" s="98"/>
      <c r="W4" s="119" t="str">
        <f ca="1">IFERROR(IF(S4="","",INDIRECT(TEXT(A7+40,"ММММ")&amp;"!W2")),)</f>
        <v/>
      </c>
      <c r="X4" s="98"/>
      <c r="Y4" s="138" t="s">
        <v>40</v>
      </c>
      <c r="Z4" s="139" t="s">
        <v>77</v>
      </c>
    </row>
    <row r="5" spans="1:26" ht="8.25" customHeight="1" thickBot="1" x14ac:dyDescent="0.25"/>
    <row r="6" spans="1:26" ht="63.75" customHeight="1" thickBot="1" x14ac:dyDescent="0.25">
      <c r="A6" s="102" t="s">
        <v>3</v>
      </c>
      <c r="B6" s="103" t="s">
        <v>4</v>
      </c>
      <c r="C6" s="104" t="s">
        <v>6</v>
      </c>
      <c r="D6" s="104" t="s">
        <v>7</v>
      </c>
      <c r="E6" s="104" t="s">
        <v>8</v>
      </c>
      <c r="F6" s="104" t="s">
        <v>9</v>
      </c>
      <c r="G6" s="104" t="s">
        <v>10</v>
      </c>
      <c r="H6" s="104" t="s">
        <v>11</v>
      </c>
      <c r="I6" s="105" t="s">
        <v>12</v>
      </c>
      <c r="J6" s="105" t="s">
        <v>13</v>
      </c>
      <c r="K6" s="105" t="s">
        <v>14</v>
      </c>
      <c r="L6" s="105" t="s">
        <v>15</v>
      </c>
      <c r="M6" s="105" t="s">
        <v>16</v>
      </c>
      <c r="N6" s="105" t="s">
        <v>17</v>
      </c>
      <c r="O6" s="105" t="s">
        <v>18</v>
      </c>
      <c r="P6" s="106" t="s">
        <v>19</v>
      </c>
      <c r="R6" s="141" t="s">
        <v>3</v>
      </c>
      <c r="S6" s="157" t="s">
        <v>81</v>
      </c>
      <c r="T6" s="130" t="s">
        <v>8</v>
      </c>
      <c r="U6" s="130" t="s">
        <v>9</v>
      </c>
      <c r="V6" s="130" t="s">
        <v>82</v>
      </c>
      <c r="W6" s="130" t="s">
        <v>13</v>
      </c>
      <c r="X6" s="130" t="s">
        <v>17</v>
      </c>
      <c r="Y6" s="147" t="s">
        <v>18</v>
      </c>
      <c r="Z6" s="146" t="s">
        <v>3</v>
      </c>
    </row>
    <row r="7" spans="1:26" ht="15" customHeight="1" thickBot="1" x14ac:dyDescent="0.25">
      <c r="A7" s="40">
        <f>IFERROR(DATEVALUE((COUNT($A$6:A6)+1)&amp;$P$1&amp;$I$4),"")</f>
        <v>43101</v>
      </c>
      <c r="B7" s="133"/>
      <c r="C7" s="131">
        <f>ТС!C5</f>
        <v>209024</v>
      </c>
      <c r="D7" s="74">
        <v>209024</v>
      </c>
      <c r="E7" s="41">
        <f>Январь[[#This Row],[Показание одометра машины на конец дня, км]]-Январь[[#This Row],[Показание одометра машины на начало дня, км]]+T7</f>
        <v>0</v>
      </c>
      <c r="F7" s="81" t="str">
        <f>IF(INDEX([1]январь!$D$4:$G$153,MATCH($O$4,[1]январь!$G$4:$G$153,0),1)=Январь[[#This Row],[Дата]],INDEX([1]январь!$D$4:$G$153,MATCH($O$4,[1]январь!$G$4:$G$153,0),2),"")</f>
        <v/>
      </c>
      <c r="G7" s="131">
        <f>ТС!E5</f>
        <v>500</v>
      </c>
      <c r="H7" s="131">
        <f>ТС!D5</f>
        <v>620</v>
      </c>
      <c r="I7" s="74">
        <v>620</v>
      </c>
      <c r="J7" s="42">
        <f>IF(W7="",Январь[[#This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7" s="95"/>
      <c r="L7" s="43">
        <f>IF(Январь[[#This Row],[Работа спецоборудования за день, м/ч]]="","",Январь[[#This Row],[Работа спецоборудования за день, м/ч]]*$Z$2)</f>
        <v>0</v>
      </c>
      <c r="M7" s="77" t="str">
        <f ca="1">IF(VLOOKUP(Январь[Дата],S$2:U$3,3),IFERROR(IF(U7="",Январь[[#This Row],[Выдано топливо, литр]],Январь[[#This Row],[Выдано топливо, литр]]+U7)+Январь[[#This Row],[Остаток топлива в баке на начало дня, литр]]-Январь[[#This Row],[Фактический расход топлива, литр]],""),"")</f>
        <v/>
      </c>
      <c r="N7" s="44">
        <f>ROUND((Январь[[#This Row],[Пройдено за день, км]]*0.01*$Y$2+Январь[[#This Row],[Расход топлива на работу спецоборудования, литр]]),3)+X7</f>
        <v>0</v>
      </c>
      <c r="O7" s="42">
        <f ca="1">ROUND(Январь[[#This Row],[Расход топлива по норме, литр]]/VLOOKUP(Январь[Дата],S$2:W$4,5),0)+Y7</f>
        <v>0</v>
      </c>
      <c r="P7" s="45">
        <f ca="1">IFERROR(Январь[[#This Row],[Фактический расход топлива, литр]]-Январь[[#This Row],[Расход топлива по норме, литр]],"")</f>
        <v>0</v>
      </c>
      <c r="R7" s="142">
        <f>Январь[[#This Row],[Дата]]</f>
        <v>43101</v>
      </c>
      <c r="S7" s="158"/>
      <c r="T7" s="107"/>
      <c r="U7" s="152"/>
      <c r="V7" s="151"/>
      <c r="W7" s="107"/>
      <c r="X7" s="107"/>
      <c r="Y7" s="153"/>
      <c r="Z7" s="142">
        <f>Январь[[#This Row],[Дата]]</f>
        <v>43101</v>
      </c>
    </row>
    <row r="8" spans="1:26" ht="12.75" customHeight="1" x14ac:dyDescent="0.2">
      <c r="A8" s="46">
        <f>IFERROR(DATEVALUE((COUNT($A$6:A7)+1)&amp;$P$1&amp;$I$4),"")</f>
        <v>43102</v>
      </c>
      <c r="B8" s="134"/>
      <c r="C8" s="53">
        <f ca="1">IFERROR(IF(INDIRECT(TEXT(A7,"ММММ")&amp;"!A7:A37")="","",IF(S7="",D7,S7)),"")</f>
        <v>209024</v>
      </c>
      <c r="D8" s="72">
        <v>209024</v>
      </c>
      <c r="E8" s="48">
        <f ca="1">Январь[[#This Row],[Показание одометра машины на конец дня, км]]-Январь[[#This Row],[Показание одометра машины на начало дня, км]]+T8</f>
        <v>0</v>
      </c>
      <c r="F8" s="81" t="str">
        <f>IF(INDEX([1]январь!$D$4:$G$153,MATCH($O$4,[1]январь!$G$4:$G$153,0),1)=Январь[[#This Row],[Дата]],INDEX([1]январь!$D$4:$G$153,MATCH($O$4,[1]январь!$G$4:$G$153,0),2),"")</f>
        <v/>
      </c>
      <c r="G8" s="53" t="str">
        <f ca="1">IF(Январь[[#This Row],[Дата]]="","",M7)</f>
        <v/>
      </c>
      <c r="H8" s="53">
        <f ca="1">IFERROR(IF(INDIRECT(TEXT(A7,"ММММ")&amp;"!A7:A37")="","",IF(V7="",I7,V7)),"")</f>
        <v>620</v>
      </c>
      <c r="I8" s="72">
        <v>620</v>
      </c>
      <c r="J8" s="47">
        <f ca="1">IF(W8="",Январь[[#This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8" s="96"/>
      <c r="L8" s="49">
        <f ca="1">IF(Январь[[#This Row],[Работа спецоборудования за день, м/ч]]="","",Январь[[#This Row],[Работа спецоборудования за день, м/ч]]*$Z$2)</f>
        <v>0</v>
      </c>
      <c r="M8" s="78" t="str">
        <f ca="1">IF(VLOOKUP(Январь[Дата],S$2:U$3,3),IFERROR(IF(U8="",Январь[[#This Row],[Выдано топливо, литр]],Январь[[#This Row],[Выдано топливо, литр]]+U8)+Январь[[#This Row],[Остаток топлива в баке на начало дня, литр]]-Январь[[#This Row],[Фактический расход топлива, литр]],""),"")</f>
        <v/>
      </c>
      <c r="N8" s="50">
        <f ca="1">ROUND((Январь[[#This Row],[Пройдено за день, км]]*0.01*$Y$2+Январь[[#This Row],[Расход топлива на работу спецоборудования, литр]]),3)+X8</f>
        <v>0</v>
      </c>
      <c r="O8" s="47">
        <f ca="1">ROUND(Январь[[#This Row],[Расход топлива по норме, литр]]/VLOOKUP(Январь[Дата],S$2:W$4,5),0)+Y8</f>
        <v>0</v>
      </c>
      <c r="P8" s="51">
        <f ca="1">IFERROR(Январь[[#This Row],[Фактический расход топлива, литр]]-Январь[[#This Row],[Расход топлива по норме, литр]],"")</f>
        <v>0</v>
      </c>
      <c r="R8" s="143">
        <f>Январь[[#This Row],[Дата]]</f>
        <v>43102</v>
      </c>
      <c r="S8" s="156"/>
      <c r="T8" s="108"/>
      <c r="U8" s="81"/>
      <c r="V8" s="144"/>
      <c r="W8" s="108"/>
      <c r="X8" s="108"/>
      <c r="Y8" s="154"/>
      <c r="Z8" s="143">
        <f>Январь[[#This Row],[Дата]]</f>
        <v>43102</v>
      </c>
    </row>
    <row r="9" spans="1:26" x14ac:dyDescent="0.2">
      <c r="A9" s="46">
        <f>IFERROR(DATEVALUE((COUNT($A$6:A8)+1)&amp;$P$1&amp;$I$4),"")</f>
        <v>43103</v>
      </c>
      <c r="B9" s="134"/>
      <c r="C9" s="53">
        <f t="shared" ref="C9:C37" ca="1" si="0">IFERROR(IF(INDIRECT(TEXT(A8,"ММММ")&amp;"!A7:A37")="","",IF(S8="",D8,S8)),"")</f>
        <v>209024</v>
      </c>
      <c r="D9" s="72">
        <v>209024</v>
      </c>
      <c r="E9" s="48">
        <f ca="1">Январь[[#This Row],[Показание одометра машины на конец дня, км]]-Январь[[#This Row],[Показание одометра машины на начало дня, км]]+T9</f>
        <v>0</v>
      </c>
      <c r="F9" s="81" t="str">
        <f>IF(INDEX([1]январь!$D$4:$G$153,MATCH($O$4,[1]январь!$G$4:$G$153,0),1)=Январь[[#This Row],[Дата]],INDEX([1]январь!$D$4:$G$153,MATCH($O$4,[1]январь!$G$4:$G$153,0),2),"")</f>
        <v/>
      </c>
      <c r="G9" s="47" t="str">
        <f ca="1">IF(Январь[[#This Row],[Дата]]="","",M8)</f>
        <v/>
      </c>
      <c r="H9" s="53">
        <f t="shared" ref="H9:H37" ca="1" si="1">IFERROR(IF(INDIRECT(TEXT(A8,"ММММ")&amp;"!A7:A37")="","",IF(V8="",I8,V8)),"")</f>
        <v>620</v>
      </c>
      <c r="I9" s="72">
        <v>620</v>
      </c>
      <c r="J9" s="47">
        <f ca="1">IF(W9="",Январь[[#This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9" s="96"/>
      <c r="L9" s="49">
        <f ca="1">IF(Январь[[#This Row],[Работа спецоборудования за день, м/ч]]="","",Январь[[#This Row],[Работа спецоборудования за день, м/ч]]*$Z$2)</f>
        <v>0</v>
      </c>
      <c r="M9" s="78" t="str">
        <f ca="1">IF(VLOOKUP(Январь[Дата],S$2:U$3,3),IFERROR(IF(U9="",Январь[[#This Row],[Выдано топливо, литр]],Январь[[#This Row],[Выдано топливо, литр]]+U9)+Январь[[#This Row],[Остаток топлива в баке на начало дня, литр]]-Январь[[#This Row],[Фактический расход топлива, литр]],""),"")</f>
        <v/>
      </c>
      <c r="N9" s="50">
        <f ca="1">ROUND((Январь[[#This Row],[Пройдено за день, км]]*0.01*$Y$2+Январь[[#This Row],[Расход топлива на работу спецоборудования, литр]]),3)+X9</f>
        <v>0</v>
      </c>
      <c r="O9" s="47">
        <f ca="1">ROUND(Январь[[#This Row],[Расход топлива по норме, литр]]/VLOOKUP(Январь[Дата],S$2:W$4,5),0)+Y9</f>
        <v>0</v>
      </c>
      <c r="P9" s="51">
        <f ca="1">IFERROR(Январь[[#This Row],[Фактический расход топлива, литр]]-Январь[[#This Row],[Расход топлива по норме, литр]],"")</f>
        <v>0</v>
      </c>
      <c r="R9" s="143">
        <f>Январь[[#This Row],[Дата]]</f>
        <v>43103</v>
      </c>
      <c r="S9" s="156"/>
      <c r="T9" s="108"/>
      <c r="U9" s="81"/>
      <c r="V9" s="144"/>
      <c r="W9" s="108"/>
      <c r="X9" s="108"/>
      <c r="Y9" s="154"/>
      <c r="Z9" s="143">
        <f>Январь[[#This Row],[Дата]]</f>
        <v>43103</v>
      </c>
    </row>
    <row r="10" spans="1:26" x14ac:dyDescent="0.2">
      <c r="A10" s="46">
        <f>IFERROR(DATEVALUE((COUNT($A$6:A9)+1)&amp;$P$1&amp;$I$4),"")</f>
        <v>43104</v>
      </c>
      <c r="B10" s="134"/>
      <c r="C10" s="53">
        <f t="shared" ca="1" si="0"/>
        <v>209024</v>
      </c>
      <c r="D10" s="72">
        <v>209024</v>
      </c>
      <c r="E10" s="48">
        <f ca="1">Январь[[#This Row],[Показание одометра машины на конец дня, км]]-Январь[[#This Row],[Показание одометра машины на начало дня, км]]+T10</f>
        <v>0</v>
      </c>
      <c r="F10" s="81" t="str">
        <f>IF(INDEX([1]январь!$D$4:$G$153,MATCH($O$4,[1]январь!$G$4:$G$153,0),1)=Январь[[#This Row],[Дата]],INDEX([1]январь!$D$4:$G$153,MATCH($O$4,[1]январь!$G$4:$G$153,0),2),"")</f>
        <v/>
      </c>
      <c r="G10" s="47" t="str">
        <f ca="1">IF(Январь[[#This Row],[Дата]]="","",M9)</f>
        <v/>
      </c>
      <c r="H10" s="53">
        <f t="shared" ca="1" si="1"/>
        <v>620</v>
      </c>
      <c r="I10" s="72">
        <v>620</v>
      </c>
      <c r="J10" s="47">
        <f ca="1">IF(W10="",Январь[[#This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0" s="96"/>
      <c r="L10" s="49">
        <f ca="1">IF(Январь[[#This Row],[Работа спецоборудования за день, м/ч]]="","",Январь[[#This Row],[Работа спецоборудования за день, м/ч]]*$Z$2)</f>
        <v>0</v>
      </c>
      <c r="M10" s="78" t="str">
        <f ca="1">IF(VLOOKUP(Январь[Дата],S$2:U$3,3),IFERROR(IF(U10="",Январь[[#This Row],[Выдано топливо, литр]],Январь[[#This Row],[Выдано топливо, литр]]+U10)+Январь[[#This Row],[Остаток топлива в баке на начало дня, литр]]-Январь[[#This Row],[Фактический расход топлива, литр]],""),"")</f>
        <v/>
      </c>
      <c r="N10" s="50">
        <f ca="1">ROUND((Январь[[#This Row],[Пройдено за день, км]]*0.01*$Y$2+Январь[[#This Row],[Расход топлива на работу спецоборудования, литр]]),3)+X10</f>
        <v>0</v>
      </c>
      <c r="O10" s="47">
        <f ca="1">ROUND(Январь[[#This Row],[Расход топлива по норме, литр]]/VLOOKUP(Январь[Дата],S$2:W$4,5),0)+Y10</f>
        <v>0</v>
      </c>
      <c r="P10" s="51">
        <f ca="1">IFERROR(Январь[[#This Row],[Фактический расход топлива, литр]]-Январь[[#This Row],[Расход топлива по норме, литр]],"")</f>
        <v>0</v>
      </c>
      <c r="R10" s="143">
        <f>Январь[[#This Row],[Дата]]</f>
        <v>43104</v>
      </c>
      <c r="S10" s="156"/>
      <c r="T10" s="108"/>
      <c r="U10" s="81"/>
      <c r="V10" s="144"/>
      <c r="W10" s="108"/>
      <c r="X10" s="108"/>
      <c r="Y10" s="154"/>
      <c r="Z10" s="143">
        <f>Январь[[#This Row],[Дата]]</f>
        <v>43104</v>
      </c>
    </row>
    <row r="11" spans="1:26" x14ac:dyDescent="0.2">
      <c r="A11" s="46">
        <f>IFERROR(DATEVALUE((COUNT($A$6:A10)+1)&amp;$P$1&amp;$I$4),"")</f>
        <v>43105</v>
      </c>
      <c r="B11" s="134"/>
      <c r="C11" s="53">
        <f t="shared" ca="1" si="0"/>
        <v>209024</v>
      </c>
      <c r="D11" s="72">
        <v>209024</v>
      </c>
      <c r="E11" s="48">
        <f ca="1">Январь[[#This Row],[Показание одометра машины на конец дня, км]]-Январь[[#This Row],[Показание одометра машины на начало дня, км]]+T11</f>
        <v>0</v>
      </c>
      <c r="F11" s="81" t="str">
        <f>IF(INDEX([1]январь!$D$4:$G$153,MATCH($O$4,[1]январь!$G$4:$G$153,0),1)=Январь[[#This Row],[Дата]],INDEX([1]январь!$D$4:$G$153,MATCH($O$4,[1]январь!$G$4:$G$153,0),2),"")</f>
        <v/>
      </c>
      <c r="G11" s="47" t="str">
        <f ca="1">IF(Январь[[#This Row],[Дата]]="","",M10)</f>
        <v/>
      </c>
      <c r="H11" s="53">
        <f t="shared" ca="1" si="1"/>
        <v>620</v>
      </c>
      <c r="I11" s="72">
        <v>620</v>
      </c>
      <c r="J11" s="47">
        <f ca="1">IF(W11="",Январь[[#This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1" s="96"/>
      <c r="L11" s="49">
        <f ca="1">IF(Январь[[#This Row],[Работа спецоборудования за день, м/ч]]="","",Январь[[#This Row],[Работа спецоборудования за день, м/ч]]*$Z$2)</f>
        <v>0</v>
      </c>
      <c r="M11" s="78" t="str">
        <f ca="1">IF(VLOOKUP(Январь[Дата],S$2:U$3,3),IFERROR(IF(U11="",Январь[[#This Row],[Выдано топливо, литр]],Январь[[#This Row],[Выдано топливо, литр]]+U11)+Январь[[#This Row],[Остаток топлива в баке на начало дня, литр]]-Январь[[#This Row],[Фактический расход топлива, литр]],""),"")</f>
        <v/>
      </c>
      <c r="N11" s="50">
        <f ca="1">ROUND((Январь[[#This Row],[Пройдено за день, км]]*0.01*$Y$2+Январь[[#This Row],[Расход топлива на работу спецоборудования, литр]]),3)+X11</f>
        <v>0</v>
      </c>
      <c r="O11" s="47">
        <f ca="1">ROUND(Январь[[#This Row],[Расход топлива по норме, литр]]/VLOOKUP(Январь[Дата],S$2:W$4,5),0)+Y11</f>
        <v>0</v>
      </c>
      <c r="P11" s="51">
        <f ca="1">IFERROR(Январь[[#This Row],[Фактический расход топлива, литр]]-Январь[[#This Row],[Расход топлива по норме, литр]],"")</f>
        <v>0</v>
      </c>
      <c r="R11" s="143">
        <f>Январь[[#This Row],[Дата]]</f>
        <v>43105</v>
      </c>
      <c r="S11" s="156"/>
      <c r="T11" s="108"/>
      <c r="U11" s="81"/>
      <c r="V11" s="144"/>
      <c r="W11" s="108"/>
      <c r="X11" s="108"/>
      <c r="Y11" s="154"/>
      <c r="Z11" s="143">
        <f>Январь[[#This Row],[Дата]]</f>
        <v>43105</v>
      </c>
    </row>
    <row r="12" spans="1:26" x14ac:dyDescent="0.2">
      <c r="A12" s="46">
        <f>IFERROR(DATEVALUE((COUNT($A$6:A11)+1)&amp;$P$1&amp;$I$4),"")</f>
        <v>43106</v>
      </c>
      <c r="B12" s="134"/>
      <c r="C12" s="53">
        <f t="shared" ca="1" si="0"/>
        <v>209024</v>
      </c>
      <c r="D12" s="72">
        <v>209024</v>
      </c>
      <c r="E12" s="48">
        <f ca="1">Январь[[#This Row],[Показание одометра машины на конец дня, км]]-Январь[[#This Row],[Показание одометра машины на начало дня, км]]+T12</f>
        <v>0</v>
      </c>
      <c r="F12" s="81" t="str">
        <f>IF(INDEX([1]январь!$D$4:$G$153,MATCH($O$4,[1]январь!$G$4:$G$153,0),1)=Январь[[#This Row],[Дата]],INDEX([1]январь!$D$4:$G$153,MATCH($O$4,[1]январь!$G$4:$G$153,0),2),"")</f>
        <v/>
      </c>
      <c r="G12" s="47" t="str">
        <f ca="1">IF(Январь[[#This Row],[Дата]]="","",M11)</f>
        <v/>
      </c>
      <c r="H12" s="53">
        <f t="shared" ca="1" si="1"/>
        <v>620</v>
      </c>
      <c r="I12" s="72">
        <v>620</v>
      </c>
      <c r="J12" s="47">
        <f ca="1">IF(W12="",Январь[[#This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2" s="96"/>
      <c r="L12" s="49">
        <f ca="1">IF(Январь[[#This Row],[Работа спецоборудования за день, м/ч]]="","",Январь[[#This Row],[Работа спецоборудования за день, м/ч]]*$Z$2)</f>
        <v>0</v>
      </c>
      <c r="M12" s="78" t="str">
        <f ca="1">IF(VLOOKUP(Январь[Дата],S$2:U$3,3),IFERROR(IF(U12="",Январь[[#This Row],[Выдано топливо, литр]],Январь[[#This Row],[Выдано топливо, литр]]+U12)+Январь[[#This Row],[Остаток топлива в баке на начало дня, литр]]-Январь[[#This Row],[Фактический расход топлива, литр]],""),"")</f>
        <v/>
      </c>
      <c r="N12" s="50">
        <f ca="1">ROUND((Январь[[#This Row],[Пройдено за день, км]]*0.01*$Y$2+Январь[[#This Row],[Расход топлива на работу спецоборудования, литр]]),3)+X12</f>
        <v>0</v>
      </c>
      <c r="O12" s="47">
        <f ca="1">ROUND(Январь[[#This Row],[Расход топлива по норме, литр]]/VLOOKUP(Январь[Дата],S$2:W$4,5),0)+Y12</f>
        <v>0</v>
      </c>
      <c r="P12" s="51">
        <f ca="1">IFERROR(Январь[[#This Row],[Фактический расход топлива, литр]]-Январь[[#This Row],[Расход топлива по норме, литр]],"")</f>
        <v>0</v>
      </c>
      <c r="R12" s="143">
        <f>Январь[[#This Row],[Дата]]</f>
        <v>43106</v>
      </c>
      <c r="S12" s="156"/>
      <c r="T12" s="108"/>
      <c r="U12" s="81"/>
      <c r="V12" s="144"/>
      <c r="W12" s="108"/>
      <c r="X12" s="108"/>
      <c r="Y12" s="154"/>
      <c r="Z12" s="143">
        <f>Январь[[#This Row],[Дата]]</f>
        <v>43106</v>
      </c>
    </row>
    <row r="13" spans="1:26" x14ac:dyDescent="0.2">
      <c r="A13" s="46">
        <f>IFERROR(DATEVALUE((COUNT($A$6:A12)+1)&amp;$P$1&amp;$I$4),"")</f>
        <v>43107</v>
      </c>
      <c r="B13" s="134"/>
      <c r="C13" s="53">
        <f t="shared" ca="1" si="0"/>
        <v>209024</v>
      </c>
      <c r="D13" s="72">
        <v>209024</v>
      </c>
      <c r="E13" s="48">
        <f ca="1">Январь[[#This Row],[Показание одометра машины на конец дня, км]]-Январь[[#This Row],[Показание одометра машины на начало дня, км]]+T13</f>
        <v>0</v>
      </c>
      <c r="F13" s="81" t="str">
        <f>IF(INDEX([1]январь!$D$4:$G$153,MATCH($O$4,[1]январь!$G$4:$G$153,0),1)=Январь[[#This Row],[Дата]],INDEX([1]январь!$D$4:$G$153,MATCH($O$4,[1]январь!$G$4:$G$153,0),2),"")</f>
        <v/>
      </c>
      <c r="G13" s="47" t="str">
        <f ca="1">IF(Январь[[#This Row],[Дата]]="","",M12)</f>
        <v/>
      </c>
      <c r="H13" s="53">
        <f t="shared" ca="1" si="1"/>
        <v>620</v>
      </c>
      <c r="I13" s="72">
        <v>620</v>
      </c>
      <c r="J13" s="47">
        <f ca="1">IF(W13="",Январь[[#This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3" s="96"/>
      <c r="L13" s="49">
        <f ca="1">IF(Январь[[#This Row],[Работа спецоборудования за день, м/ч]]="","",Январь[[#This Row],[Работа спецоборудования за день, м/ч]]*$Z$2)</f>
        <v>0</v>
      </c>
      <c r="M13" s="78" t="str">
        <f ca="1">IF(VLOOKUP(Январь[Дата],S$2:U$3,3),IFERROR(IF(U13="",Январь[[#This Row],[Выдано топливо, литр]],Январь[[#This Row],[Выдано топливо, литр]]+U13)+Январь[[#This Row],[Остаток топлива в баке на начало дня, литр]]-Январь[[#This Row],[Фактический расход топлива, литр]],""),"")</f>
        <v/>
      </c>
      <c r="N13" s="50">
        <f ca="1">ROUND((Январь[[#This Row],[Пройдено за день, км]]*0.01*$Y$2+Январь[[#This Row],[Расход топлива на работу спецоборудования, литр]]),3)+X13</f>
        <v>0</v>
      </c>
      <c r="O13" s="47">
        <f ca="1">ROUND(Январь[[#This Row],[Расход топлива по норме, литр]]/VLOOKUP(Январь[Дата],S$2:W$4,5),0)+Y13</f>
        <v>0</v>
      </c>
      <c r="P13" s="51">
        <f ca="1">IFERROR(Январь[[#This Row],[Фактический расход топлива, литр]]-Январь[[#This Row],[Расход топлива по норме, литр]],"")</f>
        <v>0</v>
      </c>
      <c r="R13" s="143">
        <f>Январь[[#This Row],[Дата]]</f>
        <v>43107</v>
      </c>
      <c r="S13" s="156"/>
      <c r="T13" s="108"/>
      <c r="U13" s="81"/>
      <c r="V13" s="144"/>
      <c r="W13" s="108"/>
      <c r="X13" s="108"/>
      <c r="Y13" s="154"/>
      <c r="Z13" s="143">
        <f>Январь[[#This Row],[Дата]]</f>
        <v>43107</v>
      </c>
    </row>
    <row r="14" spans="1:26" x14ac:dyDescent="0.2">
      <c r="A14" s="46">
        <f>IFERROR(DATEVALUE((COUNT($A$6:A13)+1)&amp;$P$1&amp;$I$4),"")</f>
        <v>43108</v>
      </c>
      <c r="B14" s="134"/>
      <c r="C14" s="53">
        <f t="shared" ca="1" si="0"/>
        <v>209024</v>
      </c>
      <c r="D14" s="72">
        <v>209024</v>
      </c>
      <c r="E14" s="48">
        <f ca="1">Январь[[#This Row],[Показание одометра машины на конец дня, км]]-Январь[[#This Row],[Показание одометра машины на начало дня, км]]+T14</f>
        <v>0</v>
      </c>
      <c r="F14" s="81" t="str">
        <f>IF(INDEX([1]январь!$D$4:$G$153,MATCH($O$4,[1]январь!$G$4:$G$153,0),1)=Январь[[#This Row],[Дата]],INDEX([1]январь!$D$4:$G$153,MATCH($O$4,[1]январь!$G$4:$G$153,0),2),"")</f>
        <v/>
      </c>
      <c r="G14" s="47" t="str">
        <f ca="1">IF(Январь[[#This Row],[Дата]]="","",M13)</f>
        <v/>
      </c>
      <c r="H14" s="53">
        <f t="shared" ca="1" si="1"/>
        <v>620</v>
      </c>
      <c r="I14" s="72">
        <v>620</v>
      </c>
      <c r="J14" s="47">
        <f ca="1">IF(W14="",Январь[[#This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4" s="96"/>
      <c r="L14" s="49">
        <f ca="1">IF(Январь[[#This Row],[Работа спецоборудования за день, м/ч]]="","",Январь[[#This Row],[Работа спецоборудования за день, м/ч]]*$Z$2)</f>
        <v>0</v>
      </c>
      <c r="M14" s="78" t="str">
        <f ca="1">IF(VLOOKUP(Январь[Дата],S$2:U$3,3),IFERROR(IF(U14="",Январь[[#This Row],[Выдано топливо, литр]],Январь[[#This Row],[Выдано топливо, литр]]+U14)+Январь[[#This Row],[Остаток топлива в баке на начало дня, литр]]-Январь[[#This Row],[Фактический расход топлива, литр]],""),"")</f>
        <v/>
      </c>
      <c r="N14" s="50">
        <f ca="1">ROUND((Январь[[#This Row],[Пройдено за день, км]]*0.01*$Y$2+Январь[[#This Row],[Расход топлива на работу спецоборудования, литр]]),3)+X14</f>
        <v>0</v>
      </c>
      <c r="O14" s="47">
        <f ca="1">ROUND(Январь[[#This Row],[Расход топлива по норме, литр]]/VLOOKUP(Январь[Дата],S$2:W$4,5),0)+Y14</f>
        <v>0</v>
      </c>
      <c r="P14" s="51">
        <f ca="1">IFERROR(Январь[[#This Row],[Фактический расход топлива, литр]]-Январь[[#This Row],[Расход топлива по норме, литр]],"")</f>
        <v>0</v>
      </c>
      <c r="R14" s="143">
        <f>Январь[[#This Row],[Дата]]</f>
        <v>43108</v>
      </c>
      <c r="S14" s="156"/>
      <c r="T14" s="108"/>
      <c r="U14" s="81"/>
      <c r="V14" s="144"/>
      <c r="W14" s="108"/>
      <c r="X14" s="108"/>
      <c r="Y14" s="154"/>
      <c r="Z14" s="143">
        <f>Январь[[#This Row],[Дата]]</f>
        <v>43108</v>
      </c>
    </row>
    <row r="15" spans="1:26" x14ac:dyDescent="0.2">
      <c r="A15" s="46">
        <f>IFERROR(DATEVALUE((COUNT($A$6:A14)+1)&amp;$P$1&amp;$I$4),"")</f>
        <v>43109</v>
      </c>
      <c r="B15" s="134"/>
      <c r="C15" s="53">
        <f t="shared" ca="1" si="0"/>
        <v>209024</v>
      </c>
      <c r="D15" s="72">
        <v>209024</v>
      </c>
      <c r="E15" s="48">
        <f ca="1">Январь[[#This Row],[Показание одометра машины на конец дня, км]]-Январь[[#This Row],[Показание одометра машины на начало дня, км]]+T15</f>
        <v>0</v>
      </c>
      <c r="F15" s="81" t="str">
        <f>IF(INDEX([1]январь!$D$4:$G$153,MATCH($O$4,[1]январь!$G$4:$G$153,0),1)=Январь[[#This Row],[Дата]],INDEX([1]январь!$D$4:$G$153,MATCH($O$4,[1]январь!$G$4:$G$153,0),2),"")</f>
        <v/>
      </c>
      <c r="G15" s="47" t="str">
        <f ca="1">IF(Январь[[#This Row],[Дата]]="","",M14)</f>
        <v/>
      </c>
      <c r="H15" s="53">
        <f t="shared" ca="1" si="1"/>
        <v>620</v>
      </c>
      <c r="I15" s="72">
        <v>620</v>
      </c>
      <c r="J15" s="47">
        <f ca="1">IF(W15="",Январь[[#This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5" s="96">
        <v>0</v>
      </c>
      <c r="L15" s="49">
        <f ca="1">IF(Январь[[#This Row],[Работа спецоборудования за день, м/ч]]="","",Январь[[#This Row],[Работа спецоборудования за день, м/ч]]*$Z$2)</f>
        <v>0</v>
      </c>
      <c r="M15" s="78" t="str">
        <f ca="1">IF(VLOOKUP(Январь[Дата],S$2:U$3,3),IFERROR(IF(U15="",Январь[[#This Row],[Выдано топливо, литр]],Январь[[#This Row],[Выдано топливо, литр]]+U15)+Январь[[#This Row],[Остаток топлива в баке на начало дня, литр]]-Январь[[#This Row],[Фактический расход топлива, литр]],""),"")</f>
        <v/>
      </c>
      <c r="N15" s="50">
        <f ca="1">ROUND((Январь[[#This Row],[Пройдено за день, км]]*0.01*$Y$2+Январь[[#This Row],[Расход топлива на работу спецоборудования, литр]]),3)+X15</f>
        <v>0</v>
      </c>
      <c r="O15" s="47">
        <f ca="1">ROUND(Январь[[#This Row],[Расход топлива по норме, литр]]/VLOOKUP(Январь[Дата],S$2:W$4,5),0)+Y15</f>
        <v>0</v>
      </c>
      <c r="P15" s="51">
        <f ca="1">IFERROR(Январь[[#This Row],[Фактический расход топлива, литр]]-Январь[[#This Row],[Расход топлива по норме, литр]],"")</f>
        <v>0</v>
      </c>
      <c r="R15" s="143">
        <f>Январь[[#This Row],[Дата]]</f>
        <v>43109</v>
      </c>
      <c r="S15" s="156"/>
      <c r="T15" s="108"/>
      <c r="U15" s="81"/>
      <c r="V15" s="144"/>
      <c r="W15" s="108"/>
      <c r="X15" s="108"/>
      <c r="Y15" s="154"/>
      <c r="Z15" s="143">
        <f>Январь[[#This Row],[Дата]]</f>
        <v>43109</v>
      </c>
    </row>
    <row r="16" spans="1:26" x14ac:dyDescent="0.2">
      <c r="A16" s="46">
        <f>IFERROR(DATEVALUE((COUNT($A$6:A15)+1)&amp;$P$1&amp;$I$4),"")</f>
        <v>43110</v>
      </c>
      <c r="B16" s="134" t="s">
        <v>20</v>
      </c>
      <c r="C16" s="53">
        <f t="shared" ca="1" si="0"/>
        <v>209024</v>
      </c>
      <c r="D16" s="72">
        <v>209059</v>
      </c>
      <c r="E16" s="48">
        <f ca="1">Январь[[#This Row],[Показание одометра машины на конец дня, км]]-Январь[[#This Row],[Показание одометра машины на начало дня, км]]+T16</f>
        <v>35</v>
      </c>
      <c r="F16" s="81" t="str">
        <f>IF(INDEX([1]январь!$D$4:$G$153,MATCH($O$4,[1]январь!$G$4:$G$153,0),1)=Январь[[#This Row],[Дата]],INDEX([1]январь!$D$4:$G$153,MATCH($O$4,[1]январь!$G$4:$G$153,0),2),"")</f>
        <v/>
      </c>
      <c r="G16" s="47" t="str">
        <f ca="1">IF(Январь[[#This Row],[Дата]]="","",M15)</f>
        <v/>
      </c>
      <c r="H16" s="53">
        <f t="shared" ca="1" si="1"/>
        <v>620</v>
      </c>
      <c r="I16" s="72">
        <v>620</v>
      </c>
      <c r="J16" s="47">
        <f ca="1">IF(W16="",Январь[[#This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6" s="96">
        <v>1</v>
      </c>
      <c r="L16" s="49">
        <f ca="1">IF(Январь[[#This Row],[Работа спецоборудования за день, м/ч]]="","",Январь[[#This Row],[Работа спецоборудования за день, м/ч]]*$Z$2)</f>
        <v>0</v>
      </c>
      <c r="M16" s="78" t="str">
        <f ca="1">IF(VLOOKUP(Январь[Дата],S$2:U$3,3),IFERROR(IF(U16="",Январь[[#This Row],[Выдано топливо, литр]],Январь[[#This Row],[Выдано топливо, литр]]+U16)+Январь[[#This Row],[Остаток топлива в баке на начало дня, литр]]-Январь[[#This Row],[Фактический расход топлива, литр]],""),"")</f>
        <v/>
      </c>
      <c r="N16" s="50">
        <f ca="1">ROUND((Январь[[#This Row],[Пройдено за день, км]]*0.01*$Y$2+Январь[[#This Row],[Расход топлива на работу спецоборудования, литр]]),3)+X16</f>
        <v>18.041</v>
      </c>
      <c r="O16" s="47">
        <f ca="1">ROUND(Январь[[#This Row],[Расход топлива по норме, литр]]/VLOOKUP(Январь[Дата],S$2:W$4,5),0)+Y16</f>
        <v>19</v>
      </c>
      <c r="P16" s="51">
        <f ca="1">IFERROR(Январь[[#This Row],[Фактический расход топлива, литр]]-Январь[[#This Row],[Расход топлива по норме, литр]],"")</f>
        <v>0.95899999999999963</v>
      </c>
      <c r="R16" s="143">
        <f>Январь[[#This Row],[Дата]]</f>
        <v>43110</v>
      </c>
      <c r="S16" s="156"/>
      <c r="T16" s="108"/>
      <c r="U16" s="81"/>
      <c r="V16" s="144"/>
      <c r="W16" s="108"/>
      <c r="X16" s="108"/>
      <c r="Y16" s="154"/>
      <c r="Z16" s="143">
        <f>Январь[[#This Row],[Дата]]</f>
        <v>43110</v>
      </c>
    </row>
    <row r="17" spans="1:26" x14ac:dyDescent="0.2">
      <c r="A17" s="46">
        <f>IFERROR(DATEVALUE((COUNT($A$6:A16)+1)&amp;$P$1&amp;$I$4),"")</f>
        <v>43111</v>
      </c>
      <c r="B17" s="134" t="s">
        <v>20</v>
      </c>
      <c r="C17" s="53">
        <f t="shared" ca="1" si="0"/>
        <v>209059</v>
      </c>
      <c r="D17" s="72">
        <v>209084</v>
      </c>
      <c r="E17" s="48">
        <f ca="1">Январь[[#This Row],[Показание одометра машины на конец дня, км]]-Январь[[#This Row],[Показание одометра машины на начало дня, км]]+T17</f>
        <v>25</v>
      </c>
      <c r="F17" s="81" t="str">
        <f>IF(INDEX([1]январь!$D$4:$G$153,MATCH($O$4,[1]январь!$G$4:$G$153,0),1)=Январь[[#This Row],[Дата]],INDEX([1]январь!$D$4:$G$153,MATCH($O$4,[1]январь!$G$4:$G$153,0),2),"")</f>
        <v/>
      </c>
      <c r="G17" s="47" t="str">
        <f ca="1">IF(Январь[[#This Row],[Дата]]="","",M16)</f>
        <v/>
      </c>
      <c r="H17" s="53">
        <f t="shared" ca="1" si="1"/>
        <v>620</v>
      </c>
      <c r="I17" s="72">
        <v>622</v>
      </c>
      <c r="J17" s="47">
        <f ca="1">IF(W17="",Январь[[#This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17" s="96">
        <v>1</v>
      </c>
      <c r="L17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17" s="78" t="str">
        <f ca="1">IF(VLOOKUP(Январь[Дата],S$2:U$3,3),IFERROR(IF(U17="",Январь[[#This Row],[Выдано топливо, литр]],Январь[[#This Row],[Выдано топливо, литр]]+U17)+Январь[[#This Row],[Остаток топлива в баке на начало дня, литр]]-Январь[[#This Row],[Фактический расход топлива, литр]],""),"")</f>
        <v/>
      </c>
      <c r="N17" s="50">
        <f ca="1">ROUND((Январь[[#This Row],[Пройдено за день, км]]*0.01*$Y$2+Январь[[#This Row],[Расход топлива на работу спецоборудования, литр]]),3)+X17</f>
        <v>24.986999999999998</v>
      </c>
      <c r="O17" s="47">
        <f ca="1">ROUND(Январь[[#This Row],[Расход топлива по норме, литр]]/VLOOKUP(Январь[Дата],S$2:W$4,5),0)+Y17</f>
        <v>26</v>
      </c>
      <c r="P17" s="51">
        <f ca="1">IFERROR(Январь[[#This Row],[Фактический расход топлива, литр]]-Январь[[#This Row],[Расход топлива по норме, литр]],"")</f>
        <v>1.0130000000000017</v>
      </c>
      <c r="R17" s="143">
        <f>Январь[[#This Row],[Дата]]</f>
        <v>43111</v>
      </c>
      <c r="S17" s="156"/>
      <c r="T17" s="108"/>
      <c r="U17" s="81"/>
      <c r="V17" s="144"/>
      <c r="W17" s="108"/>
      <c r="X17" s="108"/>
      <c r="Y17" s="154"/>
      <c r="Z17" s="143">
        <f>Январь[[#This Row],[Дата]]</f>
        <v>43111</v>
      </c>
    </row>
    <row r="18" spans="1:26" x14ac:dyDescent="0.2">
      <c r="A18" s="46">
        <f>IFERROR(DATEVALUE((COUNT($A$6:A17)+1)&amp;$P$1&amp;$I$4),"")</f>
        <v>43112</v>
      </c>
      <c r="B18" s="134" t="s">
        <v>20</v>
      </c>
      <c r="C18" s="53">
        <f t="shared" ca="1" si="0"/>
        <v>209084</v>
      </c>
      <c r="D18" s="72">
        <v>209111</v>
      </c>
      <c r="E18" s="48">
        <f ca="1">Январь[[#This Row],[Показание одометра машины на конец дня, км]]-Январь[[#This Row],[Показание одометра машины на начало дня, км]]+T18</f>
        <v>27</v>
      </c>
      <c r="F18" s="81" t="str">
        <f>IF(INDEX([1]январь!$D$4:$G$153,MATCH($O$4,[1]январь!$G$4:$G$153,0),1)=Январь[[#This Row],[Дата]],INDEX([1]январь!$D$4:$G$153,MATCH($O$4,[1]январь!$G$4:$G$153,0),2),"")</f>
        <v/>
      </c>
      <c r="G18" s="47" t="str">
        <f ca="1">IF(Январь[[#This Row],[Дата]]="","",M17)</f>
        <v/>
      </c>
      <c r="H18" s="53">
        <f t="shared" ca="1" si="1"/>
        <v>622</v>
      </c>
      <c r="I18" s="72">
        <v>624</v>
      </c>
      <c r="J18" s="47">
        <f ca="1">IF(W18="",Январь[[#This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18" s="96">
        <v>1</v>
      </c>
      <c r="L18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18" s="78" t="str">
        <f ca="1">IF(VLOOKUP(Январь[Дата],S$2:U$3,3),IFERROR(IF(U18="",Январь[[#This Row],[Выдано топливо, литр]],Январь[[#This Row],[Выдано топливо, литр]]+U18)+Январь[[#This Row],[Остаток топлива в баке на начало дня, литр]]-Январь[[#This Row],[Фактический расход топлива, литр]],""),"")</f>
        <v/>
      </c>
      <c r="N18" s="50">
        <f ca="1">ROUND((Январь[[#This Row],[Пройдено за день, км]]*0.01*$Y$2+Январь[[#This Row],[Расход топлива на работу спецоборудования, литр]]),3)+X18</f>
        <v>26.016999999999999</v>
      </c>
      <c r="O18" s="47">
        <f ca="1">ROUND(Январь[[#This Row],[Расход топлива по норме, литр]]/VLOOKUP(Январь[Дата],S$2:W$4,5),0)+Y18</f>
        <v>27</v>
      </c>
      <c r="P18" s="51">
        <f ca="1">IFERROR(Январь[[#This Row],[Фактический расход топлива, литр]]-Январь[[#This Row],[Расход топлива по норме, литр]],"")</f>
        <v>0.98300000000000054</v>
      </c>
      <c r="R18" s="143">
        <f>Январь[[#This Row],[Дата]]</f>
        <v>43112</v>
      </c>
      <c r="S18" s="156"/>
      <c r="T18" s="108"/>
      <c r="U18" s="81"/>
      <c r="V18" s="144"/>
      <c r="W18" s="108"/>
      <c r="X18" s="108"/>
      <c r="Y18" s="154"/>
      <c r="Z18" s="143">
        <f>Январь[[#This Row],[Дата]]</f>
        <v>43112</v>
      </c>
    </row>
    <row r="19" spans="1:26" x14ac:dyDescent="0.2">
      <c r="A19" s="46">
        <f>IFERROR(DATEVALUE((COUNT($A$6:A18)+1)&amp;$P$1&amp;$I$4),"")</f>
        <v>43113</v>
      </c>
      <c r="B19" s="134" t="s">
        <v>20</v>
      </c>
      <c r="C19" s="53">
        <f t="shared" ca="1" si="0"/>
        <v>209111</v>
      </c>
      <c r="D19" s="72">
        <v>209168</v>
      </c>
      <c r="E19" s="48">
        <f ca="1">Январь[[#This Row],[Показание одометра машины на конец дня, км]]-Январь[[#This Row],[Показание одометра машины на начало дня, км]]+T19</f>
        <v>57</v>
      </c>
      <c r="F19" s="81" t="str">
        <f>IF(INDEX([1]январь!$D$4:$G$153,MATCH($O$4,[1]январь!$G$4:$G$153,0),1)=Январь[[#This Row],[Дата]],INDEX([1]январь!$D$4:$G$153,MATCH($O$4,[1]январь!$G$4:$G$153,0),2),"")</f>
        <v/>
      </c>
      <c r="G19" s="47" t="str">
        <f ca="1">IF(Январь[[#This Row],[Дата]]="","",M18)</f>
        <v/>
      </c>
      <c r="H19" s="53">
        <f t="shared" ca="1" si="1"/>
        <v>624</v>
      </c>
      <c r="I19" s="72">
        <v>626</v>
      </c>
      <c r="J19" s="47">
        <f ca="1">IF(W19="",Январь[[#This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19" s="96">
        <v>1</v>
      </c>
      <c r="L19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19" s="78" t="str">
        <f ca="1">IF(VLOOKUP(Январь[Дата],S$2:U$3,3),IFERROR(IF(U19="",Январь[[#This Row],[Выдано топливо, литр]],Январь[[#This Row],[Выдано топливо, литр]]+U19)+Январь[[#This Row],[Остаток топлива в баке на начало дня, литр]]-Январь[[#This Row],[Фактический расход топлива, литр]],""),"")</f>
        <v/>
      </c>
      <c r="N19" s="50">
        <f ca="1">ROUND((Январь[[#This Row],[Пройдено за день, км]]*0.01*$Y$2+Январь[[#This Row],[Расход топлива на работу спецоборудования, литр]]),3)+X19</f>
        <v>41.481000000000002</v>
      </c>
      <c r="O19" s="47">
        <f ca="1">ROUND(Январь[[#This Row],[Расход топлива по норме, литр]]/VLOOKUP(Январь[Дата],S$2:W$4,5),0)+Y19</f>
        <v>43</v>
      </c>
      <c r="P19" s="51">
        <f ca="1">IFERROR(Январь[[#This Row],[Фактический расход топлива, литр]]-Январь[[#This Row],[Расход топлива по норме, литр]],"")</f>
        <v>1.5189999999999984</v>
      </c>
      <c r="R19" s="143">
        <f>Январь[[#This Row],[Дата]]</f>
        <v>43113</v>
      </c>
      <c r="S19" s="156"/>
      <c r="T19" s="108"/>
      <c r="U19" s="81"/>
      <c r="V19" s="144"/>
      <c r="W19" s="108"/>
      <c r="X19" s="108"/>
      <c r="Y19" s="154"/>
      <c r="Z19" s="143">
        <f>Январь[[#This Row],[Дата]]</f>
        <v>43113</v>
      </c>
    </row>
    <row r="20" spans="1:26" x14ac:dyDescent="0.2">
      <c r="A20" s="46">
        <f>IFERROR(DATEVALUE((COUNT($A$6:A19)+1)&amp;$P$1&amp;$I$4),"")</f>
        <v>43114</v>
      </c>
      <c r="B20" s="134" t="s">
        <v>20</v>
      </c>
      <c r="C20" s="53">
        <f t="shared" ca="1" si="0"/>
        <v>209168</v>
      </c>
      <c r="D20" s="72">
        <v>209208</v>
      </c>
      <c r="E20" s="48">
        <f ca="1">Январь[[#This Row],[Показание одометра машины на конец дня, км]]-Январь[[#This Row],[Показание одометра машины на начало дня, км]]+T20</f>
        <v>40</v>
      </c>
      <c r="F20" s="81" t="str">
        <f>IF(INDEX([1]январь!$D$4:$G$153,MATCH($O$4,[1]январь!$G$4:$G$153,0),1)=Январь[[#This Row],[Дата]],INDEX([1]январь!$D$4:$G$153,MATCH($O$4,[1]январь!$G$4:$G$153,0),2),"")</f>
        <v/>
      </c>
      <c r="G20" s="47" t="str">
        <f ca="1">IF(Январь[[#This Row],[Дата]]="","",M19)</f>
        <v/>
      </c>
      <c r="H20" s="53">
        <f t="shared" ca="1" si="1"/>
        <v>626</v>
      </c>
      <c r="I20" s="72">
        <v>628</v>
      </c>
      <c r="J20" s="47">
        <f ca="1">IF(W20="",Январь[[#This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0" s="96">
        <v>1</v>
      </c>
      <c r="L20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0" s="78" t="str">
        <f ca="1">IF(VLOOKUP(Январь[Дата],S$2:U$3,3),IFERROR(IF(U20="",Январь[[#This Row],[Выдано топливо, литр]],Январь[[#This Row],[Выдано топливо, литр]]+U20)+Январь[[#This Row],[Остаток топлива в баке на начало дня, литр]]-Январь[[#This Row],[Фактический расход топлива, литр]],""),"")</f>
        <v/>
      </c>
      <c r="N20" s="50">
        <f ca="1">ROUND((Январь[[#This Row],[Пройдено за день, км]]*0.01*$Y$2+Январь[[#This Row],[Расход топлива на работу спецоборудования, литр]]),3)+X20</f>
        <v>32.718000000000004</v>
      </c>
      <c r="O20" s="47">
        <f ca="1">ROUND(Январь[[#This Row],[Расход топлива по норме, литр]]/VLOOKUP(Январь[Дата],S$2:W$4,5),0)+Y20</f>
        <v>34</v>
      </c>
      <c r="P20" s="51">
        <f ca="1">IFERROR(Январь[[#This Row],[Фактический расход топлива, литр]]-Январь[[#This Row],[Расход топлива по норме, литр]],"")</f>
        <v>1.2819999999999965</v>
      </c>
      <c r="R20" s="143">
        <f>Январь[[#This Row],[Дата]]</f>
        <v>43114</v>
      </c>
      <c r="S20" s="156"/>
      <c r="T20" s="108"/>
      <c r="U20" s="81"/>
      <c r="V20" s="144"/>
      <c r="W20" s="108"/>
      <c r="X20" s="108"/>
      <c r="Y20" s="154"/>
      <c r="Z20" s="143">
        <f>Январь[[#This Row],[Дата]]</f>
        <v>43114</v>
      </c>
    </row>
    <row r="21" spans="1:26" x14ac:dyDescent="0.2">
      <c r="A21" s="46">
        <f>IFERROR(DATEVALUE((COUNT($A$6:A20)+1)&amp;$P$1&amp;$I$4),"")</f>
        <v>43115</v>
      </c>
      <c r="B21" s="134" t="s">
        <v>20</v>
      </c>
      <c r="C21" s="53">
        <f t="shared" ca="1" si="0"/>
        <v>209208</v>
      </c>
      <c r="D21" s="72">
        <v>209221</v>
      </c>
      <c r="E21" s="48">
        <f ca="1">Январь[[#This Row],[Показание одометра машины на конец дня, км]]-Январь[[#This Row],[Показание одометра машины на начало дня, км]]+T21</f>
        <v>13</v>
      </c>
      <c r="F21" s="81" t="str">
        <f>IF(INDEX([1]январь!$D$4:$G$153,MATCH($O$4,[1]январь!$G$4:$G$153,0),1)=Январь[[#This Row],[Дата]],INDEX([1]январь!$D$4:$G$153,MATCH($O$4,[1]январь!$G$4:$G$153,0),2),"")</f>
        <v/>
      </c>
      <c r="G21" s="47" t="str">
        <f ca="1">IF(Январь[[#This Row],[Дата]]="","",M20)</f>
        <v/>
      </c>
      <c r="H21" s="53">
        <f t="shared" ca="1" si="1"/>
        <v>628</v>
      </c>
      <c r="I21" s="72">
        <v>630</v>
      </c>
      <c r="J21" s="47">
        <f ca="1">IF(W21="",Январь[[#This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1" s="96">
        <v>1</v>
      </c>
      <c r="L21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1" s="78" t="str">
        <f ca="1">IF(VLOOKUP(Январь[Дата],S$2:U$3,3),IFERROR(IF(U21="",Январь[[#This Row],[Выдано топливо, литр]],Январь[[#This Row],[Выдано топливо, литр]]+U21)+Январь[[#This Row],[Остаток топлива в баке на начало дня, литр]]-Январь[[#This Row],[Фактический расход топлива, литр]],""),"")</f>
        <v/>
      </c>
      <c r="N21" s="50">
        <f ca="1">ROUND((Январь[[#This Row],[Пройдено за день, км]]*0.01*$Y$2+Январь[[#This Row],[Расход топлива на работу спецоборудования, литр]]),3)+X21</f>
        <v>18.800999999999998</v>
      </c>
      <c r="O21" s="47">
        <f ca="1">ROUND(Январь[[#This Row],[Расход топлива по норме, литр]]/VLOOKUP(Январь[Дата],S$2:W$4,5),0)+Y21</f>
        <v>20</v>
      </c>
      <c r="P21" s="51">
        <f ca="1">IFERROR(Январь[[#This Row],[Фактический расход топлива, литр]]-Январь[[#This Row],[Расход топлива по норме, литр]],"")</f>
        <v>1.1990000000000016</v>
      </c>
      <c r="R21" s="143">
        <f>Январь[[#This Row],[Дата]]</f>
        <v>43115</v>
      </c>
      <c r="S21" s="156"/>
      <c r="T21" s="108"/>
      <c r="U21" s="81"/>
      <c r="V21" s="144"/>
      <c r="W21" s="108"/>
      <c r="X21" s="108"/>
      <c r="Y21" s="154"/>
      <c r="Z21" s="143">
        <f>Январь[[#This Row],[Дата]]</f>
        <v>43115</v>
      </c>
    </row>
    <row r="22" spans="1:26" x14ac:dyDescent="0.2">
      <c r="A22" s="46">
        <f>IFERROR(DATEVALUE((COUNT($A$6:A21)+1)&amp;$P$1&amp;$I$4),"")</f>
        <v>43116</v>
      </c>
      <c r="B22" s="135" t="s">
        <v>20</v>
      </c>
      <c r="C22" s="53">
        <f t="shared" ca="1" si="0"/>
        <v>209221</v>
      </c>
      <c r="D22" s="72">
        <v>209236</v>
      </c>
      <c r="E22" s="48">
        <f ca="1">Январь[[#This Row],[Показание одометра машины на конец дня, км]]-Январь[[#This Row],[Показание одометра машины на начало дня, км]]+T22</f>
        <v>15</v>
      </c>
      <c r="F22" s="81" t="str">
        <f>IF(INDEX([1]январь!$D$4:$G$153,MATCH($O$4,[1]январь!$G$4:$G$153,0),1)=Январь[[#This Row],[Дата]],INDEX([1]январь!$D$4:$G$153,MATCH($O$4,[1]январь!$G$4:$G$153,0),2),"")</f>
        <v/>
      </c>
      <c r="G22" s="47" t="str">
        <f ca="1">IF(Январь[[#This Row],[Дата]]="","",M21)</f>
        <v/>
      </c>
      <c r="H22" s="53">
        <f t="shared" ca="1" si="1"/>
        <v>630</v>
      </c>
      <c r="I22" s="72">
        <v>633</v>
      </c>
      <c r="J22" s="47">
        <f ca="1">IF(W22="",Январь[[#This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3</v>
      </c>
      <c r="K22" s="96">
        <v>2</v>
      </c>
      <c r="L22" s="49">
        <f ca="1">IF(Январь[[#This Row],[Работа спецоборудования за день, м/ч]]="","",Январь[[#This Row],[Работа спецоборудования за день, м/ч]]*$Z$2)</f>
        <v>18.150000000000002</v>
      </c>
      <c r="M22" s="78" t="str">
        <f ca="1">IF(VLOOKUP(Январь[Дата],S$2:U$3,3),IFERROR(IF(U22="",Январь[[#This Row],[Выдано топливо, литр]],Январь[[#This Row],[Выдано топливо, литр]]+U22)+Январь[[#This Row],[Остаток топлива в баке на начало дня, литр]]-Январь[[#This Row],[Фактический расход топлива, литр]],""),"")</f>
        <v/>
      </c>
      <c r="N22" s="50">
        <f ca="1">ROUND((Январь[[#This Row],[Пройдено за день, км]]*0.01*$Y$2+Январь[[#This Row],[Расход топлива на работу спецоборудования, литр]]),3)+X22</f>
        <v>25.882000000000001</v>
      </c>
      <c r="O22" s="47">
        <f ca="1">ROUND(Январь[[#This Row],[Расход топлива по норме, литр]]/VLOOKUP(Январь[Дата],S$2:W$4,5),0)+Y22</f>
        <v>27</v>
      </c>
      <c r="P22" s="51">
        <f ca="1">IFERROR(Январь[[#This Row],[Фактический расход топлива, литр]]-Январь[[#This Row],[Расход топлива по норме, литр]],"")</f>
        <v>1.1179999999999986</v>
      </c>
      <c r="R22" s="143">
        <f>Январь[[#This Row],[Дата]]</f>
        <v>43116</v>
      </c>
      <c r="S22" s="156"/>
      <c r="T22" s="108"/>
      <c r="U22" s="81"/>
      <c r="V22" s="144"/>
      <c r="W22" s="108"/>
      <c r="X22" s="108"/>
      <c r="Y22" s="154"/>
      <c r="Z22" s="143">
        <f>Январь[[#This Row],[Дата]]</f>
        <v>43116</v>
      </c>
    </row>
    <row r="23" spans="1:26" x14ac:dyDescent="0.2">
      <c r="A23" s="46">
        <f>IFERROR(DATEVALUE((COUNT($A$6:A22)+1)&amp;$P$1&amp;$I$4),"")</f>
        <v>43117</v>
      </c>
      <c r="B23" s="135" t="s">
        <v>20</v>
      </c>
      <c r="C23" s="53">
        <f t="shared" ca="1" si="0"/>
        <v>209236</v>
      </c>
      <c r="D23" s="72">
        <v>209489</v>
      </c>
      <c r="E23" s="48">
        <f ca="1">Январь[[#This Row],[Показание одометра машины на конец дня, км]]-Январь[[#This Row],[Показание одометра машины на начало дня, км]]+T23</f>
        <v>253</v>
      </c>
      <c r="F23" s="81" t="str">
        <f>IF(INDEX([1]январь!$D$4:$G$153,MATCH($O$4,[1]январь!$G$4:$G$153,0),1)=Январь[[#This Row],[Дата]],INDEX([1]январь!$D$4:$G$153,MATCH($O$4,[1]январь!$G$4:$G$153,0),2),"")</f>
        <v/>
      </c>
      <c r="G23" s="47" t="str">
        <f ca="1">IF(Январь[[#This Row],[Дата]]="","",M22)</f>
        <v/>
      </c>
      <c r="H23" s="53">
        <f t="shared" ca="1" si="1"/>
        <v>633</v>
      </c>
      <c r="I23" s="72">
        <v>636</v>
      </c>
      <c r="J23" s="47">
        <f ca="1">IF(W23="",Январь[[#This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3</v>
      </c>
      <c r="K23" s="96">
        <v>3</v>
      </c>
      <c r="L23" s="49">
        <f ca="1">IF(Январь[[#This Row],[Работа спецоборудования за день, м/ч]]="","",Январь[[#This Row],[Работа спецоборудования за день, м/ч]]*$Z$2)</f>
        <v>18.150000000000002</v>
      </c>
      <c r="M23" s="78" t="str">
        <f ca="1">IF(VLOOKUP(Январь[Дата],S$2:U$3,3),IFERROR(IF(U23="",Январь[[#This Row],[Выдано топливо, литр]],Январь[[#This Row],[Выдано топливо, литр]]+U23)+Январь[[#This Row],[Остаток топлива в баке на начало дня, литр]]-Январь[[#This Row],[Фактический расход топлива, литр]],""),"")</f>
        <v/>
      </c>
      <c r="N23" s="50">
        <f ca="1">ROUND((Январь[[#This Row],[Пройдено за день, км]]*0.01*$Y$2+Январь[[#This Row],[Расход топлива на работу спецоборудования, литр]]),3)+X23</f>
        <v>148.56100000000001</v>
      </c>
      <c r="O23" s="47">
        <f ca="1">ROUND(Январь[[#This Row],[Расход топлива по норме, литр]]/VLOOKUP(Январь[Дата],S$2:W$4,5),0)+Y23</f>
        <v>157</v>
      </c>
      <c r="P23" s="51">
        <f ca="1">IFERROR(Январь[[#This Row],[Фактический расход топлива, литр]]-Январь[[#This Row],[Расход топлива по норме, литр]],"")</f>
        <v>8.438999999999993</v>
      </c>
      <c r="R23" s="143">
        <f>Январь[[#This Row],[Дата]]</f>
        <v>43117</v>
      </c>
      <c r="S23" s="156"/>
      <c r="T23" s="108"/>
      <c r="U23" s="81"/>
      <c r="V23" s="144"/>
      <c r="W23" s="108"/>
      <c r="X23" s="108"/>
      <c r="Y23" s="154">
        <v>1</v>
      </c>
      <c r="Z23" s="143">
        <f>Январь[[#This Row],[Дата]]</f>
        <v>43117</v>
      </c>
    </row>
    <row r="24" spans="1:26" x14ac:dyDescent="0.2">
      <c r="A24" s="52">
        <f>IFERROR(DATEVALUE((COUNT($A$6:A23)+1)&amp;$P$1&amp;$I$4),"")</f>
        <v>43118</v>
      </c>
      <c r="B24" s="135" t="s">
        <v>20</v>
      </c>
      <c r="C24" s="53">
        <f t="shared" ca="1" si="0"/>
        <v>209489</v>
      </c>
      <c r="D24" s="72">
        <v>209516</v>
      </c>
      <c r="E24" s="41">
        <f ca="1">Январь[[#This Row],[Показание одометра машины на конец дня, км]]-Январь[[#This Row],[Показание одометра машины на начало дня, км]]+T24</f>
        <v>27</v>
      </c>
      <c r="F24" s="181">
        <f>IF(INDEX([2]январь!$D$4:$G$153,MATCH($O$4,[2]январь!$G$4:$G$153,0),1)=Январь[[#This Row],[Дата]],INDEX([2]январь!$D$4:$G$153,MATCH($O$4,[2]январь!$G$4:$G$153,0),2),"")</f>
        <v>380</v>
      </c>
      <c r="G24" s="47" t="str">
        <f ca="1">IF(Январь[[#This Row],[Дата]]="","",M23)</f>
        <v/>
      </c>
      <c r="H24" s="53">
        <f t="shared" ca="1" si="1"/>
        <v>636</v>
      </c>
      <c r="I24" s="72">
        <v>638</v>
      </c>
      <c r="J24" s="47">
        <f ca="1">IF(W24="",Январь[[#This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4" s="96">
        <v>1</v>
      </c>
      <c r="L24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4" s="78" t="str">
        <f ca="1">IF(VLOOKUP(Январь[Дата],S$2:U$3,3),IFERROR(IF(U24="",Январь[[#This Row],[Выдано топливо, литр]],Январь[[#This Row],[Выдано топливо, литр]]+U24)+Январь[[#This Row],[Остаток топлива в баке на начало дня, литр]]-Январь[[#This Row],[Фактический расход топлива, литр]],""),"")</f>
        <v/>
      </c>
      <c r="N24" s="50">
        <f ca="1">ROUND((Январь[[#This Row],[Пройдено за день, км]]*0.01*$Y$2+Январь[[#This Row],[Расход топлива на работу спецоборудования, литр]]),3)+X24</f>
        <v>26.016999999999999</v>
      </c>
      <c r="O24" s="47">
        <f ca="1">ROUND(Январь[[#This Row],[Расход топлива по норме, литр]]/VLOOKUP(Январь[Дата],S$2:W$4,5),0)+Y24</f>
        <v>25</v>
      </c>
      <c r="P24" s="51">
        <f ca="1">IFERROR(Январь[[#This Row],[Фактический расход топлива, литр]]-Январь[[#This Row],[Расход топлива по норме, литр]],"")</f>
        <v>-1.0169999999999995</v>
      </c>
      <c r="R24" s="143">
        <f>Январь[[#This Row],[Дата]]</f>
        <v>43118</v>
      </c>
      <c r="S24" s="156"/>
      <c r="T24" s="108"/>
      <c r="U24" s="81"/>
      <c r="V24" s="144"/>
      <c r="W24" s="108"/>
      <c r="X24" s="108"/>
      <c r="Y24" s="154">
        <v>-2</v>
      </c>
      <c r="Z24" s="143">
        <f>Январь[[#This Row],[Дата]]</f>
        <v>43118</v>
      </c>
    </row>
    <row r="25" spans="1:26" x14ac:dyDescent="0.2">
      <c r="A25" s="46">
        <f>IFERROR(DATEVALUE((COUNT($A$6:A24)+1)&amp;$P$1&amp;$I$4),"")</f>
        <v>43119</v>
      </c>
      <c r="B25" s="136" t="s">
        <v>20</v>
      </c>
      <c r="C25" s="53">
        <f t="shared" ca="1" si="0"/>
        <v>209516</v>
      </c>
      <c r="D25" s="73">
        <v>209618</v>
      </c>
      <c r="E25" s="41">
        <f ca="1">Январь[[#This Row],[Показание одометра машины на конец дня, км]]-Январь[[#This Row],[Показание одометра машины на начало дня, км]]+T25</f>
        <v>102</v>
      </c>
      <c r="F25" s="181" t="str">
        <f>IF(INDEX([2]январь!$D$4:$G$153,MATCH($O$4,[2]январь!$G$4:$G$153,0),1)=Январь[[#This Row],[Дата]],INDEX([2]январь!$D$4:$G$153,MATCH($O$4,[2]январь!$G$4:$G$153,0),2),"")</f>
        <v/>
      </c>
      <c r="G25" s="53" t="str">
        <f ca="1">IF(Январь[[#This Row],[Дата]]="","",M24)</f>
        <v/>
      </c>
      <c r="H25" s="53">
        <f t="shared" ca="1" si="1"/>
        <v>638</v>
      </c>
      <c r="I25" s="73">
        <v>640</v>
      </c>
      <c r="J25" s="53">
        <f ca="1">IF(W25="",Январь[[#This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5" s="97">
        <v>1</v>
      </c>
      <c r="L25" s="54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5" s="79" t="str">
        <f ca="1">IF(VLOOKUP(Январь[Дата],S$2:U$3,3),IFERROR(IF(U25="",Январь[[#This Row],[Выдано топливо, литр]],Январь[[#This Row],[Выдано топливо, литр]]+U25)+Январь[[#This Row],[Остаток топлива в баке на начало дня, литр]]-Январь[[#This Row],[Фактический расход топлива, литр]],""),"")</f>
        <v/>
      </c>
      <c r="N25" s="55">
        <f ca="1">ROUND((Январь[[#This Row],[Пройдено за день, км]]*0.01*$Y$2+Январь[[#This Row],[Расход топлива на работу спецоборудования, литр]]),3)+X25</f>
        <v>64.677000000000007</v>
      </c>
      <c r="O25" s="53">
        <f ca="1">ROUND(Январь[[#This Row],[Расход топлива по норме, литр]]/VLOOKUP(Январь[Дата],S$2:W$4,5),0)+Y25</f>
        <v>23</v>
      </c>
      <c r="P25" s="56">
        <f ca="1">IFERROR(Январь[[#This Row],[Фактический расход топлива, литр]]-Январь[[#This Row],[Расход топлива по норме, литр]],"")</f>
        <v>-41.677000000000007</v>
      </c>
      <c r="R25" s="143">
        <f>Январь[[#This Row],[Дата]]</f>
        <v>43119</v>
      </c>
      <c r="S25" s="156"/>
      <c r="T25" s="108"/>
      <c r="U25" s="81"/>
      <c r="V25" s="144"/>
      <c r="W25" s="108"/>
      <c r="X25" s="108"/>
      <c r="Y25" s="154"/>
      <c r="Z25" s="143">
        <f>Январь[[#This Row],[Дата]]</f>
        <v>43119</v>
      </c>
    </row>
    <row r="26" spans="1:26" x14ac:dyDescent="0.2">
      <c r="A26" s="46">
        <f>IFERROR(DATEVALUE((COUNT($A$6:A25)+1)&amp;$P$1&amp;$I$4),"")</f>
        <v>43120</v>
      </c>
      <c r="B26" s="135"/>
      <c r="C26" s="53">
        <f t="shared" ca="1" si="0"/>
        <v>209618</v>
      </c>
      <c r="D26" s="72">
        <v>209618</v>
      </c>
      <c r="E26" s="48">
        <f ca="1">Январь[[#This Row],[Показание одометра машины на конец дня, км]]-Январь[[#This Row],[Показание одометра машины на начало дня, км]]+T26</f>
        <v>0</v>
      </c>
      <c r="F26" s="181" t="str">
        <f>IF(INDEX([2]январь!$D$4:$G$153,MATCH($O$4,[2]январь!$G$4:$G$153,0),1)=Январь[[#This Row],[Дата]],INDEX([2]январь!$D$4:$G$153,MATCH($O$4,[2]январь!$G$4:$G$153,0),2),"")</f>
        <v/>
      </c>
      <c r="G26" s="47" t="str">
        <f ca="1">IF(Январь[[#This Row],[Дата]]="","",M25)</f>
        <v/>
      </c>
      <c r="H26" s="53">
        <f t="shared" ca="1" si="1"/>
        <v>640</v>
      </c>
      <c r="I26" s="72">
        <v>640</v>
      </c>
      <c r="J26" s="47">
        <f ca="1">IF(W26="",Январь[[#This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6" s="96">
        <v>0</v>
      </c>
      <c r="L26" s="49">
        <f ca="1">IF(Январь[[#This Row],[Работа спецоборудования за день, м/ч]]="","",Январь[[#This Row],[Работа спецоборудования за день, м/ч]]*$Z$2)</f>
        <v>0</v>
      </c>
      <c r="M26" s="78" t="str">
        <f ca="1">IF(VLOOKUP(Январь[Дата],S$2:U$3,3),IFERROR(IF(U26="",Январь[[#This Row],[Выдано топливо, литр]],Январь[[#This Row],[Выдано топливо, литр]]+U26)+Январь[[#This Row],[Остаток топлива в баке на начало дня, литр]]-Январь[[#This Row],[Фактический расход топлива, литр]],""),"")</f>
        <v/>
      </c>
      <c r="N26" s="50">
        <f ca="1">ROUND((Январь[[#This Row],[Пройдено за день, км]]*0.01*$Y$2+Январь[[#This Row],[Расход топлива на работу спецоборудования, литр]]),3)+X26</f>
        <v>0</v>
      </c>
      <c r="O26" s="47">
        <f ca="1">ROUND(Январь[[#This Row],[Расход топлива по норме, литр]]/VLOOKUP(Январь[Дата],S$2:W$4,5),0)+Y26</f>
        <v>0</v>
      </c>
      <c r="P26" s="51">
        <f ca="1">IFERROR(Январь[[#This Row],[Фактический расход топлива, литр]]-Январь[[#This Row],[Расход топлива по норме, литр]],"")</f>
        <v>0</v>
      </c>
      <c r="R26" s="143">
        <f>Январь[[#This Row],[Дата]]</f>
        <v>43120</v>
      </c>
      <c r="S26" s="156"/>
      <c r="T26" s="108"/>
      <c r="U26" s="81"/>
      <c r="V26" s="144"/>
      <c r="W26" s="108"/>
      <c r="X26" s="108"/>
      <c r="Y26" s="154"/>
      <c r="Z26" s="143">
        <f>Январь[[#This Row],[Дата]]</f>
        <v>43120</v>
      </c>
    </row>
    <row r="27" spans="1:26" x14ac:dyDescent="0.2">
      <c r="A27" s="46">
        <f>IFERROR(DATEVALUE((COUNT($A$6:A26)+1)&amp;$P$1&amp;$I$4),"")</f>
        <v>43121</v>
      </c>
      <c r="B27" s="135" t="s">
        <v>20</v>
      </c>
      <c r="C27" s="53">
        <f t="shared" ca="1" si="0"/>
        <v>209618</v>
      </c>
      <c r="D27" s="72">
        <v>209646</v>
      </c>
      <c r="E27" s="48">
        <f ca="1">Январь[[#This Row],[Показание одометра машины на конец дня, км]]-Январь[[#This Row],[Показание одометра машины на начало дня, км]]+T27</f>
        <v>28</v>
      </c>
      <c r="F27" s="81" t="str">
        <f>IF(INDEX([1]январь!$D$4:$G$153,MATCH($O$4,[1]январь!$G$4:$G$153,0),1)=Январь[[#This Row],[Дата]],INDEX([1]январь!$D$4:$G$153,MATCH($O$4,[1]январь!$G$4:$G$153,0),2),"")</f>
        <v/>
      </c>
      <c r="G27" s="47" t="str">
        <f ca="1">IF(Январь[[#This Row],[Дата]]="","",M26)</f>
        <v/>
      </c>
      <c r="H27" s="53">
        <f t="shared" ca="1" si="1"/>
        <v>640</v>
      </c>
      <c r="I27" s="72">
        <v>643</v>
      </c>
      <c r="J27" s="47">
        <f ca="1">IF(W27="",Январь[[#This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3</v>
      </c>
      <c r="K27" s="96">
        <v>2</v>
      </c>
      <c r="L27" s="49">
        <f ca="1">IF(Январь[[#This Row],[Работа спецоборудования за день, м/ч]]="","",Январь[[#This Row],[Работа спецоборудования за день, м/ч]]*$Z$2)</f>
        <v>18.150000000000002</v>
      </c>
      <c r="M27" s="78" t="str">
        <f ca="1">IF(VLOOKUP(Январь[Дата],S$2:U$3,3),IFERROR(IF(U27="",Январь[[#This Row],[Выдано топливо, литр]],Январь[[#This Row],[Выдано топливо, литр]]+U27)+Январь[[#This Row],[Остаток топлива в баке на начало дня, литр]]-Январь[[#This Row],[Фактический расход топлива, литр]],""),"")</f>
        <v/>
      </c>
      <c r="N27" s="50">
        <f ca="1">ROUND((Январь[[#This Row],[Пройдено за день, км]]*0.01*$Y$2+Январь[[#This Row],[Расход топлива на работу спецоборудования, литр]]),3)+X27</f>
        <v>32.582999999999998</v>
      </c>
      <c r="O27" s="47">
        <f ca="1">ROUND(Январь[[#This Row],[Расход топлива по норме, литр]]/VLOOKUP(Январь[Дата],S$2:W$4,5),0)+Y27</f>
        <v>12</v>
      </c>
      <c r="P27" s="51">
        <f ca="1">IFERROR(Январь[[#This Row],[Фактический расход топлива, литр]]-Январь[[#This Row],[Расход топлива по норме, литр]],"")</f>
        <v>-20.582999999999998</v>
      </c>
      <c r="R27" s="143">
        <f>Январь[[#This Row],[Дата]]</f>
        <v>43121</v>
      </c>
      <c r="S27" s="156"/>
      <c r="T27" s="108"/>
      <c r="U27" s="81"/>
      <c r="V27" s="144"/>
      <c r="W27" s="108"/>
      <c r="X27" s="108"/>
      <c r="Y27" s="154"/>
      <c r="Z27" s="143">
        <f>Январь[[#This Row],[Дата]]</f>
        <v>43121</v>
      </c>
    </row>
    <row r="28" spans="1:26" x14ac:dyDescent="0.2">
      <c r="A28" s="46">
        <f>IFERROR(DATEVALUE((COUNT($A$6:A27)+1)&amp;$P$1&amp;$I$4),"")</f>
        <v>43122</v>
      </c>
      <c r="B28" s="135" t="s">
        <v>20</v>
      </c>
      <c r="C28" s="53">
        <f t="shared" ca="1" si="0"/>
        <v>209646</v>
      </c>
      <c r="D28" s="72">
        <v>209695</v>
      </c>
      <c r="E28" s="48">
        <f ca="1">Январь[[#This Row],[Показание одометра машины на конец дня, км]]-Январь[[#This Row],[Показание одометра машины на начало дня, км]]+T28</f>
        <v>49</v>
      </c>
      <c r="F28" s="81" t="str">
        <f>IF(INDEX([1]январь!$D$4:$G$153,MATCH($O$4,[1]январь!$G$4:$G$153,0),1)=Январь[[#This Row],[Дата]],INDEX([1]январь!$D$4:$G$153,MATCH($O$4,[1]январь!$G$4:$G$153,0),2),"")</f>
        <v/>
      </c>
      <c r="G28" s="47" t="str">
        <f ca="1">IF(Январь[[#This Row],[Дата]]="","",M27)</f>
        <v/>
      </c>
      <c r="H28" s="53">
        <f t="shared" ca="1" si="1"/>
        <v>643</v>
      </c>
      <c r="I28" s="72">
        <v>645</v>
      </c>
      <c r="J28" s="47">
        <f ca="1">IF(W28="",Январь[[#This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8" s="96">
        <v>1</v>
      </c>
      <c r="L28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8" s="78" t="str">
        <f ca="1">IF(VLOOKUP(Январь[Дата],S$2:U$3,3),IFERROR(IF(U28="",Январь[[#This Row],[Выдано топливо, литр]],Январь[[#This Row],[Выдано топливо, литр]]+U28)+Январь[[#This Row],[Остаток топлива в баке на начало дня, литр]]-Январь[[#This Row],[Фактический расход топлива, литр]],""),"")</f>
        <v/>
      </c>
      <c r="N28" s="50">
        <f ca="1">ROUND((Январь[[#This Row],[Пройдено за день, км]]*0.01*$Y$2+Январь[[#This Row],[Расход топлива на работу спецоборудования, литр]]),3)+X28</f>
        <v>37.357999999999997</v>
      </c>
      <c r="O28" s="47">
        <f ca="1">ROUND(Январь[[#This Row],[Расход топлива по норме, литр]]/VLOOKUP(Январь[Дата],S$2:W$4,5),0)+Y28</f>
        <v>14</v>
      </c>
      <c r="P28" s="51">
        <f ca="1">IFERROR(Январь[[#This Row],[Фактический расход топлива, литр]]-Январь[[#This Row],[Расход топлива по норме, литр]],"")</f>
        <v>-23.357999999999997</v>
      </c>
      <c r="R28" s="143">
        <f>Январь[[#This Row],[Дата]]</f>
        <v>43122</v>
      </c>
      <c r="S28" s="156"/>
      <c r="T28" s="108"/>
      <c r="U28" s="81"/>
      <c r="V28" s="144"/>
      <c r="W28" s="108"/>
      <c r="X28" s="108"/>
      <c r="Y28" s="154"/>
      <c r="Z28" s="143">
        <f>Январь[[#This Row],[Дата]]</f>
        <v>43122</v>
      </c>
    </row>
    <row r="29" spans="1:26" x14ac:dyDescent="0.2">
      <c r="A29" s="46">
        <f>IFERROR(DATEVALUE((COUNT($A$6:A28)+1)&amp;$P$1&amp;$I$4),"")</f>
        <v>43123</v>
      </c>
      <c r="B29" s="135" t="s">
        <v>20</v>
      </c>
      <c r="C29" s="53">
        <f t="shared" ca="1" si="0"/>
        <v>209695</v>
      </c>
      <c r="D29" s="72">
        <v>209719</v>
      </c>
      <c r="E29" s="48">
        <f ca="1">Январь[[#This Row],[Показание одометра машины на конец дня, км]]-Январь[[#This Row],[Показание одометра машины на начало дня, км]]+T29</f>
        <v>24</v>
      </c>
      <c r="F29" s="81" t="str">
        <f>IF(INDEX([1]январь!$D$4:$G$153,MATCH($O$4,[1]январь!$G$4:$G$153,0),1)=Январь[[#This Row],[Дата]],INDEX([1]январь!$D$4:$G$153,MATCH($O$4,[1]январь!$G$4:$G$153,0),2),"")</f>
        <v/>
      </c>
      <c r="G29" s="47" t="str">
        <f ca="1">IF(Январь[[#This Row],[Дата]]="","",M28)</f>
        <v/>
      </c>
      <c r="H29" s="53">
        <f t="shared" ca="1" si="1"/>
        <v>645</v>
      </c>
      <c r="I29" s="72">
        <v>647</v>
      </c>
      <c r="J29" s="47">
        <f ca="1">IF(W29="",Январь[[#This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29" s="96">
        <v>1</v>
      </c>
      <c r="L29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29" s="78" t="str">
        <f ca="1">IF(VLOOKUP(Январь[Дата],S$2:U$3,3),IFERROR(IF(U29="",Январь[[#This Row],[Выдано топливо, литр]],Январь[[#This Row],[Выдано топливо, литр]]+U29)+Январь[[#This Row],[Остаток топлива в баке на начало дня, литр]]-Январь[[#This Row],[Фактический расход топлива, литр]],""),"")</f>
        <v/>
      </c>
      <c r="N29" s="50">
        <f ca="1">ROUND((Январь[[#This Row],[Пройдено за день, км]]*0.01*$Y$2+Январь[[#This Row],[Расход топлива на работу спецоборудования, литр]]),3)+X29</f>
        <v>24.471</v>
      </c>
      <c r="O29" s="47">
        <f ca="1">ROUND(Январь[[#This Row],[Расход топлива по норме, литр]]/VLOOKUP(Январь[Дата],S$2:W$4,5),0)+Y29</f>
        <v>9</v>
      </c>
      <c r="P29" s="51">
        <f ca="1">IFERROR(Январь[[#This Row],[Фактический расход топлива, литр]]-Январь[[#This Row],[Расход топлива по норме, литр]],"")</f>
        <v>-15.471</v>
      </c>
      <c r="R29" s="143">
        <f>Январь[[#This Row],[Дата]]</f>
        <v>43123</v>
      </c>
      <c r="S29" s="156"/>
      <c r="T29" s="108"/>
      <c r="U29" s="81"/>
      <c r="V29" s="144"/>
      <c r="W29" s="108"/>
      <c r="X29" s="108"/>
      <c r="Y29" s="154"/>
      <c r="Z29" s="143">
        <f>Январь[[#This Row],[Дата]]</f>
        <v>43123</v>
      </c>
    </row>
    <row r="30" spans="1:26" x14ac:dyDescent="0.2">
      <c r="A30" s="46">
        <f>IFERROR(DATEVALUE((COUNT($A$6:A29)+1)&amp;$P$1&amp;$I$4),"")</f>
        <v>43124</v>
      </c>
      <c r="B30" s="135" t="s">
        <v>20</v>
      </c>
      <c r="C30" s="53">
        <f t="shared" ca="1" si="0"/>
        <v>209719</v>
      </c>
      <c r="D30" s="72">
        <v>210061</v>
      </c>
      <c r="E30" s="48">
        <f ca="1">Январь[[#This Row],[Показание одометра машины на конец дня, км]]-Январь[[#This Row],[Показание одометра машины на начало дня, км]]+T30</f>
        <v>342</v>
      </c>
      <c r="F30" s="81" t="str">
        <f>IF(INDEX([1]январь!$D$4:$G$153,MATCH($O$4,[1]январь!$G$4:$G$153,0),1)=Январь[[#This Row],[Дата]],INDEX([1]январь!$D$4:$G$153,MATCH($O$4,[1]январь!$G$4:$G$153,0),2),"")</f>
        <v/>
      </c>
      <c r="G30" s="47" t="str">
        <f ca="1">IF(Январь[[#This Row],[Дата]]="","",M29)</f>
        <v/>
      </c>
      <c r="H30" s="53">
        <f t="shared" ca="1" si="1"/>
        <v>647</v>
      </c>
      <c r="I30" s="72">
        <v>651</v>
      </c>
      <c r="J30" s="47">
        <f ca="1">IF(W30="",Январь[[#This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4</v>
      </c>
      <c r="K30" s="96">
        <v>2</v>
      </c>
      <c r="L30" s="49">
        <f ca="1">IF(Январь[[#This Row],[Работа спецоборудования за день, м/ч]]="","",Январь[[#This Row],[Работа спецоборудования за день, м/ч]]*$Z$2)</f>
        <v>24.200000000000003</v>
      </c>
      <c r="M30" s="78" t="str">
        <f ca="1">IF(VLOOKUP(Январь[Дата],S$2:U$3,3),IFERROR(IF(U30="",Январь[[#This Row],[Выдано топливо, литр]],Январь[[#This Row],[Выдано топливо, литр]]+U30)+Январь[[#This Row],[Остаток топлива в баке на начало дня, литр]]-Январь[[#This Row],[Фактический расход топлива, литр]],""),"")</f>
        <v/>
      </c>
      <c r="N30" s="50">
        <f ca="1">ROUND((Январь[[#This Row],[Пройдено за день, км]]*0.01*$Y$2+Январь[[#This Row],[Расход топлива на работу спецоборудования, литр]]),3)+X30</f>
        <v>200.48699999999999</v>
      </c>
      <c r="O30" s="47">
        <f ca="1">ROUND(Январь[[#This Row],[Расход топлива по норме, литр]]/VLOOKUP(Январь[Дата],S$2:W$4,5),0)+Y30</f>
        <v>73</v>
      </c>
      <c r="P30" s="51">
        <f ca="1">IFERROR(Январь[[#This Row],[Фактический расход топлива, литр]]-Январь[[#This Row],[Расход топлива по норме, литр]],"")</f>
        <v>-127.48699999999999</v>
      </c>
      <c r="R30" s="143">
        <f>Январь[[#This Row],[Дата]]</f>
        <v>43124</v>
      </c>
      <c r="S30" s="156"/>
      <c r="T30" s="108"/>
      <c r="U30" s="81"/>
      <c r="V30" s="144"/>
      <c r="W30" s="108"/>
      <c r="X30" s="108"/>
      <c r="Y30" s="154"/>
      <c r="Z30" s="143">
        <f>Январь[[#This Row],[Дата]]</f>
        <v>43124</v>
      </c>
    </row>
    <row r="31" spans="1:26" x14ac:dyDescent="0.2">
      <c r="A31" s="46">
        <f>IFERROR(DATEVALUE((COUNT($A$6:A30)+1)&amp;$P$1&amp;$I$4),"")</f>
        <v>43125</v>
      </c>
      <c r="B31" s="135" t="s">
        <v>20</v>
      </c>
      <c r="C31" s="53">
        <f t="shared" ca="1" si="0"/>
        <v>210061</v>
      </c>
      <c r="D31" s="72">
        <v>210300</v>
      </c>
      <c r="E31" s="48">
        <f ca="1">Январь[[#This Row],[Показание одометра машины на конец дня, км]]-Январь[[#This Row],[Показание одометра машины на начало дня, км]]+T31</f>
        <v>239</v>
      </c>
      <c r="F31" s="182">
        <f>SUMPRODUCT([3]январь!E$4:E$153*([3]январь!G$4:G$153=$O$4)*([3]январь!D$4:D$153=Январь[[#This Row],[Дата]]))</f>
        <v>300</v>
      </c>
      <c r="G31" s="47" t="str">
        <f ca="1">IF(Январь[[#This Row],[Дата]]="","",M30)</f>
        <v/>
      </c>
      <c r="H31" s="53">
        <f t="shared" ca="1" si="1"/>
        <v>651</v>
      </c>
      <c r="I31" s="72">
        <v>656</v>
      </c>
      <c r="J31" s="47">
        <f ca="1">IF(W31="",Январь[[#This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5</v>
      </c>
      <c r="K31" s="96">
        <v>3</v>
      </c>
      <c r="L31" s="49">
        <f ca="1">IF(Январь[[#This Row],[Работа спецоборудования за день, м/ч]]="","",Январь[[#This Row],[Работа спецоборудования за день, м/ч]]*$Z$2)</f>
        <v>30.250000000000004</v>
      </c>
      <c r="M31" s="78" t="str">
        <f ca="1">IF(VLOOKUP(Январь[Дата],S$2:U$3,3),IFERROR(IF(U31="",Январь[[#This Row],[Выдано топливо, литр]],Январь[[#This Row],[Выдано топливо, литр]]+U31)+Январь[[#This Row],[Остаток топлива в баке на начало дня, литр]]-Январь[[#This Row],[Фактический расход топлива, литр]],""),"")</f>
        <v/>
      </c>
      <c r="N31" s="50">
        <f ca="1">ROUND((Январь[[#This Row],[Пройдено за день, км]]*0.01*$Y$2+Январь[[#This Row],[Расход топлива на работу спецоборудования, литр]]),3)+X31</f>
        <v>153.44499999999999</v>
      </c>
      <c r="O31" s="47">
        <f ca="1">ROUND(Январь[[#This Row],[Расход топлива по норме, литр]]/VLOOKUP(Январь[Дата],S$2:W$4,5),0)+Y31</f>
        <v>56</v>
      </c>
      <c r="P31" s="51">
        <f ca="1">IFERROR(Январь[[#This Row],[Фактический расход топлива, литр]]-Январь[[#This Row],[Расход топлива по норме, литр]],"")</f>
        <v>-97.444999999999993</v>
      </c>
      <c r="R31" s="143">
        <f>Январь[[#This Row],[Дата]]</f>
        <v>43125</v>
      </c>
      <c r="S31" s="156"/>
      <c r="T31" s="108"/>
      <c r="U31" s="81">
        <v>-62</v>
      </c>
      <c r="V31" s="144"/>
      <c r="W31" s="108"/>
      <c r="X31" s="108"/>
      <c r="Y31" s="154"/>
      <c r="Z31" s="143">
        <f>Январь[[#This Row],[Дата]]</f>
        <v>43125</v>
      </c>
    </row>
    <row r="32" spans="1:26" x14ac:dyDescent="0.2">
      <c r="A32" s="46">
        <f>IFERROR(DATEVALUE((COUNT($A$6:A31)+1)&amp;$P$1&amp;$I$4),"")</f>
        <v>43126</v>
      </c>
      <c r="B32" s="135" t="s">
        <v>20</v>
      </c>
      <c r="C32" s="53">
        <f t="shared" ca="1" si="0"/>
        <v>210300</v>
      </c>
      <c r="D32" s="72">
        <v>210327</v>
      </c>
      <c r="E32" s="48">
        <f ca="1">Январь[[#This Row],[Показание одометра машины на конец дня, км]]-Январь[[#This Row],[Показание одометра машины на начало дня, км]]+T32</f>
        <v>27</v>
      </c>
      <c r="F32" s="81"/>
      <c r="G32" s="47" t="str">
        <f ca="1">IF(Январь[[#This Row],[Дата]]="","",M31)</f>
        <v/>
      </c>
      <c r="H32" s="53">
        <f t="shared" ca="1" si="1"/>
        <v>656</v>
      </c>
      <c r="I32" s="72">
        <v>658</v>
      </c>
      <c r="J32" s="47">
        <f ca="1">IF(W32="",Январь[[#This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32" s="96">
        <v>1</v>
      </c>
      <c r="L32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32" s="78" t="str">
        <f ca="1">IF(VLOOKUP(Январь[Дата],S$2:U$3,3),IFERROR(IF(U32="",Январь[[#This Row],[Выдано топливо, литр]],Январь[[#This Row],[Выдано топливо, литр]]+U32)+Январь[[#This Row],[Остаток топлива в баке на начало дня, литр]]-Январь[[#This Row],[Фактический расход топлива, литр]],""),"")</f>
        <v/>
      </c>
      <c r="N32" s="50">
        <f ca="1">ROUND((Январь[[#This Row],[Пройдено за день, км]]*0.01*$Y$2+Январь[[#This Row],[Расход топлива на работу спецоборудования, литр]]),3)+X32</f>
        <v>26.016999999999999</v>
      </c>
      <c r="O32" s="47">
        <f ca="1">ROUND(Январь[[#This Row],[Расход топлива по норме, литр]]/VLOOKUP(Январь[Дата],S$2:W$4,5),0)+Y32</f>
        <v>9</v>
      </c>
      <c r="P32" s="51">
        <f ca="1">IFERROR(Январь[[#This Row],[Фактический расход топлива, литр]]-Январь[[#This Row],[Расход топлива по норме, литр]],"")</f>
        <v>-17.016999999999999</v>
      </c>
      <c r="R32" s="143">
        <f>Январь[[#This Row],[Дата]]</f>
        <v>43126</v>
      </c>
      <c r="S32" s="156"/>
      <c r="T32" s="108"/>
      <c r="U32" s="81"/>
      <c r="V32" s="144"/>
      <c r="W32" s="108"/>
      <c r="X32" s="108"/>
      <c r="Y32" s="154"/>
      <c r="Z32" s="143">
        <f>Январь[[#This Row],[Дата]]</f>
        <v>43126</v>
      </c>
    </row>
    <row r="33" spans="1:26" x14ac:dyDescent="0.2">
      <c r="A33" s="46">
        <f>IFERROR(DATEVALUE((COUNT($A$6:A32)+1)&amp;$P$1&amp;$I$4),"")</f>
        <v>43127</v>
      </c>
      <c r="B33" s="135" t="s">
        <v>20</v>
      </c>
      <c r="C33" s="53">
        <f t="shared" ca="1" si="0"/>
        <v>210327</v>
      </c>
      <c r="D33" s="72">
        <v>210354</v>
      </c>
      <c r="E33" s="48">
        <f ca="1">Январь[[#This Row],[Показание одометра машины на конец дня, км]]-Январь[[#This Row],[Показание одометра машины на начало дня, км]]+T33</f>
        <v>27</v>
      </c>
      <c r="F33" s="81"/>
      <c r="G33" s="47" t="str">
        <f ca="1">IF(Январь[[#This Row],[Дата]]="","",M32)</f>
        <v/>
      </c>
      <c r="H33" s="53">
        <f t="shared" ca="1" si="1"/>
        <v>658</v>
      </c>
      <c r="I33" s="72">
        <v>660</v>
      </c>
      <c r="J33" s="47">
        <f ca="1">IF(W33="",Январь[[#This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33" s="96">
        <v>1</v>
      </c>
      <c r="L33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33" s="78" t="str">
        <f ca="1">IF(VLOOKUP(Январь[Дата],S$2:U$3,3),IFERROR(IF(U33="",Январь[[#This Row],[Выдано топливо, литр]],Январь[[#This Row],[Выдано топливо, литр]]+U33)+Январь[[#This Row],[Остаток топлива в баке на начало дня, литр]]-Январь[[#This Row],[Фактический расход топлива, литр]],""),"")</f>
        <v/>
      </c>
      <c r="N33" s="50">
        <f ca="1">ROUND((Январь[[#This Row],[Пройдено за день, км]]*0.01*$Y$2+Январь[[#This Row],[Расход топлива на работу спецоборудования, литр]]),3)+X33</f>
        <v>26.016999999999999</v>
      </c>
      <c r="O33" s="47">
        <f ca="1">ROUND(Январь[[#This Row],[Расход топлива по норме, литр]]/VLOOKUP(Январь[Дата],S$2:W$4,5),0)+Y33</f>
        <v>9</v>
      </c>
      <c r="P33" s="51">
        <f ca="1">IFERROR(Январь[[#This Row],[Фактический расход топлива, литр]]-Январь[[#This Row],[Расход топлива по норме, литр]],"")</f>
        <v>-17.016999999999999</v>
      </c>
      <c r="R33" s="143">
        <f>Январь[[#This Row],[Дата]]</f>
        <v>43127</v>
      </c>
      <c r="S33" s="156"/>
      <c r="T33" s="108"/>
      <c r="U33" s="81"/>
      <c r="V33" s="144"/>
      <c r="W33" s="108"/>
      <c r="X33" s="108"/>
      <c r="Y33" s="154"/>
      <c r="Z33" s="143">
        <f>Январь[[#This Row],[Дата]]</f>
        <v>43127</v>
      </c>
    </row>
    <row r="34" spans="1:26" x14ac:dyDescent="0.2">
      <c r="A34" s="46">
        <f>IFERROR(DATEVALUE((COUNT($A$6:A33)+1)&amp;$P$1&amp;$I$4),"")</f>
        <v>43128</v>
      </c>
      <c r="B34" s="135" t="s">
        <v>20</v>
      </c>
      <c r="C34" s="53">
        <f t="shared" ca="1" si="0"/>
        <v>210354</v>
      </c>
      <c r="D34" s="72">
        <v>210448</v>
      </c>
      <c r="E34" s="48">
        <f ca="1">Январь[[#This Row],[Показание одометра машины на конец дня, км]]-Январь[[#This Row],[Показание одометра машины на начало дня, км]]+T34</f>
        <v>94</v>
      </c>
      <c r="F34" s="81"/>
      <c r="G34" s="47" t="str">
        <f ca="1">IF(Январь[[#This Row],[Дата]]="","",M33)</f>
        <v/>
      </c>
      <c r="H34" s="53">
        <f t="shared" ca="1" si="1"/>
        <v>660</v>
      </c>
      <c r="I34" s="72">
        <v>665</v>
      </c>
      <c r="J34" s="47">
        <f ca="1">IF(W34="",Январь[[#This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5</v>
      </c>
      <c r="K34" s="96">
        <v>3</v>
      </c>
      <c r="L34" s="49">
        <f ca="1">IF(Январь[[#This Row],[Работа спецоборудования за день, м/ч]]="","",Январь[[#This Row],[Работа спецоборудования за день, м/ч]]*$Z$2)</f>
        <v>30.250000000000004</v>
      </c>
      <c r="M34" s="78" t="str">
        <f ca="1">IF(VLOOKUP(Январь[Дата],S$2:U$3,3),IFERROR(IF(U34="",Январь[[#This Row],[Выдано топливо, литр]],Январь[[#This Row],[Выдано топливо, литр]]+U34)+Январь[[#This Row],[Остаток топлива в баке на начало дня, литр]]-Январь[[#This Row],[Фактический расход топлива, литр]],""),"")</f>
        <v/>
      </c>
      <c r="N34" s="50">
        <f ca="1">ROUND((Январь[[#This Row],[Пройдено за день, км]]*0.01*$Y$2+Январь[[#This Row],[Расход топлива на работу спецоборудования, литр]]),3)+X34</f>
        <v>78.703000000000003</v>
      </c>
      <c r="O34" s="47">
        <f ca="1">ROUND(Январь[[#This Row],[Расход топлива по норме, литр]]/VLOOKUP(Январь[Дата],S$2:W$4,5),0)+Y34</f>
        <v>29</v>
      </c>
      <c r="P34" s="51">
        <f ca="1">IFERROR(Январь[[#This Row],[Фактический расход топлива, литр]]-Январь[[#This Row],[Расход топлива по норме, литр]],"")</f>
        <v>-49.703000000000003</v>
      </c>
      <c r="R34" s="143">
        <f>Январь[[#This Row],[Дата]]</f>
        <v>43128</v>
      </c>
      <c r="S34" s="156"/>
      <c r="T34" s="108"/>
      <c r="U34" s="81">
        <v>61</v>
      </c>
      <c r="V34" s="144"/>
      <c r="W34" s="108"/>
      <c r="X34" s="108"/>
      <c r="Y34" s="154"/>
      <c r="Z34" s="143">
        <f>Январь[[#This Row],[Дата]]</f>
        <v>43128</v>
      </c>
    </row>
    <row r="35" spans="1:26" x14ac:dyDescent="0.2">
      <c r="A35" s="46">
        <f>IFERROR(DATEVALUE((COUNT($A$6:A34)+1)&amp;$P$1&amp;$I$4),"")</f>
        <v>43129</v>
      </c>
      <c r="B35" s="135" t="s">
        <v>20</v>
      </c>
      <c r="C35" s="53">
        <f t="shared" ca="1" si="0"/>
        <v>210448</v>
      </c>
      <c r="D35" s="72">
        <v>210582</v>
      </c>
      <c r="E35" s="48">
        <f ca="1">Январь[[#This Row],[Показание одометра машины на конец дня, км]]-Январь[[#This Row],[Показание одометра машины на начало дня, км]]+T35</f>
        <v>134</v>
      </c>
      <c r="F35" s="81"/>
      <c r="G35" s="47" t="str">
        <f ca="1">IF(Январь[[#This Row],[Дата]]="","",M34)</f>
        <v/>
      </c>
      <c r="H35" s="53">
        <f t="shared" ca="1" si="1"/>
        <v>665</v>
      </c>
      <c r="I35" s="72">
        <v>667</v>
      </c>
      <c r="J35" s="47">
        <f ca="1">IF(W35="",Январь[[#This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2</v>
      </c>
      <c r="K35" s="96">
        <v>3</v>
      </c>
      <c r="L35" s="49">
        <f ca="1">IF(Январь[[#This Row],[Работа спецоборудования за день, м/ч]]="","",Январь[[#This Row],[Работа спецоборудования за день, м/ч]]*$Z$2)</f>
        <v>12.100000000000001</v>
      </c>
      <c r="M35" s="78" t="str">
        <f ca="1">IF(VLOOKUP(Январь[Дата],S$2:U$3,3),IFERROR(IF(U35="",Январь[[#This Row],[Выдано топливо, литр]],Январь[[#This Row],[Выдано топливо, литр]]+U35)+Январь[[#This Row],[Остаток топлива в баке на начало дня, литр]]-Январь[[#This Row],[Фактический расход топлива, литр]],""),"")</f>
        <v/>
      </c>
      <c r="N35" s="50">
        <f ca="1">ROUND((Январь[[#This Row],[Пройдено за день, км]]*0.01*$Y$2+Январь[[#This Row],[Расход топлива на работу спецоборудования, литр]]),3)+X35</f>
        <v>81.171999999999997</v>
      </c>
      <c r="O35" s="47">
        <f ca="1">ROUND(Январь[[#This Row],[Расход топлива по норме, литр]]/VLOOKUP(Январь[Дата],S$2:W$4,5),0)+Y35</f>
        <v>29</v>
      </c>
      <c r="P35" s="51">
        <f ca="1">IFERROR(Январь[[#This Row],[Фактический расход топлива, литр]]-Январь[[#This Row],[Расход топлива по норме, литр]],"")</f>
        <v>-52.171999999999997</v>
      </c>
      <c r="R35" s="143">
        <f>Январь[[#This Row],[Дата]]</f>
        <v>43129</v>
      </c>
      <c r="S35" s="156"/>
      <c r="T35" s="108"/>
      <c r="U35" s="81">
        <v>-74</v>
      </c>
      <c r="V35" s="144"/>
      <c r="W35" s="108"/>
      <c r="X35" s="108"/>
      <c r="Y35" s="154"/>
      <c r="Z35" s="143">
        <f>Январь[[#This Row],[Дата]]</f>
        <v>43129</v>
      </c>
    </row>
    <row r="36" spans="1:26" x14ac:dyDescent="0.2">
      <c r="A36" s="46">
        <f>IFERROR(DATEVALUE((COUNT($A$6:A35)+1)&amp;$P$1&amp;$I$4),"")</f>
        <v>43130</v>
      </c>
      <c r="B36" s="135" t="s">
        <v>20</v>
      </c>
      <c r="C36" s="53">
        <f t="shared" ca="1" si="0"/>
        <v>210582</v>
      </c>
      <c r="D36" s="72">
        <v>210696</v>
      </c>
      <c r="E36" s="48">
        <f ca="1">Январь[[#This Row],[Показание одометра машины на конец дня, км]]-Январь[[#This Row],[Показание одометра машины на начало дня, км]]+T36</f>
        <v>126</v>
      </c>
      <c r="F36" s="81"/>
      <c r="G36" s="47" t="str">
        <f ca="1">IF(Январь[[#This Row],[Дата]]="","",M35)</f>
        <v/>
      </c>
      <c r="H36" s="53">
        <f t="shared" ca="1" si="1"/>
        <v>667</v>
      </c>
      <c r="I36" s="72">
        <v>670</v>
      </c>
      <c r="J36" s="47">
        <f ca="1">IF(W36="",Январь[[#This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3</v>
      </c>
      <c r="K36" s="96">
        <v>2</v>
      </c>
      <c r="L36" s="49">
        <f ca="1">IF(Январь[[#This Row],[Работа спецоборудования за день, м/ч]]="","",Январь[[#This Row],[Работа спецоборудования за день, м/ч]]*$Z$2)</f>
        <v>18.150000000000002</v>
      </c>
      <c r="M36" s="78" t="str">
        <f ca="1">IF(VLOOKUP(Январь[Дата],S$2:U$3,3),IFERROR(IF(U36="",Январь[[#This Row],[Выдано топливо, литр]],Январь[[#This Row],[Выдано топливо, литр]]+U36)+Январь[[#This Row],[Остаток топлива в баке на начало дня, литр]]-Январь[[#This Row],[Фактический расход топлива, литр]],""),"")</f>
        <v/>
      </c>
      <c r="N36" s="50">
        <f ca="1">ROUND((Январь[[#This Row],[Пройдено за день, км]]*0.01*$Y$2+Январь[[#This Row],[Расход топлива на работу спецоборудования, литр]]),3)+X36</f>
        <v>83.097999999999999</v>
      </c>
      <c r="O36" s="47">
        <f ca="1">ROUND(Январь[[#This Row],[Расход топлива по норме, литр]]/VLOOKUP(Январь[Дата],S$2:W$4,5),0)+Y36</f>
        <v>31</v>
      </c>
      <c r="P36" s="51">
        <f ca="1">IFERROR(Январь[[#This Row],[Фактический расход топлива, литр]]-Январь[[#This Row],[Расход топлива по норме, литр]],"")</f>
        <v>-52.097999999999999</v>
      </c>
      <c r="R36" s="143">
        <f>Январь[[#This Row],[Дата]]</f>
        <v>43130</v>
      </c>
      <c r="S36" s="156"/>
      <c r="T36" s="108">
        <v>12</v>
      </c>
      <c r="U36" s="81"/>
      <c r="V36" s="144"/>
      <c r="W36" s="108"/>
      <c r="X36" s="108"/>
      <c r="Y36" s="154">
        <v>1</v>
      </c>
      <c r="Z36" s="143">
        <f>Январь[[#This Row],[Дата]]</f>
        <v>43130</v>
      </c>
    </row>
    <row r="37" spans="1:26" ht="13.5" thickBot="1" x14ac:dyDescent="0.25">
      <c r="A37" s="46">
        <f>IFERROR(DATEVALUE((COUNT($A$6:A36)+1)&amp;$P$1&amp;$I$4),"")</f>
        <v>43131</v>
      </c>
      <c r="B37" s="135" t="s">
        <v>20</v>
      </c>
      <c r="C37" s="53">
        <f t="shared" ca="1" si="0"/>
        <v>210696</v>
      </c>
      <c r="D37" s="72">
        <v>210723</v>
      </c>
      <c r="E37" s="48">
        <f ca="1">Январь[[#This Row],[Показание одометра машины на конец дня, км]]-Январь[[#This Row],[Показание одометра машины на начало дня, км]]+T37</f>
        <v>27</v>
      </c>
      <c r="F37" s="81"/>
      <c r="G37" s="47" t="str">
        <f ca="1">IF(Январь[[#This Row],[Дата]]="","",M36)</f>
        <v/>
      </c>
      <c r="H37" s="53">
        <f t="shared" ca="1" si="1"/>
        <v>670</v>
      </c>
      <c r="I37" s="132">
        <v>671</v>
      </c>
      <c r="J37" s="47">
        <f ca="1">IF(W37="",Январь[[#This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</v>
      </c>
      <c r="K37" s="96">
        <v>1</v>
      </c>
      <c r="L37" s="49">
        <f ca="1">IF(Январь[[#This Row],[Работа спецоборудования за день, м/ч]]="","",Январь[[#This Row],[Работа спецоборудования за день, м/ч]]*$Z$2)</f>
        <v>6.0500000000000007</v>
      </c>
      <c r="M37" s="78" t="str">
        <f ca="1">IF(VLOOKUP(Январь[Дата],S$2:U$3,3),IFERROR(IF(U37="",Январь[[#This Row],[Выдано топливо, литр]],Январь[[#This Row],[Выдано топливо, литр]]+U37)+Январь[[#This Row],[Остаток топлива в баке на начало дня, литр]]-Январь[[#This Row],[Фактический расход топлива, литр]],""),"")</f>
        <v/>
      </c>
      <c r="N37" s="50">
        <f ca="1">ROUND((Январь[[#This Row],[Пройдено за день, км]]*0.01*$Y$2+Январь[[#This Row],[Расход топлива на работу спецоборудования, литр]]),3)+X37</f>
        <v>19.97</v>
      </c>
      <c r="O37" s="47">
        <f ca="1">ROUND(Январь[[#This Row],[Расход топлива по норме, литр]]/VLOOKUP(Январь[Дата],S$2:W$4,5),0)+Y37</f>
        <v>6</v>
      </c>
      <c r="P37" s="51">
        <f ca="1">IFERROR(Январь[[#This Row],[Фактический расход топлива, литр]]-Январь[[#This Row],[Расход топлива по норме, литр]],"")</f>
        <v>-13.969999999999999</v>
      </c>
      <c r="R37" s="160">
        <f>Январь[[#This Row],[Дата]]</f>
        <v>43131</v>
      </c>
      <c r="S37" s="159"/>
      <c r="T37" s="149"/>
      <c r="U37" s="150">
        <v>-87</v>
      </c>
      <c r="V37" s="148"/>
      <c r="W37" s="149"/>
      <c r="X37" s="149">
        <v>3.0000000000000001E-3</v>
      </c>
      <c r="Y37" s="155">
        <v>-1</v>
      </c>
      <c r="Z37" s="160">
        <f>Январь[[#This Row],[Дата]]</f>
        <v>43131</v>
      </c>
    </row>
    <row r="38" spans="1:26" ht="16.5" thickBot="1" x14ac:dyDescent="0.25">
      <c r="A38" s="57" t="s">
        <v>59</v>
      </c>
      <c r="B38" s="58"/>
      <c r="C38" s="59"/>
      <c r="D38" s="60"/>
      <c r="E38" s="61">
        <f ca="1">SUBTOTAL(109,Январь[Пройдено за день, км])</f>
        <v>1711</v>
      </c>
      <c r="F38" s="61">
        <f>SUBTOTAL(109,Январь[Выдано топливо, литр])</f>
        <v>680</v>
      </c>
      <c r="G38" s="62"/>
      <c r="H38" s="62"/>
      <c r="I38" s="63"/>
      <c r="J38" s="61">
        <f ca="1">SUBTOTAL(109,Январь[Работа спецоборудования за день, м/ч])</f>
        <v>51</v>
      </c>
      <c r="K38" s="64">
        <f>SUBTOTAL(109,Январь[Количество ходок])</f>
        <v>33</v>
      </c>
      <c r="L38" s="65">
        <f ca="1">SUBTOTAL(109,Январь[Расход топлива на работу спецоборудования, литр])</f>
        <v>308.55</v>
      </c>
      <c r="M38" s="62"/>
      <c r="N38" s="65">
        <f ca="1">SUBTOTAL(109,Январь[Расход топлива по норме, литр])</f>
        <v>1190.5030000000002</v>
      </c>
      <c r="O38" s="61">
        <f ca="1">SUBTOTAL(109,Январь[Фактический расход топлива, литр])</f>
        <v>678</v>
      </c>
      <c r="P38" s="66">
        <f ca="1">SUBTOTAL(109,Январь[Отклонение от нормы (Перерасход(+), экономия(-)), литр])</f>
        <v>-512.50300000000004</v>
      </c>
      <c r="R38" s="161" t="s">
        <v>80</v>
      </c>
      <c r="S38" s="163">
        <f ca="1">SUMIFS($S$7:$S$37,Январь[Фактический расход топлива, литр],"&gt;="&amp;$S$2,Январь[Фактический расход топлива, литр],"&lt;="&amp;$T$2)+IF(MONTH($T$2)&lt;&gt;MONTH($S$2),INDIRECT(TEXT($A$7-1,"ММММ")&amp;"!F38")-SUM(INDIRECT(TEXT($A$7-1,"ММММ")&amp;"!V1:V2")))</f>
        <v>0</v>
      </c>
      <c r="T38" s="163">
        <f ca="1">SUMIFS($T$7:$T$37,Январь[Отклонение от нормы (Перерасход(+), экономия(-)), литр],"&gt;="&amp;$S$2,Январь[Отклонение от нормы (Перерасход(+), экономия(-)), литр],"&lt;="&amp;$T$2)+IF(MONTH($T$2)&lt;&gt;MONTH($S$2),INDIRECT(TEXT($A$7-1,"ММММ")&amp;"!F38")-SUM(INDIRECT(TEXT($A$7-1,"ММММ")&amp;"!V1:V2")))</f>
        <v>0</v>
      </c>
      <c r="U38" s="163">
        <f ca="1">SUMIFS($U$7:$U$37,Январь[Дата],"&gt;="&amp;$S$2,Январь[Дата],"&lt;="&amp;$T$2)+IF(MONTH($T$2)&lt;&gt;MONTH($S$2),INDIRECT(TEXT($A$7-1,"ММММ")&amp;"!F38")-SUM(INDIRECT(TEXT($A$7-1,"ММММ")&amp;"!V1:V2")))</f>
        <v>0</v>
      </c>
      <c r="V38" s="163">
        <f ca="1">SUMIFS($V$7:$V$37,Январь[ФИО водителя],"&gt;="&amp;$S$2,Январь[ФИО водителя],"&lt;="&amp;$T$2)+IF(MONTH($T$2)&lt;&gt;MONTH($S$2),INDIRECT(TEXT($A$7-1,"ММММ")&amp;"!F38")-SUM(INDIRECT(TEXT($A$7-1,"ММММ")&amp;"!V1:V2")))</f>
        <v>0</v>
      </c>
      <c r="W38" s="163">
        <f ca="1">SUMIFS($W$7:$W$37,Январь[Показание одометра машины на начало дня, км],"&gt;="&amp;$S$2,Январь[Показание одометра машины на начало дня, км],"&lt;="&amp;$T$2)+IF(MONTH($T$2)&lt;&gt;MONTH($S$2),INDIRECT(TEXT($A$7-1,"ММММ")&amp;"!F38")-SUM(INDIRECT(TEXT($A$7-1,"ММММ")&amp;"!V1:V2")))</f>
        <v>0</v>
      </c>
      <c r="X38" s="163">
        <f ca="1">SUMIFS($X$7:$X$37,Январь[Показание одометра машины на конец дня, км],"&gt;="&amp;$S$2,Январь[Показание одометра машины на конец дня, км],"&lt;="&amp;$T$2)+IF(MONTH($T$2)&lt;&gt;MONTH($S$2),INDIRECT(TEXT($A$7-1,"ММММ")&amp;"!F38")-SUM(INDIRECT(TEXT($A$7-1,"ММММ")&amp;"!V1:V2")))</f>
        <v>0</v>
      </c>
      <c r="Y38" s="163">
        <f ca="1">SUMIFS($Y$7:$Y$37,Январь[Пройдено за день, км],"&gt;="&amp;$S$2,Январь[Пройдено за день, км],"&lt;="&amp;$T$2)+IF(MONTH($T$2)&lt;&gt;MONTH($S$2),INDIRECT(TEXT($A$7-1,"ММММ")&amp;"!F38")-SUM(INDIRECT(TEXT($A$7-1,"ММММ")&amp;"!V1:V2")))</f>
        <v>0</v>
      </c>
      <c r="Z38" s="161" t="s">
        <v>80</v>
      </c>
    </row>
    <row r="39" spans="1:26" ht="13.5" thickBo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8">
        <f>SUMIFS(K7:K37,A7:A37,"&gt;="&amp;$S$2,A7:A37,"&lt;="&amp;$T$2)</f>
        <v>12</v>
      </c>
      <c r="L39" s="67"/>
      <c r="M39" s="69"/>
      <c r="N39" s="67"/>
      <c r="O39" s="67"/>
      <c r="P39" s="67"/>
      <c r="R39" s="162" t="s">
        <v>76</v>
      </c>
      <c r="S39" s="164">
        <f ca="1">SUMIFS($S$7:$S$37,Январь[Фактический расход топлива, литр],"&gt;="&amp;$S$3,Январь[Фактический расход топлива, литр],"&lt;="&amp;$T$3)+IF(MONTH($T$3)&lt;&gt;MONTH($S$3),INDIRECT(TEXT($A$7-1,"ММММ")&amp;"!F38")-SUM(INDIRECT(TEXT($A$7-1,"ММММ")&amp;"!V1:V2")))</f>
        <v>0</v>
      </c>
      <c r="T39" s="164">
        <f ca="1">SUMIFS($T$7:$T$37,Январь[Отклонение от нормы (Перерасход(+), экономия(-)), литр],"&gt;="&amp;$S$3,Январь[Отклонение от нормы (Перерасход(+), экономия(-)), литр],"&lt;="&amp;$T$3)+IF(MONTH($T$3)&lt;&gt;MONTH($S$3),INDIRECT(TEXT($A$7-1,"ММММ")&amp;"!F38")-SUM(INDIRECT(TEXT($A$7-1,"ММММ")&amp;"!V1:V2")))</f>
        <v>0</v>
      </c>
      <c r="U39" s="164">
        <f ca="1">SUMIFS($U$7:$U$37,Январь[Дата],"&gt;="&amp;$S$3,Январь[Дата],"&lt;="&amp;$T$3)+IF(MONTH($T$3)&lt;&gt;MONTH($S$3),INDIRECT(TEXT($A$7-1,"ММММ")&amp;"!F38")-SUM(INDIRECT(TEXT($A$7-1,"ММММ")&amp;"!V1:V2")))</f>
        <v>-162</v>
      </c>
      <c r="V39" s="164">
        <f ca="1">SUMIFS($V$7:$V$37,Январь[ФИО водителя],"&gt;="&amp;$S$3,Январь[ФИО водителя],"&lt;="&amp;$T$3)+IF(MONTH($T$3)&lt;&gt;MONTH($S$3),INDIRECT(TEXT($A$7-1,"ММММ")&amp;"!F38")-SUM(INDIRECT(TEXT($A$7-1,"ММММ")&amp;"!V1:V2")))</f>
        <v>0</v>
      </c>
      <c r="W39" s="164">
        <f ca="1">SUMIFS($W$7:$W$37,Январь[Показание одометра машины на начало дня, км],"&gt;="&amp;$S$3,Январь[Показание одометра машины на начало дня, км],"&lt;="&amp;$T$3)+IF(MONTH($T$3)&lt;&gt;MONTH($S$3),INDIRECT(TEXT($A$7-1,"ММММ")&amp;"!F38")-SUM(INDIRECT(TEXT($A$7-1,"ММММ")&amp;"!V1:V2")))</f>
        <v>0</v>
      </c>
      <c r="X39" s="164">
        <f ca="1">SUMIFS($X$7:$X$37,Январь[Показание одометра машины на конец дня, км],"&gt;="&amp;$S$3,Январь[Показание одометра машины на конец дня, км],"&lt;="&amp;$T$3)+IF(MONTH($T$3)&lt;&gt;MONTH($S$3),INDIRECT(TEXT($A$7-1,"ММММ")&amp;"!F38")-SUM(INDIRECT(TEXT($A$7-1,"ММММ")&amp;"!V1:V2")))</f>
        <v>0</v>
      </c>
      <c r="Y39" s="164">
        <f ca="1">SUMIFS($Y$7:$Y$37,Январь[Пройдено за день, км],"&gt;="&amp;$S$3,Январь[Пройдено за день, км],"&lt;="&amp;$T$3)+IF(MONTH($T$3)&lt;&gt;MONTH($S$3),INDIRECT(TEXT($A$7-1,"ММММ")&amp;"!F38")-SUM(INDIRECT(TEXT($A$7-1,"ММММ")&amp;"!V1:V2")))</f>
        <v>0</v>
      </c>
      <c r="Z39" s="162" t="s">
        <v>76</v>
      </c>
    </row>
    <row r="40" spans="1:26" ht="13.5" thickBo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70">
        <f>SUMIFS(K7:K37,A7:A37,"&gt;="&amp;$S$3,A7:A37,"&lt;="&amp;$T$3)</f>
        <v>21</v>
      </c>
      <c r="L40" s="67"/>
      <c r="M40" s="71"/>
      <c r="N40" s="67"/>
      <c r="O40" s="121"/>
      <c r="P40" s="67"/>
      <c r="R40" s="67"/>
      <c r="S40" s="94"/>
      <c r="T40" s="94"/>
      <c r="U40" s="94"/>
      <c r="V40" s="94"/>
      <c r="W40" s="94"/>
    </row>
    <row r="41" spans="1:26" x14ac:dyDescent="0.2">
      <c r="A41" s="67"/>
      <c r="I41" s="67"/>
      <c r="O41" s="121"/>
      <c r="R41" s="67"/>
      <c r="S41" s="94"/>
      <c r="T41" s="94"/>
      <c r="U41" s="94"/>
      <c r="V41" s="94"/>
      <c r="W41" s="94"/>
    </row>
  </sheetData>
  <mergeCells count="3">
    <mergeCell ref="A2:P2"/>
    <mergeCell ref="A3:P3"/>
    <mergeCell ref="O4:P4"/>
  </mergeCells>
  <conditionalFormatting sqref="M7:M37">
    <cfRule type="cellIs" dxfId="131" priority="2" operator="lessThan">
      <formula>10</formula>
    </cfRule>
    <cfRule type="cellIs" dxfId="130" priority="3" operator="equal">
      <formula>500</formula>
    </cfRule>
    <cfRule type="cellIs" dxfId="129" priority="4" operator="greaterThan">
      <formula>500</formula>
    </cfRule>
  </conditionalFormatting>
  <conditionalFormatting sqref="G7:G37">
    <cfRule type="cellIs" dxfId="128" priority="1" operator="equal">
      <formula>500</formula>
    </cfRule>
  </conditionalFormatting>
  <dataValidations count="3">
    <dataValidation type="list" allowBlank="1" showInputMessage="1" showErrorMessage="1" sqref="Z4">
      <formula1>ТС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P1">
      <formula1>Месяц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Сотрудники!$B$4:$B$27</xm:f>
          </x14:formula1>
          <xm:sqref>B7:B37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41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RowHeight="12.75" x14ac:dyDescent="0.2"/>
  <cols>
    <col min="1" max="1" width="10.7109375" style="37" bestFit="1" customWidth="1"/>
    <col min="2" max="2" width="15.85546875" style="37" customWidth="1"/>
    <col min="3" max="3" width="12.42578125" style="37" customWidth="1"/>
    <col min="4" max="4" width="12.140625" style="37" customWidth="1"/>
    <col min="5" max="5" width="11.140625" style="37" customWidth="1"/>
    <col min="6" max="6" width="10.7109375" style="37" customWidth="1"/>
    <col min="7" max="7" width="12.5703125" style="37" customWidth="1"/>
    <col min="8" max="8" width="19.28515625" style="37" customWidth="1"/>
    <col min="9" max="9" width="18.7109375" style="37" customWidth="1"/>
    <col min="10" max="10" width="19.28515625" style="37" customWidth="1"/>
    <col min="11" max="11" width="12.42578125" style="37" customWidth="1"/>
    <col min="12" max="12" width="19.7109375" style="37" customWidth="1"/>
    <col min="13" max="13" width="11.7109375" style="37" customWidth="1"/>
    <col min="14" max="14" width="12.85546875" style="37" customWidth="1"/>
    <col min="15" max="15" width="12.5703125" style="37" customWidth="1"/>
    <col min="16" max="16" width="16.140625" style="37" customWidth="1"/>
    <col min="17" max="17" width="3.140625" style="94" customWidth="1"/>
    <col min="18" max="18" width="14.42578125" style="37" customWidth="1"/>
    <col min="19" max="19" width="10.7109375" style="37" customWidth="1"/>
    <col min="20" max="20" width="11.5703125" style="37" customWidth="1"/>
    <col min="21" max="21" width="9.85546875" style="37" customWidth="1"/>
    <col min="22" max="22" width="11.140625" style="37" customWidth="1"/>
    <col min="23" max="23" width="12.140625" style="37" customWidth="1"/>
    <col min="24" max="24" width="12" style="37" customWidth="1"/>
    <col min="25" max="25" width="19.140625" style="37" customWidth="1"/>
    <col min="26" max="26" width="20.5703125" style="37" customWidth="1"/>
    <col min="27" max="27" width="11" style="37" bestFit="1" customWidth="1"/>
    <col min="28" max="16384" width="9.140625" style="37"/>
  </cols>
  <sheetData>
    <row r="1" spans="1:26" ht="32.25" customHeight="1" thickBot="1" x14ac:dyDescent="0.25">
      <c r="P1" s="140" t="s">
        <v>61</v>
      </c>
      <c r="R1" s="98"/>
      <c r="S1" s="98"/>
      <c r="T1" s="137"/>
      <c r="V1" s="98"/>
      <c r="W1" s="98"/>
      <c r="X1" s="99" t="s">
        <v>72</v>
      </c>
      <c r="Y1" s="122" t="s">
        <v>39</v>
      </c>
      <c r="Z1" s="123" t="s">
        <v>44</v>
      </c>
    </row>
    <row r="2" spans="1:26" ht="22.5" x14ac:dyDescent="0.2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R2" s="115" t="s">
        <v>80</v>
      </c>
      <c r="S2" s="124">
        <f ca="1">INDIRECT(TEXT(A7-1,"ММММ")&amp;"!T3")+1</f>
        <v>43132</v>
      </c>
      <c r="T2" s="111">
        <v>43146</v>
      </c>
      <c r="U2" s="113">
        <f>ТС!E5</f>
        <v>500</v>
      </c>
      <c r="V2" s="125">
        <f ca="1">SUMIFS(Февраль[Выдано топливо, литр],Февраль[Дата],"&gt;="&amp;$S$2,Февраль[Дата],"&lt;="&amp;$T$2)+IF(MONTH(T2)&lt;&gt;MONTH(S2),INDIRECT(TEXT(A7-1,"ММММ")&amp;"!F38")-SUM(INDIRECT(TEXT(A7-1,"ММММ")&amp;"!V1:V2")))</f>
        <v>620</v>
      </c>
      <c r="W2" s="112">
        <f ca="1">IF(V2=0,0,(SUMIFS(N7:N37,A7:A37,"&gt;="&amp;S2,A7:A37,"&lt;="&amp;T2)+SUMIFS(INDIRECT(TEXT(A7-1,"ММММ")&amp;"!N7:N37"),INDIRECT(TEXT(A7-1,"ММММ")&amp;"!A7:A37"),"&gt;="&amp;S2))/(V2-U2+IF(MONTH(T2)=MONTH(S2),G7,INDEX(INDIRECT(TEXT(A7-1,"ММММ")&amp;"!G7:G37"),DAY(S2)))))</f>
        <v>1.1033887096774191</v>
      </c>
      <c r="X2" s="109">
        <f ca="1">SUMIFS(Февраль[Отклонение от нормы (Перерасход(+), экономия(-)), литр],Февраль[Дата],"&gt;="&amp;$S$2,Февраль[Дата],"&lt;="&amp;$T$2)</f>
        <v>-64.100999999999999</v>
      </c>
      <c r="Y2" s="100">
        <f>IF(Y4="Зима",VLOOKUP(Z4,Расчет[[Номер гос.регистрации / Заводской номер]:[Итога норма а/м "ЛЕТО"]],8,FALSE),VLOOKUP(Z4,Расчет[[Номер гос.регистрации / Заводской номер]:[Итога норма а/м "ЛЕТО"]],9,FALSE))</f>
        <v>51.546000000000006</v>
      </c>
      <c r="Z2" s="101">
        <f>IF(Y4="Зима",VLOOKUP(Z4,Расчет[[Номер гос.регистрации / Заводской номер]:[Итога норма а/м "ЛЕТО"]],13,FALSE),VLOOKUP(Z4,Расчет[[Номер гос.регистрации / Заводской номер]:[Итога норма а/м "ЛЕТО"]],14,FALSE))</f>
        <v>6.0500000000000007</v>
      </c>
    </row>
    <row r="3" spans="1:26" ht="23.25" thickBot="1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R3" s="116" t="s">
        <v>76</v>
      </c>
      <c r="S3" s="126">
        <f>T2+1</f>
        <v>43147</v>
      </c>
      <c r="T3" s="127">
        <f>INDEX(Февраль[Дата],COUNT(Февраль[Дата]))-T1</f>
        <v>43159</v>
      </c>
      <c r="U3" s="114">
        <f>ТС!E6</f>
        <v>500</v>
      </c>
      <c r="V3" s="128">
        <f ca="1">SUMIFS(Февраль[Выдано топливо, литр],Февраль[Дата],"&gt;="&amp;$S$3,Февраль[Дата],"&lt;="&amp;$T$3)+IF(MONTH(T3)&lt;&gt;MONTH(S3),INDIRECT(TEXT(A7-1,"ММММ")&amp;"!F38")-SUM(INDIRECT(TEXT(A7-1,"ММММ")&amp;"!V1:V2")))</f>
        <v>300</v>
      </c>
      <c r="W3" s="120">
        <f ca="1">IF(V3=0,0,(SUMIFS(N7:N37,A7:A37,"&gt;="&amp;S3,A7:A37,"&lt;="&amp;T3)+SUMIFS(INDIRECT(TEXT(A7-1,"ММММ")&amp;"!N7:N37"),INDIRECT(TEXT(A7-1,"ММММ")&amp;"!A7:A37"),"&gt;="&amp;S3))/(V3-U3+IF(MONTH(T3)=MONTH(S3),G7,INDEX(INDIRECT(TEXT(A7-1,"ММММ")&amp;"!G7:G37"),DAY(S3)))))</f>
        <v>1.0929600000000002</v>
      </c>
      <c r="X3" s="110">
        <f ca="1">SUMIFS(Февраль[Отклонение от нормы (Перерасход(+), экономия(-)), литр],Февраль[Дата],"&gt;="&amp;$S$3,Февраль[Дата],"&lt;="&amp;$T$3)</f>
        <v>-27.887999999999991</v>
      </c>
      <c r="Y3" s="117"/>
      <c r="Z3" s="118"/>
    </row>
    <row r="4" spans="1:26" ht="23.25" thickBot="1" x14ac:dyDescent="0.35">
      <c r="A4" s="38"/>
      <c r="D4" s="38"/>
      <c r="E4" s="38"/>
      <c r="F4" s="38"/>
      <c r="G4" s="38"/>
      <c r="H4" s="39" t="s">
        <v>2</v>
      </c>
      <c r="I4" s="75">
        <v>2018</v>
      </c>
      <c r="K4" s="38"/>
      <c r="L4" s="38"/>
      <c r="M4" s="38"/>
      <c r="N4" s="38"/>
      <c r="O4" s="184" t="s">
        <v>21</v>
      </c>
      <c r="P4" s="184"/>
      <c r="R4" s="98"/>
      <c r="S4" s="129" t="str">
        <f>IF(INDEX(Февраль[Дата],COUNT(Февраль[Дата]))=T3,"",T3+1)</f>
        <v/>
      </c>
      <c r="V4" s="98"/>
      <c r="W4" s="119" t="str">
        <f ca="1">IFERROR(IF(S4="","",INDIRECT(TEXT(A7+40,"ММММ")&amp;"!W2")),)</f>
        <v/>
      </c>
      <c r="X4" s="98"/>
      <c r="Y4" s="138" t="s">
        <v>40</v>
      </c>
      <c r="Z4" s="139" t="s">
        <v>77</v>
      </c>
    </row>
    <row r="5" spans="1:26" ht="8.25" customHeight="1" thickBot="1" x14ac:dyDescent="0.25"/>
    <row r="6" spans="1:26" ht="63.75" customHeight="1" thickBot="1" x14ac:dyDescent="0.25">
      <c r="A6" s="102" t="s">
        <v>3</v>
      </c>
      <c r="B6" s="103" t="s">
        <v>4</v>
      </c>
      <c r="C6" s="104" t="s">
        <v>6</v>
      </c>
      <c r="D6" s="104" t="s">
        <v>7</v>
      </c>
      <c r="E6" s="104" t="s">
        <v>8</v>
      </c>
      <c r="F6" s="104" t="s">
        <v>9</v>
      </c>
      <c r="G6" s="104" t="s">
        <v>10</v>
      </c>
      <c r="H6" s="104" t="s">
        <v>11</v>
      </c>
      <c r="I6" s="105" t="s">
        <v>12</v>
      </c>
      <c r="J6" s="105" t="s">
        <v>13</v>
      </c>
      <c r="K6" s="105" t="s">
        <v>14</v>
      </c>
      <c r="L6" s="105" t="s">
        <v>15</v>
      </c>
      <c r="M6" s="105" t="s">
        <v>16</v>
      </c>
      <c r="N6" s="105" t="s">
        <v>17</v>
      </c>
      <c r="O6" s="105" t="s">
        <v>18</v>
      </c>
      <c r="P6" s="106" t="s">
        <v>19</v>
      </c>
      <c r="R6" s="141" t="s">
        <v>3</v>
      </c>
      <c r="S6" s="157" t="s">
        <v>81</v>
      </c>
      <c r="T6" s="130" t="s">
        <v>8</v>
      </c>
      <c r="U6" s="130" t="s">
        <v>9</v>
      </c>
      <c r="V6" s="130" t="s">
        <v>82</v>
      </c>
      <c r="W6" s="130" t="s">
        <v>13</v>
      </c>
      <c r="X6" s="130" t="s">
        <v>17</v>
      </c>
      <c r="Y6" s="171" t="s">
        <v>18</v>
      </c>
      <c r="Z6" s="141" t="s">
        <v>3</v>
      </c>
    </row>
    <row r="7" spans="1:26" ht="15" customHeight="1" thickBot="1" x14ac:dyDescent="0.25">
      <c r="A7" s="40">
        <f>IFERROR(DATEVALUE((COUNT($A$6:A6)+1)&amp;$P$1&amp;$I$4),"")</f>
        <v>43132</v>
      </c>
      <c r="B7" s="133"/>
      <c r="C7" s="131">
        <f>INDEX(Январь!D7:D37,COUNT(Январь!D7:D37))</f>
        <v>210723</v>
      </c>
      <c r="D7" s="74">
        <v>210723</v>
      </c>
      <c r="E7" s="41">
        <f>IFERROR(Февраль[[#This Row],[Показание одометра машины на конец дня, км]]-Февраль[[#This Row],[Показание одометра машины на начало дня, км]]+T7,"")</f>
        <v>0</v>
      </c>
      <c r="F7" s="80"/>
      <c r="G7" s="131">
        <f>U2</f>
        <v>500</v>
      </c>
      <c r="H7" s="131">
        <f>INDEX(Январь!I7:I37,COUNT(Январь!I7:I37))</f>
        <v>671</v>
      </c>
      <c r="I7" s="74">
        <v>671</v>
      </c>
      <c r="J7" s="42">
        <f>IFERROR(IF(W7="",Февраль[[#This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7" s="95">
        <v>0</v>
      </c>
      <c r="L7" s="43">
        <f>IF(Февраль[[#This Row],[Работа спецоборудования за день, м/ч]]="","",Февраль[[#This Row],[Работа спецоборудования за день, м/ч]]*$Z$2)</f>
        <v>0</v>
      </c>
      <c r="M7" s="77">
        <f ca="1">IFERROR(IF(VLOOKUP(Февраль[Дата],S$2:U$3,3),IFERROR(IF(U7="",Февраль[[#This Row],[Выдано топливо, литр]],Февраль[[#This Row],[Выдано топливо, литр]]+U7)+Февраль[[#This Row],[Остаток топлива в баке на начало дня, литр]]-Февраль[[#This Row],[Фактический расход топлива, литр]],""),""),"")</f>
        <v>500</v>
      </c>
      <c r="N7" s="44">
        <f>IFERROR(ROUND((Февраль[[#This Row],[Пройдено за день, км]]*0.01*$Y$2+Февраль[[#This Row],[Расход топлива на работу спецоборудования, литр]]),3)+X7,"")</f>
        <v>0</v>
      </c>
      <c r="O7" s="42">
        <f ca="1">IFERROR(IF(Февраль[[#Totals],[Выдано топливо, литр]]=0,0,(ROUND(Февраль[[#This Row],[Расход топлива по норме, литр]]/IF(DAY(Февраль[Дата])&lt;=18,$W$2,$W$3),0)))+Y7,"")</f>
        <v>0</v>
      </c>
      <c r="P7" s="45">
        <f ca="1">IFERROR(Февраль[[#This Row],[Фактический расход топлива, литр]]-Февраль[[#This Row],[Расход топлива по норме, литр]],"")</f>
        <v>0</v>
      </c>
      <c r="R7" s="175">
        <f>Февраль[[#This Row],[Дата]]</f>
        <v>43132</v>
      </c>
      <c r="S7" s="176"/>
      <c r="T7" s="145"/>
      <c r="U7" s="82"/>
      <c r="V7" s="170"/>
      <c r="W7" s="145"/>
      <c r="X7" s="145"/>
      <c r="Y7" s="172"/>
      <c r="Z7" s="175">
        <f>Февраль[[#This Row],[Дата]]</f>
        <v>43132</v>
      </c>
    </row>
    <row r="8" spans="1:26" ht="12.75" customHeight="1" x14ac:dyDescent="0.2">
      <c r="A8" s="46">
        <f>IFERROR(DATEVALUE((COUNT($A$6:A7)+1)&amp;$P$1&amp;$I$4),"")</f>
        <v>43133</v>
      </c>
      <c r="B8" s="134" t="s">
        <v>20</v>
      </c>
      <c r="C8" s="53">
        <f ca="1">IFERROR(IF(INDIRECT(TEXT(A7-1,"ММММ")&amp;"!A7:A37")="","",IF(S7="",D7,S7)),"")</f>
        <v>210723</v>
      </c>
      <c r="D8" s="72">
        <v>210735</v>
      </c>
      <c r="E8" s="48">
        <f ca="1">IFERROR(Февраль[[#This Row],[Показание одометра машины на конец дня, км]]-Февраль[[#This Row],[Показание одометра машины на начало дня, км]]+T8,"")</f>
        <v>12</v>
      </c>
      <c r="F8" s="81"/>
      <c r="G8" s="53">
        <f ca="1">IF(Февраль[[#This Row],[Дата]]="","",M7)</f>
        <v>500</v>
      </c>
      <c r="H8" s="53">
        <f ca="1">IFERROR(IF(INDIRECT(TEXT(A7-1,"ММММ")&amp;"!A7:A37")="","",IF(V7="",I7,V7)),"")</f>
        <v>671</v>
      </c>
      <c r="I8" s="72">
        <v>672</v>
      </c>
      <c r="J8" s="47">
        <f ca="1">IFERROR(IF(W8="",Февраль[[#This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</v>
      </c>
      <c r="K8" s="96">
        <v>1</v>
      </c>
      <c r="L8" s="49">
        <f ca="1">IF(Февраль[[#This Row],[Работа спецоборудования за день, м/ч]]="","",Февраль[[#This Row],[Работа спецоборудования за день, м/ч]]*$Z$2)</f>
        <v>6.0500000000000007</v>
      </c>
      <c r="M8" s="78">
        <f ca="1">IFERROR(IF(VLOOKUP(Февраль[Дата],S$2:U$3,3),IFERROR(IF(U8="",Февраль[[#This Row],[Выдано топливо, литр]],Февраль[[#This Row],[Выдано топливо, литр]]+U8)+Февраль[[#This Row],[Остаток топлива в баке на начало дня, литр]]-Февраль[[#This Row],[Фактический расход топлива, литр]],""),""),"")</f>
        <v>489</v>
      </c>
      <c r="N8" s="50">
        <f ca="1">IFERROR(ROUND((Февраль[[#This Row],[Пройдено за день, км]]*0.01*$Y$2+Февраль[[#This Row],[Расход топлива на работу спецоборудования, литр]]),3)+X8,"")</f>
        <v>12.236000000000001</v>
      </c>
      <c r="O8" s="47">
        <f ca="1">IFERROR(IF(Февраль[[#Totals],[Выдано топливо, литр]]=0,0,(ROUND(Февраль[[#This Row],[Расход топлива по норме, литр]]/IF(DAY(Февраль[Дата])&lt;=18,$W$2,$W$3),0)))+Y8,"")</f>
        <v>11</v>
      </c>
      <c r="P8" s="51">
        <f ca="1">IFERROR(Февраль[[#This Row],[Фактический расход топлива, литр]]-Февраль[[#This Row],[Расход топлива по норме, литр]],"")</f>
        <v>-1.2360000000000007</v>
      </c>
      <c r="R8" s="143">
        <f>Февраль[[#This Row],[Дата]]</f>
        <v>43133</v>
      </c>
      <c r="S8" s="167"/>
      <c r="T8" s="108"/>
      <c r="U8" s="81"/>
      <c r="V8" s="165"/>
      <c r="W8" s="108"/>
      <c r="X8" s="108"/>
      <c r="Y8" s="173"/>
      <c r="Z8" s="143">
        <f>Февраль[[#This Row],[Дата]]</f>
        <v>43133</v>
      </c>
    </row>
    <row r="9" spans="1:26" x14ac:dyDescent="0.2">
      <c r="A9" s="46">
        <f>IFERROR(DATEVALUE((COUNT($A$6:A8)+1)&amp;$P$1&amp;$I$4),"")</f>
        <v>43134</v>
      </c>
      <c r="B9" s="134" t="s">
        <v>20</v>
      </c>
      <c r="C9" s="53">
        <f t="shared" ref="C9:C37" ca="1" si="0">IFERROR(IF(INDIRECT(TEXT(A8-1,"ММММ")&amp;"!A7:A37")="","",IF(S8="",D8,S8)),"")</f>
        <v>210735</v>
      </c>
      <c r="D9" s="72">
        <v>210777</v>
      </c>
      <c r="E9" s="48">
        <f ca="1">IFERROR(Февраль[[#This Row],[Показание одометра машины на конец дня, км]]-Февраль[[#This Row],[Показание одометра машины на начало дня, км]]+T9,"")</f>
        <v>42</v>
      </c>
      <c r="F9" s="81"/>
      <c r="G9" s="47">
        <f ca="1">IF(Февраль[[#This Row],[Дата]]="","",M8)</f>
        <v>489</v>
      </c>
      <c r="H9" s="53">
        <f t="shared" ref="H9:H37" ca="1" si="1">IFERROR(IF(INDIRECT(TEXT(A8-1,"ММММ")&amp;"!A7:A37")="","",IF(V8="",I8,V8)),"")</f>
        <v>672</v>
      </c>
      <c r="I9" s="72">
        <v>674</v>
      </c>
      <c r="J9" s="47">
        <f ca="1">IFERROR(IF(W9="",Февраль[[#This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9" s="96">
        <v>1</v>
      </c>
      <c r="L9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9" s="78">
        <f ca="1">IFERROR(IF(VLOOKUP(Февраль[Дата],S$2:U$3,3),IFERROR(IF(U9="",Февраль[[#This Row],[Выдано топливо, литр]],Февраль[[#This Row],[Выдано топливо, литр]]+U9)+Февраль[[#This Row],[Остаток топлива в баке на начало дня, литр]]-Февраль[[#This Row],[Фактический расход топлива, литр]],""),""),"")</f>
        <v>458</v>
      </c>
      <c r="N9" s="50">
        <f ca="1">IFERROR(ROUND((Февраль[[#This Row],[Пройдено за день, км]]*0.01*$Y$2+Февраль[[#This Row],[Расход топлива на работу спецоборудования, литр]]),3)+X9,"")</f>
        <v>33.748000000000005</v>
      </c>
      <c r="O9" s="47">
        <f ca="1">IFERROR(IF(Февраль[[#Totals],[Выдано топливо, литр]]=0,0,(ROUND(Февраль[[#This Row],[Расход топлива по норме, литр]]/IF(DAY(Февраль[Дата])&lt;=18,$W$2,$W$3),0)))+Y9,"")</f>
        <v>31</v>
      </c>
      <c r="P9" s="51">
        <f ca="1">IFERROR(Февраль[[#This Row],[Фактический расход топлива, литр]]-Февраль[[#This Row],[Расход топлива по норме, литр]],"")</f>
        <v>-2.7480000000000047</v>
      </c>
      <c r="R9" s="143">
        <f>Февраль[[#This Row],[Дата]]</f>
        <v>43134</v>
      </c>
      <c r="S9" s="167"/>
      <c r="T9" s="108"/>
      <c r="U9" s="81"/>
      <c r="V9" s="165"/>
      <c r="W9" s="108"/>
      <c r="X9" s="108">
        <v>-1E-3</v>
      </c>
      <c r="Y9" s="173"/>
      <c r="Z9" s="143">
        <f>Февраль[[#This Row],[Дата]]</f>
        <v>43134</v>
      </c>
    </row>
    <row r="10" spans="1:26" x14ac:dyDescent="0.2">
      <c r="A10" s="46">
        <f>IFERROR(DATEVALUE((COUNT($A$6:A9)+1)&amp;$P$1&amp;$I$4),"")</f>
        <v>43135</v>
      </c>
      <c r="B10" s="134" t="s">
        <v>20</v>
      </c>
      <c r="C10" s="53">
        <f t="shared" ca="1" si="0"/>
        <v>210777</v>
      </c>
      <c r="D10" s="72">
        <v>210864</v>
      </c>
      <c r="E10" s="48">
        <f ca="1">IFERROR(Февраль[[#This Row],[Показание одометра машины на конец дня, км]]-Февраль[[#This Row],[Показание одометра машины на начало дня, км]]+T10,"")</f>
        <v>87</v>
      </c>
      <c r="F10" s="81"/>
      <c r="G10" s="47">
        <f ca="1">IF(Февраль[[#This Row],[Дата]]="","",M9)</f>
        <v>458</v>
      </c>
      <c r="H10" s="53">
        <f t="shared" ca="1" si="1"/>
        <v>674</v>
      </c>
      <c r="I10" s="72">
        <v>676</v>
      </c>
      <c r="J10" s="47">
        <f ca="1">IFERROR(IF(W10="",Февраль[[#This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10" s="96">
        <v>2</v>
      </c>
      <c r="L10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10" s="78">
        <f ca="1">IFERROR(IF(VLOOKUP(Февраль[Дата],S$2:U$3,3),IFERROR(IF(U10="",Февраль[[#This Row],[Выдано топливо, литр]],Февраль[[#This Row],[Выдано топливо, литр]]+U10)+Февраль[[#This Row],[Остаток топлива в баке на начало дня, литр]]-Февраль[[#This Row],[Фактический расход топлива, литр]],""),""),"")</f>
        <v>406</v>
      </c>
      <c r="N10" s="50">
        <f ca="1">IFERROR(ROUND((Февраль[[#This Row],[Пройдено за день, км]]*0.01*$Y$2+Февраль[[#This Row],[Расход топлива на работу спецоборудования, литр]]),3)+X10,"")</f>
        <v>56.945</v>
      </c>
      <c r="O10" s="47">
        <f ca="1">IFERROR(IF(Февраль[[#Totals],[Выдано топливо, литр]]=0,0,(ROUND(Февраль[[#This Row],[Расход топлива по норме, литр]]/IF(DAY(Февраль[Дата])&lt;=18,$W$2,$W$3),0)))+Y10,"")</f>
        <v>52</v>
      </c>
      <c r="P10" s="51">
        <f ca="1">IFERROR(Февраль[[#This Row],[Фактический расход топлива, литр]]-Февраль[[#This Row],[Расход топлива по норме, литр]],"")</f>
        <v>-4.9450000000000003</v>
      </c>
      <c r="R10" s="143">
        <f>Февраль[[#This Row],[Дата]]</f>
        <v>43135</v>
      </c>
      <c r="S10" s="167"/>
      <c r="T10" s="108"/>
      <c r="U10" s="81"/>
      <c r="V10" s="165"/>
      <c r="W10" s="108"/>
      <c r="X10" s="108"/>
      <c r="Y10" s="173"/>
      <c r="Z10" s="143">
        <f>Февраль[[#This Row],[Дата]]</f>
        <v>43135</v>
      </c>
    </row>
    <row r="11" spans="1:26" x14ac:dyDescent="0.2">
      <c r="A11" s="46">
        <f>IFERROR(DATEVALUE((COUNT($A$6:A10)+1)&amp;$P$1&amp;$I$4),"")</f>
        <v>43136</v>
      </c>
      <c r="B11" s="134"/>
      <c r="C11" s="53">
        <f t="shared" ca="1" si="0"/>
        <v>210864</v>
      </c>
      <c r="D11" s="72">
        <v>210864</v>
      </c>
      <c r="E11" s="48">
        <f ca="1">IFERROR(Февраль[[#This Row],[Показание одометра машины на конец дня, км]]-Февраль[[#This Row],[Показание одометра машины на начало дня, км]]+T11,"")</f>
        <v>0</v>
      </c>
      <c r="F11" s="81"/>
      <c r="G11" s="47">
        <f ca="1">IF(Февраль[[#This Row],[Дата]]="","",M10)</f>
        <v>406</v>
      </c>
      <c r="H11" s="53">
        <f t="shared" ca="1" si="1"/>
        <v>676</v>
      </c>
      <c r="I11" s="72">
        <v>676</v>
      </c>
      <c r="J11" s="47">
        <f ca="1">IFERROR(IF(W11="",Февраль[[#This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11" s="96">
        <v>0</v>
      </c>
      <c r="L11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11" s="78">
        <f ca="1">IFERROR(IF(VLOOKUP(Февраль[Дата],S$2:U$3,3),IFERROR(IF(U11="",Февраль[[#This Row],[Выдано топливо, литр]],Февраль[[#This Row],[Выдано топливо, литр]]+U11)+Февраль[[#This Row],[Остаток топлива в баке на начало дня, литр]]-Февраль[[#This Row],[Фактический расход топлива, литр]],""),""),"")</f>
        <v>406</v>
      </c>
      <c r="N11" s="50">
        <f ca="1">IFERROR(ROUND((Февраль[[#This Row],[Пройдено за день, км]]*0.01*$Y$2+Февраль[[#This Row],[Расход топлива на работу спецоборудования, литр]]),3)+X11,"")</f>
        <v>0</v>
      </c>
      <c r="O11" s="47">
        <f ca="1">IFERROR(IF(Февраль[[#Totals],[Выдано топливо, литр]]=0,0,(ROUND(Февраль[[#This Row],[Расход топлива по норме, литр]]/IF(DAY(Февраль[Дата])&lt;=18,$W$2,$W$3),0)))+Y11,"")</f>
        <v>0</v>
      </c>
      <c r="P11" s="51">
        <f ca="1">IFERROR(Февраль[[#This Row],[Фактический расход топлива, литр]]-Февраль[[#This Row],[Расход топлива по норме, литр]],"")</f>
        <v>0</v>
      </c>
      <c r="R11" s="143">
        <f>Февраль[[#This Row],[Дата]]</f>
        <v>43136</v>
      </c>
      <c r="S11" s="167"/>
      <c r="T11" s="108"/>
      <c r="U11" s="81"/>
      <c r="V11" s="165"/>
      <c r="W11" s="108"/>
      <c r="X11" s="108"/>
      <c r="Y11" s="173"/>
      <c r="Z11" s="143">
        <f>Февраль[[#This Row],[Дата]]</f>
        <v>43136</v>
      </c>
    </row>
    <row r="12" spans="1:26" x14ac:dyDescent="0.2">
      <c r="A12" s="46">
        <f>IFERROR(DATEVALUE((COUNT($A$6:A11)+1)&amp;$P$1&amp;$I$4),"")</f>
        <v>43137</v>
      </c>
      <c r="B12" s="134" t="s">
        <v>20</v>
      </c>
      <c r="C12" s="53">
        <f t="shared" ca="1" si="0"/>
        <v>210864</v>
      </c>
      <c r="D12" s="72">
        <v>210888</v>
      </c>
      <c r="E12" s="48">
        <f ca="1">IFERROR(Февраль[[#This Row],[Показание одометра машины на конец дня, км]]-Февраль[[#This Row],[Показание одометра машины на начало дня, км]]+T12,"")</f>
        <v>24</v>
      </c>
      <c r="F12" s="81"/>
      <c r="G12" s="47">
        <f ca="1">IF(Февраль[[#This Row],[Дата]]="","",M11)</f>
        <v>406</v>
      </c>
      <c r="H12" s="53">
        <f t="shared" ca="1" si="1"/>
        <v>676</v>
      </c>
      <c r="I12" s="72">
        <v>678</v>
      </c>
      <c r="J12" s="47">
        <f ca="1">IFERROR(IF(W12="",Февраль[[#This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12" s="96">
        <v>1</v>
      </c>
      <c r="L12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12" s="78">
        <f ca="1">IFERROR(IF(VLOOKUP(Февраль[Дата],S$2:U$3,3),IFERROR(IF(U12="",Февраль[[#This Row],[Выдано топливо, литр]],Февраль[[#This Row],[Выдано топливо, литр]]+U12)+Февраль[[#This Row],[Остаток топлива в баке на начало дня, литр]]-Февраль[[#This Row],[Фактический расход топлива, литр]],""),""),"")</f>
        <v>384</v>
      </c>
      <c r="N12" s="50">
        <f ca="1">IFERROR(ROUND((Февраль[[#This Row],[Пройдено за день, км]]*0.01*$Y$2+Февраль[[#This Row],[Расход топлива на работу спецоборудования, литр]]),3)+X12,"")</f>
        <v>24.471</v>
      </c>
      <c r="O12" s="47">
        <f ca="1">IFERROR(IF(Февраль[[#Totals],[Выдано топливо, литр]]=0,0,(ROUND(Февраль[[#This Row],[Расход топлива по норме, литр]]/IF(DAY(Февраль[Дата])&lt;=18,$W$2,$W$3),0)))+Y12,"")</f>
        <v>22</v>
      </c>
      <c r="P12" s="51">
        <f ca="1">IFERROR(Февраль[[#This Row],[Фактический расход топлива, литр]]-Февраль[[#This Row],[Расход топлива по норме, литр]],"")</f>
        <v>-2.4710000000000001</v>
      </c>
      <c r="R12" s="143">
        <f>Февраль[[#This Row],[Дата]]</f>
        <v>43137</v>
      </c>
      <c r="S12" s="167"/>
      <c r="T12" s="108"/>
      <c r="U12" s="81"/>
      <c r="V12" s="165"/>
      <c r="W12" s="108"/>
      <c r="X12" s="108"/>
      <c r="Y12" s="173"/>
      <c r="Z12" s="143">
        <f>Февраль[[#This Row],[Дата]]</f>
        <v>43137</v>
      </c>
    </row>
    <row r="13" spans="1:26" x14ac:dyDescent="0.2">
      <c r="A13" s="46">
        <f>IFERROR(DATEVALUE((COUNT($A$6:A12)+1)&amp;$P$1&amp;$I$4),"")</f>
        <v>43138</v>
      </c>
      <c r="B13" s="134" t="s">
        <v>20</v>
      </c>
      <c r="C13" s="53">
        <f t="shared" ca="1" si="0"/>
        <v>210888</v>
      </c>
      <c r="D13" s="72">
        <v>210900</v>
      </c>
      <c r="E13" s="48">
        <f ca="1">IFERROR(Февраль[[#This Row],[Показание одометра машины на конец дня, км]]-Февраль[[#This Row],[Показание одометра машины на начало дня, км]]+T13,"")</f>
        <v>12</v>
      </c>
      <c r="F13" s="81"/>
      <c r="G13" s="47">
        <f ca="1">IF(Февраль[[#This Row],[Дата]]="","",M12)</f>
        <v>384</v>
      </c>
      <c r="H13" s="53">
        <f t="shared" ca="1" si="1"/>
        <v>678</v>
      </c>
      <c r="I13" s="72">
        <v>679</v>
      </c>
      <c r="J13" s="47">
        <f ca="1">IFERROR(IF(W13="",Февраль[[#This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</v>
      </c>
      <c r="K13" s="96">
        <v>1</v>
      </c>
      <c r="L13" s="49">
        <f ca="1">IF(Февраль[[#This Row],[Работа спецоборудования за день, м/ч]]="","",Февраль[[#This Row],[Работа спецоборудования за день, м/ч]]*$Z$2)</f>
        <v>6.0500000000000007</v>
      </c>
      <c r="M13" s="78">
        <f ca="1">IFERROR(IF(VLOOKUP(Февраль[Дата],S$2:U$3,3),IFERROR(IF(U13="",Февраль[[#This Row],[Выдано топливо, литр]],Февраль[[#This Row],[Выдано топливо, литр]]+U13)+Февраль[[#This Row],[Остаток топлива в баке на начало дня, литр]]-Февраль[[#This Row],[Фактический расход топлива, литр]],""),""),"")</f>
        <v>373</v>
      </c>
      <c r="N13" s="50">
        <f ca="1">IFERROR(ROUND((Февраль[[#This Row],[Пройдено за день, км]]*0.01*$Y$2+Февраль[[#This Row],[Расход топлива на работу спецоборудования, литр]]),3)+X13,"")</f>
        <v>12.236000000000001</v>
      </c>
      <c r="O13" s="47">
        <f ca="1">IFERROR(IF(Февраль[[#Totals],[Выдано топливо, литр]]=0,0,(ROUND(Февраль[[#This Row],[Расход топлива по норме, литр]]/IF(DAY(Февраль[Дата])&lt;=18,$W$2,$W$3),0)))+Y13,"")</f>
        <v>11</v>
      </c>
      <c r="P13" s="51">
        <f ca="1">IFERROR(Февраль[[#This Row],[Фактический расход топлива, литр]]-Февраль[[#This Row],[Расход топлива по норме, литр]],"")</f>
        <v>-1.2360000000000007</v>
      </c>
      <c r="R13" s="143">
        <f>Февраль[[#This Row],[Дата]]</f>
        <v>43138</v>
      </c>
      <c r="S13" s="167"/>
      <c r="T13" s="108"/>
      <c r="U13" s="81"/>
      <c r="V13" s="165"/>
      <c r="W13" s="108"/>
      <c r="X13" s="108"/>
      <c r="Y13" s="173"/>
      <c r="Z13" s="143">
        <f>Февраль[[#This Row],[Дата]]</f>
        <v>43138</v>
      </c>
    </row>
    <row r="14" spans="1:26" x14ac:dyDescent="0.2">
      <c r="A14" s="46">
        <f>IFERROR(DATEVALUE((COUNT($A$6:A13)+1)&amp;$P$1&amp;$I$4),"")</f>
        <v>43139</v>
      </c>
      <c r="B14" s="134" t="s">
        <v>20</v>
      </c>
      <c r="C14" s="53">
        <f t="shared" ca="1" si="0"/>
        <v>210900</v>
      </c>
      <c r="D14" s="72">
        <v>211028</v>
      </c>
      <c r="E14" s="48">
        <f ca="1">IFERROR(Февраль[[#This Row],[Показание одометра машины на конец дня, км]]-Февраль[[#This Row],[Показание одометра машины на начало дня, км]]+T14,"")</f>
        <v>128</v>
      </c>
      <c r="F14" s="81"/>
      <c r="G14" s="47">
        <f ca="1">IF(Февраль[[#This Row],[Дата]]="","",M13)</f>
        <v>373</v>
      </c>
      <c r="H14" s="53">
        <f t="shared" ca="1" si="1"/>
        <v>679</v>
      </c>
      <c r="I14" s="72">
        <v>683</v>
      </c>
      <c r="J14" s="47">
        <f ca="1">IFERROR(IF(W14="",Февраль[[#This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4</v>
      </c>
      <c r="K14" s="96">
        <v>2</v>
      </c>
      <c r="L14" s="49">
        <f ca="1">IF(Февраль[[#This Row],[Работа спецоборудования за день, м/ч]]="","",Февраль[[#This Row],[Работа спецоборудования за день, м/ч]]*$Z$2)</f>
        <v>24.200000000000003</v>
      </c>
      <c r="M14" s="78">
        <f ca="1">IFERROR(IF(VLOOKUP(Февраль[Дата],S$2:U$3,3),IFERROR(IF(U14="",Февраль[[#This Row],[Выдано топливо, литр]],Февраль[[#This Row],[Выдано топливо, литр]]+U14)+Февраль[[#This Row],[Остаток топлива в баке на начало дня, литр]]-Февраль[[#This Row],[Фактический расход топлива, литр]],""),""),"")</f>
        <v>291</v>
      </c>
      <c r="N14" s="50">
        <f ca="1">IFERROR(ROUND((Февраль[[#This Row],[Пройдено за день, км]]*0.01*$Y$2+Февраль[[#This Row],[Расход топлива на работу спецоборудования, литр]]),3)+X14,"")</f>
        <v>90.179000000000002</v>
      </c>
      <c r="O14" s="47">
        <f ca="1">IFERROR(IF(Февраль[[#Totals],[Выдано топливо, литр]]=0,0,(ROUND(Февраль[[#This Row],[Расход топлива по норме, литр]]/IF(DAY(Февраль[Дата])&lt;=18,$W$2,$W$3),0)))+Y14,"")</f>
        <v>82</v>
      </c>
      <c r="P14" s="51">
        <f ca="1">IFERROR(Февраль[[#This Row],[Фактический расход топлива, литр]]-Февраль[[#This Row],[Расход топлива по норме, литр]],"")</f>
        <v>-8.179000000000002</v>
      </c>
      <c r="R14" s="143">
        <f>Февраль[[#This Row],[Дата]]</f>
        <v>43139</v>
      </c>
      <c r="S14" s="167"/>
      <c r="T14" s="108"/>
      <c r="U14" s="81"/>
      <c r="V14" s="165"/>
      <c r="W14" s="108"/>
      <c r="X14" s="108"/>
      <c r="Y14" s="173"/>
      <c r="Z14" s="143">
        <f>Февраль[[#This Row],[Дата]]</f>
        <v>43139</v>
      </c>
    </row>
    <row r="15" spans="1:26" x14ac:dyDescent="0.2">
      <c r="A15" s="46">
        <f>IFERROR(DATEVALUE((COUNT($A$6:A14)+1)&amp;$P$1&amp;$I$4),"")</f>
        <v>43140</v>
      </c>
      <c r="B15" s="134" t="s">
        <v>20</v>
      </c>
      <c r="C15" s="53">
        <f t="shared" ca="1" si="0"/>
        <v>211028</v>
      </c>
      <c r="D15" s="72">
        <v>211140</v>
      </c>
      <c r="E15" s="48">
        <f ca="1">IFERROR(Февраль[[#This Row],[Показание одометра машины на конец дня, км]]-Февраль[[#This Row],[Показание одометра машины на начало дня, км]]+T15,"")</f>
        <v>112</v>
      </c>
      <c r="F15" s="81"/>
      <c r="G15" s="47">
        <f ca="1">IF(Февраль[[#This Row],[Дата]]="","",M14)</f>
        <v>291</v>
      </c>
      <c r="H15" s="53">
        <f t="shared" ca="1" si="1"/>
        <v>683</v>
      </c>
      <c r="I15" s="72">
        <v>685</v>
      </c>
      <c r="J15" s="47">
        <f ca="1">IFERROR(IF(W15="",Февраль[[#This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15" s="96">
        <v>2</v>
      </c>
      <c r="L15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15" s="78">
        <f ca="1">IFERROR(IF(VLOOKUP(Февраль[Дата],S$2:U$3,3),IFERROR(IF(U15="",Февраль[[#This Row],[Выдано топливо, литр]],Февраль[[#This Row],[Выдано топливо, литр]]+U15)+Февраль[[#This Row],[Остаток топлива в баке на начало дня, литр]]-Февраль[[#This Row],[Фактический расход топлива, литр]],""),""),"")</f>
        <v>228</v>
      </c>
      <c r="N15" s="50">
        <f ca="1">IFERROR(ROUND((Февраль[[#This Row],[Пройдено за день, км]]*0.01*$Y$2+Февраль[[#This Row],[Расход топлива на работу спецоборудования, литр]]),3)+X15,"")</f>
        <v>69.831999999999994</v>
      </c>
      <c r="O15" s="47">
        <f ca="1">IFERROR(IF(Февраль[[#Totals],[Выдано топливо, литр]]=0,0,(ROUND(Февраль[[#This Row],[Расход топлива по норме, литр]]/IF(DAY(Февраль[Дата])&lt;=18,$W$2,$W$3),0)))+Y15,"")</f>
        <v>63</v>
      </c>
      <c r="P15" s="51">
        <f ca="1">IFERROR(Февраль[[#This Row],[Фактический расход топлива, литр]]-Февраль[[#This Row],[Расход топлива по норме, литр]],"")</f>
        <v>-6.8319999999999936</v>
      </c>
      <c r="R15" s="143">
        <f>Февраль[[#This Row],[Дата]]</f>
        <v>43140</v>
      </c>
      <c r="S15" s="167"/>
      <c r="T15" s="108"/>
      <c r="U15" s="81"/>
      <c r="V15" s="165"/>
      <c r="W15" s="108"/>
      <c r="X15" s="108"/>
      <c r="Y15" s="173"/>
      <c r="Z15" s="143">
        <f>Февраль[[#This Row],[Дата]]</f>
        <v>43140</v>
      </c>
    </row>
    <row r="16" spans="1:26" x14ac:dyDescent="0.2">
      <c r="A16" s="46">
        <f>IFERROR(DATEVALUE((COUNT($A$6:A15)+1)&amp;$P$1&amp;$I$4),"")</f>
        <v>43141</v>
      </c>
      <c r="B16" s="134" t="s">
        <v>20</v>
      </c>
      <c r="C16" s="53">
        <f t="shared" ca="1" si="0"/>
        <v>211140</v>
      </c>
      <c r="D16" s="72">
        <v>211246</v>
      </c>
      <c r="E16" s="48">
        <f ca="1">IFERROR(Февраль[[#This Row],[Показание одометра машины на конец дня, км]]-Февраль[[#This Row],[Показание одометра машины на начало дня, км]]+T16,"")</f>
        <v>106</v>
      </c>
      <c r="F16" s="81"/>
      <c r="G16" s="47">
        <f ca="1">IF(Февраль[[#This Row],[Дата]]="","",M15)</f>
        <v>228</v>
      </c>
      <c r="H16" s="53">
        <f t="shared" ca="1" si="1"/>
        <v>685</v>
      </c>
      <c r="I16" s="72">
        <v>687</v>
      </c>
      <c r="J16" s="47">
        <f ca="1">IFERROR(IF(W16="",Февраль[[#This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16" s="96">
        <v>1</v>
      </c>
      <c r="L16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16" s="78">
        <f ca="1">IFERROR(IF(VLOOKUP(Февраль[Дата],S$2:U$3,3),IFERROR(IF(U16="",Февраль[[#This Row],[Выдано топливо, литр]],Февраль[[#This Row],[Выдано топливо, литр]]+U16)+Февраль[[#This Row],[Остаток топлива в баке на начало дня, литр]]-Февраль[[#This Row],[Фактический расход топлива, литр]],""),""),"")</f>
        <v>168</v>
      </c>
      <c r="N16" s="50">
        <f ca="1">IFERROR(ROUND((Февраль[[#This Row],[Пройдено за день, км]]*0.01*$Y$2+Февраль[[#This Row],[Расход топлива на работу спецоборудования, литр]]),3)+X16,"")</f>
        <v>66.739000000000004</v>
      </c>
      <c r="O16" s="47">
        <f ca="1">IFERROR(IF(Февраль[[#Totals],[Выдано топливо, литр]]=0,0,(ROUND(Февраль[[#This Row],[Расход топлива по норме, литр]]/IF(DAY(Февраль[Дата])&lt;=18,$W$2,$W$3),0)))+Y16,"")</f>
        <v>60</v>
      </c>
      <c r="P16" s="51">
        <f ca="1">IFERROR(Февраль[[#This Row],[Фактический расход топлива, литр]]-Февраль[[#This Row],[Расход топлива по норме, литр]],"")</f>
        <v>-6.7390000000000043</v>
      </c>
      <c r="R16" s="143">
        <f>Февраль[[#This Row],[Дата]]</f>
        <v>43141</v>
      </c>
      <c r="S16" s="167"/>
      <c r="T16" s="108"/>
      <c r="U16" s="81"/>
      <c r="V16" s="165"/>
      <c r="W16" s="108"/>
      <c r="X16" s="108"/>
      <c r="Y16" s="173"/>
      <c r="Z16" s="143">
        <f>Февраль[[#This Row],[Дата]]</f>
        <v>43141</v>
      </c>
    </row>
    <row r="17" spans="1:26" x14ac:dyDescent="0.2">
      <c r="A17" s="46">
        <f>IFERROR(DATEVALUE((COUNT($A$6:A16)+1)&amp;$P$1&amp;$I$4),"")</f>
        <v>43142</v>
      </c>
      <c r="B17" s="134"/>
      <c r="C17" s="53">
        <f t="shared" ca="1" si="0"/>
        <v>211246</v>
      </c>
      <c r="D17" s="72">
        <v>211246</v>
      </c>
      <c r="E17" s="48">
        <f ca="1">IFERROR(Февраль[[#This Row],[Показание одометра машины на конец дня, км]]-Февраль[[#This Row],[Показание одометра машины на начало дня, км]]+T17,"")</f>
        <v>0</v>
      </c>
      <c r="F17" s="81"/>
      <c r="G17" s="47">
        <f ca="1">IF(Февраль[[#This Row],[Дата]]="","",M16)</f>
        <v>168</v>
      </c>
      <c r="H17" s="53">
        <f t="shared" ca="1" si="1"/>
        <v>687</v>
      </c>
      <c r="I17" s="72">
        <v>687</v>
      </c>
      <c r="J17" s="47">
        <f ca="1">IFERROR(IF(W17="",Февраль[[#This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17" s="96">
        <v>0</v>
      </c>
      <c r="L17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17" s="78">
        <f ca="1">IFERROR(IF(VLOOKUP(Февраль[Дата],S$2:U$3,3),IFERROR(IF(U17="",Февраль[[#This Row],[Выдано топливо, литр]],Февраль[[#This Row],[Выдано топливо, литр]]+U17)+Февраль[[#This Row],[Остаток топлива в баке на начало дня, литр]]-Февраль[[#This Row],[Фактический расход топлива, литр]],""),""),"")</f>
        <v>168</v>
      </c>
      <c r="N17" s="50">
        <f ca="1">IFERROR(ROUND((Февраль[[#This Row],[Пройдено за день, км]]*0.01*$Y$2+Февраль[[#This Row],[Расход топлива на работу спецоборудования, литр]]),3)+X17,"")</f>
        <v>0</v>
      </c>
      <c r="O17" s="47">
        <f ca="1">IFERROR(IF(Февраль[[#Totals],[Выдано топливо, литр]]=0,0,(ROUND(Февраль[[#This Row],[Расход топлива по норме, литр]]/IF(DAY(Февраль[Дата])&lt;=18,$W$2,$W$3),0)))+Y17,"")</f>
        <v>0</v>
      </c>
      <c r="P17" s="51">
        <f ca="1">IFERROR(Февраль[[#This Row],[Фактический расход топлива, литр]]-Февраль[[#This Row],[Расход топлива по норме, литр]],"")</f>
        <v>0</v>
      </c>
      <c r="R17" s="143">
        <f>Февраль[[#This Row],[Дата]]</f>
        <v>43142</v>
      </c>
      <c r="S17" s="167"/>
      <c r="T17" s="108"/>
      <c r="U17" s="81"/>
      <c r="V17" s="165"/>
      <c r="W17" s="108"/>
      <c r="X17" s="108"/>
      <c r="Y17" s="173"/>
      <c r="Z17" s="143">
        <f>Февраль[[#This Row],[Дата]]</f>
        <v>43142</v>
      </c>
    </row>
    <row r="18" spans="1:26" x14ac:dyDescent="0.2">
      <c r="A18" s="46">
        <f>IFERROR(DATEVALUE((COUNT($A$6:A17)+1)&amp;$P$1&amp;$I$4),"")</f>
        <v>43143</v>
      </c>
      <c r="B18" s="134" t="s">
        <v>20</v>
      </c>
      <c r="C18" s="53">
        <f t="shared" ca="1" si="0"/>
        <v>211246</v>
      </c>
      <c r="D18" s="72">
        <v>211429</v>
      </c>
      <c r="E18" s="48">
        <f ca="1">IFERROR(Февраль[[#This Row],[Показание одометра машины на конец дня, км]]-Февраль[[#This Row],[Показание одометра машины на начало дня, км]]+T18,"")</f>
        <v>183</v>
      </c>
      <c r="F18" s="81">
        <v>320</v>
      </c>
      <c r="G18" s="47">
        <f ca="1">IF(Февраль[[#This Row],[Дата]]="","",M17)</f>
        <v>168</v>
      </c>
      <c r="H18" s="53">
        <f t="shared" ca="1" si="1"/>
        <v>687</v>
      </c>
      <c r="I18" s="72">
        <v>691</v>
      </c>
      <c r="J18" s="47">
        <f ca="1">IFERROR(IF(W18="",Февраль[[#This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4</v>
      </c>
      <c r="K18" s="96">
        <v>3</v>
      </c>
      <c r="L18" s="49">
        <f ca="1">IF(Февраль[[#This Row],[Работа спецоборудования за день, м/ч]]="","",Февраль[[#This Row],[Работа спецоборудования за день, м/ч]]*$Z$2)</f>
        <v>24.200000000000003</v>
      </c>
      <c r="M18" s="78">
        <f ca="1">IFERROR(IF(VLOOKUP(Февраль[Дата],S$2:U$3,3),IFERROR(IF(U18="",Февраль[[#This Row],[Выдано топливо, литр]],Февраль[[#This Row],[Выдано топливо, литр]]+U18)+Февраль[[#This Row],[Остаток топлива в баке на начало дня, литр]]-Февраль[[#This Row],[Фактический расход топлива, литр]],""),""),"")</f>
        <v>381</v>
      </c>
      <c r="N18" s="50">
        <f ca="1">IFERROR(ROUND((Февраль[[#This Row],[Пройдено за день, км]]*0.01*$Y$2+Февраль[[#This Row],[Расход топлива на работу спецоборудования, литр]]),3)+X18,"")</f>
        <v>118.529</v>
      </c>
      <c r="O18" s="47">
        <f ca="1">IFERROR(IF(Февраль[[#Totals],[Выдано топливо, литр]]=0,0,(ROUND(Февраль[[#This Row],[Расход топлива по норме, литр]]/IF(DAY(Февраль[Дата])&lt;=18,$W$2,$W$3),0)))+Y18,"")</f>
        <v>107</v>
      </c>
      <c r="P18" s="51">
        <f ca="1">IFERROR(Февраль[[#This Row],[Фактический расход топлива, литр]]-Февраль[[#This Row],[Расход топлива по норме, литр]],"")</f>
        <v>-11.528999999999996</v>
      </c>
      <c r="R18" s="143">
        <f>Февраль[[#This Row],[Дата]]</f>
        <v>43143</v>
      </c>
      <c r="S18" s="167"/>
      <c r="T18" s="108"/>
      <c r="U18" s="81"/>
      <c r="V18" s="165"/>
      <c r="W18" s="108"/>
      <c r="X18" s="108"/>
      <c r="Y18" s="173"/>
      <c r="Z18" s="143">
        <f>Февраль[[#This Row],[Дата]]</f>
        <v>43143</v>
      </c>
    </row>
    <row r="19" spans="1:26" x14ac:dyDescent="0.2">
      <c r="A19" s="46">
        <f>IFERROR(DATEVALUE((COUNT($A$6:A18)+1)&amp;$P$1&amp;$I$4),"")</f>
        <v>43144</v>
      </c>
      <c r="B19" s="134"/>
      <c r="C19" s="53">
        <f t="shared" ca="1" si="0"/>
        <v>211429</v>
      </c>
      <c r="D19" s="72">
        <v>211429</v>
      </c>
      <c r="E19" s="48">
        <f ca="1">IFERROR(Февраль[[#This Row],[Показание одометра машины на конец дня, км]]-Февраль[[#This Row],[Показание одометра машины на начало дня, км]]+T19,"")</f>
        <v>0</v>
      </c>
      <c r="F19" s="81"/>
      <c r="G19" s="47">
        <f ca="1">IF(Февраль[[#This Row],[Дата]]="","",M18)</f>
        <v>381</v>
      </c>
      <c r="H19" s="53">
        <f t="shared" ca="1" si="1"/>
        <v>691</v>
      </c>
      <c r="I19" s="72">
        <v>691</v>
      </c>
      <c r="J19" s="47">
        <f ca="1">IFERROR(IF(W19="",Февраль[[#This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19" s="96">
        <v>0</v>
      </c>
      <c r="L19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19" s="78">
        <f ca="1">IFERROR(IF(VLOOKUP(Февраль[Дата],S$2:U$3,3),IFERROR(IF(U19="",Февраль[[#This Row],[Выдано топливо, литр]],Февраль[[#This Row],[Выдано топливо, литр]]+U19)+Февраль[[#This Row],[Остаток топлива в баке на начало дня, литр]]-Февраль[[#This Row],[Фактический расход топлива, литр]],""),""),"")</f>
        <v>381</v>
      </c>
      <c r="N19" s="50">
        <f ca="1">IFERROR(ROUND((Февраль[[#This Row],[Пройдено за день, км]]*0.01*$Y$2+Февраль[[#This Row],[Расход топлива на работу спецоборудования, литр]]),3)+X19,"")</f>
        <v>0</v>
      </c>
      <c r="O19" s="47">
        <f ca="1">IFERROR(IF(Февраль[[#Totals],[Выдано топливо, литр]]=0,0,(ROUND(Февраль[[#This Row],[Расход топлива по норме, литр]]/IF(DAY(Февраль[Дата])&lt;=18,$W$2,$W$3),0)))+Y19,"")</f>
        <v>0</v>
      </c>
      <c r="P19" s="51">
        <f ca="1">IFERROR(Февраль[[#This Row],[Фактический расход топлива, литр]]-Февраль[[#This Row],[Расход топлива по норме, литр]],"")</f>
        <v>0</v>
      </c>
      <c r="R19" s="143">
        <f>Февраль[[#This Row],[Дата]]</f>
        <v>43144</v>
      </c>
      <c r="S19" s="167"/>
      <c r="T19" s="108"/>
      <c r="U19" s="81"/>
      <c r="V19" s="165"/>
      <c r="W19" s="108"/>
      <c r="X19" s="108"/>
      <c r="Y19" s="173"/>
      <c r="Z19" s="143">
        <f>Февраль[[#This Row],[Дата]]</f>
        <v>43144</v>
      </c>
    </row>
    <row r="20" spans="1:26" x14ac:dyDescent="0.2">
      <c r="A20" s="46">
        <f>IFERROR(DATEVALUE((COUNT($A$6:A19)+1)&amp;$P$1&amp;$I$4),"")</f>
        <v>43145</v>
      </c>
      <c r="B20" s="134" t="s">
        <v>20</v>
      </c>
      <c r="C20" s="53">
        <f t="shared" ca="1" si="0"/>
        <v>211429</v>
      </c>
      <c r="D20" s="72">
        <v>211665</v>
      </c>
      <c r="E20" s="48">
        <f ca="1">IFERROR(Февраль[[#This Row],[Показание одометра машины на конец дня, км]]-Февраль[[#This Row],[Показание одометра машины на начало дня, км]]+T20,"")</f>
        <v>236</v>
      </c>
      <c r="F20" s="81"/>
      <c r="G20" s="47">
        <f ca="1">IF(Февраль[[#This Row],[Дата]]="","",M19)</f>
        <v>381</v>
      </c>
      <c r="H20" s="53">
        <f t="shared" ca="1" si="1"/>
        <v>691</v>
      </c>
      <c r="I20" s="72">
        <v>695</v>
      </c>
      <c r="J20" s="47">
        <f ca="1">IFERROR(IF(W20="",Февраль[[#This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4</v>
      </c>
      <c r="K20" s="96">
        <v>2</v>
      </c>
      <c r="L20" s="49">
        <f ca="1">IF(Февраль[[#This Row],[Работа спецоборудования за день, м/ч]]="","",Февраль[[#This Row],[Работа спецоборудования за день, м/ч]]*$Z$2)</f>
        <v>24.200000000000003</v>
      </c>
      <c r="M20" s="78">
        <f ca="1">IFERROR(IF(VLOOKUP(Февраль[Дата],S$2:U$3,3),IFERROR(IF(U20="",Февраль[[#This Row],[Выдано топливо, литр]],Февраль[[#This Row],[Выдано топливо, литр]]+U20)+Февраль[[#This Row],[Остаток топлива в баке на начало дня, литр]]-Февраль[[#This Row],[Фактический расход топлива, литр]],""),""),"")</f>
        <v>249</v>
      </c>
      <c r="N20" s="50">
        <f ca="1">IFERROR(ROUND((Февраль[[#This Row],[Пройдено за день, км]]*0.01*$Y$2+Февраль[[#This Row],[Расход топлива на работу спецоборудования, литр]]),3)+X20,"")</f>
        <v>145.84899999999999</v>
      </c>
      <c r="O20" s="47">
        <f ca="1">IFERROR(IF(Февраль[[#Totals],[Выдано топливо, литр]]=0,0,(ROUND(Февраль[[#This Row],[Расход топлива по норме, литр]]/IF(DAY(Февраль[Дата])&lt;=18,$W$2,$W$3),0)))+Y20,"")</f>
        <v>132</v>
      </c>
      <c r="P20" s="51">
        <f ca="1">IFERROR(Февраль[[#This Row],[Фактический расход топлива, литр]]-Февраль[[#This Row],[Расход топлива по норме, литр]],"")</f>
        <v>-13.84899999999999</v>
      </c>
      <c r="R20" s="143">
        <f>Февраль[[#This Row],[Дата]]</f>
        <v>43145</v>
      </c>
      <c r="S20" s="167"/>
      <c r="T20" s="108"/>
      <c r="U20" s="81"/>
      <c r="V20" s="165"/>
      <c r="W20" s="108"/>
      <c r="X20" s="108"/>
      <c r="Y20" s="173"/>
      <c r="Z20" s="143">
        <f>Февраль[[#This Row],[Дата]]</f>
        <v>43145</v>
      </c>
    </row>
    <row r="21" spans="1:26" x14ac:dyDescent="0.2">
      <c r="A21" s="46">
        <f>IFERROR(DATEVALUE((COUNT($A$6:A20)+1)&amp;$P$1&amp;$I$4),"")</f>
        <v>43146</v>
      </c>
      <c r="B21" s="134" t="s">
        <v>20</v>
      </c>
      <c r="C21" s="53">
        <f t="shared" ca="1" si="0"/>
        <v>211665</v>
      </c>
      <c r="D21" s="72">
        <v>211745</v>
      </c>
      <c r="E21" s="48">
        <f ca="1">IFERROR(Февраль[[#This Row],[Показание одометра машины на конец дня, км]]-Февраль[[#This Row],[Показание одометра машины на начало дня, км]]+T21,"")</f>
        <v>80</v>
      </c>
      <c r="F21" s="81">
        <v>300</v>
      </c>
      <c r="G21" s="47">
        <f ca="1">IF(Февраль[[#This Row],[Дата]]="","",M20)</f>
        <v>249</v>
      </c>
      <c r="H21" s="53">
        <f t="shared" ca="1" si="1"/>
        <v>695</v>
      </c>
      <c r="I21" s="72">
        <v>697</v>
      </c>
      <c r="J21" s="47">
        <f ca="1">IFERROR(IF(W21="",Февраль[[#This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21" s="96">
        <v>2</v>
      </c>
      <c r="L21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21" s="78">
        <f ca="1">IFERROR(IF(VLOOKUP(Февраль[Дата],S$2:U$3,3),IFERROR(IF(U21="",Февраль[[#This Row],[Выдано топливо, литр]],Февраль[[#This Row],[Выдано топливо, литр]]+U21)+Февраль[[#This Row],[Остаток топлива в баке на начало дня, литр]]-Февраль[[#This Row],[Фактический расход топлива, литр]],""),""),"")</f>
        <v>500</v>
      </c>
      <c r="N21" s="50">
        <f ca="1">IFERROR(ROUND((Февраль[[#This Row],[Пройдено за день, км]]*0.01*$Y$2+Февраль[[#This Row],[Расход топлива на работу спецоборудования, литр]]),3)+X21,"")</f>
        <v>53.337000000000003</v>
      </c>
      <c r="O21" s="47">
        <f ca="1">IFERROR(IF(Февраль[[#Totals],[Выдано топливо, литр]]=0,0,(ROUND(Февраль[[#This Row],[Расход топлива по норме, литр]]/IF(DAY(Февраль[Дата])&lt;=18,$W$2,$W$3),0)))+Y21,"")</f>
        <v>49</v>
      </c>
      <c r="P21" s="51">
        <f ca="1">IFERROR(Февраль[[#This Row],[Фактический расход топлива, литр]]-Февраль[[#This Row],[Расход топлива по норме, литр]],"")</f>
        <v>-4.3370000000000033</v>
      </c>
      <c r="R21" s="143">
        <f>Февраль[[#This Row],[Дата]]</f>
        <v>43146</v>
      </c>
      <c r="S21" s="167"/>
      <c r="T21" s="108"/>
      <c r="U21" s="81"/>
      <c r="V21" s="165"/>
      <c r="W21" s="108"/>
      <c r="X21" s="108"/>
      <c r="Y21" s="173">
        <v>1</v>
      </c>
      <c r="Z21" s="143">
        <f>Февраль[[#This Row],[Дата]]</f>
        <v>43146</v>
      </c>
    </row>
    <row r="22" spans="1:26" x14ac:dyDescent="0.2">
      <c r="A22" s="46">
        <f>IFERROR(DATEVALUE((COUNT($A$6:A21)+1)&amp;$P$1&amp;$I$4),"")</f>
        <v>43147</v>
      </c>
      <c r="B22" s="135"/>
      <c r="C22" s="53">
        <f t="shared" ca="1" si="0"/>
        <v>211745</v>
      </c>
      <c r="D22" s="72">
        <v>211745</v>
      </c>
      <c r="E22" s="48">
        <f ca="1">IFERROR(Февраль[[#This Row],[Показание одометра машины на конец дня, км]]-Февраль[[#This Row],[Показание одометра машины на начало дня, км]]+T22,"")</f>
        <v>0</v>
      </c>
      <c r="F22" s="81"/>
      <c r="G22" s="47">
        <f ca="1">IF(Февраль[[#This Row],[Дата]]="","",M21)</f>
        <v>500</v>
      </c>
      <c r="H22" s="53">
        <f t="shared" ca="1" si="1"/>
        <v>697</v>
      </c>
      <c r="I22" s="72">
        <v>697</v>
      </c>
      <c r="J22" s="47">
        <f ca="1">IFERROR(IF(W22="",Февраль[[#This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2" s="96"/>
      <c r="L22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2" s="78">
        <f ca="1">IFERROR(IF(VLOOKUP(Февраль[Дата],S$2:U$3,3),IFERROR(IF(U22="",Февраль[[#This Row],[Выдано топливо, литр]],Февраль[[#This Row],[Выдано топливо, литр]]+U22)+Февраль[[#This Row],[Остаток топлива в баке на начало дня, литр]]-Февраль[[#This Row],[Фактический расход топлива, литр]],""),""),"")</f>
        <v>500</v>
      </c>
      <c r="N22" s="50">
        <f ca="1">IFERROR(ROUND((Февраль[[#This Row],[Пройдено за день, км]]*0.01*$Y$2+Февраль[[#This Row],[Расход топлива на работу спецоборудования, литр]]),3)+X22,"")</f>
        <v>0</v>
      </c>
      <c r="O22" s="47">
        <f ca="1">IFERROR(IF(Февраль[[#Totals],[Выдано топливо, литр]]=0,0,(ROUND(Февраль[[#This Row],[Расход топлива по норме, литр]]/IF(DAY(Февраль[Дата])&lt;=18,$W$2,$W$3),0)))+Y22,"")</f>
        <v>0</v>
      </c>
      <c r="P22" s="51">
        <f ca="1">IFERROR(Февраль[[#This Row],[Фактический расход топлива, литр]]-Февраль[[#This Row],[Расход топлива по норме, литр]],"")</f>
        <v>0</v>
      </c>
      <c r="R22" s="143">
        <f>Февраль[[#This Row],[Дата]]</f>
        <v>43147</v>
      </c>
      <c r="S22" s="167"/>
      <c r="T22" s="108"/>
      <c r="U22" s="81"/>
      <c r="V22" s="165"/>
      <c r="W22" s="108"/>
      <c r="X22" s="108"/>
      <c r="Y22" s="173"/>
      <c r="Z22" s="143">
        <f>Февраль[[#This Row],[Дата]]</f>
        <v>43147</v>
      </c>
    </row>
    <row r="23" spans="1:26" x14ac:dyDescent="0.2">
      <c r="A23" s="46">
        <f>IFERROR(DATEVALUE((COUNT($A$6:A22)+1)&amp;$P$1&amp;$I$4),"")</f>
        <v>43148</v>
      </c>
      <c r="B23" s="135"/>
      <c r="C23" s="53">
        <f t="shared" ca="1" si="0"/>
        <v>211745</v>
      </c>
      <c r="D23" s="72">
        <v>211745</v>
      </c>
      <c r="E23" s="48">
        <f ca="1">IFERROR(Февраль[[#This Row],[Показание одометра машины на конец дня, км]]-Февраль[[#This Row],[Показание одометра машины на начало дня, км]]+T23,"")</f>
        <v>0</v>
      </c>
      <c r="F23" s="81"/>
      <c r="G23" s="47">
        <f ca="1">IF(Февраль[[#This Row],[Дата]]="","",M22)</f>
        <v>500</v>
      </c>
      <c r="H23" s="53">
        <f t="shared" ca="1" si="1"/>
        <v>697</v>
      </c>
      <c r="I23" s="72">
        <v>697</v>
      </c>
      <c r="J23" s="47">
        <f ca="1">IFERROR(IF(W23="",Февраль[[#This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3" s="96"/>
      <c r="L23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3" s="78">
        <f ca="1">IFERROR(IF(VLOOKUP(Февраль[Дата],S$2:U$3,3),IFERROR(IF(U23="",Февраль[[#This Row],[Выдано топливо, литр]],Февраль[[#This Row],[Выдано топливо, литр]]+U23)+Февраль[[#This Row],[Остаток топлива в баке на начало дня, литр]]-Февраль[[#This Row],[Фактический расход топлива, литр]],""),""),"")</f>
        <v>500</v>
      </c>
      <c r="N23" s="50">
        <f ca="1">IFERROR(ROUND((Февраль[[#This Row],[Пройдено за день, км]]*0.01*$Y$2+Февраль[[#This Row],[Расход топлива на работу спецоборудования, литр]]),3)+X23,"")</f>
        <v>0</v>
      </c>
      <c r="O23" s="47">
        <f ca="1">IFERROR(IF(Февраль[[#Totals],[Выдано топливо, литр]]=0,0,(ROUND(Февраль[[#This Row],[Расход топлива по норме, литр]]/IF(DAY(Февраль[Дата])&lt;=18,$W$2,$W$3),0)))+Y23,"")</f>
        <v>0</v>
      </c>
      <c r="P23" s="51">
        <f ca="1">IFERROR(Февраль[[#This Row],[Фактический расход топлива, литр]]-Февраль[[#This Row],[Расход топлива по норме, литр]],"")</f>
        <v>0</v>
      </c>
      <c r="R23" s="143">
        <f>Февраль[[#This Row],[Дата]]</f>
        <v>43148</v>
      </c>
      <c r="S23" s="167"/>
      <c r="T23" s="108"/>
      <c r="U23" s="81"/>
      <c r="V23" s="165"/>
      <c r="W23" s="108"/>
      <c r="X23" s="108"/>
      <c r="Y23" s="173"/>
      <c r="Z23" s="143">
        <f>Февраль[[#This Row],[Дата]]</f>
        <v>43148</v>
      </c>
    </row>
    <row r="24" spans="1:26" x14ac:dyDescent="0.2">
      <c r="A24" s="52">
        <f>IFERROR(DATEVALUE((COUNT($A$6:A23)+1)&amp;$P$1&amp;$I$4),"")</f>
        <v>43149</v>
      </c>
      <c r="B24" s="135"/>
      <c r="C24" s="53">
        <f t="shared" ca="1" si="0"/>
        <v>211745</v>
      </c>
      <c r="D24" s="72">
        <v>211745</v>
      </c>
      <c r="E24" s="41">
        <f ca="1">IFERROR(Февраль[[#This Row],[Показание одометра машины на конец дня, км]]-Февраль[[#This Row],[Показание одометра машины на начало дня, км]]+T24,"")</f>
        <v>0</v>
      </c>
      <c r="F24" s="81"/>
      <c r="G24" s="47">
        <f ca="1">IF(Февраль[[#This Row],[Дата]]="","",M23)</f>
        <v>500</v>
      </c>
      <c r="H24" s="53">
        <f t="shared" ca="1" si="1"/>
        <v>697</v>
      </c>
      <c r="I24" s="72">
        <v>697</v>
      </c>
      <c r="J24" s="47">
        <f ca="1">IFERROR(IF(W24="",Февраль[[#This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4" s="96"/>
      <c r="L24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4" s="78">
        <f ca="1">IFERROR(IF(VLOOKUP(Февраль[Дата],S$2:U$3,3),IFERROR(IF(U24="",Февраль[[#This Row],[Выдано топливо, литр]],Февраль[[#This Row],[Выдано топливо, литр]]+U24)+Февраль[[#This Row],[Остаток топлива в баке на начало дня, литр]]-Февраль[[#This Row],[Фактический расход топлива, литр]],""),""),"")</f>
        <v>500</v>
      </c>
      <c r="N24" s="50">
        <f ca="1">IFERROR(ROUND((Февраль[[#This Row],[Пройдено за день, км]]*0.01*$Y$2+Февраль[[#This Row],[Расход топлива на работу спецоборудования, литр]]),3)+X24,"")</f>
        <v>0</v>
      </c>
      <c r="O24" s="47">
        <f ca="1">IFERROR(IF(Февраль[[#Totals],[Выдано топливо, литр]]=0,0,(ROUND(Февраль[[#This Row],[Расход топлива по норме, литр]]/IF(DAY(Февраль[Дата])&lt;=18,$W$2,$W$3),0)))+Y24,"")</f>
        <v>0</v>
      </c>
      <c r="P24" s="51">
        <f ca="1">IFERROR(Февраль[[#This Row],[Фактический расход топлива, литр]]-Февраль[[#This Row],[Расход топлива по норме, литр]],"")</f>
        <v>0</v>
      </c>
      <c r="R24" s="143">
        <f>Февраль[[#This Row],[Дата]]</f>
        <v>43149</v>
      </c>
      <c r="S24" s="167"/>
      <c r="T24" s="108"/>
      <c r="U24" s="81"/>
      <c r="V24" s="165"/>
      <c r="W24" s="108"/>
      <c r="X24" s="108"/>
      <c r="Y24" s="173"/>
      <c r="Z24" s="143">
        <f>Февраль[[#This Row],[Дата]]</f>
        <v>43149</v>
      </c>
    </row>
    <row r="25" spans="1:26" x14ac:dyDescent="0.2">
      <c r="A25" s="46">
        <f>IFERROR(DATEVALUE((COUNT($A$6:A24)+1)&amp;$P$1&amp;$I$4),"")</f>
        <v>43150</v>
      </c>
      <c r="B25" s="136"/>
      <c r="C25" s="53">
        <f t="shared" ca="1" si="0"/>
        <v>211745</v>
      </c>
      <c r="D25" s="73">
        <v>211745</v>
      </c>
      <c r="E25" s="41">
        <f ca="1">IFERROR(Февраль[[#This Row],[Показание одометра машины на конец дня, км]]-Февраль[[#This Row],[Показание одометра машины на начало дня, км]]+T25,"")</f>
        <v>0</v>
      </c>
      <c r="F25" s="82"/>
      <c r="G25" s="53">
        <f ca="1">IF(Февраль[[#This Row],[Дата]]="","",M24)</f>
        <v>500</v>
      </c>
      <c r="H25" s="53">
        <f t="shared" ca="1" si="1"/>
        <v>697</v>
      </c>
      <c r="I25" s="73">
        <v>697</v>
      </c>
      <c r="J25" s="53">
        <f ca="1">IFERROR(IF(W25="",Февраль[[#This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5" s="97"/>
      <c r="L25" s="54">
        <f ca="1">IF(Февраль[[#This Row],[Работа спецоборудования за день, м/ч]]="","",Февраль[[#This Row],[Работа спецоборудования за день, м/ч]]*$Z$2)</f>
        <v>0</v>
      </c>
      <c r="M25" s="79">
        <f ca="1">IFERROR(IF(VLOOKUP(Февраль[Дата],S$2:U$3,3),IFERROR(IF(U25="",Февраль[[#This Row],[Выдано топливо, литр]],Февраль[[#This Row],[Выдано топливо, литр]]+U25)+Февраль[[#This Row],[Остаток топлива в баке на начало дня, литр]]-Февраль[[#This Row],[Фактический расход топлива, литр]],""),""),"")</f>
        <v>500</v>
      </c>
      <c r="N25" s="55">
        <f ca="1">IFERROR(ROUND((Февраль[[#This Row],[Пройдено за день, км]]*0.01*$Y$2+Февраль[[#This Row],[Расход топлива на работу спецоборудования, литр]]),3)+X25,"")</f>
        <v>0</v>
      </c>
      <c r="O25" s="53">
        <f ca="1">IFERROR(IF(Февраль[[#Totals],[Выдано топливо, литр]]=0,0,(ROUND(Февраль[[#This Row],[Расход топлива по норме, литр]]/IF(DAY(Февраль[Дата])&lt;=18,$W$2,$W$3),0)))+Y25,"")</f>
        <v>0</v>
      </c>
      <c r="P25" s="56">
        <f ca="1">IFERROR(Февраль[[#This Row],[Фактический расход топлива, литр]]-Февраль[[#This Row],[Расход топлива по норме, литр]],"")</f>
        <v>0</v>
      </c>
      <c r="R25" s="143">
        <f>Февраль[[#This Row],[Дата]]</f>
        <v>43150</v>
      </c>
      <c r="S25" s="167"/>
      <c r="T25" s="108"/>
      <c r="U25" s="81"/>
      <c r="V25" s="165"/>
      <c r="W25" s="108"/>
      <c r="X25" s="108"/>
      <c r="Y25" s="173"/>
      <c r="Z25" s="143">
        <f>Февраль[[#This Row],[Дата]]</f>
        <v>43150</v>
      </c>
    </row>
    <row r="26" spans="1:26" x14ac:dyDescent="0.2">
      <c r="A26" s="46">
        <f>IFERROR(DATEVALUE((COUNT($A$6:A25)+1)&amp;$P$1&amp;$I$4),"")</f>
        <v>43151</v>
      </c>
      <c r="B26" s="135"/>
      <c r="C26" s="53">
        <f t="shared" ca="1" si="0"/>
        <v>211745</v>
      </c>
      <c r="D26" s="72">
        <v>211745</v>
      </c>
      <c r="E26" s="48">
        <f ca="1">IFERROR(Февраль[[#This Row],[Показание одометра машины на конец дня, км]]-Февраль[[#This Row],[Показание одометра машины на начало дня, км]]+T26,"")</f>
        <v>0</v>
      </c>
      <c r="F26" s="81"/>
      <c r="G26" s="47">
        <f ca="1">IF(Февраль[[#This Row],[Дата]]="","",M25)</f>
        <v>500</v>
      </c>
      <c r="H26" s="53">
        <f t="shared" ca="1" si="1"/>
        <v>697</v>
      </c>
      <c r="I26" s="72">
        <v>697</v>
      </c>
      <c r="J26" s="47">
        <f ca="1">IFERROR(IF(W26="",Февраль[[#This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6" s="96"/>
      <c r="L26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6" s="78">
        <f ca="1">IFERROR(IF(VLOOKUP(Февраль[Дата],S$2:U$3,3),IFERROR(IF(U26="",Февраль[[#This Row],[Выдано топливо, литр]],Февраль[[#This Row],[Выдано топливо, литр]]+U26)+Февраль[[#This Row],[Остаток топлива в баке на начало дня, литр]]-Февраль[[#This Row],[Фактический расход топлива, литр]],""),""),"")</f>
        <v>500</v>
      </c>
      <c r="N26" s="50">
        <f ca="1">IFERROR(ROUND((Февраль[[#This Row],[Пройдено за день, км]]*0.01*$Y$2+Февраль[[#This Row],[Расход топлива на работу спецоборудования, литр]]),3)+X26,"")</f>
        <v>0</v>
      </c>
      <c r="O26" s="47">
        <f ca="1">IFERROR(IF(Февраль[[#Totals],[Выдано топливо, литр]]=0,0,(ROUND(Февраль[[#This Row],[Расход топлива по норме, литр]]/IF(DAY(Февраль[Дата])&lt;=18,$W$2,$W$3),0)))+Y26,"")</f>
        <v>0</v>
      </c>
      <c r="P26" s="51">
        <f ca="1">IFERROR(Февраль[[#This Row],[Фактический расход топлива, литр]]-Февраль[[#This Row],[Расход топлива по норме, литр]],"")</f>
        <v>0</v>
      </c>
      <c r="R26" s="143">
        <f>Февраль[[#This Row],[Дата]]</f>
        <v>43151</v>
      </c>
      <c r="S26" s="167"/>
      <c r="T26" s="108"/>
      <c r="U26" s="81"/>
      <c r="V26" s="165"/>
      <c r="W26" s="108"/>
      <c r="X26" s="108"/>
      <c r="Y26" s="173"/>
      <c r="Z26" s="143">
        <f>Февраль[[#This Row],[Дата]]</f>
        <v>43151</v>
      </c>
    </row>
    <row r="27" spans="1:26" x14ac:dyDescent="0.2">
      <c r="A27" s="46">
        <f>IFERROR(DATEVALUE((COUNT($A$6:A26)+1)&amp;$P$1&amp;$I$4),"")</f>
        <v>43152</v>
      </c>
      <c r="B27" s="135"/>
      <c r="C27" s="53">
        <f t="shared" ca="1" si="0"/>
        <v>211745</v>
      </c>
      <c r="D27" s="72">
        <v>211745</v>
      </c>
      <c r="E27" s="48">
        <f ca="1">IFERROR(Февраль[[#This Row],[Показание одометра машины на конец дня, км]]-Февраль[[#This Row],[Показание одометра машины на начало дня, км]]+T27,"")</f>
        <v>0</v>
      </c>
      <c r="F27" s="81"/>
      <c r="G27" s="47">
        <f ca="1">IF(Февраль[[#This Row],[Дата]]="","",M26)</f>
        <v>500</v>
      </c>
      <c r="H27" s="53">
        <f t="shared" ca="1" si="1"/>
        <v>697</v>
      </c>
      <c r="I27" s="72">
        <v>697</v>
      </c>
      <c r="J27" s="47">
        <f ca="1">IFERROR(IF(W27="",Февраль[[#This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7" s="96"/>
      <c r="L27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7" s="78">
        <f ca="1">IFERROR(IF(VLOOKUP(Февраль[Дата],S$2:U$3,3),IFERROR(IF(U27="",Февраль[[#This Row],[Выдано топливо, литр]],Февраль[[#This Row],[Выдано топливо, литр]]+U27)+Февраль[[#This Row],[Остаток топлива в баке на начало дня, литр]]-Февраль[[#This Row],[Фактический расход топлива, литр]],""),""),"")</f>
        <v>500</v>
      </c>
      <c r="N27" s="50">
        <f ca="1">IFERROR(ROUND((Февраль[[#This Row],[Пройдено за день, км]]*0.01*$Y$2+Февраль[[#This Row],[Расход топлива на работу спецоборудования, литр]]),3)+X27,"")</f>
        <v>0</v>
      </c>
      <c r="O27" s="47">
        <f ca="1">IFERROR(IF(Февраль[[#Totals],[Выдано топливо, литр]]=0,0,(ROUND(Февраль[[#This Row],[Расход топлива по норме, литр]]/IF(DAY(Февраль[Дата])&lt;=18,$W$2,$W$3),0)))+Y27,"")</f>
        <v>0</v>
      </c>
      <c r="P27" s="51">
        <f ca="1">IFERROR(Февраль[[#This Row],[Фактический расход топлива, литр]]-Февраль[[#This Row],[Расход топлива по норме, литр]],"")</f>
        <v>0</v>
      </c>
      <c r="R27" s="143">
        <f>Февраль[[#This Row],[Дата]]</f>
        <v>43152</v>
      </c>
      <c r="S27" s="167"/>
      <c r="T27" s="108"/>
      <c r="U27" s="81"/>
      <c r="V27" s="165"/>
      <c r="W27" s="108"/>
      <c r="X27" s="108"/>
      <c r="Y27" s="173"/>
      <c r="Z27" s="143">
        <f>Февраль[[#This Row],[Дата]]</f>
        <v>43152</v>
      </c>
    </row>
    <row r="28" spans="1:26" x14ac:dyDescent="0.2">
      <c r="A28" s="46">
        <f>IFERROR(DATEVALUE((COUNT($A$6:A27)+1)&amp;$P$1&amp;$I$4),"")</f>
        <v>43153</v>
      </c>
      <c r="B28" s="135"/>
      <c r="C28" s="53">
        <f t="shared" ca="1" si="0"/>
        <v>211745</v>
      </c>
      <c r="D28" s="72">
        <v>211745</v>
      </c>
      <c r="E28" s="48">
        <f ca="1">IFERROR(Февраль[[#This Row],[Показание одометра машины на конец дня, км]]-Февраль[[#This Row],[Показание одометра машины на начало дня, км]]+T28,"")</f>
        <v>0</v>
      </c>
      <c r="F28" s="81"/>
      <c r="G28" s="47">
        <f ca="1">IF(Февраль[[#This Row],[Дата]]="","",M27)</f>
        <v>500</v>
      </c>
      <c r="H28" s="53">
        <f t="shared" ca="1" si="1"/>
        <v>697</v>
      </c>
      <c r="I28" s="72">
        <v>697</v>
      </c>
      <c r="J28" s="47">
        <f ca="1">IFERROR(IF(W28="",Февраль[[#This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8" s="96"/>
      <c r="L28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8" s="78">
        <f ca="1">IFERROR(IF(VLOOKUP(Февраль[Дата],S$2:U$3,3),IFERROR(IF(U28="",Февраль[[#This Row],[Выдано топливо, литр]],Февраль[[#This Row],[Выдано топливо, литр]]+U28)+Февраль[[#This Row],[Остаток топлива в баке на начало дня, литр]]-Февраль[[#This Row],[Фактический расход топлива, литр]],""),""),"")</f>
        <v>500</v>
      </c>
      <c r="N28" s="50">
        <f ca="1">IFERROR(ROUND((Февраль[[#This Row],[Пройдено за день, км]]*0.01*$Y$2+Февраль[[#This Row],[Расход топлива на работу спецоборудования, литр]]),3)+X28,"")</f>
        <v>0</v>
      </c>
      <c r="O28" s="47">
        <f ca="1">IFERROR(IF(Февраль[[#Totals],[Выдано топливо, литр]]=0,0,(ROUND(Февраль[[#This Row],[Расход топлива по норме, литр]]/IF(DAY(Февраль[Дата])&lt;=18,$W$2,$W$3),0)))+Y28,"")</f>
        <v>0</v>
      </c>
      <c r="P28" s="51">
        <f ca="1">IFERROR(Февраль[[#This Row],[Фактический расход топлива, литр]]-Февраль[[#This Row],[Расход топлива по норме, литр]],"")</f>
        <v>0</v>
      </c>
      <c r="R28" s="143">
        <f>Февраль[[#This Row],[Дата]]</f>
        <v>43153</v>
      </c>
      <c r="S28" s="167"/>
      <c r="T28" s="108"/>
      <c r="U28" s="81"/>
      <c r="V28" s="165"/>
      <c r="W28" s="108"/>
      <c r="X28" s="108"/>
      <c r="Y28" s="173"/>
      <c r="Z28" s="143">
        <f>Февраль[[#This Row],[Дата]]</f>
        <v>43153</v>
      </c>
    </row>
    <row r="29" spans="1:26" x14ac:dyDescent="0.2">
      <c r="A29" s="46">
        <f>IFERROR(DATEVALUE((COUNT($A$6:A28)+1)&amp;$P$1&amp;$I$4),"")</f>
        <v>43154</v>
      </c>
      <c r="B29" s="135"/>
      <c r="C29" s="53">
        <f t="shared" ca="1" si="0"/>
        <v>211745</v>
      </c>
      <c r="D29" s="72">
        <v>211745</v>
      </c>
      <c r="E29" s="48">
        <f ca="1">IFERROR(Февраль[[#This Row],[Показание одометра машины на конец дня, км]]-Февраль[[#This Row],[Показание одометра машины на начало дня, км]]+T29,"")</f>
        <v>0</v>
      </c>
      <c r="F29" s="81"/>
      <c r="G29" s="47">
        <f ca="1">IF(Февраль[[#This Row],[Дата]]="","",M28)</f>
        <v>500</v>
      </c>
      <c r="H29" s="53">
        <f t="shared" ca="1" si="1"/>
        <v>697</v>
      </c>
      <c r="I29" s="72">
        <v>697</v>
      </c>
      <c r="J29" s="47">
        <f ca="1">IFERROR(IF(W29="",Февраль[[#This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9" s="96"/>
      <c r="L29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29" s="78">
        <f ca="1">IFERROR(IF(VLOOKUP(Февраль[Дата],S$2:U$3,3),IFERROR(IF(U29="",Февраль[[#This Row],[Выдано топливо, литр]],Февраль[[#This Row],[Выдано топливо, литр]]+U29)+Февраль[[#This Row],[Остаток топлива в баке на начало дня, литр]]-Февраль[[#This Row],[Фактический расход топлива, литр]],""),""),"")</f>
        <v>500</v>
      </c>
      <c r="N29" s="50">
        <f ca="1">IFERROR(ROUND((Февраль[[#This Row],[Пройдено за день, км]]*0.01*$Y$2+Февраль[[#This Row],[Расход топлива на работу спецоборудования, литр]]),3)+X29,"")</f>
        <v>0</v>
      </c>
      <c r="O29" s="47">
        <f ca="1">IFERROR(IF(Февраль[[#Totals],[Выдано топливо, литр]]=0,0,(ROUND(Февраль[[#This Row],[Расход топлива по норме, литр]]/IF(DAY(Февраль[Дата])&lt;=18,$W$2,$W$3),0)))+Y29,"")</f>
        <v>0</v>
      </c>
      <c r="P29" s="51">
        <f ca="1">IFERROR(Февраль[[#This Row],[Фактический расход топлива, литр]]-Февраль[[#This Row],[Расход топлива по норме, литр]],"")</f>
        <v>0</v>
      </c>
      <c r="R29" s="143">
        <f>Февраль[[#This Row],[Дата]]</f>
        <v>43154</v>
      </c>
      <c r="S29" s="167"/>
      <c r="T29" s="108"/>
      <c r="U29" s="81"/>
      <c r="V29" s="165"/>
      <c r="W29" s="108"/>
      <c r="X29" s="108"/>
      <c r="Y29" s="173"/>
      <c r="Z29" s="143">
        <f>Февраль[[#This Row],[Дата]]</f>
        <v>43154</v>
      </c>
    </row>
    <row r="30" spans="1:26" x14ac:dyDescent="0.2">
      <c r="A30" s="46">
        <f>IFERROR(DATEVALUE((COUNT($A$6:A29)+1)&amp;$P$1&amp;$I$4),"")</f>
        <v>43155</v>
      </c>
      <c r="B30" s="135"/>
      <c r="C30" s="53">
        <f t="shared" ca="1" si="0"/>
        <v>211745</v>
      </c>
      <c r="D30" s="72">
        <v>211745</v>
      </c>
      <c r="E30" s="48">
        <f ca="1">IFERROR(Февраль[[#This Row],[Показание одометра машины на конец дня, км]]-Февраль[[#This Row],[Показание одометра машины на начало дня, км]]+T30,"")</f>
        <v>0</v>
      </c>
      <c r="F30" s="81"/>
      <c r="G30" s="47">
        <f ca="1">IF(Февраль[[#This Row],[Дата]]="","",M29)</f>
        <v>500</v>
      </c>
      <c r="H30" s="53">
        <f t="shared" ca="1" si="1"/>
        <v>697</v>
      </c>
      <c r="I30" s="72">
        <v>697</v>
      </c>
      <c r="J30" s="47">
        <f ca="1">IFERROR(IF(W30="",Февраль[[#This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30" s="96"/>
      <c r="L30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30" s="78">
        <f ca="1">IFERROR(IF(VLOOKUP(Февраль[Дата],S$2:U$3,3),IFERROR(IF(U30="",Февраль[[#This Row],[Выдано топливо, литр]],Февраль[[#This Row],[Выдано топливо, литр]]+U30)+Февраль[[#This Row],[Остаток топлива в баке на начало дня, литр]]-Февраль[[#This Row],[Фактический расход топлива, литр]],""),""),"")</f>
        <v>500</v>
      </c>
      <c r="N30" s="50">
        <f ca="1">IFERROR(ROUND((Февраль[[#This Row],[Пройдено за день, км]]*0.01*$Y$2+Февраль[[#This Row],[Расход топлива на работу спецоборудования, литр]]),3)+X30,"")</f>
        <v>0</v>
      </c>
      <c r="O30" s="47">
        <f ca="1">IFERROR(IF(Февраль[[#Totals],[Выдано топливо, литр]]=0,0,(ROUND(Февраль[[#This Row],[Расход топлива по норме, литр]]/IF(DAY(Февраль[Дата])&lt;=18,$W$2,$W$3),0)))+Y30,"")</f>
        <v>0</v>
      </c>
      <c r="P30" s="51">
        <f ca="1">IFERROR(Февраль[[#This Row],[Фактический расход топлива, литр]]-Февраль[[#This Row],[Расход топлива по норме, литр]],"")</f>
        <v>0</v>
      </c>
      <c r="R30" s="143">
        <f>Февраль[[#This Row],[Дата]]</f>
        <v>43155</v>
      </c>
      <c r="S30" s="167"/>
      <c r="T30" s="108"/>
      <c r="U30" s="81"/>
      <c r="V30" s="165"/>
      <c r="W30" s="108"/>
      <c r="X30" s="108"/>
      <c r="Y30" s="173"/>
      <c r="Z30" s="143">
        <f>Февраль[[#This Row],[Дата]]</f>
        <v>43155</v>
      </c>
    </row>
    <row r="31" spans="1:26" x14ac:dyDescent="0.2">
      <c r="A31" s="46">
        <f>IFERROR(DATEVALUE((COUNT($A$6:A30)+1)&amp;$P$1&amp;$I$4),"")</f>
        <v>43156</v>
      </c>
      <c r="B31" s="135"/>
      <c r="C31" s="53">
        <f t="shared" ca="1" si="0"/>
        <v>211745</v>
      </c>
      <c r="D31" s="72">
        <v>211745</v>
      </c>
      <c r="E31" s="48">
        <f ca="1">IFERROR(Февраль[[#This Row],[Показание одометра машины на конец дня, км]]-Февраль[[#This Row],[Показание одометра машины на начало дня, км]]+T31,"")</f>
        <v>0</v>
      </c>
      <c r="F31" s="81"/>
      <c r="G31" s="47">
        <f ca="1">IF(Февраль[[#This Row],[Дата]]="","",M30)</f>
        <v>500</v>
      </c>
      <c r="H31" s="53">
        <f t="shared" ca="1" si="1"/>
        <v>697</v>
      </c>
      <c r="I31" s="72">
        <v>697</v>
      </c>
      <c r="J31" s="47">
        <f ca="1">IFERROR(IF(W31="",Февраль[[#This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31" s="96">
        <v>0</v>
      </c>
      <c r="L31" s="49">
        <f ca="1">IF(Февраль[[#This Row],[Работа спецоборудования за день, м/ч]]="","",Февраль[[#This Row],[Работа спецоборудования за день, м/ч]]*$Z$2)</f>
        <v>0</v>
      </c>
      <c r="M31" s="78">
        <f ca="1">IFERROR(IF(VLOOKUP(Февраль[Дата],S$2:U$3,3),IFERROR(IF(U31="",Февраль[[#This Row],[Выдано топливо, литр]],Февраль[[#This Row],[Выдано топливо, литр]]+U31)+Февраль[[#This Row],[Остаток топлива в баке на начало дня, литр]]-Февраль[[#This Row],[Фактический расход топлива, литр]],""),""),"")</f>
        <v>500</v>
      </c>
      <c r="N31" s="50">
        <f ca="1">IFERROR(ROUND((Февраль[[#This Row],[Пройдено за день, км]]*0.01*$Y$2+Февраль[[#This Row],[Расход топлива на работу спецоборудования, литр]]),3)+X31,"")</f>
        <v>0</v>
      </c>
      <c r="O31" s="47">
        <f ca="1">IFERROR(IF(Февраль[[#Totals],[Выдано топливо, литр]]=0,0,(ROUND(Февраль[[#This Row],[Расход топлива по норме, литр]]/IF(DAY(Февраль[Дата])&lt;=18,$W$2,$W$3),0)))+Y31,"")</f>
        <v>0</v>
      </c>
      <c r="P31" s="51">
        <f ca="1">IFERROR(Февраль[[#This Row],[Фактический расход топлива, литр]]-Февраль[[#This Row],[Расход топлива по норме, литр]],"")</f>
        <v>0</v>
      </c>
      <c r="R31" s="143">
        <f>Февраль[[#This Row],[Дата]]</f>
        <v>43156</v>
      </c>
      <c r="S31" s="167"/>
      <c r="T31" s="108"/>
      <c r="U31" s="81"/>
      <c r="V31" s="165"/>
      <c r="W31" s="108"/>
      <c r="X31" s="108"/>
      <c r="Y31" s="173"/>
      <c r="Z31" s="143">
        <f>Февраль[[#This Row],[Дата]]</f>
        <v>43156</v>
      </c>
    </row>
    <row r="32" spans="1:26" x14ac:dyDescent="0.2">
      <c r="A32" s="46">
        <f>IFERROR(DATEVALUE((COUNT($A$6:A31)+1)&amp;$P$1&amp;$I$4),"")</f>
        <v>43157</v>
      </c>
      <c r="B32" s="135" t="s">
        <v>20</v>
      </c>
      <c r="C32" s="53">
        <f t="shared" ca="1" si="0"/>
        <v>211745</v>
      </c>
      <c r="D32" s="72">
        <v>211915</v>
      </c>
      <c r="E32" s="48">
        <f ca="1">IFERROR(Февраль[[#This Row],[Показание одометра машины на конец дня, км]]-Февраль[[#This Row],[Показание одометра машины на начало дня, км]]+T32,"")</f>
        <v>170</v>
      </c>
      <c r="F32" s="81"/>
      <c r="G32" s="47">
        <f ca="1">IF(Февраль[[#This Row],[Дата]]="","",M31)</f>
        <v>500</v>
      </c>
      <c r="H32" s="53">
        <f t="shared" ca="1" si="1"/>
        <v>697</v>
      </c>
      <c r="I32" s="72">
        <v>699</v>
      </c>
      <c r="J32" s="47">
        <f ca="1">IFERROR(IF(W32="",Февраль[[#This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32" s="96">
        <v>1</v>
      </c>
      <c r="L32" s="49">
        <f ca="1">IF(Февраль[[#This Row],[Работа спецоборудования за день, м/ч]]="","",Февраль[[#This Row],[Работа спецоборудования за день, м/ч]]*$Z$2)</f>
        <v>12.100000000000001</v>
      </c>
      <c r="M32" s="78">
        <f ca="1">IFERROR(IF(VLOOKUP(Февраль[Дата],S$2:U$3,3),IFERROR(IF(U32="",Февраль[[#This Row],[Выдано топливо, литр]],Февраль[[#This Row],[Выдано топливо, литр]]+U32)+Февраль[[#This Row],[Остаток топлива в баке на начало дня, литр]]-Февраль[[#This Row],[Фактический расход топлива, литр]],""),""),"")</f>
        <v>409</v>
      </c>
      <c r="N32" s="50">
        <f ca="1">IFERROR(ROUND((Февраль[[#This Row],[Пройдено за день, км]]*0.01*$Y$2+Февраль[[#This Row],[Расход топлива на работу спецоборудования, литр]]),3)+X32,"")</f>
        <v>99.727999999999994</v>
      </c>
      <c r="O32" s="47">
        <f ca="1">IFERROR(IF(Февраль[[#Totals],[Выдано топливо, литр]]=0,0,(ROUND(Февраль[[#This Row],[Расход топлива по норме, литр]]/IF(DAY(Февраль[Дата])&lt;=18,$W$2,$W$3),0)))+Y32,"")</f>
        <v>91</v>
      </c>
      <c r="P32" s="51">
        <f ca="1">IFERROR(Февраль[[#This Row],[Фактический расход топлива, литр]]-Февраль[[#This Row],[Расход топлива по норме, литр]],"")</f>
        <v>-8.7279999999999944</v>
      </c>
      <c r="R32" s="143">
        <f>Февраль[[#This Row],[Дата]]</f>
        <v>43157</v>
      </c>
      <c r="S32" s="167"/>
      <c r="T32" s="108"/>
      <c r="U32" s="81"/>
      <c r="V32" s="165"/>
      <c r="W32" s="108"/>
      <c r="X32" s="108"/>
      <c r="Y32" s="173"/>
      <c r="Z32" s="143">
        <f>Февраль[[#This Row],[Дата]]</f>
        <v>43157</v>
      </c>
    </row>
    <row r="33" spans="1:26" x14ac:dyDescent="0.2">
      <c r="A33" s="46">
        <f>IFERROR(DATEVALUE((COUNT($A$6:A32)+1)&amp;$P$1&amp;$I$4),"")</f>
        <v>43158</v>
      </c>
      <c r="B33" s="135" t="s">
        <v>20</v>
      </c>
      <c r="C33" s="53">
        <f t="shared" ca="1" si="0"/>
        <v>211915</v>
      </c>
      <c r="D33" s="72">
        <v>211991</v>
      </c>
      <c r="E33" s="48">
        <f ca="1">IFERROR(Февраль[[#This Row],[Показание одометра машины на конец дня, км]]-Февраль[[#This Row],[Показание одометра машины на начало дня, км]]+T33,"")</f>
        <v>76</v>
      </c>
      <c r="F33" s="81"/>
      <c r="G33" s="47">
        <f ca="1">IF(Февраль[[#This Row],[Дата]]="","",M32)</f>
        <v>409</v>
      </c>
      <c r="H33" s="53">
        <f t="shared" ca="1" si="1"/>
        <v>699</v>
      </c>
      <c r="I33" s="72">
        <v>703</v>
      </c>
      <c r="J33" s="47">
        <f ca="1">IFERROR(IF(W33="",Февраль[[#This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4</v>
      </c>
      <c r="K33" s="96">
        <v>2</v>
      </c>
      <c r="L33" s="49">
        <f ca="1">IF(Февраль[[#This Row],[Работа спецоборудования за день, м/ч]]="","",Февраль[[#This Row],[Работа спецоборудования за день, м/ч]]*$Z$2)</f>
        <v>24.200000000000003</v>
      </c>
      <c r="M33" s="78">
        <f ca="1">IFERROR(IF(VLOOKUP(Февраль[Дата],S$2:U$3,3),IFERROR(IF(U33="",Февраль[[#This Row],[Выдано топливо, литр]],Февраль[[#This Row],[Выдано топливо, литр]]+U33)+Февраль[[#This Row],[Остаток топлива в баке на начало дня, литр]]-Февраль[[#This Row],[Фактический расход топлива, литр]],""),""),"")</f>
        <v>351</v>
      </c>
      <c r="N33" s="50">
        <f ca="1">IFERROR(ROUND((Февраль[[#This Row],[Пройдено за день, км]]*0.01*$Y$2+Февраль[[#This Row],[Расход топлива на работу спецоборудования, литр]]),3)+X33,"")</f>
        <v>63.375</v>
      </c>
      <c r="O33" s="47">
        <f ca="1">IFERROR(IF(Февраль[[#Totals],[Выдано топливо, литр]]=0,0,(ROUND(Февраль[[#This Row],[Расход топлива по норме, литр]]/IF(DAY(Февраль[Дата])&lt;=18,$W$2,$W$3),0)))+Y33,"")</f>
        <v>58</v>
      </c>
      <c r="P33" s="51">
        <f ca="1">IFERROR(Февраль[[#This Row],[Фактический расход топлива, литр]]-Февраль[[#This Row],[Расход топлива по норме, литр]],"")</f>
        <v>-5.375</v>
      </c>
      <c r="R33" s="143">
        <f>Февраль[[#This Row],[Дата]]</f>
        <v>43158</v>
      </c>
      <c r="S33" s="167"/>
      <c r="T33" s="108"/>
      <c r="U33" s="81"/>
      <c r="V33" s="165"/>
      <c r="W33" s="108"/>
      <c r="X33" s="108"/>
      <c r="Y33" s="173"/>
      <c r="Z33" s="143">
        <f>Февраль[[#This Row],[Дата]]</f>
        <v>43158</v>
      </c>
    </row>
    <row r="34" spans="1:26" x14ac:dyDescent="0.2">
      <c r="A34" s="46">
        <f>IFERROR(DATEVALUE((COUNT($A$6:A33)+1)&amp;$P$1&amp;$I$4),"")</f>
        <v>43159</v>
      </c>
      <c r="B34" s="135" t="s">
        <v>20</v>
      </c>
      <c r="C34" s="53">
        <f t="shared" ca="1" si="0"/>
        <v>211991</v>
      </c>
      <c r="D34" s="72">
        <v>212252</v>
      </c>
      <c r="E34" s="48">
        <f ca="1">IFERROR(Февраль[[#This Row],[Показание одометра машины на конец дня, км]]-Февраль[[#This Row],[Показание одометра машины на начало дня, км]]+T34,"")</f>
        <v>261</v>
      </c>
      <c r="F34" s="81">
        <v>300</v>
      </c>
      <c r="G34" s="47">
        <f ca="1">IF(Февраль[[#This Row],[Дата]]="","",M33)</f>
        <v>351</v>
      </c>
      <c r="H34" s="53">
        <f t="shared" ca="1" si="1"/>
        <v>703</v>
      </c>
      <c r="I34" s="72">
        <v>708</v>
      </c>
      <c r="J34" s="47">
        <f ca="1">IFERROR(IF(W34="",Февраль[[#This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5</v>
      </c>
      <c r="K34" s="96">
        <v>3</v>
      </c>
      <c r="L34" s="49">
        <f ca="1">IF(Февраль[[#This Row],[Работа спецоборудования за день, м/ч]]="","",Февраль[[#This Row],[Работа спецоборудования за день, м/ч]]*$Z$2)</f>
        <v>30.250000000000004</v>
      </c>
      <c r="M34" s="78">
        <f ca="1">IFERROR(IF(VLOOKUP(Февраль[Дата],S$2:U$3,3),IFERROR(IF(U34="",Февраль[[#This Row],[Выдано топливо, литр]],Февраль[[#This Row],[Выдано топливо, литр]]+U34)+Февраль[[#This Row],[Остаток топлива в баке на начало дня, литр]]-Февраль[[#This Row],[Фактический расход топлива, литр]],""),""),"")</f>
        <v>500</v>
      </c>
      <c r="N34" s="50">
        <f ca="1">IFERROR(ROUND((Февраль[[#This Row],[Пройдено за день, км]]*0.01*$Y$2+Февраль[[#This Row],[Расход топлива на работу спецоборудования, литр]]),3)+X34,"")</f>
        <v>164.785</v>
      </c>
      <c r="O34" s="47">
        <f ca="1">IFERROR(IF(Февраль[[#Totals],[Выдано топливо, литр]]=0,0,(ROUND(Февраль[[#This Row],[Расход топлива по норме, литр]]/IF(DAY(Февраль[Дата])&lt;=18,$W$2,$W$3),0)))+Y34,"")</f>
        <v>151</v>
      </c>
      <c r="P34" s="51">
        <f ca="1">IFERROR(Февраль[[#This Row],[Фактический расход топлива, литр]]-Февраль[[#This Row],[Расход топлива по норме, литр]],"")</f>
        <v>-13.784999999999997</v>
      </c>
      <c r="R34" s="143">
        <f>Февраль[[#This Row],[Дата]]</f>
        <v>43159</v>
      </c>
      <c r="S34" s="167"/>
      <c r="T34" s="108"/>
      <c r="U34" s="81"/>
      <c r="V34" s="165"/>
      <c r="W34" s="108"/>
      <c r="X34" s="108"/>
      <c r="Y34" s="173"/>
      <c r="Z34" s="143">
        <f>Февраль[[#This Row],[Дата]]</f>
        <v>43159</v>
      </c>
    </row>
    <row r="35" spans="1:26" x14ac:dyDescent="0.2">
      <c r="A35" s="46" t="str">
        <f>IFERROR(DATEVALUE((COUNT($A$6:A34)+1)&amp;$P$1&amp;$I$4),"")</f>
        <v/>
      </c>
      <c r="B35" s="135"/>
      <c r="C35" s="53" t="str">
        <f t="shared" ca="1" si="0"/>
        <v/>
      </c>
      <c r="D35" s="72"/>
      <c r="E35" s="48" t="str">
        <f ca="1">IFERROR(Февраль[[#This Row],[Показание одометра машины на конец дня, км]]-Февраль[[#This Row],[Показание одометра машины на начало дня, км]]+T35,"")</f>
        <v/>
      </c>
      <c r="F35" s="81"/>
      <c r="G35" s="47" t="str">
        <f>IF(Февраль[[#This Row],[Дата]]="","",M34)</f>
        <v/>
      </c>
      <c r="H35" s="53" t="str">
        <f t="shared" ca="1" si="1"/>
        <v/>
      </c>
      <c r="I35" s="72"/>
      <c r="J35" s="47" t="str">
        <f ca="1">IFERROR(IF(W35="",Февраль[[#This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5" s="96"/>
      <c r="L35" s="49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5" s="78" t="str">
        <f ca="1">IFERROR(IF(VLOOKUP(Февраль[Дата],S$2:U$3,3),IFERROR(IF(U35="",Февраль[[#This Row],[Выдано топливо, литр]],Февраль[[#This Row],[Выдано топливо, литр]]+U35)+Февраль[[#This Row],[Остаток топлива в баке на начало дня, литр]]-Февраль[[#This Row],[Фактический расход топлива, литр]],""),""),"")</f>
        <v/>
      </c>
      <c r="N35" s="50" t="str">
        <f ca="1">IFERROR(ROUND((Февраль[[#This Row],[Пройдено за день, км]]*0.01*$Y$2+Февраль[[#This Row],[Расход топлива на работу спецоборудования, литр]]),3)+X35,"")</f>
        <v/>
      </c>
      <c r="O35" s="47" t="str">
        <f ca="1">IFERROR(IF(Февраль[[#Totals],[Выдано топливо, литр]]=0,0,(ROUND(Февраль[[#This Row],[Расход топлива по норме, литр]]/IF(DAY(Февраль[Дата])&lt;=18,$W$2,$W$3),0)))+Y35,"")</f>
        <v/>
      </c>
      <c r="P35" s="51" t="str">
        <f ca="1">IFERROR(Февраль[[#This Row],[Фактический расход топлива, литр]]-Февраль[[#This Row],[Расход топлива по норме, литр]],"")</f>
        <v/>
      </c>
      <c r="R35" s="143" t="str">
        <f>Февраль[[#This Row],[Дата]]</f>
        <v/>
      </c>
      <c r="S35" s="167"/>
      <c r="T35" s="108"/>
      <c r="U35" s="81"/>
      <c r="V35" s="165"/>
      <c r="W35" s="108"/>
      <c r="X35" s="108"/>
      <c r="Y35" s="173"/>
      <c r="Z35" s="143" t="str">
        <f>Февраль[[#This Row],[Дата]]</f>
        <v/>
      </c>
    </row>
    <row r="36" spans="1:26" x14ac:dyDescent="0.2">
      <c r="A36" s="46" t="str">
        <f>IFERROR(DATEVALUE((COUNT($A$6:A35)+1)&amp;$P$1&amp;$I$4),"")</f>
        <v/>
      </c>
      <c r="B36" s="135"/>
      <c r="C36" s="53" t="str">
        <f t="shared" ca="1" si="0"/>
        <v/>
      </c>
      <c r="D36" s="72"/>
      <c r="E36" s="48" t="str">
        <f ca="1">IFERROR(Февраль[[#This Row],[Показание одометра машины на конец дня, км]]-Февраль[[#This Row],[Показание одометра машины на начало дня, км]]+T36,"")</f>
        <v/>
      </c>
      <c r="F36" s="81"/>
      <c r="G36" s="47" t="str">
        <f>IF(Февраль[[#This Row],[Дата]]="","",M35)</f>
        <v/>
      </c>
      <c r="H36" s="53" t="str">
        <f t="shared" ca="1" si="1"/>
        <v/>
      </c>
      <c r="I36" s="72"/>
      <c r="J36" s="47" t="str">
        <f ca="1">IFERROR(IF(W36="",Февраль[[#This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6" s="96"/>
      <c r="L36" s="49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6" s="78" t="str">
        <f ca="1">IFERROR(IF(VLOOKUP(Февраль[Дата],S$2:U$3,3),IFERROR(IF(U36="",Февраль[[#This Row],[Выдано топливо, литр]],Февраль[[#This Row],[Выдано топливо, литр]]+U36)+Февраль[[#This Row],[Остаток топлива в баке на начало дня, литр]]-Февраль[[#This Row],[Фактический расход топлива, литр]],""),""),"")</f>
        <v/>
      </c>
      <c r="N36" s="50" t="str">
        <f ca="1">IFERROR(ROUND((Февраль[[#This Row],[Пройдено за день, км]]*0.01*$Y$2+Февраль[[#This Row],[Расход топлива на работу спецоборудования, литр]]),3)+X36,"")</f>
        <v/>
      </c>
      <c r="O36" s="47" t="str">
        <f ca="1">IFERROR(IF(Февраль[[#Totals],[Выдано топливо, литр]]=0,0,(ROUND(Февраль[[#This Row],[Расход топлива по норме, литр]]/IF(DAY(Февраль[Дата])&lt;=18,$W$2,$W$3),0)))+Y36,"")</f>
        <v/>
      </c>
      <c r="P36" s="51" t="str">
        <f ca="1">IFERROR(Февраль[[#This Row],[Фактический расход топлива, литр]]-Февраль[[#This Row],[Расход топлива по норме, литр]],"")</f>
        <v/>
      </c>
      <c r="R36" s="143" t="str">
        <f>Февраль[[#This Row],[Дата]]</f>
        <v/>
      </c>
      <c r="S36" s="167"/>
      <c r="T36" s="108"/>
      <c r="U36" s="81"/>
      <c r="V36" s="165"/>
      <c r="W36" s="108"/>
      <c r="X36" s="108"/>
      <c r="Y36" s="173"/>
      <c r="Z36" s="143" t="str">
        <f>Февраль[[#This Row],[Дата]]</f>
        <v/>
      </c>
    </row>
    <row r="37" spans="1:26" ht="13.5" thickBot="1" x14ac:dyDescent="0.25">
      <c r="A37" s="46" t="str">
        <f>IFERROR(DATEVALUE((COUNT($A$6:A36)+1)&amp;$P$1&amp;$I$4),"")</f>
        <v/>
      </c>
      <c r="B37" s="135"/>
      <c r="C37" s="53" t="str">
        <f t="shared" ca="1" si="0"/>
        <v/>
      </c>
      <c r="D37" s="72"/>
      <c r="E37" s="48" t="str">
        <f ca="1">IFERROR(Февраль[[#This Row],[Показание одометра машины на конец дня, км]]-Февраль[[#This Row],[Показание одометра машины на начало дня, км]]+T37,"")</f>
        <v/>
      </c>
      <c r="F37" s="81"/>
      <c r="G37" s="47" t="str">
        <f>IF(Февраль[[#This Row],[Дата]]="","",M36)</f>
        <v/>
      </c>
      <c r="H37" s="53" t="str">
        <f t="shared" ca="1" si="1"/>
        <v/>
      </c>
      <c r="I37" s="72"/>
      <c r="J37" s="47" t="str">
        <f ca="1">IFERROR(IF(W37="",Февраль[[#This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7" s="96"/>
      <c r="L37" s="49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7" s="78" t="str">
        <f ca="1">IFERROR(IF(VLOOKUP(Февраль[Дата],S$2:U$3,3),IFERROR(IF(U37="",Февраль[[#This Row],[Выдано топливо, литр]],Февраль[[#This Row],[Выдано топливо, литр]]+U37)+Февраль[[#This Row],[Остаток топлива в баке на начало дня, литр]]-Февраль[[#This Row],[Фактический расход топлива, литр]],""),""),"")</f>
        <v/>
      </c>
      <c r="N37" s="50" t="str">
        <f ca="1">IFERROR(ROUND((Февраль[[#This Row],[Пройдено за день, км]]*0.01*$Y$2+Февраль[[#This Row],[Расход топлива на работу спецоборудования, литр]]),3)+X37,"")</f>
        <v/>
      </c>
      <c r="O37" s="47" t="str">
        <f ca="1">IFERROR(IF(Февраль[[#Totals],[Выдано топливо, литр]]=0,0,(ROUND(Февраль[[#This Row],[Расход топлива по норме, литр]]/IF(DAY(Февраль[Дата])&lt;=18,$W$2,$W$3),0)))+Y37,"")</f>
        <v/>
      </c>
      <c r="P37" s="51" t="str">
        <f ca="1">IFERROR(Февраль[[#This Row],[Фактический расход топлива, литр]]-Февраль[[#This Row],[Расход топлива по норме, литр]],"")</f>
        <v/>
      </c>
      <c r="R37" s="160" t="str">
        <f>Февраль[[#This Row],[Дата]]</f>
        <v/>
      </c>
      <c r="S37" s="168"/>
      <c r="T37" s="149"/>
      <c r="U37" s="150"/>
      <c r="V37" s="166"/>
      <c r="W37" s="149"/>
      <c r="X37" s="149"/>
      <c r="Y37" s="178"/>
      <c r="Z37" s="160" t="str">
        <f>Февраль[[#This Row],[Дата]]</f>
        <v/>
      </c>
    </row>
    <row r="38" spans="1:26" ht="16.5" thickBot="1" x14ac:dyDescent="0.25">
      <c r="A38" s="57" t="s">
        <v>59</v>
      </c>
      <c r="B38" s="58"/>
      <c r="C38" s="59"/>
      <c r="D38" s="60"/>
      <c r="E38" s="61">
        <f ca="1">SUBTOTAL(109,Февраль[Пройдено за день, км])</f>
        <v>1529</v>
      </c>
      <c r="F38" s="61">
        <f>SUBTOTAL(109,Февраль[Выдано топливо, литр])</f>
        <v>920</v>
      </c>
      <c r="G38" s="62"/>
      <c r="H38" s="62"/>
      <c r="I38" s="63"/>
      <c r="J38" s="61">
        <f ca="1">SUBTOTAL(109,Февраль[Работа спецоборудования за день, м/ч])</f>
        <v>37</v>
      </c>
      <c r="K38" s="64">
        <f>SUBTOTAL(109,Февраль[Количество ходок])</f>
        <v>24</v>
      </c>
      <c r="L38" s="65">
        <f ca="1">SUBTOTAL(109,Февраль[Расход топлива на работу спецоборудования, литр])</f>
        <v>223.85000000000002</v>
      </c>
      <c r="M38" s="62"/>
      <c r="N38" s="65">
        <f ca="1">SUBTOTAL(109,Февраль[Расход топлива по норме, литр])</f>
        <v>1011.9889999999998</v>
      </c>
      <c r="O38" s="61">
        <f ca="1">SUBTOTAL(109,Февраль[Фактический расход топлива, литр])</f>
        <v>920</v>
      </c>
      <c r="P38" s="66">
        <f ca="1">SUBTOTAL(109,Февраль[Отклонение от нормы (Перерасход(+), экономия(-)), литр])</f>
        <v>-91.98899999999999</v>
      </c>
      <c r="R38" s="161" t="s">
        <v>80</v>
      </c>
      <c r="S38" s="179">
        <f ca="1">SUMIFS($S$7:$S$37,Январь[Фактический расход топлива, литр],"&gt;="&amp;$S$2,Январь[Фактический расход топлива, литр],"&lt;="&amp;$T$2)+IF(MONTH($T$2)&lt;&gt;MONTH($S$2),INDIRECT(TEXT($A$7-1,"ММММ")&amp;"!F38")-SUM(INDIRECT(TEXT($A$7-1,"ММММ")&amp;"!V1:V2")))</f>
        <v>0</v>
      </c>
      <c r="T38" s="163">
        <f ca="1">SUMIFS($T$7:$T$37,Январь[Отклонение от нормы (Перерасход(+), экономия(-)), литр],"&gt;="&amp;$S$2,Январь[Отклонение от нормы (Перерасход(+), экономия(-)), литр],"&lt;="&amp;$T$2)+IF(MONTH($T$2)&lt;&gt;MONTH($S$2),INDIRECT(TEXT($A$7-1,"ММММ")&amp;"!F38")-SUM(INDIRECT(TEXT($A$7-1,"ММММ")&amp;"!V1:V2")))</f>
        <v>0</v>
      </c>
      <c r="U38" s="163">
        <f ca="1">SUMIFS($U$7:$U$37,Январь[Дата],"&gt;="&amp;$S$2,Январь[Дата],"&lt;="&amp;$T$2)+IF(MONTH($T$2)&lt;&gt;MONTH($S$2),INDIRECT(TEXT($A$7-1,"ММММ")&amp;"!F38")-SUM(INDIRECT(TEXT($A$7-1,"ММММ")&amp;"!V1:V2")))</f>
        <v>0</v>
      </c>
      <c r="V38" s="163">
        <f ca="1">SUMIFS($V$7:$V$37,Январь[ФИО водителя],"&gt;="&amp;$S$2,Январь[ФИО водителя],"&lt;="&amp;$T$2)+IF(MONTH($T$2)&lt;&gt;MONTH($S$2),INDIRECT(TEXT($A$7-1,"ММММ")&amp;"!F38")-SUM(INDIRECT(TEXT($A$7-1,"ММММ")&amp;"!V1:V2")))</f>
        <v>0</v>
      </c>
      <c r="W38" s="163">
        <f ca="1">SUMIFS($W$7:$W$37,Январь[Показание одометра машины на начало дня, км],"&gt;="&amp;$S$2,Январь[Показание одометра машины на начало дня, км],"&lt;="&amp;$T$2)+IF(MONTH($T$2)&lt;&gt;MONTH($S$2),INDIRECT(TEXT($A$7-1,"ММММ")&amp;"!F38")-SUM(INDIRECT(TEXT($A$7-1,"ММММ")&amp;"!V1:V2")))</f>
        <v>0</v>
      </c>
      <c r="X38" s="163">
        <f ca="1">SUMIFS($X$7:$X$37,Январь[Показание одометра машины на конец дня, км],"&gt;="&amp;$S$2,Январь[Показание одометра машины на конец дня, км],"&lt;="&amp;$T$2)+IF(MONTH($T$2)&lt;&gt;MONTH($S$2),INDIRECT(TEXT($A$7-1,"ММММ")&amp;"!F38")-SUM(INDIRECT(TEXT($A$7-1,"ММММ")&amp;"!V1:V2")))</f>
        <v>0</v>
      </c>
      <c r="Y38" s="180">
        <f ca="1">SUMIFS($Y$7:$Y$37,Январь[Пройдено за день, км],"&gt;="&amp;$S$2,Январь[Пройдено за день, км],"&lt;="&amp;$T$2)+IF(MONTH($T$2)&lt;&gt;MONTH($S$2),INDIRECT(TEXT($A$7-1,"ММММ")&amp;"!F38")-SUM(INDIRECT(TEXT($A$7-1,"ММММ")&amp;"!V1:V2")))</f>
        <v>0</v>
      </c>
      <c r="Z38" s="161" t="s">
        <v>80</v>
      </c>
    </row>
    <row r="39" spans="1:26" ht="13.5" thickBo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8">
        <f ca="1">SUMIFS(K7:K37,A7:A37,"&gt;="&amp;$S$2,A7:A37,"&lt;="&amp;$T$2)</f>
        <v>18</v>
      </c>
      <c r="L39" s="67"/>
      <c r="M39" s="69"/>
      <c r="N39" s="67"/>
      <c r="O39" s="67"/>
      <c r="P39" s="67"/>
      <c r="R39" s="162" t="s">
        <v>76</v>
      </c>
      <c r="S39" s="177">
        <f ca="1">SUMIFS($S$7:$S$37,Январь[Фактический расход топлива, литр],"&gt;="&amp;$S$3,Январь[Фактический расход топлива, литр],"&lt;="&amp;$T$3)+IF(MONTH($T$3)&lt;&gt;MONTH($S$3),INDIRECT(TEXT($A$7-1,"ММММ")&amp;"!F38")-SUM(INDIRECT(TEXT($A$7-1,"ММММ")&amp;"!V1:V2")))</f>
        <v>0</v>
      </c>
      <c r="T39" s="169">
        <f ca="1">SUMIFS($T$7:$T$37,Январь[Отклонение от нормы (Перерасход(+), экономия(-)), литр],"&gt;="&amp;$S$3,Январь[Отклонение от нормы (Перерасход(+), экономия(-)), литр],"&lt;="&amp;$T$3)+IF(MONTH($T$3)&lt;&gt;MONTH($S$3),INDIRECT(TEXT($A$7-1,"ММММ")&amp;"!F38")-SUM(INDIRECT(TEXT($A$7-1,"ММММ")&amp;"!V1:V2")))</f>
        <v>0</v>
      </c>
      <c r="U39" s="169">
        <f ca="1">SUMIFS($U$7:$U$37,Январь[Дата],"&gt;="&amp;$S$3,Январь[Дата],"&lt;="&amp;$T$3)+IF(MONTH($T$3)&lt;&gt;MONTH($S$3),INDIRECT(TEXT($A$7-1,"ММММ")&amp;"!F38")-SUM(INDIRECT(TEXT($A$7-1,"ММММ")&amp;"!V1:V2")))</f>
        <v>0</v>
      </c>
      <c r="V39" s="169">
        <f ca="1">SUMIFS($V$7:$V$37,Январь[ФИО водителя],"&gt;="&amp;$S$3,Январь[ФИО водителя],"&lt;="&amp;$T$3)+IF(MONTH($T$3)&lt;&gt;MONTH($S$3),INDIRECT(TEXT($A$7-1,"ММММ")&amp;"!F38")-SUM(INDIRECT(TEXT($A$7-1,"ММММ")&amp;"!V1:V2")))</f>
        <v>0</v>
      </c>
      <c r="W39" s="169">
        <f ca="1">SUMIFS($W$7:$W$37,Январь[Показание одометра машины на начало дня, км],"&gt;="&amp;$S$3,Январь[Показание одометра машины на начало дня, км],"&lt;="&amp;$T$3)+IF(MONTH($T$3)&lt;&gt;MONTH($S$3),INDIRECT(TEXT($A$7-1,"ММММ")&amp;"!F38")-SUM(INDIRECT(TEXT($A$7-1,"ММММ")&amp;"!V1:V2")))</f>
        <v>0</v>
      </c>
      <c r="X39" s="169">
        <f ca="1">SUMIFS($X$7:$X$37,Январь[Показание одометра машины на конец дня, км],"&gt;="&amp;$S$3,Январь[Показание одометра машины на конец дня, км],"&lt;="&amp;$T$3)+IF(MONTH($T$3)&lt;&gt;MONTH($S$3),INDIRECT(TEXT($A$7-1,"ММММ")&amp;"!F38")-SUM(INDIRECT(TEXT($A$7-1,"ММММ")&amp;"!V1:V2")))</f>
        <v>0</v>
      </c>
      <c r="Y39" s="174">
        <f ca="1">SUMIFS($Y$7:$Y$37,Январь[Пройдено за день, км],"&gt;="&amp;$S$3,Январь[Пройдено за день, км],"&lt;="&amp;$T$3)+IF(MONTH($T$3)&lt;&gt;MONTH($S$3),INDIRECT(TEXT($A$7-1,"ММММ")&amp;"!F38")-SUM(INDIRECT(TEXT($A$7-1,"ММММ")&amp;"!V1:V2")))</f>
        <v>0</v>
      </c>
      <c r="Z39" s="162" t="s">
        <v>76</v>
      </c>
    </row>
    <row r="40" spans="1:26" ht="13.5" thickBo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70">
        <f>SUMIFS(K7:K37,A7:A37,"&gt;="&amp;$S$3,A7:A37,"&lt;="&amp;$T$3)</f>
        <v>6</v>
      </c>
      <c r="L40" s="67"/>
      <c r="M40" s="71"/>
      <c r="N40" s="67"/>
      <c r="O40" s="67"/>
      <c r="P40" s="67"/>
      <c r="R40" s="67"/>
      <c r="S40" s="94"/>
      <c r="T40" s="94"/>
      <c r="U40" s="94"/>
      <c r="V40" s="94"/>
      <c r="W40" s="94"/>
    </row>
    <row r="41" spans="1:26" x14ac:dyDescent="0.2">
      <c r="A41" s="67"/>
      <c r="I41" s="67"/>
      <c r="R41" s="67"/>
      <c r="S41" s="94"/>
      <c r="T41" s="94"/>
      <c r="U41" s="94"/>
      <c r="V41" s="94"/>
      <c r="W41" s="94"/>
    </row>
  </sheetData>
  <mergeCells count="3">
    <mergeCell ref="A2:P2"/>
    <mergeCell ref="A3:P3"/>
    <mergeCell ref="O4:P4"/>
  </mergeCells>
  <conditionalFormatting sqref="M7:M37">
    <cfRule type="cellIs" dxfId="106" priority="2" operator="lessThan">
      <formula>10</formula>
    </cfRule>
    <cfRule type="cellIs" dxfId="105" priority="3" operator="equal">
      <formula>500</formula>
    </cfRule>
    <cfRule type="cellIs" dxfId="104" priority="4" operator="greaterThan">
      <formula>500</formula>
    </cfRule>
  </conditionalFormatting>
  <conditionalFormatting sqref="G7:G37">
    <cfRule type="cellIs" dxfId="103" priority="1" operator="equal">
      <formula>500</formula>
    </cfRule>
  </conditionalFormatting>
  <dataValidations disablePrompts="1" count="3">
    <dataValidation type="list" allowBlank="1" showInputMessage="1" showErrorMessage="1" sqref="P1">
      <formula1>Месяц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Z4">
      <formula1>ТС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Сотрудники!$B$4:$B$27</xm:f>
          </x14:formula1>
          <xm:sqref>B7:B37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Z29"/>
  <sheetViews>
    <sheetView zoomScale="80" zoomScaleNormal="80" workbookViewId="0">
      <pane xSplit="2" ySplit="4" topLeftCell="C5" activePane="bottomRight" state="frozen"/>
      <selection activeCell="F39" sqref="F39"/>
      <selection pane="topRight" activeCell="F39" sqref="F39"/>
      <selection pane="bottomLeft" activeCell="F39" sqref="F39"/>
      <selection pane="bottomRight" activeCell="M13" sqref="M13"/>
    </sheetView>
  </sheetViews>
  <sheetFormatPr defaultRowHeight="12.75" x14ac:dyDescent="0.2"/>
  <cols>
    <col min="1" max="1" width="6.140625" style="14" customWidth="1"/>
    <col min="2" max="2" width="17.28515625" style="14" customWidth="1"/>
    <col min="3" max="3" width="13.85546875" style="14" customWidth="1"/>
    <col min="4" max="4" width="22" style="14" customWidth="1"/>
    <col min="5" max="5" width="10.85546875" style="14" customWidth="1"/>
    <col min="6" max="6" width="9.85546875" style="14" bestFit="1" customWidth="1"/>
    <col min="7" max="8" width="12.7109375" style="14" customWidth="1"/>
    <col min="9" max="10" width="9.140625" style="14"/>
    <col min="11" max="11" width="10.28515625" style="14" customWidth="1"/>
    <col min="12" max="13" width="12.7109375" style="14" customWidth="1"/>
    <col min="14" max="15" width="9.140625" style="14"/>
    <col min="16" max="16" width="10.42578125" style="14" customWidth="1"/>
    <col min="17" max="17" width="15.28515625" style="14" customWidth="1"/>
    <col min="18" max="18" width="14.5703125" style="14" customWidth="1"/>
    <col min="19" max="19" width="7.28515625" style="14" bestFit="1" customWidth="1"/>
    <col min="20" max="20" width="10.42578125" style="14" customWidth="1"/>
    <col min="21" max="21" width="10.28515625" style="14" customWidth="1"/>
    <col min="22" max="22" width="9.85546875" style="14" customWidth="1"/>
    <col min="23" max="23" width="11.28515625" style="14" bestFit="1" customWidth="1"/>
    <col min="24" max="24" width="14.85546875" style="14" customWidth="1"/>
    <col min="25" max="25" width="14.140625" style="14" customWidth="1"/>
    <col min="26" max="16384" width="9.140625" style="14"/>
  </cols>
  <sheetData>
    <row r="1" spans="1:26" x14ac:dyDescent="0.2">
      <c r="G1" s="15" t="s">
        <v>29</v>
      </c>
      <c r="H1" s="16" t="s">
        <v>30</v>
      </c>
      <c r="L1" s="15" t="s">
        <v>29</v>
      </c>
      <c r="M1" s="16" t="s">
        <v>30</v>
      </c>
      <c r="P1" s="185" t="s">
        <v>31</v>
      </c>
      <c r="Q1" s="185"/>
      <c r="R1" s="185"/>
      <c r="S1" s="185"/>
      <c r="T1" s="185"/>
      <c r="U1" s="185"/>
      <c r="V1" s="185"/>
      <c r="W1" s="185"/>
      <c r="X1" s="185"/>
      <c r="Y1" s="185"/>
    </row>
    <row r="2" spans="1:26" ht="13.5" thickBot="1" x14ac:dyDescent="0.25">
      <c r="G2" s="17" t="s">
        <v>32</v>
      </c>
      <c r="H2" s="18" t="s">
        <v>33</v>
      </c>
      <c r="L2" s="17" t="s">
        <v>32</v>
      </c>
      <c r="M2" s="18" t="s">
        <v>33</v>
      </c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ht="13.5" thickBot="1" x14ac:dyDescent="0.25">
      <c r="G3" s="187" t="s">
        <v>34</v>
      </c>
      <c r="H3" s="188"/>
      <c r="L3" s="187" t="s">
        <v>34</v>
      </c>
      <c r="M3" s="188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1:26" ht="72" customHeight="1" x14ac:dyDescent="0.2">
      <c r="A4" s="19" t="s">
        <v>27</v>
      </c>
      <c r="B4" s="19" t="s">
        <v>35</v>
      </c>
      <c r="C4" s="19" t="s">
        <v>36</v>
      </c>
      <c r="D4" s="19" t="s">
        <v>37</v>
      </c>
      <c r="E4" s="19" t="s">
        <v>38</v>
      </c>
      <c r="F4" s="20" t="s">
        <v>39</v>
      </c>
      <c r="G4" s="21" t="s">
        <v>40</v>
      </c>
      <c r="H4" s="21" t="s">
        <v>41</v>
      </c>
      <c r="I4" s="21" t="s">
        <v>42</v>
      </c>
      <c r="J4" s="22" t="s">
        <v>43</v>
      </c>
      <c r="K4" s="20" t="s">
        <v>44</v>
      </c>
      <c r="L4" s="21" t="s">
        <v>45</v>
      </c>
      <c r="M4" s="21" t="s">
        <v>46</v>
      </c>
      <c r="N4" s="21" t="s">
        <v>47</v>
      </c>
      <c r="O4" s="22" t="s">
        <v>48</v>
      </c>
      <c r="P4" s="20" t="s">
        <v>49</v>
      </c>
      <c r="Q4" s="23" t="s">
        <v>50</v>
      </c>
      <c r="R4" s="24" t="s">
        <v>51</v>
      </c>
      <c r="S4" s="24" t="s">
        <v>52</v>
      </c>
      <c r="T4" s="23" t="s">
        <v>53</v>
      </c>
      <c r="U4" s="24" t="s">
        <v>54</v>
      </c>
      <c r="V4" s="23" t="s">
        <v>55</v>
      </c>
      <c r="W4" s="24" t="s">
        <v>56</v>
      </c>
      <c r="X4" s="23" t="s">
        <v>57</v>
      </c>
      <c r="Y4" s="25" t="s">
        <v>58</v>
      </c>
      <c r="Z4" s="19"/>
    </row>
    <row r="5" spans="1:26" x14ac:dyDescent="0.2">
      <c r="A5" s="26">
        <v>1</v>
      </c>
      <c r="B5" s="14" t="s">
        <v>77</v>
      </c>
      <c r="C5" s="90">
        <v>209024</v>
      </c>
      <c r="D5" s="90">
        <v>620</v>
      </c>
      <c r="E5" s="90">
        <v>500</v>
      </c>
      <c r="F5" s="93">
        <v>46.86</v>
      </c>
      <c r="G5" s="88">
        <v>10</v>
      </c>
      <c r="H5" s="88">
        <v>-9.1</v>
      </c>
      <c r="I5" s="91">
        <f t="shared" ref="I5:I7" si="0">F5*(100+G5)%</f>
        <v>51.546000000000006</v>
      </c>
      <c r="J5" s="76">
        <f t="shared" ref="J5:J7" si="1">F5*(100+H5)%</f>
        <v>42.595739999999999</v>
      </c>
      <c r="K5" s="92">
        <v>5.5</v>
      </c>
      <c r="L5" s="88">
        <v>10</v>
      </c>
      <c r="M5" s="88">
        <v>0</v>
      </c>
      <c r="N5" s="27">
        <f t="shared" ref="N5:N7" si="2">K5*(100+L5)%</f>
        <v>6.0500000000000007</v>
      </c>
      <c r="O5" s="76">
        <f t="shared" ref="O5:O7" si="3">K5*(100+M5)%</f>
        <v>5.5</v>
      </c>
      <c r="P5" s="87">
        <v>32.200000000000003</v>
      </c>
      <c r="Q5" s="28">
        <f t="shared" ref="Q5:Q7" si="4">R5*S5</f>
        <v>2.9379999999999997</v>
      </c>
      <c r="R5" s="89">
        <v>2.2599999999999998</v>
      </c>
      <c r="S5" s="89">
        <v>1.3</v>
      </c>
      <c r="T5" s="28">
        <f t="shared" ref="T5:T7" si="5">U5*V5*S5</f>
        <v>5.2</v>
      </c>
      <c r="U5" s="89">
        <v>8</v>
      </c>
      <c r="V5" s="89">
        <v>0.5</v>
      </c>
      <c r="W5" s="29">
        <f t="shared" ref="W5:W7" si="6">P5+Q5+T5</f>
        <v>40.338000000000008</v>
      </c>
      <c r="X5" s="30">
        <f t="shared" ref="X5:X7" si="7">W5*25%+W5</f>
        <v>50.422500000000014</v>
      </c>
      <c r="Y5" s="31">
        <f t="shared" ref="Y5:Y7" si="8">W5*10%+X5</f>
        <v>54.456300000000013</v>
      </c>
      <c r="Z5" s="32"/>
    </row>
    <row r="6" spans="1:26" x14ac:dyDescent="0.2">
      <c r="A6" s="26">
        <v>2</v>
      </c>
      <c r="B6" s="14" t="s">
        <v>78</v>
      </c>
      <c r="C6" s="90"/>
      <c r="D6" s="90"/>
      <c r="E6" s="90">
        <v>500</v>
      </c>
      <c r="F6" s="93">
        <f>F5-F5*5%</f>
        <v>44.516999999999996</v>
      </c>
      <c r="G6" s="88">
        <v>10</v>
      </c>
      <c r="H6" s="88">
        <v>-9.1</v>
      </c>
      <c r="I6" s="91">
        <f t="shared" si="0"/>
        <v>48.968699999999998</v>
      </c>
      <c r="J6" s="76">
        <f t="shared" si="1"/>
        <v>40.465952999999999</v>
      </c>
      <c r="K6" s="92">
        <f>K5-K5*5%</f>
        <v>5.2249999999999996</v>
      </c>
      <c r="L6" s="88">
        <v>10</v>
      </c>
      <c r="M6" s="88">
        <v>0</v>
      </c>
      <c r="N6" s="27">
        <f t="shared" si="2"/>
        <v>5.7475000000000005</v>
      </c>
      <c r="O6" s="76">
        <f t="shared" si="3"/>
        <v>5.2249999999999996</v>
      </c>
      <c r="P6" s="87">
        <v>32.200000000000003</v>
      </c>
      <c r="Q6" s="33">
        <f t="shared" si="4"/>
        <v>2.9379999999999997</v>
      </c>
      <c r="R6" s="89">
        <v>2.2599999999999998</v>
      </c>
      <c r="S6" s="89">
        <v>1.3</v>
      </c>
      <c r="T6" s="33">
        <f t="shared" si="5"/>
        <v>5.2</v>
      </c>
      <c r="U6" s="89">
        <v>8</v>
      </c>
      <c r="V6" s="89">
        <v>0.5</v>
      </c>
      <c r="W6" s="34">
        <f t="shared" si="6"/>
        <v>40.338000000000008</v>
      </c>
      <c r="X6" s="35">
        <f t="shared" si="7"/>
        <v>50.422500000000014</v>
      </c>
      <c r="Y6" s="36">
        <f t="shared" si="8"/>
        <v>54.456300000000013</v>
      </c>
      <c r="Z6" s="32"/>
    </row>
    <row r="7" spans="1:26" x14ac:dyDescent="0.2">
      <c r="A7" s="26">
        <v>3</v>
      </c>
      <c r="B7" s="14" t="s">
        <v>79</v>
      </c>
      <c r="C7" s="90"/>
      <c r="D7" s="90"/>
      <c r="E7" s="90">
        <v>500</v>
      </c>
      <c r="F7" s="93">
        <f>F5-F5*10%</f>
        <v>42.173999999999999</v>
      </c>
      <c r="G7" s="88">
        <v>10</v>
      </c>
      <c r="H7" s="88">
        <v>-9.1</v>
      </c>
      <c r="I7" s="91">
        <f t="shared" si="0"/>
        <v>46.391400000000004</v>
      </c>
      <c r="J7" s="76">
        <f t="shared" si="1"/>
        <v>38.336165999999999</v>
      </c>
      <c r="K7" s="92">
        <f>K5-K5*10%</f>
        <v>4.95</v>
      </c>
      <c r="L7" s="88">
        <v>10</v>
      </c>
      <c r="M7" s="88">
        <v>0</v>
      </c>
      <c r="N7" s="27">
        <f t="shared" si="2"/>
        <v>5.4450000000000003</v>
      </c>
      <c r="O7" s="76">
        <f t="shared" si="3"/>
        <v>4.95</v>
      </c>
      <c r="P7" s="87">
        <v>32.200000000000003</v>
      </c>
      <c r="Q7" s="33">
        <f t="shared" si="4"/>
        <v>2.9379999999999997</v>
      </c>
      <c r="R7" s="89">
        <v>2.2599999999999998</v>
      </c>
      <c r="S7" s="89">
        <v>1.3</v>
      </c>
      <c r="T7" s="33">
        <f t="shared" si="5"/>
        <v>5.2</v>
      </c>
      <c r="U7" s="89">
        <v>8</v>
      </c>
      <c r="V7" s="89">
        <v>0.5</v>
      </c>
      <c r="W7" s="34">
        <f t="shared" si="6"/>
        <v>40.338000000000008</v>
      </c>
      <c r="X7" s="35">
        <f t="shared" si="7"/>
        <v>50.422500000000014</v>
      </c>
      <c r="Y7" s="36">
        <f t="shared" si="8"/>
        <v>54.456300000000013</v>
      </c>
      <c r="Z7" s="32"/>
    </row>
    <row r="11" spans="1:26" x14ac:dyDescent="0.2">
      <c r="B11" s="14" t="s">
        <v>40</v>
      </c>
    </row>
    <row r="12" spans="1:26" x14ac:dyDescent="0.2">
      <c r="B12" s="14" t="s">
        <v>41</v>
      </c>
    </row>
    <row r="14" spans="1:26" x14ac:dyDescent="0.2">
      <c r="B14" s="14" t="s">
        <v>60</v>
      </c>
    </row>
    <row r="15" spans="1:26" x14ac:dyDescent="0.2">
      <c r="B15" s="14" t="s">
        <v>61</v>
      </c>
    </row>
    <row r="16" spans="1:26" x14ac:dyDescent="0.2">
      <c r="B16" s="14" t="s">
        <v>62</v>
      </c>
    </row>
    <row r="17" spans="2:2" x14ac:dyDescent="0.2">
      <c r="B17" s="14" t="s">
        <v>63</v>
      </c>
    </row>
    <row r="18" spans="2:2" x14ac:dyDescent="0.2">
      <c r="B18" s="14" t="s">
        <v>64</v>
      </c>
    </row>
    <row r="19" spans="2:2" x14ac:dyDescent="0.2">
      <c r="B19" s="14" t="s">
        <v>65</v>
      </c>
    </row>
    <row r="20" spans="2:2" x14ac:dyDescent="0.2">
      <c r="B20" s="14" t="s">
        <v>66</v>
      </c>
    </row>
    <row r="21" spans="2:2" x14ac:dyDescent="0.2">
      <c r="B21" s="14" t="s">
        <v>67</v>
      </c>
    </row>
    <row r="22" spans="2:2" x14ac:dyDescent="0.2">
      <c r="B22" s="14" t="s">
        <v>68</v>
      </c>
    </row>
    <row r="23" spans="2:2" x14ac:dyDescent="0.2">
      <c r="B23" s="14" t="s">
        <v>69</v>
      </c>
    </row>
    <row r="24" spans="2:2" x14ac:dyDescent="0.2">
      <c r="B24" s="14" t="s">
        <v>70</v>
      </c>
    </row>
    <row r="25" spans="2:2" x14ac:dyDescent="0.2">
      <c r="B25" s="14" t="s">
        <v>71</v>
      </c>
    </row>
    <row r="27" spans="2:2" x14ac:dyDescent="0.2">
      <c r="B27" s="14" t="s">
        <v>77</v>
      </c>
    </row>
    <row r="28" spans="2:2" x14ac:dyDescent="0.2">
      <c r="B28" s="14" t="s">
        <v>78</v>
      </c>
    </row>
    <row r="29" spans="2:2" x14ac:dyDescent="0.2">
      <c r="B29" s="14" t="s">
        <v>79</v>
      </c>
    </row>
  </sheetData>
  <mergeCells count="3">
    <mergeCell ref="P1:Y3"/>
    <mergeCell ref="G3:H3"/>
    <mergeCell ref="L3:M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8"/>
  <sheetViews>
    <sheetView zoomScale="80" zoomScaleNormal="80" workbookViewId="0">
      <selection activeCell="H6" sqref="H6"/>
    </sheetView>
  </sheetViews>
  <sheetFormatPr defaultRowHeight="12.75" x14ac:dyDescent="0.2"/>
  <cols>
    <col min="1" max="1" width="10.85546875" bestFit="1" customWidth="1"/>
    <col min="2" max="3" width="15.85546875" customWidth="1"/>
    <col min="4" max="4" width="12.42578125" customWidth="1"/>
    <col min="5" max="5" width="12.140625" customWidth="1"/>
    <col min="6" max="6" width="11.140625" customWidth="1"/>
    <col min="7" max="7" width="10.7109375" customWidth="1"/>
    <col min="8" max="8" width="12.5703125" customWidth="1"/>
    <col min="9" max="9" width="18.85546875" customWidth="1"/>
    <col min="10" max="10" width="18.7109375" customWidth="1"/>
    <col min="11" max="11" width="19.28515625" customWidth="1"/>
    <col min="12" max="12" width="12.42578125" customWidth="1"/>
    <col min="13" max="13" width="19.7109375" customWidth="1"/>
    <col min="14" max="14" width="11.7109375" customWidth="1"/>
    <col min="15" max="15" width="11" customWidth="1"/>
    <col min="16" max="16" width="12.5703125" customWidth="1"/>
    <col min="17" max="17" width="16.140625" customWidth="1"/>
  </cols>
  <sheetData>
    <row r="1" spans="1:19" ht="22.5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"/>
      <c r="S1" s="1"/>
    </row>
    <row r="2" spans="1:19" ht="22.5" x14ac:dyDescent="0.3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"/>
      <c r="S2" s="1"/>
    </row>
    <row r="3" spans="1:19" ht="22.5" x14ac:dyDescent="0.3">
      <c r="A3" s="1"/>
      <c r="B3" s="1"/>
      <c r="C3" s="1"/>
      <c r="D3" s="1"/>
      <c r="E3" s="1"/>
      <c r="F3" s="1"/>
      <c r="G3" s="1"/>
      <c r="H3" s="1"/>
      <c r="I3" s="2" t="s">
        <v>2</v>
      </c>
      <c r="J3" s="3">
        <v>2018</v>
      </c>
      <c r="L3" s="1"/>
      <c r="M3" s="1"/>
      <c r="N3" s="1"/>
      <c r="O3" s="1"/>
      <c r="P3" s="1"/>
      <c r="Q3" s="1"/>
      <c r="R3" s="1"/>
      <c r="S3" s="4"/>
    </row>
    <row r="4" spans="1:19" ht="6.75" customHeight="1" x14ac:dyDescent="0.2"/>
    <row r="5" spans="1:19" ht="90" customHeight="1" x14ac:dyDescent="0.2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</row>
    <row r="6" spans="1:19" x14ac:dyDescent="0.2">
      <c r="A6" s="7">
        <v>43101</v>
      </c>
      <c r="B6" s="8" t="s">
        <v>20</v>
      </c>
      <c r="C6" s="8" t="s">
        <v>21</v>
      </c>
      <c r="D6" s="9">
        <v>209024</v>
      </c>
      <c r="E6" s="9">
        <v>209024</v>
      </c>
      <c r="F6" s="10">
        <f t="shared" ref="F6:F8" si="0">E6-D6</f>
        <v>0</v>
      </c>
      <c r="G6" s="11">
        <v>0</v>
      </c>
      <c r="H6" s="12">
        <v>500</v>
      </c>
      <c r="I6" s="9">
        <v>620</v>
      </c>
      <c r="J6" s="9">
        <v>620</v>
      </c>
      <c r="K6" s="12">
        <f>J6-I6</f>
        <v>0</v>
      </c>
      <c r="L6" s="12"/>
      <c r="M6" s="12" t="e">
        <f>K6*#REF!</f>
        <v>#REF!</v>
      </c>
      <c r="N6" s="12">
        <f>G6+H6-P6</f>
        <v>500</v>
      </c>
      <c r="O6" s="12" t="e">
        <f>ROUND((F6*0.01*#REF!+M6),3)</f>
        <v>#REF!</v>
      </c>
      <c r="P6" s="12">
        <f>IF($I$10=0,0,(ROUND(O6/$T$6,0)))</f>
        <v>0</v>
      </c>
      <c r="Q6" s="13" t="e">
        <f t="shared" ref="Q6:Q8" si="1">P6-O6</f>
        <v>#REF!</v>
      </c>
    </row>
    <row r="7" spans="1:19" x14ac:dyDescent="0.2">
      <c r="A7" s="7">
        <v>43101</v>
      </c>
      <c r="B7" s="8" t="s">
        <v>22</v>
      </c>
      <c r="C7" s="8" t="s">
        <v>23</v>
      </c>
      <c r="D7" s="9">
        <v>156340</v>
      </c>
      <c r="E7" s="9">
        <v>157300</v>
      </c>
      <c r="F7" s="10">
        <f t="shared" si="0"/>
        <v>960</v>
      </c>
      <c r="G7" s="11">
        <v>150</v>
      </c>
      <c r="H7" s="12">
        <f t="shared" ref="H7:H8" si="2">N6</f>
        <v>500</v>
      </c>
      <c r="I7" s="9">
        <f>J6</f>
        <v>620</v>
      </c>
      <c r="J7" s="9">
        <v>540</v>
      </c>
      <c r="K7" s="12">
        <f t="shared" ref="K7:K8" si="3">J7-I7</f>
        <v>-80</v>
      </c>
      <c r="L7" s="12"/>
      <c r="M7" s="12" t="e">
        <f>K7*#REF!</f>
        <v>#REF!</v>
      </c>
      <c r="N7" s="12">
        <f t="shared" ref="N7:N8" si="4">G7+H7-P7</f>
        <v>650</v>
      </c>
      <c r="O7" s="12" t="e">
        <f>ROUND((F7*0.01*#REF!+M7),3)</f>
        <v>#REF!</v>
      </c>
      <c r="P7" s="12">
        <f>IF($I$10=0,0,(ROUND(O7/$T$6,0)))</f>
        <v>0</v>
      </c>
      <c r="Q7" s="13" t="e">
        <f t="shared" si="1"/>
        <v>#REF!</v>
      </c>
    </row>
    <row r="8" spans="1:19" x14ac:dyDescent="0.2">
      <c r="A8" s="7">
        <v>43101</v>
      </c>
      <c r="B8" s="8" t="s">
        <v>24</v>
      </c>
      <c r="C8" s="8" t="s">
        <v>25</v>
      </c>
      <c r="D8" s="9">
        <v>164230</v>
      </c>
      <c r="E8" s="9">
        <v>164590</v>
      </c>
      <c r="F8" s="10">
        <f t="shared" si="0"/>
        <v>360</v>
      </c>
      <c r="G8" s="11">
        <v>50</v>
      </c>
      <c r="H8" s="12">
        <f t="shared" si="2"/>
        <v>650</v>
      </c>
      <c r="I8" s="9">
        <f t="shared" ref="I8" si="5">J7</f>
        <v>540</v>
      </c>
      <c r="J8" s="9">
        <v>620</v>
      </c>
      <c r="K8" s="12">
        <f t="shared" si="3"/>
        <v>80</v>
      </c>
      <c r="L8" s="12"/>
      <c r="M8" s="12" t="e">
        <f>K8*#REF!</f>
        <v>#REF!</v>
      </c>
      <c r="N8" s="12">
        <f t="shared" si="4"/>
        <v>700</v>
      </c>
      <c r="O8" s="12" t="e">
        <f>ROUND((F8*0.01*#REF!+M8),3)</f>
        <v>#REF!</v>
      </c>
      <c r="P8" s="12">
        <f>IF($I$10=0,0,(ROUND(O8/$T$6,0)))</f>
        <v>0</v>
      </c>
      <c r="Q8" s="13" t="e">
        <f t="shared" si="1"/>
        <v>#REF!</v>
      </c>
    </row>
  </sheetData>
  <mergeCells count="2">
    <mergeCell ref="A1:Q1"/>
    <mergeCell ref="A2:Q2"/>
  </mergeCells>
  <conditionalFormatting sqref="N6:N8">
    <cfRule type="cellIs" dxfId="38" priority="1" stopIfTrue="1" operator="greaterThan">
      <formula>$W$1</formula>
    </cfRule>
    <cfRule type="cellIs" dxfId="37" priority="2" stopIfTrue="1" operator="lessThanOrEqual">
      <formula>0</formula>
    </cfRule>
  </conditionalFormatting>
  <dataValidations count="2">
    <dataValidation type="list" allowBlank="1" showInputMessage="1" showErrorMessage="1" sqref="C6:C8">
      <formula1>ТС</formula1>
    </dataValidation>
    <dataValidation type="list" allowBlank="1" showInputMessage="1" showErrorMessage="1" sqref="B6:B8">
      <formula1>Фамилия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27"/>
  <sheetViews>
    <sheetView workbookViewId="0">
      <selection activeCell="A4" sqref="A4:B27"/>
    </sheetView>
  </sheetViews>
  <sheetFormatPr defaultRowHeight="12.75" x14ac:dyDescent="0.2"/>
  <cols>
    <col min="1" max="1" width="7.140625" customWidth="1"/>
    <col min="2" max="2" width="19.7109375" customWidth="1"/>
  </cols>
  <sheetData>
    <row r="1" spans="1:2" x14ac:dyDescent="0.2">
      <c r="A1" s="190" t="s">
        <v>26</v>
      </c>
      <c r="B1" s="190"/>
    </row>
    <row r="2" spans="1:2" ht="21.75" customHeight="1" x14ac:dyDescent="0.2">
      <c r="A2" s="190"/>
      <c r="B2" s="190"/>
    </row>
    <row r="3" spans="1:2" ht="48" customHeight="1" x14ac:dyDescent="0.2">
      <c r="A3" s="14" t="s">
        <v>27</v>
      </c>
      <c r="B3" s="14" t="s">
        <v>28</v>
      </c>
    </row>
    <row r="4" spans="1:2" x14ac:dyDescent="0.2">
      <c r="A4" s="83">
        <v>1</v>
      </c>
      <c r="B4" s="84" t="s">
        <v>20</v>
      </c>
    </row>
    <row r="5" spans="1:2" x14ac:dyDescent="0.2">
      <c r="A5" s="83">
        <v>2</v>
      </c>
      <c r="B5" s="84" t="s">
        <v>73</v>
      </c>
    </row>
    <row r="6" spans="1:2" x14ac:dyDescent="0.2">
      <c r="A6" s="83">
        <v>3</v>
      </c>
      <c r="B6" s="84" t="s">
        <v>74</v>
      </c>
    </row>
    <row r="7" spans="1:2" x14ac:dyDescent="0.2">
      <c r="A7" s="83">
        <v>4</v>
      </c>
      <c r="B7" s="84" t="s">
        <v>75</v>
      </c>
    </row>
    <row r="8" spans="1:2" x14ac:dyDescent="0.2">
      <c r="A8" s="83">
        <v>5</v>
      </c>
      <c r="B8" s="84"/>
    </row>
    <row r="9" spans="1:2" x14ac:dyDescent="0.2">
      <c r="A9" s="83">
        <v>6</v>
      </c>
      <c r="B9" s="84"/>
    </row>
    <row r="10" spans="1:2" x14ac:dyDescent="0.2">
      <c r="A10" s="83">
        <v>7</v>
      </c>
      <c r="B10" s="84"/>
    </row>
    <row r="11" spans="1:2" x14ac:dyDescent="0.2">
      <c r="A11" s="85">
        <v>8</v>
      </c>
      <c r="B11" s="86"/>
    </row>
    <row r="12" spans="1:2" x14ac:dyDescent="0.2">
      <c r="A12" s="83">
        <v>9</v>
      </c>
      <c r="B12" s="84"/>
    </row>
    <row r="13" spans="1:2" x14ac:dyDescent="0.2">
      <c r="A13" s="83">
        <v>10</v>
      </c>
      <c r="B13" s="84"/>
    </row>
    <row r="14" spans="1:2" x14ac:dyDescent="0.2">
      <c r="A14" s="83">
        <v>11</v>
      </c>
      <c r="B14" s="84"/>
    </row>
    <row r="15" spans="1:2" x14ac:dyDescent="0.2">
      <c r="A15" s="83">
        <v>12</v>
      </c>
      <c r="B15" s="84"/>
    </row>
    <row r="16" spans="1:2" x14ac:dyDescent="0.2">
      <c r="A16" s="83">
        <v>13</v>
      </c>
      <c r="B16" s="84"/>
    </row>
    <row r="17" spans="1:2" x14ac:dyDescent="0.2">
      <c r="A17" s="83">
        <v>14</v>
      </c>
      <c r="B17" s="84"/>
    </row>
    <row r="18" spans="1:2" x14ac:dyDescent="0.2">
      <c r="A18" s="83">
        <v>15</v>
      </c>
      <c r="B18" s="84"/>
    </row>
    <row r="19" spans="1:2" x14ac:dyDescent="0.2">
      <c r="A19" s="83">
        <v>16</v>
      </c>
      <c r="B19" s="84"/>
    </row>
    <row r="20" spans="1:2" x14ac:dyDescent="0.2">
      <c r="A20" s="85">
        <v>17</v>
      </c>
      <c r="B20" s="86"/>
    </row>
    <row r="21" spans="1:2" x14ac:dyDescent="0.2">
      <c r="A21" s="83">
        <v>18</v>
      </c>
      <c r="B21" s="84"/>
    </row>
    <row r="22" spans="1:2" x14ac:dyDescent="0.2">
      <c r="A22" s="83">
        <v>19</v>
      </c>
      <c r="B22" s="84"/>
    </row>
    <row r="23" spans="1:2" x14ac:dyDescent="0.2">
      <c r="A23" s="83">
        <v>20</v>
      </c>
      <c r="B23" s="84"/>
    </row>
    <row r="24" spans="1:2" x14ac:dyDescent="0.2">
      <c r="A24" s="83"/>
      <c r="B24" s="84"/>
    </row>
    <row r="25" spans="1:2" x14ac:dyDescent="0.2">
      <c r="A25" s="83"/>
      <c r="B25" s="84"/>
    </row>
    <row r="26" spans="1:2" x14ac:dyDescent="0.2">
      <c r="A26" s="83"/>
      <c r="B26" s="84"/>
    </row>
    <row r="27" spans="1:2" x14ac:dyDescent="0.2">
      <c r="A27" s="85"/>
      <c r="B27" s="86"/>
    </row>
  </sheetData>
  <mergeCells count="1">
    <mergeCell ref="A1:B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Январь</vt:lpstr>
      <vt:lpstr>Февраль</vt:lpstr>
      <vt:lpstr>ТС</vt:lpstr>
      <vt:lpstr>Отчет журнал</vt:lpstr>
      <vt:lpstr>Сотрудники</vt:lpstr>
      <vt:lpstr>Месяц</vt:lpstr>
      <vt:lpstr>Февраль!Область_печати</vt:lpstr>
      <vt:lpstr>Январь!Область_печати</vt:lpstr>
      <vt:lpstr>Сезон</vt:lpstr>
      <vt:lpstr>ТС</vt:lpstr>
      <vt:lpstr>Фамилия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ГАВ</cp:lastModifiedBy>
  <dcterms:created xsi:type="dcterms:W3CDTF">2018-07-03T16:18:11Z</dcterms:created>
  <dcterms:modified xsi:type="dcterms:W3CDTF">2018-07-10T10:56:41Z</dcterms:modified>
</cp:coreProperties>
</file>