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2120" windowHeight="10215" activeTab="1"/>
  </bookViews>
  <sheets>
    <sheet name="Информация" sheetId="24" r:id="rId1"/>
    <sheet name="Январь" sheetId="14" r:id="rId2"/>
    <sheet name="Лист1" sheetId="26" state="hidden" r:id="rId3"/>
  </sheets>
  <externalReferences>
    <externalReference r:id="rId4"/>
    <externalReference r:id="rId5"/>
  </externalReferences>
  <definedNames>
    <definedName name="Месяц">Лист1!$B$3:$B$14</definedName>
    <definedName name="_xlnm.Print_Area" localSheetId="0">Информация!$A$1:$J$54</definedName>
    <definedName name="_xlnm.Print_Area" localSheetId="1">Январь!$A$1:$R$10</definedName>
  </definedNames>
  <calcPr calcId="125725"/>
</workbook>
</file>

<file path=xl/calcChain.xml><?xml version="1.0" encoding="utf-8"?>
<calcChain xmlns="http://schemas.openxmlformats.org/spreadsheetml/2006/main">
  <c r="D6" i="14"/>
  <c r="J25" i="24"/>
  <c r="K25"/>
  <c r="L25"/>
  <c r="M25"/>
  <c r="Q22" i="14"/>
  <c r="P22" s="1"/>
  <c r="N22"/>
  <c r="N23"/>
  <c r="N24"/>
  <c r="M18"/>
  <c r="M19"/>
  <c r="M21"/>
  <c r="M22"/>
  <c r="M23"/>
  <c r="M24"/>
  <c r="O24" s="1"/>
  <c r="C22"/>
  <c r="B22"/>
  <c r="A22"/>
  <c r="A23"/>
  <c r="A24"/>
  <c r="B23"/>
  <c r="B24"/>
  <c r="C23"/>
  <c r="C24"/>
  <c r="E23"/>
  <c r="E24"/>
  <c r="F23"/>
  <c r="F24"/>
  <c r="H23"/>
  <c r="H24"/>
  <c r="I23"/>
  <c r="I24"/>
  <c r="K23"/>
  <c r="J23" s="1"/>
  <c r="K24"/>
  <c r="J24" s="1"/>
  <c r="Q23"/>
  <c r="Q24"/>
  <c r="S23"/>
  <c r="S24"/>
  <c r="T23"/>
  <c r="T24"/>
  <c r="U23"/>
  <c r="U24"/>
  <c r="V23"/>
  <c r="V24"/>
  <c r="F60" i="24"/>
  <c r="F62"/>
  <c r="F63"/>
  <c r="F64"/>
  <c r="F65"/>
  <c r="F66"/>
  <c r="F67"/>
  <c r="F68"/>
  <c r="F69"/>
  <c r="F70"/>
  <c r="F71"/>
  <c r="K22" i="14"/>
  <c r="O23" l="1"/>
  <c r="P23"/>
  <c r="R23" s="1"/>
  <c r="W23"/>
  <c r="P24"/>
  <c r="R24" s="1"/>
  <c r="W24"/>
  <c r="B61" i="24" l="1"/>
  <c r="F61" s="1"/>
  <c r="Y25" i="14"/>
  <c r="AD22"/>
  <c r="AB22"/>
  <c r="E22" l="1"/>
  <c r="AA22" l="1"/>
  <c r="O22"/>
  <c r="R22" l="1"/>
  <c r="AC22"/>
  <c r="L6" l="1"/>
  <c r="L25" s="1"/>
  <c r="G6" l="1"/>
  <c r="W22"/>
  <c r="V22"/>
  <c r="U22"/>
  <c r="T22"/>
  <c r="S22"/>
  <c r="Q6"/>
  <c r="Q7"/>
  <c r="Q8"/>
  <c r="Q9"/>
  <c r="Q10"/>
  <c r="Q11"/>
  <c r="Q12"/>
  <c r="Q13"/>
  <c r="Q14"/>
  <c r="Q15"/>
  <c r="Q16"/>
  <c r="Q17"/>
  <c r="Q18"/>
  <c r="Q19"/>
  <c r="Q20"/>
  <c r="Q21"/>
  <c r="I6"/>
  <c r="I7"/>
  <c r="I8"/>
  <c r="I9"/>
  <c r="I10"/>
  <c r="I11"/>
  <c r="I12"/>
  <c r="I13"/>
  <c r="I14"/>
  <c r="I15"/>
  <c r="I16"/>
  <c r="I17"/>
  <c r="I18"/>
  <c r="I19"/>
  <c r="I20"/>
  <c r="I21"/>
  <c r="F6"/>
  <c r="F7"/>
  <c r="H7" s="1"/>
  <c r="AB7" s="1"/>
  <c r="F8"/>
  <c r="H8" s="1"/>
  <c r="AB8" s="1"/>
  <c r="F9"/>
  <c r="H9" s="1"/>
  <c r="AB9" s="1"/>
  <c r="F10"/>
  <c r="H10" s="1"/>
  <c r="AB10" s="1"/>
  <c r="F11"/>
  <c r="H11" s="1"/>
  <c r="AB11" s="1"/>
  <c r="F12"/>
  <c r="H12" s="1"/>
  <c r="AB12" s="1"/>
  <c r="F13"/>
  <c r="H13" s="1"/>
  <c r="AB13" s="1"/>
  <c r="F14"/>
  <c r="H14" s="1"/>
  <c r="AB14" s="1"/>
  <c r="F15"/>
  <c r="H15" s="1"/>
  <c r="AB15" s="1"/>
  <c r="F16"/>
  <c r="H16" s="1"/>
  <c r="AB16" s="1"/>
  <c r="F17"/>
  <c r="H17" s="1"/>
  <c r="AB17" s="1"/>
  <c r="F18"/>
  <c r="H18" s="1"/>
  <c r="AB18" s="1"/>
  <c r="F19"/>
  <c r="H19" s="1"/>
  <c r="AB19" s="1"/>
  <c r="F20"/>
  <c r="H20" s="1"/>
  <c r="AB20" s="1"/>
  <c r="F21"/>
  <c r="H21" s="1"/>
  <c r="AB21" s="1"/>
  <c r="C7"/>
  <c r="E7" s="1"/>
  <c r="C8"/>
  <c r="E8" s="1"/>
  <c r="C9"/>
  <c r="E9" s="1"/>
  <c r="C10"/>
  <c r="E10" s="1"/>
  <c r="C11"/>
  <c r="E11" s="1"/>
  <c r="C12"/>
  <c r="E12" s="1"/>
  <c r="C13"/>
  <c r="E13" s="1"/>
  <c r="C14"/>
  <c r="E14" s="1"/>
  <c r="C15"/>
  <c r="E15" s="1"/>
  <c r="C16"/>
  <c r="E16" s="1"/>
  <c r="C17"/>
  <c r="E17" s="1"/>
  <c r="C18"/>
  <c r="E18" s="1"/>
  <c r="C19"/>
  <c r="E19" s="1"/>
  <c r="C20"/>
  <c r="E20" s="1"/>
  <c r="C21"/>
  <c r="E21" s="1"/>
  <c r="C6"/>
  <c r="B6"/>
  <c r="K6" s="1"/>
  <c r="B7"/>
  <c r="K7" s="1"/>
  <c r="J7" s="1"/>
  <c r="W7" s="1"/>
  <c r="B8"/>
  <c r="K8" s="1"/>
  <c r="J8" s="1"/>
  <c r="B9"/>
  <c r="K9" s="1"/>
  <c r="J9" s="1"/>
  <c r="W9" s="1"/>
  <c r="B10"/>
  <c r="K10" s="1"/>
  <c r="J10" s="1"/>
  <c r="B11"/>
  <c r="K11" s="1"/>
  <c r="J11" s="1"/>
  <c r="B12"/>
  <c r="K12" s="1"/>
  <c r="J12" s="1"/>
  <c r="B13"/>
  <c r="K13" s="1"/>
  <c r="J13" s="1"/>
  <c r="W13" s="1"/>
  <c r="B14"/>
  <c r="K14" s="1"/>
  <c r="J14" s="1"/>
  <c r="B15"/>
  <c r="K15" s="1"/>
  <c r="J15" s="1"/>
  <c r="B16"/>
  <c r="K16" s="1"/>
  <c r="J16" s="1"/>
  <c r="B17"/>
  <c r="K17" s="1"/>
  <c r="J17" s="1"/>
  <c r="W17" s="1"/>
  <c r="B18"/>
  <c r="K18" s="1"/>
  <c r="J18" s="1"/>
  <c r="B19"/>
  <c r="K19" s="1"/>
  <c r="J19" s="1"/>
  <c r="B20"/>
  <c r="K20" s="1"/>
  <c r="J20" s="1"/>
  <c r="W20" s="1"/>
  <c r="B21"/>
  <c r="K21" s="1"/>
  <c r="J21" s="1"/>
  <c r="W21" s="1"/>
  <c r="A6"/>
  <c r="A7"/>
  <c r="A8"/>
  <c r="A9"/>
  <c r="A10"/>
  <c r="A11"/>
  <c r="A12"/>
  <c r="A13"/>
  <c r="A14"/>
  <c r="A15"/>
  <c r="A16"/>
  <c r="A17"/>
  <c r="A18"/>
  <c r="A19"/>
  <c r="A20"/>
  <c r="A21"/>
  <c r="AA20" l="1"/>
  <c r="AA18"/>
  <c r="AA16"/>
  <c r="AA14"/>
  <c r="AA12"/>
  <c r="AA10"/>
  <c r="AA8"/>
  <c r="AA21"/>
  <c r="AA19"/>
  <c r="AA17"/>
  <c r="AA15"/>
  <c r="AA13"/>
  <c r="AA11"/>
  <c r="AA9"/>
  <c r="AA7"/>
  <c r="H6"/>
  <c r="AB6" s="1"/>
  <c r="K25"/>
  <c r="J6"/>
  <c r="I25"/>
  <c r="Q25"/>
  <c r="P20"/>
  <c r="AD20" s="1"/>
  <c r="P18"/>
  <c r="AD18" s="1"/>
  <c r="P16"/>
  <c r="AD16" s="1"/>
  <c r="P14"/>
  <c r="AD14" s="1"/>
  <c r="P12"/>
  <c r="AD12" s="1"/>
  <c r="P10"/>
  <c r="AD10" s="1"/>
  <c r="P8"/>
  <c r="AD8" s="1"/>
  <c r="U21"/>
  <c r="U19"/>
  <c r="U17"/>
  <c r="U15"/>
  <c r="U13"/>
  <c r="U11"/>
  <c r="U9"/>
  <c r="U7"/>
  <c r="E6"/>
  <c r="V20"/>
  <c r="V18"/>
  <c r="V16"/>
  <c r="V14"/>
  <c r="V12"/>
  <c r="V10"/>
  <c r="V8"/>
  <c r="S21"/>
  <c r="S19"/>
  <c r="S17"/>
  <c r="S15"/>
  <c r="S13"/>
  <c r="S11"/>
  <c r="S9"/>
  <c r="S7"/>
  <c r="T21"/>
  <c r="T19"/>
  <c r="T17"/>
  <c r="T15"/>
  <c r="T13"/>
  <c r="T11"/>
  <c r="T9"/>
  <c r="T7"/>
  <c r="U20"/>
  <c r="U18"/>
  <c r="U16"/>
  <c r="U14"/>
  <c r="U12"/>
  <c r="U10"/>
  <c r="U8"/>
  <c r="V21"/>
  <c r="V19"/>
  <c r="V17"/>
  <c r="V15"/>
  <c r="V13"/>
  <c r="V11"/>
  <c r="V9"/>
  <c r="V7"/>
  <c r="P21"/>
  <c r="P19"/>
  <c r="P17"/>
  <c r="P15"/>
  <c r="P13"/>
  <c r="P11"/>
  <c r="P9"/>
  <c r="P7"/>
  <c r="S20"/>
  <c r="S18"/>
  <c r="S16"/>
  <c r="S14"/>
  <c r="S12"/>
  <c r="S10"/>
  <c r="S8"/>
  <c r="T20"/>
  <c r="T18"/>
  <c r="T16"/>
  <c r="T14"/>
  <c r="T12"/>
  <c r="T10"/>
  <c r="T8"/>
  <c r="AA6" l="1"/>
  <c r="P6"/>
  <c r="AD6" s="1"/>
  <c r="J25"/>
  <c r="T6"/>
  <c r="U6"/>
  <c r="U25" s="1"/>
  <c r="S6"/>
  <c r="T25"/>
  <c r="P25"/>
  <c r="S25"/>
  <c r="AD11"/>
  <c r="AD19"/>
  <c r="AD7"/>
  <c r="AD15"/>
  <c r="AD9"/>
  <c r="AD13"/>
  <c r="AD17"/>
  <c r="AD21"/>
  <c r="V6"/>
  <c r="V25" s="1"/>
  <c r="L9" i="24"/>
  <c r="L10"/>
  <c r="L11"/>
  <c r="L12"/>
  <c r="M12"/>
  <c r="L13"/>
  <c r="O13"/>
  <c r="P13"/>
  <c r="Q13"/>
  <c r="R13"/>
  <c r="L14"/>
  <c r="L15"/>
  <c r="L16"/>
  <c r="L17"/>
  <c r="L18"/>
  <c r="L19"/>
  <c r="L20"/>
  <c r="L21"/>
  <c r="L22"/>
  <c r="L23"/>
  <c r="L24"/>
  <c r="J54"/>
  <c r="K54"/>
  <c r="I14"/>
  <c r="M11" i="14" s="1"/>
  <c r="AD23" l="1"/>
  <c r="H22" i="24"/>
  <c r="H21"/>
  <c r="G23" l="1"/>
  <c r="H13"/>
  <c r="G13"/>
  <c r="H20"/>
  <c r="G20"/>
  <c r="H19"/>
  <c r="G19"/>
  <c r="H18"/>
  <c r="G18"/>
  <c r="H17"/>
  <c r="G17"/>
  <c r="H16"/>
  <c r="G16"/>
  <c r="H12"/>
  <c r="G12"/>
  <c r="H10"/>
  <c r="G10"/>
  <c r="H9"/>
  <c r="G9"/>
  <c r="K12" l="1"/>
  <c r="K13"/>
  <c r="K14"/>
  <c r="K15"/>
  <c r="K16"/>
  <c r="K17"/>
  <c r="K18"/>
  <c r="K19"/>
  <c r="K20"/>
  <c r="K21"/>
  <c r="K22"/>
  <c r="K23"/>
  <c r="K24"/>
  <c r="M10"/>
  <c r="M11"/>
  <c r="M13"/>
  <c r="M14"/>
  <c r="M16"/>
  <c r="M17"/>
  <c r="M18"/>
  <c r="M20"/>
  <c r="M21"/>
  <c r="M23"/>
  <c r="M24"/>
  <c r="M9"/>
  <c r="K11"/>
  <c r="K10"/>
  <c r="K9"/>
  <c r="I23"/>
  <c r="M20" i="14" s="1"/>
  <c r="I10" i="24"/>
  <c r="M7" i="14" s="1"/>
  <c r="O7" s="1"/>
  <c r="J10" i="24"/>
  <c r="N7" i="14" s="1"/>
  <c r="I11" i="24"/>
  <c r="M8" i="14" s="1"/>
  <c r="O8" s="1"/>
  <c r="J11" i="24"/>
  <c r="N8" i="14" s="1"/>
  <c r="I12" i="24"/>
  <c r="M9" i="14" s="1"/>
  <c r="O9" s="1"/>
  <c r="J12" i="24"/>
  <c r="N9" i="14" s="1"/>
  <c r="I13" i="24"/>
  <c r="M10" i="14" s="1"/>
  <c r="O10" s="1"/>
  <c r="J13" i="24"/>
  <c r="N10" i="14" s="1"/>
  <c r="J14" i="24"/>
  <c r="N11" i="14" s="1"/>
  <c r="O11" s="1"/>
  <c r="I15" i="24"/>
  <c r="M12" i="14" s="1"/>
  <c r="J15" i="24"/>
  <c r="N12" i="14" s="1"/>
  <c r="I16" i="24"/>
  <c r="M13" i="14" s="1"/>
  <c r="J16" i="24"/>
  <c r="N13" i="14" s="1"/>
  <c r="I17" i="24"/>
  <c r="M14" i="14" s="1"/>
  <c r="J17" i="24"/>
  <c r="N14" i="14" s="1"/>
  <c r="I18" i="24"/>
  <c r="M15" i="14" s="1"/>
  <c r="J18" i="24"/>
  <c r="N15" i="14" s="1"/>
  <c r="I19" i="24"/>
  <c r="M16" i="14" s="1"/>
  <c r="J19" i="24"/>
  <c r="N16" i="14" s="1"/>
  <c r="I20" i="24"/>
  <c r="M17" i="14" s="1"/>
  <c r="J20" i="24"/>
  <c r="N17" i="14" s="1"/>
  <c r="J21" i="24"/>
  <c r="N18" i="14" s="1"/>
  <c r="O18" s="1"/>
  <c r="J22" i="24"/>
  <c r="N19" i="14" s="1"/>
  <c r="O19" s="1"/>
  <c r="J23" i="24"/>
  <c r="N20" i="14" s="1"/>
  <c r="J24" i="24"/>
  <c r="N21" i="14" s="1"/>
  <c r="O21" s="1"/>
  <c r="A40" i="24"/>
  <c r="B40"/>
  <c r="A41"/>
  <c r="B41"/>
  <c r="A42"/>
  <c r="B42"/>
  <c r="I9"/>
  <c r="M6" i="14" s="1"/>
  <c r="J9" i="24"/>
  <c r="N6" i="14" s="1"/>
  <c r="A1"/>
  <c r="A29" i="24"/>
  <c r="A36"/>
  <c r="A37"/>
  <c r="A38"/>
  <c r="A39"/>
  <c r="A43"/>
  <c r="A44"/>
  <c r="A45"/>
  <c r="A46"/>
  <c r="A47"/>
  <c r="M41" s="1"/>
  <c r="A48"/>
  <c r="M39" s="1"/>
  <c r="A49"/>
  <c r="A50"/>
  <c r="A35"/>
  <c r="B36"/>
  <c r="B37"/>
  <c r="B38"/>
  <c r="B39"/>
  <c r="M36" s="1"/>
  <c r="B43"/>
  <c r="B44"/>
  <c r="M40" s="1"/>
  <c r="B45"/>
  <c r="B46"/>
  <c r="B47"/>
  <c r="B48"/>
  <c r="B49"/>
  <c r="B50"/>
  <c r="B35"/>
  <c r="M35" s="1"/>
  <c r="A2" i="14"/>
  <c r="O6" l="1"/>
  <c r="O17"/>
  <c r="O16"/>
  <c r="O15"/>
  <c r="O14"/>
  <c r="O13"/>
  <c r="O12"/>
  <c r="O20"/>
  <c r="R20" s="1"/>
  <c r="R10"/>
  <c r="W10" s="1"/>
  <c r="R8"/>
  <c r="W8" s="1"/>
  <c r="M38" i="24"/>
  <c r="M37"/>
  <c r="AC21" i="14"/>
  <c r="R21"/>
  <c r="AC19"/>
  <c r="R19"/>
  <c r="W19" s="1"/>
  <c r="AC11"/>
  <c r="R11"/>
  <c r="W11" s="1"/>
  <c r="AC10"/>
  <c r="AC9"/>
  <c r="R9"/>
  <c r="AC8"/>
  <c r="AC7"/>
  <c r="R7"/>
  <c r="R18"/>
  <c r="W18" s="1"/>
  <c r="AC18"/>
  <c r="M15" i="24"/>
  <c r="M22"/>
  <c r="M19"/>
  <c r="M43"/>
  <c r="M42"/>
  <c r="D40"/>
  <c r="D44"/>
  <c r="D45"/>
  <c r="D35"/>
  <c r="D48"/>
  <c r="D39"/>
  <c r="D49"/>
  <c r="D37"/>
  <c r="AC20" i="14" l="1"/>
  <c r="AC13"/>
  <c r="R13"/>
  <c r="AC15"/>
  <c r="R15"/>
  <c r="W15" s="1"/>
  <c r="AC17"/>
  <c r="R17"/>
  <c r="R12"/>
  <c r="W12" s="1"/>
  <c r="AC12"/>
  <c r="R14"/>
  <c r="W14" s="1"/>
  <c r="AC14"/>
  <c r="R16"/>
  <c r="W16" s="1"/>
  <c r="AC16"/>
  <c r="R6"/>
  <c r="W6" s="1"/>
  <c r="O25"/>
  <c r="AC6"/>
  <c r="G40" i="24"/>
  <c r="C48"/>
  <c r="G42"/>
  <c r="I42" s="1"/>
  <c r="C45"/>
  <c r="D36"/>
  <c r="C47"/>
  <c r="C46"/>
  <c r="D50"/>
  <c r="D47"/>
  <c r="G43"/>
  <c r="C35"/>
  <c r="D43"/>
  <c r="C36"/>
  <c r="G46"/>
  <c r="G44"/>
  <c r="C44"/>
  <c r="C39"/>
  <c r="C37"/>
  <c r="C40"/>
  <c r="C50"/>
  <c r="AC23" i="14" l="1"/>
  <c r="R25"/>
  <c r="W25"/>
  <c r="F47" i="24"/>
  <c r="E48"/>
  <c r="G41"/>
  <c r="D42"/>
  <c r="D38"/>
  <c r="D46"/>
  <c r="F48"/>
  <c r="E47"/>
  <c r="G45"/>
  <c r="D41"/>
  <c r="E45"/>
  <c r="C43"/>
  <c r="E40"/>
  <c r="F44"/>
  <c r="H44" s="1"/>
  <c r="I44" s="1"/>
  <c r="G39"/>
  <c r="E44"/>
  <c r="F45"/>
  <c r="F40"/>
  <c r="H40" s="1"/>
  <c r="I40" s="1"/>
  <c r="E35"/>
  <c r="F35"/>
  <c r="F37"/>
  <c r="E37"/>
  <c r="E50"/>
  <c r="F50"/>
  <c r="C38" l="1"/>
  <c r="H45"/>
  <c r="I45" s="1"/>
  <c r="F36"/>
  <c r="C41"/>
  <c r="C42"/>
  <c r="H39"/>
  <c r="I39" s="1"/>
  <c r="E36"/>
  <c r="G36"/>
  <c r="E46" l="1"/>
  <c r="F46"/>
  <c r="H46" s="1"/>
  <c r="I46" s="1"/>
  <c r="E43"/>
  <c r="F43"/>
  <c r="H43" s="1"/>
  <c r="I43" s="1"/>
  <c r="E38"/>
  <c r="F38"/>
  <c r="E41"/>
  <c r="F41"/>
  <c r="H41" s="1"/>
  <c r="I41" s="1"/>
  <c r="F42"/>
  <c r="H42" s="1"/>
  <c r="E42"/>
  <c r="G38"/>
  <c r="H36"/>
  <c r="I36" s="1"/>
  <c r="H38" l="1"/>
  <c r="I38" s="1"/>
  <c r="G37"/>
  <c r="G35"/>
  <c r="H37" l="1"/>
  <c r="I37" s="1"/>
  <c r="H35"/>
  <c r="I35" l="1"/>
  <c r="G49" l="1"/>
  <c r="G50"/>
  <c r="H50" l="1"/>
  <c r="I50" s="1"/>
  <c r="G48"/>
  <c r="H48" l="1"/>
  <c r="I48" s="1"/>
  <c r="G47"/>
  <c r="G54" s="1"/>
  <c r="H47" l="1"/>
  <c r="I47" l="1"/>
  <c r="C49" l="1"/>
  <c r="E49" l="1"/>
  <c r="E54" s="1"/>
  <c r="F49" l="1"/>
  <c r="H49" s="1"/>
  <c r="I49" l="1"/>
  <c r="I54" s="1"/>
  <c r="H54"/>
</calcChain>
</file>

<file path=xl/sharedStrings.xml><?xml version="1.0" encoding="utf-8"?>
<sst xmlns="http://schemas.openxmlformats.org/spreadsheetml/2006/main" count="166" uniqueCount="115">
  <si>
    <t>Фактический расход топлива, литр</t>
  </si>
  <si>
    <t>Пройдено за месяц, км</t>
  </si>
  <si>
    <t>Отработано за месяц, м/ч</t>
  </si>
  <si>
    <t>Камаз 65115</t>
  </si>
  <si>
    <t>б/н</t>
  </si>
  <si>
    <t xml:space="preserve">Расход по норме на 100 км. </t>
  </si>
  <si>
    <t xml:space="preserve">Моторные масла, на 100 км - 4,5л. </t>
  </si>
  <si>
    <t xml:space="preserve">Трансмиссионные и гидравлические масла, на 100 км. -0,5л. </t>
  </si>
  <si>
    <t xml:space="preserve">Специальные масла, жидкости, на 100 км. -1,0л. </t>
  </si>
  <si>
    <t>Фукс 350 (с)</t>
  </si>
  <si>
    <t>Расход топлива по норме на 1м/ч, литр</t>
  </si>
  <si>
    <t>Расход топлива по норме на 100км., литр</t>
  </si>
  <si>
    <t>Пластичные (консистентые), на 100 км - 0,2кг.</t>
  </si>
  <si>
    <t>% Перерасхода(+) /Экономии(-) диз.топлива</t>
  </si>
  <si>
    <t>Показание одометра на начало месяца,км</t>
  </si>
  <si>
    <t>Показание одометра на конец месяца,км</t>
  </si>
  <si>
    <t>Показание счетчика моточасов на конец месяца, м/ч</t>
  </si>
  <si>
    <t>Показание счетчика моточасов на начало месяца, м/ч</t>
  </si>
  <si>
    <t>зима</t>
  </si>
  <si>
    <t>лето</t>
  </si>
  <si>
    <t>на 100 км</t>
  </si>
  <si>
    <t>на 1 м/ч</t>
  </si>
  <si>
    <t>Средний расход топлива</t>
  </si>
  <si>
    <t>Наименование ТС</t>
  </si>
  <si>
    <t>начальные показатели</t>
  </si>
  <si>
    <t>Расход топлива по норме, литр</t>
  </si>
  <si>
    <t>Остаток топлива в баке на конец месяца, литр</t>
  </si>
  <si>
    <t>р908он 197</t>
  </si>
  <si>
    <t>Сводные показатели</t>
  </si>
  <si>
    <t>Наименование транспортного средства</t>
  </si>
  <si>
    <t>Номер государственной регистрации</t>
  </si>
  <si>
    <t>Остаток топлива в баке на начало месяца,  литр</t>
  </si>
  <si>
    <t>расхода топлива при эксплуатации грузовых автомобилей и спец.техники</t>
  </si>
  <si>
    <t>Фукс 350 D</t>
  </si>
  <si>
    <t>норма рахода топлива, литр</t>
  </si>
  <si>
    <t>Выдано топливо за месяц, литр</t>
  </si>
  <si>
    <t>Расхождение данных</t>
  </si>
  <si>
    <t>Фольксваген</t>
  </si>
  <si>
    <t>Средний расход с учетом перехода на зимнее/летнее время за год</t>
  </si>
  <si>
    <t>Погрузчик LG</t>
  </si>
  <si>
    <t>конечные показатели</t>
  </si>
  <si>
    <t>2018 г.</t>
  </si>
  <si>
    <t>Общество с ограниченной ответственностью  "ВТОРМЕТ "ЦАРИЦЫНО"</t>
  </si>
  <si>
    <t>30.01.18 был сломан одометр- доп.фактич.пробг-12км</t>
  </si>
  <si>
    <t>11.01.18 был сломан одометр, доп.фактич.пробег-183км</t>
  </si>
  <si>
    <t>28.01.18 был сломан одометр, фактич.доп.пробег-168км</t>
  </si>
  <si>
    <t>12.02.18 при ремонте блока управления произошло обнуление счетчика м/ч</t>
  </si>
  <si>
    <t>08.03.2018-замена счетчика моточасов</t>
  </si>
  <si>
    <t>18.03.2018- замена счетчика моточасов</t>
  </si>
  <si>
    <t>01.03.2018- замена счетчика моточасов</t>
  </si>
  <si>
    <t>30.01.18-по показаниям одометра-165км,а водитель показ.-265км</t>
  </si>
  <si>
    <t>20.05.18- сломался одометр, дополнит.фактич.пробег-80км</t>
  </si>
  <si>
    <t>Примечание</t>
  </si>
  <si>
    <t>за</t>
  </si>
  <si>
    <t>на 100 км2</t>
  </si>
  <si>
    <t>на 1 м/ч3</t>
  </si>
  <si>
    <t>т 056 вв 197</t>
  </si>
  <si>
    <t>в 300 нс 197</t>
  </si>
  <si>
    <t>в 433 ру 197</t>
  </si>
  <si>
    <t>в 434 ру 197</t>
  </si>
  <si>
    <t>к 463 вт 197</t>
  </si>
  <si>
    <t>с 504 уо 777</t>
  </si>
  <si>
    <t>с 546 уо 777</t>
  </si>
  <si>
    <t>н 577 мо 197</t>
  </si>
  <si>
    <t>х 733 ун 197</t>
  </si>
  <si>
    <t>к 855 ке 197</t>
  </si>
  <si>
    <t>р 908 он 197</t>
  </si>
  <si>
    <t>е 969 кк 197</t>
  </si>
  <si>
    <t>к 190 вк 799</t>
  </si>
  <si>
    <t>спецоборудование, "м/ч"</t>
  </si>
  <si>
    <t>километраж, "км"</t>
  </si>
  <si>
    <t>топливо, "литр"</t>
  </si>
  <si>
    <t>Номер гос регистрации / заводской номер</t>
  </si>
  <si>
    <t>Километраж, км</t>
  </si>
  <si>
    <t>Спецоборудование, м/ч</t>
  </si>
  <si>
    <t>Топливо, литр</t>
  </si>
  <si>
    <t>Емкость бака, литр</t>
  </si>
  <si>
    <t>на 100 км3</t>
  </si>
  <si>
    <t>на 1 м/ч4</t>
  </si>
  <si>
    <t>на 100 км25</t>
  </si>
  <si>
    <t>на 1 м/ч36</t>
  </si>
  <si>
    <t>Дата</t>
  </si>
  <si>
    <t>Сводные показатели работы ТС</t>
  </si>
  <si>
    <t>Итог</t>
  </si>
  <si>
    <t>Отклонения от нормы + Перерасход, - экономия, литр</t>
  </si>
  <si>
    <t xml:space="preserve">Отклонение от нормы, % </t>
  </si>
  <si>
    <t>Выдано топливо за месяц (данные Стребкова Р.Ю.), литр</t>
  </si>
  <si>
    <t>Отклонение от нормы + Перерасход, - экономия, литр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</si>
  <si>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</si>
  <si>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</si>
  <si>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</si>
  <si>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</si>
  <si>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</si>
  <si>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</si>
  <si>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</si>
  <si>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</si>
  <si>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</si>
  <si>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</si>
  <si>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</si>
  <si>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</si>
  <si>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30.01.18 был сломан одометр-доп.фактич.пробег-12км</t>
  </si>
  <si>
    <t>Дополнительные, км</t>
  </si>
  <si>
    <t>Для расчета</t>
  </si>
  <si>
    <t>Движение ДТ</t>
  </si>
  <si>
    <t>РН-КАРТ</t>
  </si>
  <si>
    <t>Газпромнефть</t>
  </si>
  <si>
    <t>Ав.отчет</t>
  </si>
  <si>
    <t>можно дополнительно 10% за эксплуатацию свыше 150 тыс.км.</t>
  </si>
  <si>
    <t>можно дополнительно 5% за эксплуатацию свыше 100 тыс.км.</t>
  </si>
  <si>
    <t>Сумма</t>
  </si>
  <si>
    <t>Месяц</t>
  </si>
  <si>
    <t>ТК ПРЕИМУЩЕСТВО + ТД "ПАРТНЕР"</t>
  </si>
  <si>
    <t>Остаток на складе на 01.01.2018</t>
  </si>
  <si>
    <t xml:space="preserve"> </t>
  </si>
  <si>
    <t>с 30.03.2018 ТК ПРЕИМУЩЕСТВО + ТД "ПАРТНЕР" переименовывается в РегионДизельРесурс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</si>
</sst>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000"/>
  </numFmts>
  <fonts count="47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0"/>
      <color rgb="FFFF0000"/>
      <name val="Arial Cyr"/>
      <charset val="204"/>
    </font>
    <font>
      <sz val="9"/>
      <name val="Tahoma"/>
      <family val="2"/>
      <charset val="204"/>
    </font>
    <font>
      <b/>
      <sz val="9"/>
      <color theme="1"/>
      <name val="Tahoma"/>
      <family val="2"/>
      <charset val="204"/>
    </font>
    <font>
      <sz val="9"/>
      <name val="Tahoma"/>
    </font>
    <font>
      <b/>
      <i/>
      <sz val="14"/>
      <color indexed="56"/>
      <name val="Calibri"/>
      <family val="2"/>
      <charset val="204"/>
    </font>
    <font>
      <b/>
      <i/>
      <sz val="18"/>
      <color indexed="56"/>
      <name val="Calibri"/>
      <family val="2"/>
      <charset val="204"/>
    </font>
    <font>
      <b/>
      <sz val="10"/>
      <color theme="0"/>
      <name val="Arial Cyr"/>
      <charset val="204"/>
    </font>
    <font>
      <sz val="10"/>
      <name val="Arial Cyr"/>
    </font>
    <font>
      <b/>
      <i/>
      <sz val="11"/>
      <color indexed="56"/>
      <name val="Calibri"/>
      <family val="2"/>
      <charset val="204"/>
    </font>
    <font>
      <sz val="9"/>
      <name val="Arial Cyr"/>
      <charset val="204"/>
    </font>
    <font>
      <b/>
      <sz val="9"/>
      <color theme="0"/>
      <name val="Arial Cyr"/>
      <charset val="204"/>
    </font>
    <font>
      <b/>
      <sz val="10"/>
      <name val="Arial Cyr"/>
    </font>
    <font>
      <sz val="11"/>
      <name val="Tahoma"/>
      <family val="2"/>
      <charset val="204"/>
    </font>
    <font>
      <b/>
      <sz val="16"/>
      <color indexed="56"/>
      <name val="Calibri"/>
      <family val="2"/>
      <charset val="204"/>
    </font>
    <font>
      <b/>
      <sz val="11"/>
      <name val="Tahoma"/>
      <family val="2"/>
      <charset val="204"/>
    </font>
    <font>
      <i/>
      <sz val="11"/>
      <name val="Tahoma"/>
      <family val="2"/>
      <charset val="204"/>
    </font>
    <font>
      <b/>
      <sz val="11"/>
      <color rgb="FFFF0000"/>
      <name val="Tahoma"/>
      <family val="2"/>
      <charset val="204"/>
    </font>
    <font>
      <b/>
      <sz val="9"/>
      <color theme="1"/>
      <name val="Arial Cyr"/>
      <charset val="204"/>
    </font>
    <font>
      <b/>
      <sz val="9"/>
      <name val="Arial Cyr"/>
      <charset val="204"/>
    </font>
    <font>
      <sz val="9"/>
      <name val="Arial Cyr"/>
    </font>
    <font>
      <i/>
      <sz val="8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sz val="10"/>
      <color rgb="FFFF0000"/>
      <name val="Arial Cy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/>
        <bgColor theme="6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theme="6"/>
      </patternFill>
    </fill>
    <fill>
      <patternFill patternType="solid">
        <fgColor theme="3" tint="0.59999389629810485"/>
        <bgColor theme="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77">
    <xf numFmtId="0" fontId="0" fillId="0" borderId="0" xfId="0"/>
    <xf numFmtId="2" fontId="0" fillId="0" borderId="0" xfId="0" applyNumberFormat="1"/>
    <xf numFmtId="2" fontId="20" fillId="0" borderId="0" xfId="0" applyNumberFormat="1" applyFont="1"/>
    <xf numFmtId="2" fontId="20" fillId="0" borderId="0" xfId="0" applyNumberFormat="1" applyFont="1" applyAlignment="1"/>
    <xf numFmtId="0" fontId="0" fillId="0" borderId="0" xfId="0" applyNumberFormat="1"/>
    <xf numFmtId="0" fontId="0" fillId="0" borderId="0" xfId="0" applyFill="1"/>
    <xf numFmtId="2" fontId="20" fillId="0" borderId="0" xfId="0" applyNumberFormat="1" applyFont="1" applyAlignment="1">
      <alignment horizontal="right"/>
    </xf>
    <xf numFmtId="49" fontId="0" fillId="0" borderId="0" xfId="0" applyNumberFormat="1"/>
    <xf numFmtId="14" fontId="19" fillId="0" borderId="0" xfId="0" applyNumberFormat="1" applyFont="1"/>
    <xf numFmtId="0" fontId="23" fillId="0" borderId="0" xfId="0" applyNumberFormat="1" applyFont="1"/>
    <xf numFmtId="0" fontId="0" fillId="0" borderId="0" xfId="0" applyBorder="1"/>
    <xf numFmtId="0" fontId="24" fillId="0" borderId="0" xfId="0" applyNumberFormat="1" applyFont="1" applyBorder="1" applyAlignment="1">
      <alignment horizontal="center" vertical="center" wrapText="1"/>
    </xf>
    <xf numFmtId="2" fontId="24" fillId="0" borderId="0" xfId="0" applyNumberFormat="1" applyFont="1" applyBorder="1" applyAlignment="1">
      <alignment horizontal="center" vertical="center" wrapText="1"/>
    </xf>
    <xf numFmtId="2" fontId="24" fillId="0" borderId="0" xfId="0" applyNumberFormat="1" applyFont="1" applyFill="1" applyBorder="1" applyAlignment="1">
      <alignment horizontal="center" vertical="center" wrapText="1"/>
    </xf>
    <xf numFmtId="2" fontId="24" fillId="0" borderId="0" xfId="0" applyNumberFormat="1" applyFont="1" applyBorder="1" applyAlignment="1">
      <alignment horizontal="center" vertical="center"/>
    </xf>
    <xf numFmtId="2" fontId="24" fillId="0" borderId="0" xfId="0" applyNumberFormat="1" applyFont="1" applyFill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 wrapText="1"/>
    </xf>
    <xf numFmtId="2" fontId="12" fillId="0" borderId="0" xfId="34" applyNumberFormat="1" applyFill="1" applyAlignment="1" applyProtection="1">
      <alignment horizontal="right" vertical="center"/>
      <protection hidden="1"/>
    </xf>
    <xf numFmtId="1" fontId="12" fillId="0" borderId="0" xfId="34" applyNumberFormat="1" applyFill="1" applyAlignment="1" applyProtection="1">
      <alignment horizontal="left" vertical="center"/>
      <protection locked="0" hidden="1"/>
    </xf>
    <xf numFmtId="0" fontId="0" fillId="0" borderId="0" xfId="0" applyBorder="1" applyAlignment="1">
      <alignment vertical="center" wrapText="1"/>
    </xf>
    <xf numFmtId="0" fontId="0" fillId="0" borderId="0" xfId="0" applyNumberFormat="1" applyFill="1" applyBorder="1"/>
    <xf numFmtId="0" fontId="1" fillId="0" borderId="0" xfId="0" applyFont="1" applyFill="1" applyBorder="1"/>
    <xf numFmtId="2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0" fillId="0" borderId="0" xfId="0" applyFont="1" applyFill="1"/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2" fontId="24" fillId="0" borderId="0" xfId="0" applyNumberFormat="1" applyFont="1" applyAlignment="1">
      <alignment horizontal="center" vertical="center"/>
    </xf>
    <xf numFmtId="2" fontId="24" fillId="0" borderId="0" xfId="0" applyNumberFormat="1" applyFont="1" applyFill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2" fontId="35" fillId="0" borderId="0" xfId="0" applyNumberFormat="1" applyFont="1" applyBorder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2" fontId="35" fillId="0" borderId="0" xfId="0" applyNumberFormat="1" applyFont="1" applyBorder="1" applyAlignment="1">
      <alignment horizontal="left" vertical="center"/>
    </xf>
    <xf numFmtId="2" fontId="35" fillId="0" borderId="0" xfId="0" applyNumberFormat="1" applyFont="1" applyAlignment="1">
      <alignment horizontal="left" vertical="center"/>
    </xf>
    <xf numFmtId="3" fontId="35" fillId="0" borderId="0" xfId="0" applyNumberFormat="1" applyFont="1" applyBorder="1" applyAlignment="1">
      <alignment horizontal="center" vertical="center"/>
    </xf>
    <xf numFmtId="3" fontId="35" fillId="0" borderId="0" xfId="0" applyNumberFormat="1" applyFont="1" applyBorder="1" applyAlignment="1">
      <alignment horizontal="right" vertical="center"/>
    </xf>
    <xf numFmtId="2" fontId="36" fillId="24" borderId="10" xfId="31" applyNumberFormat="1" applyFont="1" applyFill="1" applyBorder="1" applyAlignment="1">
      <alignment horizontal="center" vertical="center"/>
    </xf>
    <xf numFmtId="3" fontId="35" fillId="0" borderId="0" xfId="0" applyNumberFormat="1" applyFont="1" applyAlignment="1">
      <alignment horizontal="center" vertical="center"/>
    </xf>
    <xf numFmtId="3" fontId="35" fillId="0" borderId="0" xfId="0" applyNumberFormat="1" applyFont="1" applyAlignment="1">
      <alignment horizontal="right" vertical="center"/>
    </xf>
    <xf numFmtId="3" fontId="37" fillId="30" borderId="0" xfId="0" applyNumberFormat="1" applyFont="1" applyFill="1" applyBorder="1" applyAlignment="1">
      <alignment horizontal="right" vertical="center"/>
    </xf>
    <xf numFmtId="2" fontId="37" fillId="30" borderId="0" xfId="0" applyNumberFormat="1" applyFont="1" applyFill="1" applyBorder="1" applyAlignment="1">
      <alignment horizontal="center" vertical="center"/>
    </xf>
    <xf numFmtId="2" fontId="37" fillId="30" borderId="0" xfId="0" applyNumberFormat="1" applyFont="1" applyFill="1" applyAlignment="1">
      <alignment horizontal="center" vertical="center"/>
    </xf>
    <xf numFmtId="3" fontId="37" fillId="30" borderId="0" xfId="0" applyNumberFormat="1" applyFont="1" applyFill="1" applyBorder="1" applyAlignment="1">
      <alignment horizontal="center" vertical="center"/>
    </xf>
    <xf numFmtId="3" fontId="37" fillId="30" borderId="0" xfId="0" applyNumberFormat="1" applyFont="1" applyFill="1" applyAlignment="1">
      <alignment horizontal="center" vertical="center"/>
    </xf>
    <xf numFmtId="164" fontId="35" fillId="0" borderId="0" xfId="0" applyNumberFormat="1" applyFont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1" fontId="35" fillId="0" borderId="0" xfId="0" applyNumberFormat="1" applyFont="1" applyBorder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164" fontId="35" fillId="0" borderId="0" xfId="0" applyNumberFormat="1" applyFont="1" applyFill="1" applyBorder="1" applyAlignment="1">
      <alignment horizontal="center" vertical="center"/>
    </xf>
    <xf numFmtId="164" fontId="35" fillId="0" borderId="0" xfId="0" applyNumberFormat="1" applyFont="1" applyFill="1" applyAlignment="1">
      <alignment horizontal="center" vertical="center"/>
    </xf>
    <xf numFmtId="165" fontId="35" fillId="0" borderId="0" xfId="0" applyNumberFormat="1" applyFont="1" applyBorder="1" applyAlignment="1">
      <alignment horizontal="left" vertical="center"/>
    </xf>
    <xf numFmtId="165" fontId="38" fillId="0" borderId="0" xfId="0" applyNumberFormat="1" applyFont="1" applyBorder="1" applyAlignment="1">
      <alignment horizontal="left" vertical="center"/>
    </xf>
    <xf numFmtId="2" fontId="0" fillId="0" borderId="0" xfId="0" applyNumberFormat="1" applyFill="1"/>
    <xf numFmtId="2" fontId="20" fillId="0" borderId="0" xfId="0" applyNumberFormat="1" applyFont="1" applyFill="1"/>
    <xf numFmtId="3" fontId="35" fillId="0" borderId="0" xfId="0" applyNumberFormat="1" applyFont="1" applyFill="1" applyBorder="1" applyAlignment="1">
      <alignment horizontal="center" vertical="center"/>
    </xf>
    <xf numFmtId="2" fontId="27" fillId="0" borderId="0" xfId="31" applyNumberFormat="1" applyFont="1" applyAlignment="1">
      <alignment horizontal="center" vertical="center"/>
    </xf>
    <xf numFmtId="2" fontId="31" fillId="0" borderId="0" xfId="31" applyNumberFormat="1" applyFont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9" fillId="26" borderId="11" xfId="0" applyFont="1" applyFill="1" applyBorder="1" applyAlignment="1">
      <alignment horizontal="center" vertical="center" wrapText="1"/>
    </xf>
    <xf numFmtId="0" fontId="29" fillId="26" borderId="12" xfId="0" applyFont="1" applyFill="1" applyBorder="1" applyAlignment="1">
      <alignment horizontal="center" vertical="center" wrapText="1"/>
    </xf>
    <xf numFmtId="0" fontId="29" fillId="26" borderId="15" xfId="0" applyFont="1" applyFill="1" applyBorder="1" applyAlignment="1">
      <alignment horizontal="center" vertical="center" wrapText="1"/>
    </xf>
    <xf numFmtId="0" fontId="29" fillId="26" borderId="16" xfId="0" applyFont="1" applyFill="1" applyBorder="1" applyAlignment="1">
      <alignment horizontal="center" vertical="center" wrapText="1"/>
    </xf>
    <xf numFmtId="0" fontId="29" fillId="26" borderId="13" xfId="0" applyFont="1" applyFill="1" applyBorder="1" applyAlignment="1">
      <alignment horizontal="center" vertical="center" wrapText="1"/>
    </xf>
    <xf numFmtId="0" fontId="29" fillId="26" borderId="14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5" xfId="0" applyBorder="1"/>
    <xf numFmtId="1" fontId="31" fillId="0" borderId="0" xfId="31" applyNumberFormat="1" applyFont="1" applyAlignment="1">
      <alignment horizontal="center" vertical="center"/>
    </xf>
    <xf numFmtId="2" fontId="25" fillId="25" borderId="17" xfId="0" applyNumberFormat="1" applyFont="1" applyFill="1" applyBorder="1" applyAlignment="1">
      <alignment horizontal="center" vertical="center" wrapText="1"/>
    </xf>
    <xf numFmtId="2" fontId="25" fillId="25" borderId="18" xfId="0" applyNumberFormat="1" applyFont="1" applyFill="1" applyBorder="1" applyAlignment="1">
      <alignment horizontal="center" vertical="center" wrapText="1"/>
    </xf>
    <xf numFmtId="2" fontId="25" fillId="25" borderId="19" xfId="0" applyNumberFormat="1" applyFont="1" applyFill="1" applyBorder="1" applyAlignment="1">
      <alignment horizontal="center" vertical="center" wrapText="1"/>
    </xf>
    <xf numFmtId="2" fontId="28" fillId="0" borderId="0" xfId="31" applyNumberFormat="1" applyFont="1" applyAlignment="1">
      <alignment horizontal="center"/>
    </xf>
    <xf numFmtId="3" fontId="39" fillId="0" borderId="0" xfId="0" applyNumberFormat="1" applyFont="1" applyFill="1" applyBorder="1" applyAlignment="1">
      <alignment horizontal="center" vertical="center"/>
    </xf>
    <xf numFmtId="2" fontId="32" fillId="0" borderId="0" xfId="0" applyNumberFormat="1" applyFont="1" applyBorder="1" applyAlignment="1">
      <alignment horizontal="center" vertical="center" wrapText="1"/>
    </xf>
    <xf numFmtId="2" fontId="40" fillId="31" borderId="21" xfId="0" applyNumberFormat="1" applyFont="1" applyFill="1" applyBorder="1" applyAlignment="1">
      <alignment horizontal="center" vertical="center" wrapText="1"/>
    </xf>
    <xf numFmtId="2" fontId="40" fillId="31" borderId="22" xfId="0" applyNumberFormat="1" applyFont="1" applyFill="1" applyBorder="1" applyAlignment="1">
      <alignment horizontal="center" vertical="center" wrapText="1"/>
    </xf>
    <xf numFmtId="2" fontId="40" fillId="31" borderId="23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3" fontId="39" fillId="0" borderId="0" xfId="0" applyNumberFormat="1" applyFont="1" applyFill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3" fontId="37" fillId="0" borderId="0" xfId="0" applyNumberFormat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right" vertical="center"/>
    </xf>
    <xf numFmtId="0" fontId="20" fillId="0" borderId="0" xfId="0" applyFont="1" applyAlignment="1">
      <alignment horizontal="right"/>
    </xf>
    <xf numFmtId="14" fontId="41" fillId="0" borderId="0" xfId="0" applyNumberFormat="1" applyFont="1" applyAlignment="1">
      <alignment horizontal="right"/>
    </xf>
    <xf numFmtId="0" fontId="20" fillId="0" borderId="0" xfId="0" applyFont="1"/>
    <xf numFmtId="0" fontId="29" fillId="29" borderId="16" xfId="0" applyFont="1" applyFill="1" applyBorder="1" applyAlignment="1">
      <alignment horizontal="center" vertical="center" wrapText="1"/>
    </xf>
    <xf numFmtId="0" fontId="29" fillId="29" borderId="14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4" fontId="0" fillId="0" borderId="24" xfId="0" applyNumberFormat="1" applyFill="1" applyBorder="1" applyAlignment="1">
      <alignment vertical="center"/>
    </xf>
    <xf numFmtId="4" fontId="0" fillId="0" borderId="25" xfId="0" applyNumberFormat="1" applyFill="1" applyBorder="1" applyAlignment="1">
      <alignment vertical="center"/>
    </xf>
    <xf numFmtId="4" fontId="0" fillId="0" borderId="26" xfId="0" applyNumberFormat="1" applyFill="1" applyBorder="1" applyAlignment="1">
      <alignment vertical="center"/>
    </xf>
    <xf numFmtId="4" fontId="0" fillId="0" borderId="27" xfId="0" applyNumberFormat="1" applyFill="1" applyBorder="1" applyAlignment="1">
      <alignment vertical="center"/>
    </xf>
    <xf numFmtId="0" fontId="29" fillId="28" borderId="16" xfId="0" applyFont="1" applyFill="1" applyBorder="1" applyAlignment="1">
      <alignment horizontal="center" vertical="center" wrapText="1"/>
    </xf>
    <xf numFmtId="0" fontId="29" fillId="28" borderId="1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0" fontId="32" fillId="0" borderId="29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0" fontId="30" fillId="0" borderId="25" xfId="0" applyFont="1" applyFill="1" applyBorder="1" applyAlignment="1">
      <alignment vertical="center"/>
    </xf>
    <xf numFmtId="0" fontId="30" fillId="0" borderId="28" xfId="0" applyFont="1" applyFill="1" applyBorder="1" applyAlignment="1">
      <alignment vertical="center"/>
    </xf>
    <xf numFmtId="0" fontId="30" fillId="0" borderId="27" xfId="0" applyFont="1" applyFill="1" applyBorder="1" applyAlignment="1">
      <alignment vertical="center"/>
    </xf>
    <xf numFmtId="0" fontId="42" fillId="0" borderId="32" xfId="0" applyFont="1" applyFill="1" applyBorder="1" applyAlignment="1">
      <alignment horizontal="center" vertical="center"/>
    </xf>
    <xf numFmtId="0" fontId="43" fillId="0" borderId="33" xfId="0" applyFont="1" applyBorder="1"/>
    <xf numFmtId="0" fontId="0" fillId="0" borderId="33" xfId="0" applyFont="1" applyFill="1" applyBorder="1" applyAlignment="1">
      <alignment vertical="center"/>
    </xf>
    <xf numFmtId="0" fontId="19" fillId="0" borderId="33" xfId="0" applyFont="1" applyBorder="1"/>
    <xf numFmtId="0" fontId="0" fillId="0" borderId="34" xfId="0" applyFont="1" applyFill="1" applyBorder="1" applyAlignment="1">
      <alignment vertical="center"/>
    </xf>
    <xf numFmtId="0" fontId="32" fillId="0" borderId="29" xfId="0" applyFont="1" applyFill="1" applyBorder="1" applyAlignment="1">
      <alignment horizontal="center" vertical="center" wrapText="1"/>
    </xf>
    <xf numFmtId="3" fontId="0" fillId="0" borderId="24" xfId="0" applyNumberFormat="1" applyFill="1" applyBorder="1" applyAlignment="1">
      <alignment vertical="center"/>
    </xf>
    <xf numFmtId="3" fontId="0" fillId="0" borderId="2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28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0" fontId="0" fillId="0" borderId="24" xfId="0" applyNumberFormat="1" applyFill="1" applyBorder="1" applyAlignment="1">
      <alignment vertical="center"/>
    </xf>
    <xf numFmtId="0" fontId="0" fillId="0" borderId="25" xfId="0" applyNumberFormat="1" applyFill="1" applyBorder="1" applyAlignment="1">
      <alignment vertical="center"/>
    </xf>
    <xf numFmtId="2" fontId="0" fillId="0" borderId="25" xfId="0" applyNumberFormat="1" applyFill="1" applyBorder="1" applyAlignment="1">
      <alignment vertical="center"/>
    </xf>
    <xf numFmtId="0" fontId="0" fillId="0" borderId="26" xfId="0" applyNumberFormat="1" applyFill="1" applyBorder="1" applyAlignment="1">
      <alignment vertical="center"/>
    </xf>
    <xf numFmtId="0" fontId="0" fillId="0" borderId="27" xfId="0" applyNumberFormat="1" applyFill="1" applyBorder="1" applyAlignment="1">
      <alignment vertical="center"/>
    </xf>
    <xf numFmtId="0" fontId="0" fillId="0" borderId="25" xfId="0" applyNumberFormat="1" applyFill="1" applyBorder="1" applyAlignment="1">
      <alignment horizontal="center" vertical="center"/>
    </xf>
    <xf numFmtId="0" fontId="33" fillId="27" borderId="29" xfId="0" applyFont="1" applyFill="1" applyBorder="1" applyAlignment="1">
      <alignment horizontal="center" vertical="center" wrapText="1"/>
    </xf>
    <xf numFmtId="0" fontId="33" fillId="27" borderId="30" xfId="0" applyFont="1" applyFill="1" applyBorder="1" applyAlignment="1">
      <alignment horizontal="center" vertical="center" wrapText="1"/>
    </xf>
    <xf numFmtId="0" fontId="33" fillId="27" borderId="3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0" borderId="24" xfId="0" applyFont="1" applyFill="1" applyBorder="1" applyAlignment="1">
      <alignment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2" fontId="35" fillId="0" borderId="0" xfId="0" applyNumberFormat="1" applyFont="1" applyFill="1" applyBorder="1" applyAlignment="1">
      <alignment horizontal="center" vertical="center"/>
    </xf>
    <xf numFmtId="2" fontId="35" fillId="0" borderId="0" xfId="0" applyNumberFormat="1" applyFont="1" applyFill="1" applyAlignment="1">
      <alignment horizontal="center" vertical="center"/>
    </xf>
    <xf numFmtId="0" fontId="44" fillId="0" borderId="35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2" fontId="27" fillId="0" borderId="0" xfId="31" applyNumberFormat="1" applyFont="1" applyAlignment="1">
      <alignment vertical="center"/>
    </xf>
    <xf numFmtId="4" fontId="44" fillId="0" borderId="20" xfId="0" applyNumberFormat="1" applyFont="1" applyBorder="1" applyAlignment="1">
      <alignment horizontal="center" vertical="center"/>
    </xf>
    <xf numFmtId="4" fontId="44" fillId="0" borderId="36" xfId="0" applyNumberFormat="1" applyFont="1" applyBorder="1" applyAlignment="1">
      <alignment horizontal="center" vertical="center"/>
    </xf>
    <xf numFmtId="4" fontId="44" fillId="0" borderId="41" xfId="0" applyNumberFormat="1" applyFont="1" applyBorder="1" applyAlignment="1">
      <alignment horizontal="center" vertical="center"/>
    </xf>
    <xf numFmtId="4" fontId="44" fillId="0" borderId="42" xfId="0" applyNumberFormat="1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2" fontId="31" fillId="0" borderId="0" xfId="31" applyNumberFormat="1" applyFont="1" applyAlignment="1">
      <alignment vertical="center"/>
    </xf>
    <xf numFmtId="4" fontId="45" fillId="0" borderId="38" xfId="0" applyNumberFormat="1" applyFont="1" applyBorder="1" applyAlignment="1">
      <alignment horizontal="left" vertical="center" wrapText="1"/>
    </xf>
    <xf numFmtId="4" fontId="45" fillId="0" borderId="20" xfId="0" applyNumberFormat="1" applyFont="1" applyBorder="1" applyAlignment="1">
      <alignment horizontal="left" vertical="center" wrapText="1"/>
    </xf>
    <xf numFmtId="4" fontId="45" fillId="0" borderId="41" xfId="0" applyNumberFormat="1" applyFont="1" applyBorder="1" applyAlignment="1">
      <alignment horizontal="left" vertical="center" wrapText="1"/>
    </xf>
    <xf numFmtId="1" fontId="31" fillId="0" borderId="0" xfId="31" applyNumberFormat="1" applyFont="1" applyAlignment="1">
      <alignment vertical="center"/>
    </xf>
    <xf numFmtId="0" fontId="30" fillId="0" borderId="33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4" fontId="0" fillId="0" borderId="28" xfId="0" applyNumberFormat="1" applyFill="1" applyBorder="1" applyAlignment="1">
      <alignment vertical="center"/>
    </xf>
    <xf numFmtId="4" fontId="0" fillId="0" borderId="29" xfId="0" applyNumberFormat="1" applyFill="1" applyBorder="1" applyAlignment="1">
      <alignment vertical="center"/>
    </xf>
    <xf numFmtId="4" fontId="0" fillId="0" borderId="31" xfId="0" applyNumberFormat="1" applyFill="1" applyBorder="1" applyAlignment="1">
      <alignment vertical="center"/>
    </xf>
    <xf numFmtId="14" fontId="23" fillId="0" borderId="0" xfId="0" applyNumberFormat="1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30" fillId="0" borderId="24" xfId="0" applyFont="1" applyFill="1" applyBorder="1" applyAlignment="1">
      <alignment vertical="center"/>
    </xf>
    <xf numFmtId="14" fontId="24" fillId="0" borderId="0" xfId="0" applyNumberFormat="1" applyFont="1" applyAlignment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0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alignment horizontal="left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2" formatCode="0.00"/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2" formatCode="0.00"/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2" formatCode="0.00"/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2" formatCode="0.00"/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2" formatCode="0.00"/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2" formatCode="0.00"/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2" formatCode="0.00"/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2" formatCode="0.00"/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2" formatCode="0.00"/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alignment horizontal="right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alignment horizontal="left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alignment horizontal="lef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  <border diagonalUp="0" diagonalDown="0">
        <left style="medium">
          <color indexed="64"/>
        </left>
        <right/>
        <top/>
        <bottom/>
      </border>
    </dxf>
    <dxf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relativeIndent="255" justifyLastLine="0" shrinkToFit="0" mergeCell="0" readingOrder="0"/>
      <border diagonalUp="0" diagonalDown="0">
        <left/>
        <right style="medium">
          <color indexed="64"/>
        </right>
        <top/>
        <bottom/>
      </border>
    </dxf>
    <dxf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relativeIndent="255" justifyLastLine="0" shrinkToFit="0" mergeCell="0" readingOrder="0"/>
      <border diagonalUp="0" diagonalDown="0">
        <left style="medium">
          <color indexed="64"/>
        </left>
        <right/>
        <top/>
        <bottom/>
      </border>
    </dxf>
    <dxf>
      <numFmt numFmtId="164" formatCode="0.000"/>
    </dxf>
    <dxf>
      <numFmt numFmtId="2" formatCode="0.00"/>
    </dxf>
    <dxf>
      <numFmt numFmtId="164" formatCode="0.000"/>
    </dxf>
    <dxf>
      <font>
        <i/>
        <strike val="0"/>
        <outline val="0"/>
        <shadow val="0"/>
        <u val="none"/>
        <vertAlign val="baseline"/>
        <sz val="10"/>
        <color auto="1"/>
        <name val="Arial Cyr"/>
        <scheme val="none"/>
      </font>
      <numFmt numFmtId="4" formatCode="#,##0.00"/>
      <alignment horizontal="left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 Cyr"/>
        <scheme val="none"/>
      </font>
      <numFmt numFmtId="4" formatCode="#,##0.00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 Cyr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 Cyr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color auto="1"/>
        <name val="Arial Cyr"/>
        <scheme val="none"/>
      </font>
      <numFmt numFmtId="4" formatCode="#,##0.00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 Cyr"/>
        <scheme val="none"/>
      </font>
      <numFmt numFmtId="4" formatCode="#,##0.00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 Cyr"/>
        <scheme val="none"/>
      </font>
      <numFmt numFmtId="4" formatCode="#,##0.00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 Cyr"/>
        <scheme val="none"/>
      </font>
      <numFmt numFmtId="4" formatCode="#,##0.00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 Cyr"/>
        <scheme val="none"/>
      </font>
      <alignment horizontal="left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165" formatCode="#,000"/>
      <alignment horizontal="center" vertical="center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Tahoma"/>
        <scheme val="none"/>
      </font>
      <numFmt numFmtId="2" formatCode="0.00"/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  <border diagonalUp="0" diagonalDown="0">
        <left/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numFmt numFmtId="0" formatCode="General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  <border diagonalUp="0" diagonalDown="0">
        <left style="medium">
          <color indexed="64"/>
        </left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  <border diagonalUp="0" diagonalDown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numFmt numFmtId="0" formatCode="General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numFmt numFmtId="0" formatCode="General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  <border diagonalUp="0" diagonalDown="0">
        <left/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  <border diagonalUp="0" diagonalDown="0">
        <left style="medium">
          <color indexed="64"/>
        </left>
        <right/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  <border diagonalUp="0" diagonalDown="0">
        <left/>
        <right style="medium">
          <color indexed="64"/>
        </right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medium">
          <color indexed="64"/>
        </left>
        <right/>
        <top/>
        <bottom/>
      </border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  <border diagonalUp="0" diagonalDown="0">
        <left style="thin">
          <color auto="1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  <border diagonalUp="0" diagonalDown="0">
        <left style="medium">
          <color indexed="64"/>
        </left>
        <right style="thin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none">
          <fgColor indexed="64"/>
          <bgColor auto="1"/>
        </patternFill>
      </fill>
      <alignment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9"/>
        <color auto="1"/>
        <name val="Arial Cyr"/>
        <scheme val="none"/>
      </font>
      <fill>
        <patternFill patternType="none">
          <fgColor indexed="64"/>
          <bgColor auto="1"/>
        </patternFill>
      </fill>
      <alignment horizontal="center" vertical="top" textRotation="0" indent="0" relativeIndent="255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b/>
      </font>
    </dxf>
    <dxf>
      <font>
        <b/>
      </font>
      <alignment horizontal="center" vertical="center" textRotation="0" wrapText="0" indent="0" relativeIndent="255" justifyLastLine="0" shrinkToFit="0" mergeCell="0" readingOrder="0"/>
    </dxf>
    <dxf>
      <font>
        <b/>
      </font>
      <alignment horizontal="center" vertical="center" textRotation="0" wrapText="0" indent="0" relativeIndent="0" justifyLastLine="0" shrinkToFit="0" mergeCell="0" readingOrder="0"/>
    </dxf>
    <dxf>
      <font>
        <b/>
      </font>
      <alignment horizontal="center" vertical="center" textRotation="0" wrapText="0" indent="0" relativeIndent="255" justifyLastLine="0" shrinkToFit="0" mergeCell="0" readingOrder="0"/>
    </dxf>
    <dxf>
      <font>
        <b/>
      </font>
      <alignment horizontal="center" vertical="center" textRotation="0" wrapText="0" indent="0" relativeIndent="0" justifyLastLine="0" shrinkToFit="0" mergeCell="0" readingOrder="0"/>
    </dxf>
    <dxf>
      <numFmt numFmtId="164" formatCode="0.000"/>
      <alignment horizontal="center" vertical="center" textRotation="0" wrapText="0" indent="0" relativeIndent="255" justifyLastLine="0" shrinkToFit="0" mergeCell="0" readingOrder="0"/>
    </dxf>
    <dxf>
      <numFmt numFmtId="164" formatCode="0.000"/>
      <alignment horizontal="center" vertical="center" textRotation="0" wrapText="0" indent="0" relativeIndent="255" justifyLastLine="0" shrinkToFit="0" mergeCell="0" readingOrder="0"/>
    </dxf>
    <dxf>
      <numFmt numFmtId="3" formatCode="#,##0"/>
      <alignment horizontal="center" vertical="center" textRotation="0" wrapText="0" indent="0" relativeIndent="255" justifyLastLine="0" shrinkToFit="0" mergeCell="0" readingOrder="0"/>
    </dxf>
    <dxf>
      <numFmt numFmtId="3" formatCode="#,##0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9"/>
        <color auto="1"/>
        <name val="Arial Cyr"/>
        <scheme val="none"/>
      </font>
      <numFmt numFmtId="2" formatCode="0.00"/>
      <alignment horizontal="center" vertical="center" textRotation="0" wrapText="1" indent="0" relativeIndent="0" justifyLastLine="0" shrinkToFit="0" mergeCell="0" readingOrder="0"/>
    </dxf>
    <dxf>
      <font>
        <b/>
      </font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Arial Cy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mergeCell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/Desktop/&#1052;&#1045;&#1058;&#1040;&#1051;&#1054;%20&#1041;&#1040;&#1047;&#1040;%20&#1072;&#1074;&#1090;&#1086;&#1084;&#1072;&#1090;&#1080;&#1079;&#1072;&#1094;&#1080;&#1103;/&#1041;&#1091;&#1093;&#1075;&#1072;&#1083;&#1090;&#1077;&#1088;&#1080;&#1103;/&#1090;%20056%20&#1074;&#1074;%2019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/Desktop/&#1052;&#1045;&#1058;&#1040;&#1051;&#1054;%20&#1041;&#1040;&#1047;&#1040;%20&#1072;&#1074;&#1090;&#1086;&#1084;&#1072;&#1090;&#1080;&#1079;&#1072;&#1094;&#1080;&#1103;/&#1041;&#1072;&#1079;&#1072;/&#1044;&#1080;&#1079;.%20&#1090;&#1086;&#1087;&#1083;&#1080;&#1074;&#1086;%20&#1042;&#1090;&#1086;&#1088;&#1084;&#1077;&#1090;%20&#1062;&#1072;&#1088;&#1080;&#1094;&#1099;&#1085;&#1086;%202018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ТС"/>
      <sheetName val="Сотрудники"/>
    </sheetNames>
    <sheetDataSet>
      <sheetData sheetId="0">
        <row r="38">
          <cell r="U38">
            <v>-50</v>
          </cell>
        </row>
        <row r="39">
          <cell r="U39">
            <v>-168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отрудники"/>
      <sheetName val="ТС"/>
      <sheetName val="Номер"/>
      <sheetName val="Промитогянварь"/>
    </sheetNames>
    <sheetDataSet>
      <sheetData sheetId="0">
        <row r="4">
          <cell r="E4">
            <v>200</v>
          </cell>
          <cell r="G4" t="str">
            <v>б/н</v>
          </cell>
        </row>
        <row r="5">
          <cell r="E5">
            <v>250</v>
          </cell>
          <cell r="G5" t="str">
            <v>б/н</v>
          </cell>
        </row>
        <row r="6">
          <cell r="E6">
            <v>150</v>
          </cell>
          <cell r="G6" t="str">
            <v>б/н</v>
          </cell>
        </row>
        <row r="7">
          <cell r="E7">
            <v>150</v>
          </cell>
          <cell r="G7" t="str">
            <v>б/н</v>
          </cell>
        </row>
        <row r="8">
          <cell r="E8">
            <v>320</v>
          </cell>
          <cell r="G8" t="str">
            <v>б/н</v>
          </cell>
        </row>
        <row r="9">
          <cell r="E9">
            <v>100</v>
          </cell>
          <cell r="G9" t="str">
            <v>б/н</v>
          </cell>
        </row>
        <row r="10">
          <cell r="E10">
            <v>300</v>
          </cell>
          <cell r="G10" t="str">
            <v>б/н</v>
          </cell>
        </row>
        <row r="11">
          <cell r="E11">
            <v>150</v>
          </cell>
          <cell r="G11" t="str">
            <v>б/н</v>
          </cell>
        </row>
        <row r="12">
          <cell r="E12">
            <v>280</v>
          </cell>
          <cell r="G12" t="str">
            <v>с 546 уо 777</v>
          </cell>
        </row>
        <row r="13">
          <cell r="E13">
            <v>100</v>
          </cell>
          <cell r="G13" t="str">
            <v>б/н</v>
          </cell>
        </row>
        <row r="15">
          <cell r="E15">
            <v>240</v>
          </cell>
          <cell r="G15" t="str">
            <v>в 433 ру 197</v>
          </cell>
        </row>
        <row r="16">
          <cell r="E16">
            <v>200</v>
          </cell>
          <cell r="G16" t="str">
            <v>б/н</v>
          </cell>
        </row>
        <row r="17">
          <cell r="E17">
            <v>300</v>
          </cell>
          <cell r="G17" t="str">
            <v>б/н</v>
          </cell>
        </row>
        <row r="18">
          <cell r="E18">
            <v>100</v>
          </cell>
          <cell r="G18" t="str">
            <v>б/н</v>
          </cell>
        </row>
        <row r="19">
          <cell r="E19">
            <v>310</v>
          </cell>
          <cell r="G19" t="str">
            <v>х 733 ун 197</v>
          </cell>
        </row>
        <row r="20">
          <cell r="E20">
            <v>120</v>
          </cell>
          <cell r="G20" t="str">
            <v>б/н</v>
          </cell>
        </row>
        <row r="21">
          <cell r="E21">
            <v>340</v>
          </cell>
          <cell r="G21" t="str">
            <v>р 908 он 197</v>
          </cell>
        </row>
        <row r="22">
          <cell r="E22">
            <v>100</v>
          </cell>
          <cell r="G22" t="str">
            <v>б/н</v>
          </cell>
        </row>
        <row r="23">
          <cell r="E23">
            <v>170</v>
          </cell>
          <cell r="G23" t="str">
            <v>б/н</v>
          </cell>
        </row>
        <row r="24">
          <cell r="E24">
            <v>100</v>
          </cell>
          <cell r="G24" t="str">
            <v>б/н</v>
          </cell>
        </row>
        <row r="25">
          <cell r="E25">
            <v>150</v>
          </cell>
          <cell r="G25" t="str">
            <v>б/н</v>
          </cell>
        </row>
        <row r="26">
          <cell r="E26">
            <v>400</v>
          </cell>
          <cell r="G26" t="str">
            <v>к 855 ке 197</v>
          </cell>
        </row>
        <row r="27">
          <cell r="E27">
            <v>300</v>
          </cell>
          <cell r="G27" t="str">
            <v>б/н</v>
          </cell>
        </row>
        <row r="28">
          <cell r="E28">
            <v>100</v>
          </cell>
          <cell r="G28" t="str">
            <v>б/н</v>
          </cell>
        </row>
        <row r="29">
          <cell r="E29">
            <v>100</v>
          </cell>
          <cell r="G29" t="str">
            <v>б/н</v>
          </cell>
        </row>
        <row r="30">
          <cell r="E30">
            <v>100</v>
          </cell>
          <cell r="G30" t="str">
            <v>б/н</v>
          </cell>
        </row>
        <row r="31">
          <cell r="E31">
            <v>170</v>
          </cell>
          <cell r="G31" t="str">
            <v>б/н</v>
          </cell>
        </row>
        <row r="32">
          <cell r="E32">
            <v>305</v>
          </cell>
          <cell r="G32" t="str">
            <v>с 546 уо 777</v>
          </cell>
        </row>
        <row r="33">
          <cell r="E33">
            <v>100</v>
          </cell>
          <cell r="G33" t="str">
            <v>б/н</v>
          </cell>
        </row>
        <row r="34">
          <cell r="E34">
            <v>100</v>
          </cell>
          <cell r="G34" t="str">
            <v>б/н</v>
          </cell>
        </row>
        <row r="35">
          <cell r="E35">
            <v>200</v>
          </cell>
          <cell r="G35" t="str">
            <v>б/н</v>
          </cell>
        </row>
        <row r="36">
          <cell r="E36">
            <v>200</v>
          </cell>
          <cell r="G36" t="str">
            <v>в 433 ру 197</v>
          </cell>
        </row>
        <row r="37">
          <cell r="E37">
            <v>100</v>
          </cell>
          <cell r="G37" t="str">
            <v>б/н</v>
          </cell>
        </row>
        <row r="39">
          <cell r="E39">
            <v>150</v>
          </cell>
          <cell r="G39" t="str">
            <v>б/н</v>
          </cell>
        </row>
        <row r="40">
          <cell r="E40">
            <v>195</v>
          </cell>
          <cell r="G40" t="str">
            <v>б/н</v>
          </cell>
        </row>
        <row r="41">
          <cell r="E41">
            <v>410</v>
          </cell>
          <cell r="G41" t="str">
            <v>р 908 он 197</v>
          </cell>
        </row>
        <row r="42">
          <cell r="E42">
            <v>100</v>
          </cell>
          <cell r="G42" t="str">
            <v>б/н</v>
          </cell>
        </row>
        <row r="43">
          <cell r="E43">
            <v>200</v>
          </cell>
          <cell r="G43" t="str">
            <v>б/н</v>
          </cell>
        </row>
        <row r="44">
          <cell r="E44">
            <v>345</v>
          </cell>
          <cell r="G44" t="str">
            <v>х 733 ун 197</v>
          </cell>
        </row>
        <row r="45">
          <cell r="E45">
            <v>230</v>
          </cell>
          <cell r="G45" t="str">
            <v>к 855 ке 197</v>
          </cell>
        </row>
        <row r="46">
          <cell r="E46">
            <v>150</v>
          </cell>
          <cell r="G46" t="str">
            <v>с 546 уо 777</v>
          </cell>
        </row>
        <row r="47">
          <cell r="E47">
            <v>90</v>
          </cell>
          <cell r="G47" t="str">
            <v>р 908 он 197</v>
          </cell>
        </row>
        <row r="48">
          <cell r="E48">
            <v>140</v>
          </cell>
          <cell r="G48" t="str">
            <v>в 433 ру 197</v>
          </cell>
        </row>
        <row r="49">
          <cell r="E49">
            <v>380</v>
          </cell>
          <cell r="G49" t="str">
            <v>т 056 вв 197</v>
          </cell>
        </row>
        <row r="51">
          <cell r="E51">
            <v>170</v>
          </cell>
          <cell r="G51" t="str">
            <v>б/н</v>
          </cell>
        </row>
        <row r="52">
          <cell r="E52">
            <v>250</v>
          </cell>
          <cell r="G52" t="str">
            <v>б/н</v>
          </cell>
        </row>
        <row r="53">
          <cell r="E53">
            <v>230</v>
          </cell>
          <cell r="G53" t="str">
            <v>б/н</v>
          </cell>
        </row>
        <row r="54">
          <cell r="E54">
            <v>30</v>
          </cell>
          <cell r="G54" t="str">
            <v>б/н</v>
          </cell>
        </row>
        <row r="55">
          <cell r="E55">
            <v>250</v>
          </cell>
          <cell r="G55" t="str">
            <v>б/н</v>
          </cell>
        </row>
        <row r="56">
          <cell r="E56">
            <v>190</v>
          </cell>
          <cell r="G56" t="str">
            <v>б/н</v>
          </cell>
        </row>
        <row r="57">
          <cell r="E57">
            <v>100</v>
          </cell>
          <cell r="G57" t="str">
            <v>б/н</v>
          </cell>
        </row>
        <row r="58">
          <cell r="E58">
            <v>280</v>
          </cell>
          <cell r="G58" t="str">
            <v>б/н</v>
          </cell>
        </row>
        <row r="59">
          <cell r="E59">
            <v>310</v>
          </cell>
          <cell r="G59" t="str">
            <v>б/н</v>
          </cell>
        </row>
        <row r="60">
          <cell r="E60">
            <v>280</v>
          </cell>
          <cell r="G60" t="str">
            <v>с 504 уо 777</v>
          </cell>
        </row>
        <row r="61">
          <cell r="E61">
            <v>220</v>
          </cell>
          <cell r="G61" t="str">
            <v>б/н</v>
          </cell>
        </row>
        <row r="62">
          <cell r="E62">
            <v>360</v>
          </cell>
          <cell r="G62" t="str">
            <v>к 463 вт 197</v>
          </cell>
        </row>
        <row r="64">
          <cell r="E64">
            <v>230</v>
          </cell>
          <cell r="G64" t="str">
            <v>в 433 ру 197</v>
          </cell>
        </row>
        <row r="65">
          <cell r="E65">
            <v>300</v>
          </cell>
          <cell r="G65" t="str">
            <v>т 056 вв 197</v>
          </cell>
        </row>
        <row r="66">
          <cell r="E66">
            <v>290</v>
          </cell>
          <cell r="G66" t="str">
            <v>б/н</v>
          </cell>
        </row>
        <row r="67">
          <cell r="E67">
            <v>240</v>
          </cell>
          <cell r="G67" t="str">
            <v>б/н</v>
          </cell>
        </row>
        <row r="68">
          <cell r="E68">
            <v>240</v>
          </cell>
          <cell r="G68" t="str">
            <v>б/н</v>
          </cell>
        </row>
        <row r="69">
          <cell r="E69">
            <v>280</v>
          </cell>
          <cell r="G69" t="str">
            <v>б/н</v>
          </cell>
        </row>
        <row r="70">
          <cell r="E70">
            <v>380</v>
          </cell>
          <cell r="G70" t="str">
            <v>х 733 ун 197</v>
          </cell>
        </row>
        <row r="71">
          <cell r="E71">
            <v>340</v>
          </cell>
          <cell r="G71" t="str">
            <v>р 908 он 197</v>
          </cell>
        </row>
        <row r="72">
          <cell r="E72">
            <v>300</v>
          </cell>
          <cell r="G72" t="str">
            <v>б/н</v>
          </cell>
        </row>
        <row r="73">
          <cell r="E73">
            <v>270</v>
          </cell>
          <cell r="G73" t="str">
            <v>б/н</v>
          </cell>
        </row>
        <row r="74">
          <cell r="E74">
            <v>310</v>
          </cell>
          <cell r="G74" t="str">
            <v>с 504 уо 777</v>
          </cell>
        </row>
        <row r="75">
          <cell r="E75">
            <v>155</v>
          </cell>
          <cell r="G75" t="str">
            <v>б/н</v>
          </cell>
        </row>
        <row r="76">
          <cell r="E76">
            <v>290</v>
          </cell>
          <cell r="G76" t="str">
            <v>б/н</v>
          </cell>
        </row>
        <row r="77">
          <cell r="E77">
            <v>380</v>
          </cell>
          <cell r="G77" t="str">
            <v>к 463 вт 197</v>
          </cell>
        </row>
        <row r="78">
          <cell r="E78">
            <v>220</v>
          </cell>
          <cell r="G78" t="str">
            <v>х 733 ун 197</v>
          </cell>
        </row>
        <row r="80">
          <cell r="E80">
            <v>300</v>
          </cell>
          <cell r="G80" t="str">
            <v>б/н</v>
          </cell>
        </row>
        <row r="81">
          <cell r="E81">
            <v>230</v>
          </cell>
          <cell r="G81" t="str">
            <v>б/н</v>
          </cell>
        </row>
        <row r="82">
          <cell r="E82">
            <v>240</v>
          </cell>
          <cell r="G82" t="str">
            <v>в 433 ру 197</v>
          </cell>
        </row>
        <row r="83">
          <cell r="E83">
            <v>370</v>
          </cell>
          <cell r="G83" t="str">
            <v>т 056 вв 197</v>
          </cell>
        </row>
        <row r="84">
          <cell r="E84">
            <v>360</v>
          </cell>
          <cell r="G84" t="str">
            <v>р 908 он 197</v>
          </cell>
        </row>
        <row r="85">
          <cell r="E85">
            <v>290</v>
          </cell>
          <cell r="G85" t="str">
            <v>б/н</v>
          </cell>
        </row>
        <row r="86">
          <cell r="E86">
            <v>280</v>
          </cell>
          <cell r="G86" t="str">
            <v>с 504 уо 777</v>
          </cell>
        </row>
        <row r="87">
          <cell r="E87">
            <v>240</v>
          </cell>
          <cell r="G87" t="str">
            <v>б/н</v>
          </cell>
        </row>
        <row r="88">
          <cell r="E88">
            <v>180</v>
          </cell>
          <cell r="G88" t="str">
            <v>б/н</v>
          </cell>
        </row>
        <row r="89">
          <cell r="E89">
            <v>50</v>
          </cell>
          <cell r="G89" t="str">
            <v>с 504 уо 777</v>
          </cell>
        </row>
        <row r="90">
          <cell r="E90">
            <v>200</v>
          </cell>
          <cell r="G90" t="str">
            <v>к 463 вт 197</v>
          </cell>
        </row>
        <row r="91">
          <cell r="E91">
            <v>30</v>
          </cell>
          <cell r="G91" t="str">
            <v>х 733 ун 197</v>
          </cell>
        </row>
        <row r="92">
          <cell r="E92">
            <v>250</v>
          </cell>
          <cell r="G92" t="str">
            <v>т 056 вв 197</v>
          </cell>
        </row>
        <row r="93">
          <cell r="E93">
            <v>250</v>
          </cell>
          <cell r="G93" t="str">
            <v>р 908 он 197</v>
          </cell>
        </row>
        <row r="94">
          <cell r="E94">
            <v>140</v>
          </cell>
          <cell r="G94" t="str">
            <v>в 433 ру 197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id="1" name="Информация" displayName="Информация" ref="A8:S27" totalsRowShown="0" headerRowDxfId="85" dataDxfId="84">
  <tableColumns count="19">
    <tableColumn id="1" name="Наименование ТС" dataDxfId="72"/>
    <tableColumn id="2" name="Номер гос регистрации / заводской номер" dataDxfId="71"/>
    <tableColumn id="3" name="Километраж, км" dataDxfId="75"/>
    <tableColumn id="4" name="Спецоборудование, м/ч" dataDxfId="74"/>
    <tableColumn id="5" name="Топливо, литр" dataDxfId="73"/>
    <tableColumn id="6" name="Емкость бака, литр" dataDxfId="86"/>
    <tableColumn id="7" name="на 100 км" dataDxfId="29"/>
    <tableColumn id="8" name="на 1 м/ч" dataDxfId="28"/>
    <tableColumn id="9" name="на 100 км2" dataDxfId="83"/>
    <tableColumn id="10" name="на 1 м/ч3" dataDxfId="82">
      <calculatedColumnFormula>H9*1.1</calculatedColumnFormula>
    </tableColumn>
    <tableColumn id="11" name="километраж, &quot;км&quot;" dataDxfId="27">
      <calculatedColumnFormula>#REF!</calculatedColumnFormula>
    </tableColumn>
    <tableColumn id="12" name="спецоборудование, &quot;м/ч&quot;" dataDxfId="26">
      <calculatedColumnFormula>#REF!</calculatedColumnFormula>
    </tableColumn>
    <tableColumn id="13" name="топливо, &quot;литр&quot;" dataDxfId="25">
      <calculatedColumnFormula>#REF!</calculatedColumnFormula>
    </tableColumn>
    <tableColumn id="14" name="Дата" dataDxfId="81"/>
    <tableColumn id="15" name="на 100 км3" dataDxfId="80"/>
    <tableColumn id="16" name="на 1 м/ч4" dataDxfId="79"/>
    <tableColumn id="17" name="на 100 км25" dataDxfId="78"/>
    <tableColumn id="18" name="на 1 м/ч36" dataDxfId="77"/>
    <tableColumn id="19" name="Примечание" dataDxfId="76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3" name="Показатели" displayName="Показатели" ref="A34:K54" totalsRowCount="1" headerRowDxfId="99" dataDxfId="98" totalsRowDxfId="97" tableBorderDxfId="70">
  <tableColumns count="11">
    <tableColumn id="1" name="Наименование ТС" totalsRowLabel="Итог" dataDxfId="69" totalsRowDxfId="68"/>
    <tableColumn id="2" name="Номер гос регистрации / заводской номер" dataDxfId="67" totalsRowDxfId="66">
      <calculatedColumnFormula>B9</calculatedColumnFormula>
    </tableColumn>
    <tableColumn id="3" name="Километраж, км" dataDxfId="65" totalsRowDxfId="64"/>
    <tableColumn id="4" name="Спецоборудование, м/ч" dataDxfId="63" totalsRowDxfId="62">
      <calculatedColumnFormula>Январь!#REF!+#REF!+#REF!+#REF!+#REF!+#REF!+#REF!+#REF!+#REF!+#REF!+#REF!+#REF!</calculatedColumnFormula>
    </tableColumn>
    <tableColumn id="5" name="Топливо, литр" totalsRowFunction="sum" dataDxfId="61" totalsRowDxfId="60">
      <calculatedColumnFormula>Январь!#REF!+#REF!+#REF!+#REF!+#REF!+#REF!+#REF!+#REF!+#REF!+#REF!+#REF!+#REF!</calculatedColumnFormula>
    </tableColumn>
    <tableColumn id="6" name="Расход топлива по норме, литр" dataDxfId="59" totalsRowDxfId="58">
      <calculatedColumnFormula>Январь!#REF!+#REF!+#REF!+#REF!+#REF!+#REF!+#REF!+#REF!+#REF!+#REF!+#REF!+#REF!</calculatedColumnFormula>
    </tableColumn>
    <tableColumn id="7" name="Фактический расход топлива, литр" totalsRowFunction="sum" dataDxfId="57" totalsRowDxfId="56">
      <calculatedColumnFormula>Январь!#REF!+#REF!+#REF!+#REF!+#REF!+#REF!+#REF!+#REF!+#REF!+#REF!+#REF!+#REF!</calculatedColumnFormula>
    </tableColumn>
    <tableColumn id="8" name="Отклонения от нормы + Перерасход, - экономия, литр" totalsRowFunction="sum" dataDxfId="55" totalsRowDxfId="54">
      <calculatedColumnFormula>G35-F35</calculatedColumnFormula>
    </tableColumn>
    <tableColumn id="9" name="Отклонение от нормы, % " totalsRowFunction="sum" dataDxfId="53" totalsRowDxfId="52">
      <calculatedColumnFormula>ROUND(IF(G35&gt;0,(H35/G35*100),0),2)</calculatedColumnFormula>
    </tableColumn>
    <tableColumn id="10" name="Средний расход топлива" totalsRowFunction="sum" dataDxfId="51" totalsRowDxfId="50">
      <calculatedColumnFormula>ROUND(IF(D35&gt;0,(G35/D35),0),2)</calculatedColumnFormula>
    </tableColumn>
    <tableColumn id="11" name="Средний расход с учетом перехода на зимнее/летнее время за год" totalsRowFunction="count" dataDxfId="49" totalsRowDxfId="48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id="5" name="Движение_ДТ" displayName="Движение_ДТ" ref="A59:G71" totalsRowShown="0" headerRowDxfId="35" dataDxfId="39" headerRowBorderDxfId="37" tableBorderDxfId="38" totalsRowBorderDxfId="36">
  <tableColumns count="7">
    <tableColumn id="1" name="Месяц" dataDxfId="44"/>
    <tableColumn id="2" name="ТК ПРЕИМУЩЕСТВО + ТД &quot;ПАРТНЕР&quot;" dataDxfId="43"/>
    <tableColumn id="3" name="РН-КАРТ" dataDxfId="42"/>
    <tableColumn id="4" name="Газпромнефть" dataDxfId="41"/>
    <tableColumn id="5" name="Ав.отчет" dataDxfId="40"/>
    <tableColumn id="6" name="Сумма" dataDxfId="34">
      <calculatedColumnFormula>SUM(Движение_ДТ[[#This Row],[ТК ПРЕИМУЩЕСТВО + ТД "ПАРТНЕР"]:[Газпромнефть]])</calculatedColumnFormula>
    </tableColumn>
    <tableColumn id="7" name="Примечание" dataDxfId="33"/>
  </tableColumns>
  <tableStyleInfo name="TableStyleDark6" showFirstColumn="0" showLastColumn="0" showRowStripes="1" showColumnStripes="0"/>
</table>
</file>

<file path=xl/tables/table4.xml><?xml version="1.0" encoding="utf-8"?>
<table xmlns="http://schemas.openxmlformats.org/spreadsheetml/2006/main" id="2" name="Январь" displayName="Январь" ref="A5:Y25" totalsRowCount="1" headerRowDxfId="47" dataDxfId="46" totalsRowDxfId="45">
  <tableColumns count="25">
    <tableColumn id="1" name="Наименование транспортного средства" totalsRowLabel="Итог" totalsRowDxfId="24">
      <calculatedColumnFormula>Информация!A9</calculatedColumnFormula>
    </tableColumn>
    <tableColumn id="2" name="Номер государственной регистрации" totalsRowDxfId="23">
      <calculatedColumnFormula>Информация!B9</calculatedColumnFormula>
    </tableColumn>
    <tableColumn id="3" name="Показание одометра на начало месяца,км" totalsRowDxfId="22">
      <calculatedColumnFormula>Информация!C9</calculatedColumnFormula>
    </tableColumn>
    <tableColumn id="4" name="Показание одометра на конец месяца,км" totalsRowDxfId="21"/>
    <tableColumn id="5" name="Пройдено за месяц, км" totalsRowDxfId="20">
      <calculatedColumnFormula>Январь[[#This Row],[Показание одометра на конец месяца,км]]-Январь[[#This Row],[Показание одометра на начало месяца,км]]+Январь[[#This Row],[Дополнительные, км]]</calculatedColumnFormula>
    </tableColumn>
    <tableColumn id="6" name="Показание счетчика моточасов на начало месяца, м/ч" totalsRowDxfId="19">
      <calculatedColumnFormula>Информация!D9</calculatedColumnFormula>
    </tableColumn>
    <tableColumn id="7" name="Показание счетчика моточасов на конец месяца, м/ч" totalsRowDxfId="18"/>
    <tableColumn id="8" name="Отработано за месяц, м/ч" totalsRowDxfId="17">
      <calculatedColumnFormula>Январь[[#This Row],[Показание счетчика моточасов на конец месяца, м/ч]]-Январь[[#This Row],[Показание счетчика моточасов на начало месяца, м/ч]]</calculatedColumnFormula>
    </tableColumn>
    <tableColumn id="9" name="Остаток топлива в баке на начало месяца,  литр" totalsRowFunction="sum" totalsRowDxfId="16">
      <calculatedColumnFormula>Информация!E9</calculatedColumnFormula>
    </tableColumn>
    <tableColumn id="10" name="Выдано топливо за месяц, литр" totalsRowFunction="sum" totalsRowDxfId="15">
      <calculatedColumnFormula>Январь[[#This Row],[Выдано топливо за месяц (данные Стребкова Р.Ю.), литр]]+Январь[[#This Row],[Расхождение данных]]</calculatedColumnFormula>
    </tableColumn>
    <tableColumn id="11" name="Выдано топливо за месяц (данные Стребкова Р.Ю.), литр" totalsRowFunction="sum" totalsRowDxfId="14">
      <calculatedColumnFormula>SUMPRODUCT([2]январь!$E$4:$E$153*([2]январь!$G$4:$G$153=Январь[[#This Row],[Номер государственной регистрации]]))</calculatedColumnFormula>
    </tableColumn>
    <tableColumn id="12" name="Расхождение данных" totalsRowFunction="sum" totalsRowDxfId="13"/>
    <tableColumn id="13" name="Расход топлива по норме на 100км., литр" dataDxfId="32" totalsRowDxfId="12">
      <calculatedColumnFormula>Информация!I9</calculatedColumnFormula>
    </tableColumn>
    <tableColumn id="14" name="Расход топлива по норме на 1м/ч, литр" dataDxfId="31" totalsRowDxfId="11">
      <calculatedColumnFormula>Информация!J9</calculatedColumnFormula>
    </tableColumn>
    <tableColumn id="15" name="Расход топлива по норме, литр" totalsRowFunction="sum" dataDxfId="30" totalsRowDxfId="10">
      <calculatedColumnFormula>ROUND(((Январь[[#This Row],[Пройдено за месяц, км]]*Январь[[#This Row],[Расход топлива по норме на 100км., литр]]*0.01)+(Январь[[#This Row],[Отработано за месяц, м/ч]]*Январь[[#This Row],[Расход топлива по норме на 1м/ч, литр]])),3)</calculatedColumnFormula>
    </tableColumn>
    <tableColumn id="16" name="Фактический расход топлива, литр" totalsRowFunction="sum" totalsRowDxfId="9">
      <calculatedColumnFormula>Январь[[#This Row],[Остаток топлива в баке на начало месяца,  литр]]+Январь[[#This Row],[Выдано топливо за месяц, литр]]-Январь[[#This Row],[Остаток топлива в баке на конец месяца, литр]]</calculatedColumnFormula>
    </tableColumn>
    <tableColumn id="17" name="Остаток топлива в баке на конец месяца, литр" totalsRowFunction="sum" totalsRowDxfId="8">
      <calculatedColumnFormula>Информация!F9</calculatedColumnFormula>
    </tableColumn>
    <tableColumn id="18" name="Отклонение от нормы + Перерасход, - экономия, литр" totalsRowFunction="sum" totalsRowDxfId="7">
      <calculatedColumnFormula>Январь[[#This Row],[Фактический расход топлива, литр]]-Январь[[#This Row],[Расход топлива по норме, литр]]</calculatedColumnFormula>
    </tableColumn>
    <tableColumn id="19" name="Моторные масла, на 100 км - 4,5л. " totalsRowFunction="sum" totalsRowDxfId="6">
      <calculatedColumnFormula>Январь[[#This Row],[Пройдено за месяц, км]]/100*4.5</calculatedColumnFormula>
    </tableColumn>
    <tableColumn id="20" name="Трансмиссионные и гидравлические масла, на 100 км. -0,5л. " totalsRowFunction="sum" totalsRowDxfId="5">
      <calculatedColumnFormula>Январь[[#This Row],[Пройдено за месяц, км]]/100*0.5</calculatedColumnFormula>
    </tableColumn>
    <tableColumn id="21" name="Специальные масла, жидкости, на 100 км. -1,0л. " totalsRowFunction="sum" totalsRowDxfId="4">
      <calculatedColumnFormula>Январь[[#This Row],[Пройдено за месяц, км]]/100*1</calculatedColumnFormula>
    </tableColumn>
    <tableColumn id="22" name="Пластичные (консистентые), на 100 км - 0,2кг." totalsRowFunction="sum" totalsRowDxfId="3">
      <calculatedColumnFormula>Январь[[#This Row],[Пройдено за месяц, км]]/100*0.2</calculatedColumnFormula>
    </tableColumn>
    <tableColumn id="23" name="% Перерасхода(+) /Экономии(-) диз.топлива" totalsRowFunction="sum" totalsRowDxfId="2">
      <calculatedColumnFormula>IF(Январь[[#This Row],[Выдано топливо за месяц, литр]]=0,"",ROUND(Январь[[#This Row],[Отклонение от нормы + Перерасход, - экономия, литр]]/Январь[[#This Row],[Фактический расход топлива, литр]],2)*100)</calculatedColumnFormula>
    </tableColumn>
    <tableColumn id="24" name="Примечание" totalsRowDxfId="1"/>
    <tableColumn id="25" name="Дополнительные, км" totalsRowFunction="sum" totalsRowDxfId="0"/>
  </tableColumns>
  <tableStyleInfo name="TableStyleMedium25" showFirstColumn="0" showLastColumn="0" showRowStripes="1" showColumnStripes="0"/>
</table>
</file>

<file path=xl/tables/table5.xml><?xml version="1.0" encoding="utf-8"?>
<table xmlns="http://schemas.openxmlformats.org/spreadsheetml/2006/main" id="4" name="Расчет" displayName="Расчет" ref="AA5:AD23" totalsRowCount="1" headerRowDxfId="96" totalsRowDxfId="87">
  <tableColumns count="4">
    <tableColumn id="1" name="Пройдено за месяц, км" totalsRowLabel="Итог" dataDxfId="95" totalsRowDxfId="91">
      <calculatedColumnFormula>IF(Январь[[#This Row],[Пройдено за месяц, км]]&gt;0,Январь[[#This Row],[Пройдено за месяц, км]],0)</calculatedColumnFormula>
    </tableColumn>
    <tableColumn id="2" name="Отработано за месяц, м/ч" dataDxfId="94" totalsRowDxfId="90">
      <calculatedColumnFormula>IF(Январь[[#This Row],[Отработано за месяц, м/ч]]&gt;0,Январь[[#This Row],[Отработано за месяц, м/ч]],0)</calculatedColumnFormula>
    </tableColumn>
    <tableColumn id="3" name="Расход топлива по норме, литр" totalsRowFunction="sum" dataDxfId="93" totalsRowDxfId="89">
      <calculatedColumnFormula>ROUND(IF(Январь[[#This Row],[Расход топлива по норме, литр]]&gt;0,Январь[[#This Row],[Расход топлива по норме, литр]],0),2)</calculatedColumnFormula>
    </tableColumn>
    <tableColumn id="4" name="Фактический расход топлива, литр" totalsRowFunction="sum" dataDxfId="92" totalsRowDxfId="88">
      <calculatedColumnFormula>IF(Январь[[#This Row],[Фактический расход топлива, литр]]&gt;0,Январь[[#This Row],[Фактический расход топлива, литр]],0)</calculatedColumnFormula>
    </tableColumn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1"/>
  <sheetViews>
    <sheetView zoomScale="80" zoomScaleNormal="80" workbookViewId="0">
      <selection activeCell="O31" sqref="O31"/>
    </sheetView>
  </sheetViews>
  <sheetFormatPr defaultRowHeight="12.75"/>
  <cols>
    <col min="1" max="1" width="15.140625" customWidth="1"/>
    <col min="2" max="2" width="17.85546875" customWidth="1"/>
    <col min="3" max="3" width="12.42578125" customWidth="1"/>
    <col min="4" max="4" width="18.7109375" customWidth="1"/>
    <col min="5" max="5" width="11.85546875" customWidth="1"/>
    <col min="6" max="6" width="11.7109375" customWidth="1"/>
    <col min="7" max="8" width="12.7109375" customWidth="1"/>
    <col min="9" max="9" width="12" customWidth="1"/>
    <col min="10" max="10" width="9" customWidth="1"/>
    <col min="11" max="11" width="14.28515625" customWidth="1"/>
    <col min="12" max="12" width="10.140625" customWidth="1"/>
    <col min="13" max="13" width="11.7109375" customWidth="1"/>
    <col min="14" max="14" width="11.5703125" customWidth="1"/>
    <col min="15" max="18" width="5.7109375" customWidth="1"/>
    <col min="19" max="19" width="53.140625" customWidth="1"/>
  </cols>
  <sheetData>
    <row r="1" spans="1:19" s="5" customFormat="1" ht="18.75">
      <c r="A1" s="64" t="s">
        <v>42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9" s="5" customFormat="1" ht="15">
      <c r="A2" s="65" t="s">
        <v>28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9" s="5" customFormat="1" ht="15">
      <c r="A3" s="65" t="s">
        <v>32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9" s="5" customFormat="1" ht="15">
      <c r="A4" s="65" t="s">
        <v>41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9" ht="6" customHeight="1" thickBot="1">
      <c r="A5" s="66"/>
      <c r="B5" s="66"/>
      <c r="C5" s="66"/>
      <c r="D5" s="66"/>
      <c r="E5" s="66"/>
      <c r="F5" s="66"/>
      <c r="G5" s="66"/>
      <c r="H5" s="66"/>
      <c r="I5" s="66"/>
      <c r="J5" s="66"/>
      <c r="K5" s="10"/>
      <c r="L5" s="10"/>
      <c r="M5" s="10"/>
    </row>
    <row r="6" spans="1:19" ht="12.75" customHeight="1" thickBot="1">
      <c r="A6" s="19"/>
      <c r="B6" s="19"/>
      <c r="C6" s="33"/>
      <c r="D6" s="33"/>
      <c r="E6" s="33"/>
      <c r="F6" s="33"/>
      <c r="G6" s="70" t="s">
        <v>34</v>
      </c>
      <c r="H6" s="71"/>
      <c r="I6" s="71"/>
      <c r="J6" s="72"/>
      <c r="K6" s="33"/>
      <c r="L6" s="33"/>
      <c r="M6" s="33"/>
    </row>
    <row r="7" spans="1:19" ht="15.75" customHeight="1" thickBot="1">
      <c r="A7" s="19"/>
      <c r="B7" s="19"/>
      <c r="C7" s="67" t="s">
        <v>24</v>
      </c>
      <c r="D7" s="68"/>
      <c r="E7" s="69"/>
      <c r="F7" s="19"/>
      <c r="G7" s="108" t="s">
        <v>19</v>
      </c>
      <c r="H7" s="109"/>
      <c r="I7" s="100" t="s">
        <v>18</v>
      </c>
      <c r="J7" s="101"/>
      <c r="K7" s="67" t="s">
        <v>40</v>
      </c>
      <c r="L7" s="73"/>
      <c r="M7" s="74"/>
    </row>
    <row r="8" spans="1:19" ht="57.75" customHeight="1" thickBot="1">
      <c r="A8" s="127" t="s">
        <v>23</v>
      </c>
      <c r="B8" s="117" t="s">
        <v>72</v>
      </c>
      <c r="C8" s="127" t="s">
        <v>73</v>
      </c>
      <c r="D8" s="116" t="s">
        <v>74</v>
      </c>
      <c r="E8" s="117" t="s">
        <v>75</v>
      </c>
      <c r="F8" s="27" t="s">
        <v>76</v>
      </c>
      <c r="G8" s="102" t="s">
        <v>20</v>
      </c>
      <c r="H8" s="103" t="s">
        <v>21</v>
      </c>
      <c r="I8" s="102" t="s">
        <v>54</v>
      </c>
      <c r="J8" s="103" t="s">
        <v>55</v>
      </c>
      <c r="K8" s="102" t="s">
        <v>70</v>
      </c>
      <c r="L8" s="27" t="s">
        <v>69</v>
      </c>
      <c r="M8" s="103" t="s">
        <v>71</v>
      </c>
      <c r="N8" s="115" t="s">
        <v>81</v>
      </c>
      <c r="O8" s="116" t="s">
        <v>77</v>
      </c>
      <c r="P8" s="116" t="s">
        <v>78</v>
      </c>
      <c r="Q8" s="116" t="s">
        <v>79</v>
      </c>
      <c r="R8" s="117" t="s">
        <v>80</v>
      </c>
      <c r="S8" s="122" t="s">
        <v>52</v>
      </c>
    </row>
    <row r="9" spans="1:19">
      <c r="A9" s="133" t="s">
        <v>3</v>
      </c>
      <c r="B9" s="134" t="s">
        <v>56</v>
      </c>
      <c r="C9" s="128">
        <v>209024</v>
      </c>
      <c r="D9" s="37">
        <v>620</v>
      </c>
      <c r="E9" s="129">
        <v>500</v>
      </c>
      <c r="F9" s="37">
        <v>500</v>
      </c>
      <c r="G9" s="168">
        <f>42.6*1.1</f>
        <v>46.860000000000007</v>
      </c>
      <c r="H9" s="169">
        <f>5*1.1</f>
        <v>5.5</v>
      </c>
      <c r="I9" s="38">
        <f>G9*1.1</f>
        <v>51.546000000000014</v>
      </c>
      <c r="J9" s="38">
        <f>H9*1.1</f>
        <v>6.0500000000000007</v>
      </c>
      <c r="K9" s="172" t="e">
        <f>#REF!</f>
        <v>#REF!</v>
      </c>
      <c r="L9" s="173" t="e">
        <f>#REF!</f>
        <v>#REF!</v>
      </c>
      <c r="M9" s="174" t="e">
        <f>#REF!</f>
        <v>#REF!</v>
      </c>
      <c r="N9" s="165"/>
      <c r="O9" s="118"/>
      <c r="P9" s="118"/>
      <c r="Q9" s="118"/>
      <c r="R9" s="119"/>
      <c r="S9" s="123" t="s">
        <v>107</v>
      </c>
    </row>
    <row r="10" spans="1:19">
      <c r="A10" s="133" t="s">
        <v>3</v>
      </c>
      <c r="B10" s="134" t="s">
        <v>57</v>
      </c>
      <c r="C10" s="128">
        <v>165140</v>
      </c>
      <c r="D10" s="37">
        <v>568</v>
      </c>
      <c r="E10" s="129">
        <v>500</v>
      </c>
      <c r="F10" s="37">
        <v>500</v>
      </c>
      <c r="G10" s="104">
        <f>42.6*1.1</f>
        <v>46.860000000000007</v>
      </c>
      <c r="H10" s="105">
        <f>5*1.1</f>
        <v>5.5</v>
      </c>
      <c r="I10" s="38">
        <f t="shared" ref="I10:I20" si="0">G10*1.1</f>
        <v>51.546000000000014</v>
      </c>
      <c r="J10" s="38">
        <f t="shared" ref="J10:J20" si="1">H10*1.1</f>
        <v>6.0500000000000007</v>
      </c>
      <c r="K10" s="110" t="e">
        <f>#REF!</f>
        <v>#REF!</v>
      </c>
      <c r="L10" s="32" t="e">
        <f>#REF!</f>
        <v>#REF!</v>
      </c>
      <c r="M10" s="111" t="e">
        <f>#REF!</f>
        <v>#REF!</v>
      </c>
      <c r="N10" s="165"/>
      <c r="O10" s="118"/>
      <c r="P10" s="118"/>
      <c r="Q10" s="118"/>
      <c r="R10" s="119"/>
      <c r="S10" s="123" t="s">
        <v>107</v>
      </c>
    </row>
    <row r="11" spans="1:19">
      <c r="A11" s="133" t="s">
        <v>3</v>
      </c>
      <c r="B11" s="134" t="s">
        <v>58</v>
      </c>
      <c r="C11" s="128">
        <v>86179</v>
      </c>
      <c r="D11" s="37">
        <v>3175</v>
      </c>
      <c r="E11" s="129">
        <v>300</v>
      </c>
      <c r="F11" s="37">
        <v>300</v>
      </c>
      <c r="G11" s="104">
        <v>42.6</v>
      </c>
      <c r="H11" s="105">
        <v>5</v>
      </c>
      <c r="I11" s="38">
        <f t="shared" si="0"/>
        <v>46.860000000000007</v>
      </c>
      <c r="J11" s="38">
        <f t="shared" si="1"/>
        <v>5.5</v>
      </c>
      <c r="K11" s="110" t="e">
        <f>#REF!</f>
        <v>#REF!</v>
      </c>
      <c r="L11" s="32" t="e">
        <f>#REF!</f>
        <v>#REF!</v>
      </c>
      <c r="M11" s="111" t="e">
        <f>#REF!</f>
        <v>#REF!</v>
      </c>
      <c r="N11" s="165"/>
      <c r="O11" s="118"/>
      <c r="P11" s="118"/>
      <c r="Q11" s="118"/>
      <c r="R11" s="119"/>
      <c r="S11" s="123" t="s">
        <v>108</v>
      </c>
    </row>
    <row r="12" spans="1:19">
      <c r="A12" s="133" t="s">
        <v>3</v>
      </c>
      <c r="B12" s="134" t="s">
        <v>59</v>
      </c>
      <c r="C12" s="128">
        <v>182893</v>
      </c>
      <c r="D12" s="37">
        <v>537</v>
      </c>
      <c r="E12" s="129">
        <v>500</v>
      </c>
      <c r="F12" s="37">
        <v>500</v>
      </c>
      <c r="G12" s="104">
        <f t="shared" ref="G12" si="2">42.6*1.1</f>
        <v>46.860000000000007</v>
      </c>
      <c r="H12" s="105">
        <f t="shared" ref="H12" si="3">5*1.1</f>
        <v>5.5</v>
      </c>
      <c r="I12" s="38">
        <f t="shared" si="0"/>
        <v>51.546000000000014</v>
      </c>
      <c r="J12" s="38">
        <f t="shared" si="1"/>
        <v>6.0500000000000007</v>
      </c>
      <c r="K12" s="110" t="e">
        <f>#REF!</f>
        <v>#REF!</v>
      </c>
      <c r="L12" s="32" t="e">
        <f>#REF!</f>
        <v>#REF!</v>
      </c>
      <c r="M12" s="111" t="e">
        <f>#REF!</f>
        <v>#REF!</v>
      </c>
      <c r="N12" s="165"/>
      <c r="O12" s="118"/>
      <c r="P12" s="118"/>
      <c r="Q12" s="118"/>
      <c r="R12" s="119"/>
      <c r="S12" s="123" t="s">
        <v>107</v>
      </c>
    </row>
    <row r="13" spans="1:19">
      <c r="A13" s="133" t="s">
        <v>3</v>
      </c>
      <c r="B13" s="134" t="s">
        <v>60</v>
      </c>
      <c r="C13" s="128">
        <v>143357</v>
      </c>
      <c r="D13" s="37">
        <v>332</v>
      </c>
      <c r="E13" s="129">
        <v>500</v>
      </c>
      <c r="F13" s="37">
        <v>500</v>
      </c>
      <c r="G13" s="104">
        <f>42.6*1.05</f>
        <v>44.730000000000004</v>
      </c>
      <c r="H13" s="105">
        <f>5*1.05</f>
        <v>5.25</v>
      </c>
      <c r="I13" s="38">
        <f t="shared" si="0"/>
        <v>49.20300000000001</v>
      </c>
      <c r="J13" s="38">
        <f t="shared" si="1"/>
        <v>5.7750000000000004</v>
      </c>
      <c r="K13" s="110" t="e">
        <f>#REF!</f>
        <v>#REF!</v>
      </c>
      <c r="L13" s="32" t="e">
        <f>#REF!</f>
        <v>#REF!</v>
      </c>
      <c r="M13" s="111" t="e">
        <f>#REF!</f>
        <v>#REF!</v>
      </c>
      <c r="N13" s="170">
        <v>43221</v>
      </c>
      <c r="O13" s="118">
        <f>42.6*1.1</f>
        <v>46.860000000000007</v>
      </c>
      <c r="P13" s="118">
        <f>5*1.1</f>
        <v>5.5</v>
      </c>
      <c r="Q13" s="118">
        <f>O13*1.1</f>
        <v>51.546000000000014</v>
      </c>
      <c r="R13" s="119">
        <f>P13*1.1</f>
        <v>6.0500000000000007</v>
      </c>
      <c r="S13" s="123" t="s">
        <v>108</v>
      </c>
    </row>
    <row r="14" spans="1:19">
      <c r="A14" s="133" t="s">
        <v>3</v>
      </c>
      <c r="B14" s="134" t="s">
        <v>61</v>
      </c>
      <c r="C14" s="128">
        <v>23190</v>
      </c>
      <c r="D14" s="37">
        <v>1306</v>
      </c>
      <c r="E14" s="129">
        <v>0</v>
      </c>
      <c r="F14" s="37">
        <v>350</v>
      </c>
      <c r="G14" s="104">
        <v>42.6</v>
      </c>
      <c r="H14" s="105">
        <v>5</v>
      </c>
      <c r="I14" s="38">
        <f t="shared" ref="I14:J16" si="4">G14*1.1</f>
        <v>46.860000000000007</v>
      </c>
      <c r="J14" s="38">
        <f t="shared" si="4"/>
        <v>5.5</v>
      </c>
      <c r="K14" s="110" t="e">
        <f>#REF!</f>
        <v>#REF!</v>
      </c>
      <c r="L14" s="32" t="e">
        <f>#REF!</f>
        <v>#REF!</v>
      </c>
      <c r="M14" s="111" t="e">
        <f>#REF!</f>
        <v>#REF!</v>
      </c>
      <c r="N14" s="165"/>
      <c r="O14" s="118"/>
      <c r="P14" s="118"/>
      <c r="Q14" s="118"/>
      <c r="R14" s="119"/>
      <c r="S14" s="124"/>
    </row>
    <row r="15" spans="1:19">
      <c r="A15" s="133" t="s">
        <v>3</v>
      </c>
      <c r="B15" s="134" t="s">
        <v>62</v>
      </c>
      <c r="C15" s="128">
        <v>35177</v>
      </c>
      <c r="D15" s="37">
        <v>1228</v>
      </c>
      <c r="E15" s="129">
        <v>0</v>
      </c>
      <c r="F15" s="37">
        <v>350</v>
      </c>
      <c r="G15" s="104">
        <v>42.6</v>
      </c>
      <c r="H15" s="105">
        <v>5</v>
      </c>
      <c r="I15" s="38">
        <f t="shared" si="4"/>
        <v>46.860000000000007</v>
      </c>
      <c r="J15" s="38">
        <f t="shared" si="4"/>
        <v>5.5</v>
      </c>
      <c r="K15" s="110" t="e">
        <f>#REF!</f>
        <v>#REF!</v>
      </c>
      <c r="L15" s="32" t="e">
        <f>#REF!</f>
        <v>#REF!</v>
      </c>
      <c r="M15" s="111" t="e">
        <f>#REF!</f>
        <v>#REF!</v>
      </c>
      <c r="N15" s="165"/>
      <c r="O15" s="118"/>
      <c r="P15" s="118"/>
      <c r="Q15" s="118"/>
      <c r="R15" s="119"/>
      <c r="S15" s="124"/>
    </row>
    <row r="16" spans="1:19">
      <c r="A16" s="133" t="s">
        <v>3</v>
      </c>
      <c r="B16" s="135" t="s">
        <v>63</v>
      </c>
      <c r="C16" s="128">
        <v>157017</v>
      </c>
      <c r="D16" s="37">
        <v>5373</v>
      </c>
      <c r="E16" s="129">
        <v>66</v>
      </c>
      <c r="F16" s="37">
        <v>500</v>
      </c>
      <c r="G16" s="104">
        <f t="shared" ref="G16:G20" si="5">42.6*1.1</f>
        <v>46.860000000000007</v>
      </c>
      <c r="H16" s="105">
        <f t="shared" ref="H16:H20" si="6">5*1.1</f>
        <v>5.5</v>
      </c>
      <c r="I16" s="38">
        <f t="shared" si="4"/>
        <v>51.546000000000014</v>
      </c>
      <c r="J16" s="38">
        <f t="shared" si="4"/>
        <v>6.0500000000000007</v>
      </c>
      <c r="K16" s="110" t="e">
        <f>#REF!</f>
        <v>#REF!</v>
      </c>
      <c r="L16" s="32" t="e">
        <f>#REF!</f>
        <v>#REF!</v>
      </c>
      <c r="M16" s="111" t="e">
        <f>#REF!</f>
        <v>#REF!</v>
      </c>
      <c r="N16" s="165"/>
      <c r="O16" s="118"/>
      <c r="P16" s="118"/>
      <c r="Q16" s="118"/>
      <c r="R16" s="119"/>
      <c r="S16" s="124"/>
    </row>
    <row r="17" spans="1:19">
      <c r="A17" s="133" t="s">
        <v>3</v>
      </c>
      <c r="B17" s="134" t="s">
        <v>64</v>
      </c>
      <c r="C17" s="128">
        <v>163420</v>
      </c>
      <c r="D17" s="37">
        <v>85</v>
      </c>
      <c r="E17" s="129">
        <v>500</v>
      </c>
      <c r="F17" s="37">
        <v>500</v>
      </c>
      <c r="G17" s="104">
        <f t="shared" si="5"/>
        <v>46.860000000000007</v>
      </c>
      <c r="H17" s="105">
        <f t="shared" si="6"/>
        <v>5.5</v>
      </c>
      <c r="I17" s="38">
        <f t="shared" si="0"/>
        <v>51.546000000000014</v>
      </c>
      <c r="J17" s="38">
        <f t="shared" si="1"/>
        <v>6.0500000000000007</v>
      </c>
      <c r="K17" s="110" t="e">
        <f>#REF!</f>
        <v>#REF!</v>
      </c>
      <c r="L17" s="32" t="e">
        <f>#REF!</f>
        <v>#REF!</v>
      </c>
      <c r="M17" s="111" t="e">
        <f>#REF!</f>
        <v>#REF!</v>
      </c>
      <c r="N17" s="165"/>
      <c r="O17" s="118"/>
      <c r="P17" s="118"/>
      <c r="Q17" s="118"/>
      <c r="R17" s="119"/>
      <c r="S17" s="125" t="s">
        <v>107</v>
      </c>
    </row>
    <row r="18" spans="1:19">
      <c r="A18" s="133" t="s">
        <v>3</v>
      </c>
      <c r="B18" s="134" t="s">
        <v>65</v>
      </c>
      <c r="C18" s="128">
        <v>176352</v>
      </c>
      <c r="D18" s="37">
        <v>314</v>
      </c>
      <c r="E18" s="129">
        <v>500</v>
      </c>
      <c r="F18" s="37">
        <v>500</v>
      </c>
      <c r="G18" s="104">
        <f t="shared" si="5"/>
        <v>46.860000000000007</v>
      </c>
      <c r="H18" s="105">
        <f t="shared" si="6"/>
        <v>5.5</v>
      </c>
      <c r="I18" s="38">
        <f t="shared" si="0"/>
        <v>51.546000000000014</v>
      </c>
      <c r="J18" s="38">
        <f t="shared" si="1"/>
        <v>6.0500000000000007</v>
      </c>
      <c r="K18" s="110" t="e">
        <f>#REF!</f>
        <v>#REF!</v>
      </c>
      <c r="L18" s="32" t="e">
        <f>#REF!</f>
        <v>#REF!</v>
      </c>
      <c r="M18" s="111" t="e">
        <f>#REF!</f>
        <v>#REF!</v>
      </c>
      <c r="N18" s="165"/>
      <c r="O18" s="118"/>
      <c r="P18" s="118"/>
      <c r="Q18" s="118"/>
      <c r="R18" s="119"/>
      <c r="S18" s="125" t="s">
        <v>107</v>
      </c>
    </row>
    <row r="19" spans="1:19">
      <c r="A19" s="133" t="s">
        <v>3</v>
      </c>
      <c r="B19" s="134" t="s">
        <v>66</v>
      </c>
      <c r="C19" s="128">
        <v>166467</v>
      </c>
      <c r="D19" s="37">
        <v>1010</v>
      </c>
      <c r="E19" s="129">
        <v>500</v>
      </c>
      <c r="F19" s="37">
        <v>500</v>
      </c>
      <c r="G19" s="104">
        <f t="shared" si="5"/>
        <v>46.860000000000007</v>
      </c>
      <c r="H19" s="105">
        <f t="shared" si="6"/>
        <v>5.5</v>
      </c>
      <c r="I19" s="38">
        <f t="shared" si="0"/>
        <v>51.546000000000014</v>
      </c>
      <c r="J19" s="38">
        <f t="shared" si="1"/>
        <v>6.0500000000000007</v>
      </c>
      <c r="K19" s="110" t="e">
        <f>#REF!</f>
        <v>#REF!</v>
      </c>
      <c r="L19" s="32" t="e">
        <f>#REF!</f>
        <v>#REF!</v>
      </c>
      <c r="M19" s="111" t="e">
        <f>#REF!</f>
        <v>#REF!</v>
      </c>
      <c r="N19" s="165"/>
      <c r="O19" s="118"/>
      <c r="P19" s="118"/>
      <c r="Q19" s="118"/>
      <c r="R19" s="119"/>
      <c r="S19" s="125" t="s">
        <v>107</v>
      </c>
    </row>
    <row r="20" spans="1:19">
      <c r="A20" s="133" t="s">
        <v>3</v>
      </c>
      <c r="B20" s="134" t="s">
        <v>67</v>
      </c>
      <c r="C20" s="128">
        <v>160673</v>
      </c>
      <c r="D20" s="37">
        <v>471</v>
      </c>
      <c r="E20" s="129">
        <v>50</v>
      </c>
      <c r="F20" s="37">
        <v>500</v>
      </c>
      <c r="G20" s="104">
        <f t="shared" si="5"/>
        <v>46.860000000000007</v>
      </c>
      <c r="H20" s="105">
        <f t="shared" si="6"/>
        <v>5.5</v>
      </c>
      <c r="I20" s="38">
        <f t="shared" si="0"/>
        <v>51.546000000000014</v>
      </c>
      <c r="J20" s="38">
        <f t="shared" si="1"/>
        <v>6.0500000000000007</v>
      </c>
      <c r="K20" s="110" t="e">
        <f>#REF!</f>
        <v>#REF!</v>
      </c>
      <c r="L20" s="32" t="e">
        <f>#REF!</f>
        <v>#REF!</v>
      </c>
      <c r="M20" s="111" t="e">
        <f>#REF!</f>
        <v>#REF!</v>
      </c>
      <c r="N20" s="165"/>
      <c r="O20" s="118"/>
      <c r="P20" s="118"/>
      <c r="Q20" s="118"/>
      <c r="R20" s="119"/>
      <c r="S20" s="125" t="s">
        <v>107</v>
      </c>
    </row>
    <row r="21" spans="1:19">
      <c r="A21" s="133" t="s">
        <v>9</v>
      </c>
      <c r="B21" s="134" t="s">
        <v>4</v>
      </c>
      <c r="C21" s="128">
        <v>0</v>
      </c>
      <c r="D21" s="37">
        <v>29170</v>
      </c>
      <c r="E21" s="129">
        <v>350</v>
      </c>
      <c r="F21" s="37">
        <v>350</v>
      </c>
      <c r="G21" s="104">
        <v>0</v>
      </c>
      <c r="H21" s="105">
        <f>16.5</f>
        <v>16.5</v>
      </c>
      <c r="I21" s="38"/>
      <c r="J21" s="38">
        <f t="shared" ref="J21:J24" si="7">H21*1.1</f>
        <v>18.150000000000002</v>
      </c>
      <c r="K21" s="110" t="e">
        <f>#REF!</f>
        <v>#REF!</v>
      </c>
      <c r="L21" s="32" t="e">
        <f>#REF!</f>
        <v>#REF!</v>
      </c>
      <c r="M21" s="111" t="e">
        <f>#REF!</f>
        <v>#REF!</v>
      </c>
      <c r="N21" s="165"/>
      <c r="O21" s="118"/>
      <c r="P21" s="118"/>
      <c r="Q21" s="118"/>
      <c r="R21" s="119"/>
      <c r="S21" s="125" t="s">
        <v>107</v>
      </c>
    </row>
    <row r="22" spans="1:19">
      <c r="A22" s="133" t="s">
        <v>33</v>
      </c>
      <c r="B22" s="134" t="s">
        <v>4</v>
      </c>
      <c r="C22" s="128">
        <v>0</v>
      </c>
      <c r="D22" s="37">
        <v>3484</v>
      </c>
      <c r="E22" s="129">
        <v>390</v>
      </c>
      <c r="F22" s="37">
        <v>390</v>
      </c>
      <c r="G22" s="104">
        <v>0</v>
      </c>
      <c r="H22" s="105">
        <f>18</f>
        <v>18</v>
      </c>
      <c r="I22" s="38"/>
      <c r="J22" s="38">
        <f t="shared" si="7"/>
        <v>19.8</v>
      </c>
      <c r="K22" s="110" t="e">
        <f>#REF!</f>
        <v>#REF!</v>
      </c>
      <c r="L22" s="32" t="e">
        <f>#REF!</f>
        <v>#REF!</v>
      </c>
      <c r="M22" s="111" t="e">
        <f>#REF!</f>
        <v>#REF!</v>
      </c>
      <c r="N22" s="165"/>
      <c r="O22" s="118"/>
      <c r="P22" s="118"/>
      <c r="Q22" s="118"/>
      <c r="R22" s="119"/>
      <c r="S22" s="125"/>
    </row>
    <row r="23" spans="1:19">
      <c r="A23" s="133" t="s">
        <v>37</v>
      </c>
      <c r="B23" s="134" t="s">
        <v>68</v>
      </c>
      <c r="C23" s="128">
        <v>153546</v>
      </c>
      <c r="D23" s="37">
        <v>0</v>
      </c>
      <c r="E23" s="129">
        <v>64</v>
      </c>
      <c r="F23" s="37">
        <v>64</v>
      </c>
      <c r="G23" s="104">
        <f>10.5*1.1</f>
        <v>11.55</v>
      </c>
      <c r="H23" s="105">
        <v>0</v>
      </c>
      <c r="I23" s="38">
        <f>G23*1.1</f>
        <v>12.705000000000002</v>
      </c>
      <c r="J23" s="38">
        <f t="shared" si="7"/>
        <v>0</v>
      </c>
      <c r="K23" s="110" t="e">
        <f>#REF!</f>
        <v>#REF!</v>
      </c>
      <c r="L23" s="32" t="e">
        <f>#REF!</f>
        <v>#REF!</v>
      </c>
      <c r="M23" s="111" t="e">
        <f>#REF!</f>
        <v>#REF!</v>
      </c>
      <c r="N23" s="165"/>
      <c r="O23" s="118"/>
      <c r="P23" s="118"/>
      <c r="Q23" s="118"/>
      <c r="R23" s="119"/>
      <c r="S23" s="125"/>
    </row>
    <row r="24" spans="1:19">
      <c r="A24" s="133" t="s">
        <v>39</v>
      </c>
      <c r="B24" s="134"/>
      <c r="C24" s="128">
        <v>0</v>
      </c>
      <c r="D24" s="37">
        <v>4976</v>
      </c>
      <c r="E24" s="129">
        <v>18</v>
      </c>
      <c r="F24" s="37">
        <v>250</v>
      </c>
      <c r="G24" s="104">
        <v>0</v>
      </c>
      <c r="H24" s="105">
        <v>13.4</v>
      </c>
      <c r="I24" s="38"/>
      <c r="J24" s="38">
        <f t="shared" si="7"/>
        <v>14.740000000000002</v>
      </c>
      <c r="K24" s="110" t="e">
        <f>#REF!</f>
        <v>#REF!</v>
      </c>
      <c r="L24" s="32" t="e">
        <f>#REF!</f>
        <v>#REF!</v>
      </c>
      <c r="M24" s="111" t="e">
        <f>#REF!</f>
        <v>#REF!</v>
      </c>
      <c r="N24" s="165"/>
      <c r="O24" s="118"/>
      <c r="P24" s="118"/>
      <c r="Q24" s="118"/>
      <c r="R24" s="119"/>
      <c r="S24" s="125" t="s">
        <v>107</v>
      </c>
    </row>
    <row r="25" spans="1:19">
      <c r="A25" s="133"/>
      <c r="B25" s="134"/>
      <c r="C25" s="128"/>
      <c r="D25" s="37"/>
      <c r="E25" s="129"/>
      <c r="F25" s="37"/>
      <c r="G25" s="104"/>
      <c r="H25" s="105"/>
      <c r="I25" s="38"/>
      <c r="J25" s="38">
        <f>H25*1.1</f>
        <v>0</v>
      </c>
      <c r="K25" s="175" t="e">
        <f>#REF!</f>
        <v>#REF!</v>
      </c>
      <c r="L25" s="118" t="e">
        <f>#REF!</f>
        <v>#REF!</v>
      </c>
      <c r="M25" s="119" t="e">
        <f>#REF!</f>
        <v>#REF!</v>
      </c>
      <c r="N25" s="166"/>
      <c r="O25" s="118"/>
      <c r="P25" s="118"/>
      <c r="Q25" s="118"/>
      <c r="R25" s="119"/>
      <c r="S25" s="164"/>
    </row>
    <row r="26" spans="1:19">
      <c r="A26" s="133"/>
      <c r="B26" s="134"/>
      <c r="C26" s="128"/>
      <c r="D26" s="37"/>
      <c r="E26" s="129"/>
      <c r="F26" s="37"/>
      <c r="G26" s="104"/>
      <c r="H26" s="105"/>
      <c r="I26" s="38"/>
      <c r="J26" s="38"/>
      <c r="K26" s="110"/>
      <c r="L26" s="32"/>
      <c r="M26" s="111"/>
      <c r="N26" s="165"/>
      <c r="O26" s="118"/>
      <c r="P26" s="118"/>
      <c r="Q26" s="118"/>
      <c r="R26" s="119"/>
      <c r="S26" s="124"/>
    </row>
    <row r="27" spans="1:19" ht="13.5" thickBot="1">
      <c r="A27" s="136"/>
      <c r="B27" s="137"/>
      <c r="C27" s="130"/>
      <c r="D27" s="131"/>
      <c r="E27" s="132"/>
      <c r="F27" s="37"/>
      <c r="G27" s="106"/>
      <c r="H27" s="107"/>
      <c r="I27" s="167"/>
      <c r="J27" s="167"/>
      <c r="K27" s="112"/>
      <c r="L27" s="113"/>
      <c r="M27" s="114"/>
      <c r="N27" s="171"/>
      <c r="O27" s="120"/>
      <c r="P27" s="120"/>
      <c r="Q27" s="120"/>
      <c r="R27" s="121"/>
      <c r="S27" s="126"/>
    </row>
    <row r="28" spans="1:19" ht="10.5" customHeight="1">
      <c r="A28" s="20"/>
      <c r="B28" s="20"/>
      <c r="C28" s="20"/>
      <c r="D28" s="20"/>
      <c r="E28" s="20"/>
      <c r="F28" s="20"/>
      <c r="G28" s="23"/>
      <c r="H28" s="23"/>
      <c r="I28" s="22"/>
      <c r="J28" s="20"/>
      <c r="K28" s="21"/>
      <c r="L28" s="21"/>
      <c r="M28" s="21"/>
      <c r="N28" s="26"/>
      <c r="O28" s="25"/>
      <c r="P28" s="25"/>
      <c r="Q28" s="25"/>
      <c r="R28" s="25"/>
    </row>
    <row r="29" spans="1:19" ht="18.75">
      <c r="A29" s="64" t="str">
        <f>A1</f>
        <v>Общество с ограниченной ответственностью  "ВТОРМЕТ "ЦАРИЦЫНО"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151"/>
      <c r="M29" s="151"/>
      <c r="N29" s="151"/>
      <c r="O29" s="151"/>
      <c r="P29" s="151"/>
      <c r="Q29" s="151"/>
      <c r="R29" s="151"/>
    </row>
    <row r="30" spans="1:19" ht="15">
      <c r="A30" s="65" t="s">
        <v>82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159"/>
      <c r="M30" s="159"/>
      <c r="N30" s="159"/>
      <c r="O30" s="159"/>
      <c r="P30" s="159"/>
      <c r="Q30" s="159"/>
      <c r="R30" s="159"/>
    </row>
    <row r="31" spans="1:19" ht="15">
      <c r="A31" s="75">
        <v>2018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163"/>
      <c r="M31" s="163"/>
      <c r="N31" s="163"/>
      <c r="O31" s="163"/>
      <c r="P31" s="163"/>
      <c r="Q31" s="163"/>
      <c r="R31" s="163"/>
    </row>
    <row r="32" spans="1:19" ht="6" customHeight="1" thickBot="1"/>
    <row r="33" spans="1:23">
      <c r="A33" s="19"/>
      <c r="B33" s="19"/>
      <c r="C33" s="139" t="s">
        <v>28</v>
      </c>
      <c r="D33" s="140"/>
      <c r="E33" s="141"/>
      <c r="F33" s="19"/>
      <c r="G33" s="19"/>
      <c r="H33" s="28"/>
      <c r="I33" s="19"/>
      <c r="J33" s="19"/>
      <c r="K33" s="29"/>
      <c r="W33" s="8"/>
    </row>
    <row r="34" spans="1:23" ht="107.25" customHeight="1">
      <c r="A34" s="27" t="s">
        <v>23</v>
      </c>
      <c r="B34" s="27" t="s">
        <v>72</v>
      </c>
      <c r="C34" s="102" t="s">
        <v>73</v>
      </c>
      <c r="D34" s="27" t="s">
        <v>74</v>
      </c>
      <c r="E34" s="103" t="s">
        <v>75</v>
      </c>
      <c r="F34" s="27" t="s">
        <v>25</v>
      </c>
      <c r="G34" s="27" t="s">
        <v>0</v>
      </c>
      <c r="H34" s="27" t="s">
        <v>84</v>
      </c>
      <c r="I34" s="27" t="s">
        <v>85</v>
      </c>
      <c r="J34" s="27" t="s">
        <v>22</v>
      </c>
      <c r="K34" s="27" t="s">
        <v>38</v>
      </c>
    </row>
    <row r="35" spans="1:23">
      <c r="A35" s="30" t="str">
        <f t="shared" ref="A35:B39" si="8">A9</f>
        <v>Камаз 65115</v>
      </c>
      <c r="B35" s="30" t="str">
        <f t="shared" si="8"/>
        <v>т 056 вв 197</v>
      </c>
      <c r="C35" s="133" t="e">
        <f>Январь!#REF!+#REF!+#REF!+#REF!+#REF!+#REF!+#REF!+#REF!+#REF!+#REF!+#REF!+#REF!</f>
        <v>#REF!</v>
      </c>
      <c r="D35" s="30" t="e">
        <f>Январь!#REF!+#REF!+#REF!+#REF!+#REF!+#REF!+#REF!+#REF!+#REF!+#REF!+#REF!+#REF!</f>
        <v>#REF!</v>
      </c>
      <c r="E35" s="138" t="e">
        <f>Январь!#REF!+#REF!+#REF!+#REF!+#REF!+#REF!+#REF!+#REF!+#REF!+#REF!+#REF!+#REF!</f>
        <v>#REF!</v>
      </c>
      <c r="F35" s="31" t="e">
        <f>Январь!#REF!+#REF!+#REF!+#REF!+#REF!+#REF!+#REF!+#REF!+#REF!+#REF!+#REF!+#REF!</f>
        <v>#REF!</v>
      </c>
      <c r="G35" s="31" t="e">
        <f>Январь!#REF!+#REF!+#REF!+#REF!+#REF!+#REF!+#REF!+#REF!+#REF!+#REF!+#REF!+#REF!</f>
        <v>#REF!</v>
      </c>
      <c r="H35" s="31" t="e">
        <f t="shared" ref="H35:H50" si="9">G35-F35</f>
        <v>#REF!</v>
      </c>
      <c r="I35" s="24" t="e">
        <f t="shared" ref="I35:I50" si="10">ROUND(IF(G35&gt;0,(H35/G35*100),0),2)</f>
        <v>#REF!</v>
      </c>
      <c r="J35" s="24"/>
      <c r="K35" s="24"/>
      <c r="M35" t="str">
        <f>Показатели[[#This Row],[Номер гос регистрации / заводской номер]]</f>
        <v>т 056 вв 197</v>
      </c>
      <c r="N35" s="9" t="s">
        <v>43</v>
      </c>
    </row>
    <row r="36" spans="1:23">
      <c r="A36" s="30" t="str">
        <f t="shared" si="8"/>
        <v>Камаз 65115</v>
      </c>
      <c r="B36" s="30" t="str">
        <f t="shared" si="8"/>
        <v>в 300 нс 197</v>
      </c>
      <c r="C36" s="133" t="e">
        <f>Январь!#REF!+#REF!+#REF!+#REF!+#REF!+#REF!+#REF!+#REF!+#REF!+#REF!+#REF!+#REF!</f>
        <v>#REF!</v>
      </c>
      <c r="D36" s="30" t="e">
        <f>Январь!#REF!+#REF!+#REF!+#REF!+#REF!+#REF!+#REF!+#REF!+#REF!+#REF!+#REF!+#REF!</f>
        <v>#REF!</v>
      </c>
      <c r="E36" s="138" t="e">
        <f>Январь!#REF!+#REF!+#REF!+#REF!+#REF!+#REF!+#REF!+#REF!+#REF!+#REF!+#REF!+#REF!</f>
        <v>#REF!</v>
      </c>
      <c r="F36" s="31" t="e">
        <f>Январь!#REF!+#REF!+#REF!+#REF!+#REF!+#REF!+#REF!+#REF!+#REF!+#REF!+#REF!+#REF!</f>
        <v>#REF!</v>
      </c>
      <c r="G36" s="31" t="e">
        <f>Январь!#REF!+#REF!+#REF!+#REF!+#REF!+#REF!+#REF!+#REF!+#REF!+#REF!+#REF!+#REF!</f>
        <v>#REF!</v>
      </c>
      <c r="H36" s="31" t="e">
        <f t="shared" si="9"/>
        <v>#REF!</v>
      </c>
      <c r="I36" s="24" t="e">
        <f t="shared" si="10"/>
        <v>#REF!</v>
      </c>
      <c r="J36" s="24"/>
      <c r="K36" s="24"/>
      <c r="M36" t="str">
        <f>B39</f>
        <v>к 463 вт 197</v>
      </c>
      <c r="N36" s="9" t="s">
        <v>50</v>
      </c>
    </row>
    <row r="37" spans="1:23">
      <c r="A37" s="30" t="str">
        <f t="shared" si="8"/>
        <v>Камаз 65115</v>
      </c>
      <c r="B37" s="30" t="str">
        <f t="shared" si="8"/>
        <v>в 433 ру 197</v>
      </c>
      <c r="C37" s="133" t="e">
        <f>Январь!#REF!+#REF!+#REF!+#REF!+#REF!+#REF!+#REF!+#REF!+#REF!+#REF!+#REF!+#REF!</f>
        <v>#REF!</v>
      </c>
      <c r="D37" s="30" t="e">
        <f>Январь!#REF!+#REF!+#REF!+#REF!+#REF!+#REF!+#REF!+#REF!+#REF!+#REF!+#REF!+#REF!</f>
        <v>#REF!</v>
      </c>
      <c r="E37" s="138" t="e">
        <f>Январь!#REF!+#REF!+#REF!+#REF!+#REF!+#REF!+#REF!+#REF!+#REF!+#REF!+#REF!+#REF!</f>
        <v>#REF!</v>
      </c>
      <c r="F37" s="31" t="e">
        <f>Январь!#REF!+#REF!+#REF!+#REF!+#REF!+#REF!+#REF!+#REF!+#REF!+#REF!+#REF!+#REF!</f>
        <v>#REF!</v>
      </c>
      <c r="G37" s="31" t="e">
        <f>Январь!#REF!+#REF!+#REF!+#REF!+#REF!+#REF!+#REF!+#REF!+#REF!+#REF!+#REF!+#REF!</f>
        <v>#REF!</v>
      </c>
      <c r="H37" s="31" t="e">
        <f t="shared" si="9"/>
        <v>#REF!</v>
      </c>
      <c r="I37" s="24" t="e">
        <f t="shared" si="10"/>
        <v>#REF!</v>
      </c>
      <c r="J37" s="24"/>
      <c r="K37" s="24"/>
      <c r="M37" t="str">
        <f>B45</f>
        <v>р 908 он 197</v>
      </c>
      <c r="N37" s="9" t="s">
        <v>44</v>
      </c>
    </row>
    <row r="38" spans="1:23">
      <c r="A38" s="30" t="str">
        <f t="shared" si="8"/>
        <v>Камаз 65115</v>
      </c>
      <c r="B38" s="30" t="str">
        <f t="shared" si="8"/>
        <v>в 434 ру 197</v>
      </c>
      <c r="C38" s="133" t="e">
        <f>Январь!#REF!+#REF!+#REF!+#REF!+#REF!+#REF!+#REF!+#REF!+#REF!+#REF!+#REF!+#REF!</f>
        <v>#REF!</v>
      </c>
      <c r="D38" s="30" t="e">
        <f>Январь!#REF!+#REF!+#REF!+#REF!+#REF!+#REF!+#REF!+#REF!+#REF!+#REF!+#REF!+#REF!</f>
        <v>#REF!</v>
      </c>
      <c r="E38" s="138" t="e">
        <f>Январь!#REF!+#REF!+#REF!+#REF!+#REF!+#REF!+#REF!+#REF!+#REF!+#REF!+#REF!+#REF!</f>
        <v>#REF!</v>
      </c>
      <c r="F38" s="31" t="e">
        <f>Январь!#REF!+#REF!+#REF!+#REF!+#REF!+#REF!+#REF!+#REF!+#REF!+#REF!+#REF!+#REF!</f>
        <v>#REF!</v>
      </c>
      <c r="G38" s="31" t="e">
        <f>Январь!#REF!+#REF!+#REF!+#REF!+#REF!+#REF!+#REF!+#REF!+#REF!+#REF!+#REF!+#REF!</f>
        <v>#REF!</v>
      </c>
      <c r="H38" s="31" t="e">
        <f t="shared" si="9"/>
        <v>#REF!</v>
      </c>
      <c r="I38" s="24" t="e">
        <f t="shared" si="10"/>
        <v>#REF!</v>
      </c>
      <c r="J38" s="24"/>
      <c r="K38" s="24"/>
      <c r="M38" t="str">
        <f>B45</f>
        <v>р 908 он 197</v>
      </c>
      <c r="N38" s="9" t="s">
        <v>45</v>
      </c>
    </row>
    <row r="39" spans="1:23">
      <c r="A39" s="30" t="str">
        <f t="shared" si="8"/>
        <v>Камаз 65115</v>
      </c>
      <c r="B39" s="30" t="str">
        <f t="shared" si="8"/>
        <v>к 463 вт 197</v>
      </c>
      <c r="C39" s="133" t="e">
        <f>Январь!#REF!+#REF!+#REF!+#REF!+#REF!+#REF!+#REF!+#REF!+#REF!+#REF!+#REF!+#REF!</f>
        <v>#REF!</v>
      </c>
      <c r="D39" s="30" t="e">
        <f>Январь!#REF!+#REF!+#REF!+#REF!+#REF!+#REF!+#REF!+#REF!+#REF!+#REF!+#REF!+#REF!</f>
        <v>#REF!</v>
      </c>
      <c r="E39" s="138"/>
      <c r="F39" s="31"/>
      <c r="G39" s="31" t="e">
        <f>Январь!#REF!+#REF!+#REF!+#REF!+#REF!+#REF!+#REF!+#REF!+#REF!+#REF!+#REF!+#REF!</f>
        <v>#REF!</v>
      </c>
      <c r="H39" s="31" t="e">
        <f t="shared" si="9"/>
        <v>#REF!</v>
      </c>
      <c r="I39" s="24" t="e">
        <f t="shared" si="10"/>
        <v>#REF!</v>
      </c>
      <c r="J39" s="24"/>
      <c r="K39" s="24"/>
      <c r="M39" t="str">
        <f>A48</f>
        <v>Фукс 350 D</v>
      </c>
      <c r="N39" s="9" t="s">
        <v>46</v>
      </c>
    </row>
    <row r="40" spans="1:23">
      <c r="A40" s="30" t="str">
        <f t="shared" ref="A40:B50" si="11">A14</f>
        <v>Камаз 65115</v>
      </c>
      <c r="B40" s="30" t="str">
        <f t="shared" si="11"/>
        <v>с 504 уо 777</v>
      </c>
      <c r="C40" s="133" t="e">
        <f>Январь!#REF!+#REF!+#REF!+#REF!+#REF!+#REF!+#REF!+#REF!+#REF!+#REF!+#REF!+#REF!</f>
        <v>#REF!</v>
      </c>
      <c r="D40" s="30" t="e">
        <f>Январь!#REF!+#REF!+#REF!+#REF!+#REF!+#REF!+#REF!+#REF!+#REF!+#REF!+#REF!+#REF!</f>
        <v>#REF!</v>
      </c>
      <c r="E40" s="138" t="e">
        <f>Январь!#REF!+#REF!+#REF!+#REF!+#REF!+#REF!+#REF!+#REF!+#REF!+#REF!+#REF!+#REF!</f>
        <v>#REF!</v>
      </c>
      <c r="F40" s="31" t="e">
        <f>Январь!#REF!+#REF!+#REF!+#REF!+#REF!+#REF!+#REF!+#REF!+#REF!+#REF!+#REF!+#REF!</f>
        <v>#REF!</v>
      </c>
      <c r="G40" s="31" t="e">
        <f>Январь!#REF!+#REF!+#REF!+#REF!+#REF!+#REF!+#REF!+#REF!+#REF!+#REF!+#REF!+#REF!</f>
        <v>#REF!</v>
      </c>
      <c r="H40" s="31" t="e">
        <f t="shared" si="9"/>
        <v>#REF!</v>
      </c>
      <c r="I40" s="24" t="e">
        <f t="shared" si="10"/>
        <v>#REF!</v>
      </c>
      <c r="J40" s="24"/>
      <c r="K40" s="24"/>
      <c r="M40" t="str">
        <f>B44</f>
        <v>к 855 ке 197</v>
      </c>
      <c r="N40" s="9" t="s">
        <v>47</v>
      </c>
    </row>
    <row r="41" spans="1:23">
      <c r="A41" s="30" t="str">
        <f t="shared" si="11"/>
        <v>Камаз 65115</v>
      </c>
      <c r="B41" s="30" t="str">
        <f t="shared" si="11"/>
        <v>с 546 уо 777</v>
      </c>
      <c r="C41" s="133" t="e">
        <f>Январь!#REF!+#REF!+#REF!+#REF!+#REF!+#REF!+#REF!+#REF!+#REF!+#REF!+#REF!+#REF!</f>
        <v>#REF!</v>
      </c>
      <c r="D41" s="30" t="e">
        <f>Январь!#REF!+#REF!+#REF!+#REF!+#REF!+#REF!+#REF!+#REF!+#REF!+#REF!+#REF!+#REF!</f>
        <v>#REF!</v>
      </c>
      <c r="E41" s="138" t="e">
        <f>Январь!#REF!+#REF!+#REF!+#REF!+#REF!+#REF!+#REF!+#REF!+#REF!+#REF!+#REF!+#REF!</f>
        <v>#REF!</v>
      </c>
      <c r="F41" s="31" t="e">
        <f>Январь!#REF!+#REF!+#REF!+#REF!+#REF!+#REF!+#REF!+#REF!+#REF!+#REF!+#REF!+#REF!</f>
        <v>#REF!</v>
      </c>
      <c r="G41" s="31" t="e">
        <f>Январь!#REF!+#REF!+#REF!+#REF!+#REF!+#REF!+#REF!+#REF!+#REF!+#REF!+#REF!+#REF!</f>
        <v>#REF!</v>
      </c>
      <c r="H41" s="31" t="e">
        <f t="shared" si="9"/>
        <v>#REF!</v>
      </c>
      <c r="I41" s="24" t="e">
        <f t="shared" si="10"/>
        <v>#REF!</v>
      </c>
      <c r="J41" s="24"/>
      <c r="K41" s="24"/>
      <c r="M41" t="str">
        <f>A47</f>
        <v>Фукс 350 (с)</v>
      </c>
      <c r="N41" s="9" t="s">
        <v>48</v>
      </c>
    </row>
    <row r="42" spans="1:23">
      <c r="A42" s="30" t="str">
        <f t="shared" si="11"/>
        <v>Камаз 65115</v>
      </c>
      <c r="B42" s="30" t="str">
        <f t="shared" si="11"/>
        <v>н 577 мо 197</v>
      </c>
      <c r="C42" s="133" t="e">
        <f>Январь!#REF!+#REF!+#REF!+#REF!+#REF!+#REF!+#REF!+#REF!+#REF!+#REF!+#REF!+#REF!</f>
        <v>#REF!</v>
      </c>
      <c r="D42" s="30" t="e">
        <f>Январь!#REF!+#REF!+#REF!+#REF!+#REF!+#REF!+#REF!+#REF!+#REF!+#REF!+#REF!+#REF!</f>
        <v>#REF!</v>
      </c>
      <c r="E42" s="138" t="e">
        <f>Январь!#REF!+#REF!+#REF!+#REF!+#REF!+#REF!+#REF!+#REF!+#REF!+#REF!+#REF!+#REF!</f>
        <v>#REF!</v>
      </c>
      <c r="F42" s="31" t="e">
        <f>Январь!#REF!+#REF!+#REF!+#REF!+#REF!+#REF!+#REF!+#REF!+#REF!+#REF!+#REF!+#REF!</f>
        <v>#REF!</v>
      </c>
      <c r="G42" s="31" t="e">
        <f>Январь!#REF!+#REF!+#REF!+#REF!+#REF!+#REF!+#REF!+#REF!+#REF!+#REF!+#REF!+#REF!</f>
        <v>#REF!</v>
      </c>
      <c r="H42" s="31" t="e">
        <f t="shared" si="9"/>
        <v>#REF!</v>
      </c>
      <c r="I42" s="24" t="e">
        <f t="shared" si="10"/>
        <v>#REF!</v>
      </c>
      <c r="J42" s="24"/>
      <c r="K42" s="24"/>
      <c r="M42" t="str">
        <f>A48</f>
        <v>Фукс 350 D</v>
      </c>
      <c r="N42" s="9" t="s">
        <v>49</v>
      </c>
    </row>
    <row r="43" spans="1:23">
      <c r="A43" s="30" t="str">
        <f t="shared" si="11"/>
        <v>Камаз 65115</v>
      </c>
      <c r="B43" s="30" t="str">
        <f t="shared" si="11"/>
        <v>х 733 ун 197</v>
      </c>
      <c r="C43" s="133" t="e">
        <f>Январь!#REF!+#REF!+#REF!+#REF!+#REF!+#REF!+#REF!+#REF!+#REF!+#REF!+#REF!+#REF!</f>
        <v>#REF!</v>
      </c>
      <c r="D43" s="30" t="e">
        <f>Январь!#REF!+#REF!+#REF!+#REF!+#REF!+#REF!+#REF!+#REF!+#REF!+#REF!+#REF!+#REF!</f>
        <v>#REF!</v>
      </c>
      <c r="E43" s="138" t="e">
        <f>Январь!#REF!+#REF!+#REF!+#REF!+#REF!+#REF!+#REF!+#REF!+#REF!+#REF!+#REF!+#REF!</f>
        <v>#REF!</v>
      </c>
      <c r="F43" s="31" t="e">
        <f>Январь!#REF!+#REF!+#REF!+#REF!+#REF!+#REF!+#REF!+#REF!+#REF!+#REF!+#REF!+#REF!</f>
        <v>#REF!</v>
      </c>
      <c r="G43" s="31" t="e">
        <f>Январь!#REF!+#REF!+#REF!+#REF!+#REF!+#REF!+#REF!+#REF!+#REF!+#REF!+#REF!+#REF!</f>
        <v>#REF!</v>
      </c>
      <c r="H43" s="31" t="e">
        <f t="shared" si="9"/>
        <v>#REF!</v>
      </c>
      <c r="I43" s="24" t="e">
        <f t="shared" si="10"/>
        <v>#REF!</v>
      </c>
      <c r="J43" s="24"/>
      <c r="K43" s="24"/>
      <c r="M43" t="str">
        <f>A48</f>
        <v>Фукс 350 D</v>
      </c>
      <c r="N43" s="9" t="s">
        <v>48</v>
      </c>
    </row>
    <row r="44" spans="1:23">
      <c r="A44" s="30" t="str">
        <f t="shared" si="11"/>
        <v>Камаз 65115</v>
      </c>
      <c r="B44" s="30" t="str">
        <f t="shared" si="11"/>
        <v>к 855 ке 197</v>
      </c>
      <c r="C44" s="133" t="e">
        <f>Январь!#REF!+#REF!+#REF!+#REF!+#REF!+#REF!+#REF!+#REF!+#REF!+#REF!+#REF!+#REF!</f>
        <v>#REF!</v>
      </c>
      <c r="D44" s="30" t="e">
        <f>Январь!#REF!+#REF!+#REF!+#REF!+#REF!+#REF!+#REF!+#REF!+#REF!+#REF!+#REF!+#REF!</f>
        <v>#REF!</v>
      </c>
      <c r="E44" s="138" t="e">
        <f>Январь!#REF!+#REF!+#REF!+#REF!+#REF!+#REF!+#REF!+#REF!+#REF!+#REF!+#REF!+#REF!</f>
        <v>#REF!</v>
      </c>
      <c r="F44" s="31" t="e">
        <f>Январь!#REF!+#REF!+#REF!+#REF!+#REF!+#REF!+#REF!+#REF!+#REF!+#REF!+#REF!+#REF!</f>
        <v>#REF!</v>
      </c>
      <c r="G44" s="31" t="e">
        <f>Январь!#REF!+#REF!+#REF!+#REF!+#REF!+#REF!+#REF!+#REF!+#REF!+#REF!+#REF!+#REF!</f>
        <v>#REF!</v>
      </c>
      <c r="H44" s="31" t="e">
        <f t="shared" si="9"/>
        <v>#REF!</v>
      </c>
      <c r="I44" s="24" t="e">
        <f t="shared" si="10"/>
        <v>#REF!</v>
      </c>
      <c r="J44" s="24"/>
      <c r="K44" s="24"/>
      <c r="M44" t="s">
        <v>27</v>
      </c>
      <c r="N44" s="9" t="s">
        <v>51</v>
      </c>
    </row>
    <row r="45" spans="1:23">
      <c r="A45" s="30" t="str">
        <f t="shared" si="11"/>
        <v>Камаз 65115</v>
      </c>
      <c r="B45" s="30" t="str">
        <f t="shared" si="11"/>
        <v>р 908 он 197</v>
      </c>
      <c r="C45" s="133" t="e">
        <f>Январь!#REF!+#REF!+#REF!+#REF!+#REF!+#REF!+#REF!+#REF!+#REF!+#REF!+#REF!+#REF!</f>
        <v>#REF!</v>
      </c>
      <c r="D45" s="30" t="e">
        <f>Январь!#REF!+#REF!+#REF!+#REF!+#REF!+#REF!+#REF!+#REF!+#REF!+#REF!+#REF!+#REF!</f>
        <v>#REF!</v>
      </c>
      <c r="E45" s="138" t="e">
        <f>Январь!#REF!+#REF!+#REF!+#REF!+#REF!+#REF!+#REF!+#REF!+#REF!+#REF!+#REF!+#REF!</f>
        <v>#REF!</v>
      </c>
      <c r="F45" s="31" t="e">
        <f>Январь!#REF!+#REF!+#REF!+#REF!+#REF!+#REF!+#REF!+#REF!+#REF!+#REF!+#REF!+#REF!</f>
        <v>#REF!</v>
      </c>
      <c r="G45" s="31" t="e">
        <f>Январь!#REF!+#REF!+#REF!+#REF!+#REF!+#REF!+#REF!+#REF!+#REF!+#REF!+#REF!+#REF!</f>
        <v>#REF!</v>
      </c>
      <c r="H45" s="31" t="e">
        <f t="shared" si="9"/>
        <v>#REF!</v>
      </c>
      <c r="I45" s="24" t="e">
        <f t="shared" si="10"/>
        <v>#REF!</v>
      </c>
      <c r="J45" s="24"/>
      <c r="K45" s="24"/>
    </row>
    <row r="46" spans="1:23">
      <c r="A46" s="30" t="str">
        <f t="shared" si="11"/>
        <v>Камаз 65115</v>
      </c>
      <c r="B46" s="30" t="str">
        <f t="shared" si="11"/>
        <v>е 969 кк 197</v>
      </c>
      <c r="C46" s="133" t="e">
        <f>Январь!#REF!+#REF!+#REF!+#REF!+#REF!+#REF!+#REF!+#REF!+#REF!+#REF!+#REF!+#REF!</f>
        <v>#REF!</v>
      </c>
      <c r="D46" s="30" t="e">
        <f>Январь!#REF!+#REF!+#REF!+#REF!+#REF!+#REF!+#REF!+#REF!+#REF!+#REF!+#REF!+#REF!</f>
        <v>#REF!</v>
      </c>
      <c r="E46" s="138" t="e">
        <f>Январь!#REF!+#REF!+#REF!+#REF!+#REF!+#REF!+#REF!+#REF!+#REF!+#REF!+#REF!+#REF!</f>
        <v>#REF!</v>
      </c>
      <c r="F46" s="31" t="e">
        <f>Январь!#REF!+#REF!+#REF!+#REF!+#REF!+#REF!+#REF!+#REF!+#REF!+#REF!+#REF!+#REF!</f>
        <v>#REF!</v>
      </c>
      <c r="G46" s="31" t="e">
        <f>Январь!#REF!+#REF!+#REF!+#REF!+#REF!+#REF!+#REF!+#REF!+#REF!+#REF!+#REF!+#REF!</f>
        <v>#REF!</v>
      </c>
      <c r="H46" s="31" t="e">
        <f t="shared" si="9"/>
        <v>#REF!</v>
      </c>
      <c r="I46" s="24" t="e">
        <f t="shared" si="10"/>
        <v>#REF!</v>
      </c>
      <c r="J46" s="24"/>
      <c r="K46" s="24"/>
    </row>
    <row r="47" spans="1:23">
      <c r="A47" s="30" t="str">
        <f t="shared" si="11"/>
        <v>Фукс 350 (с)</v>
      </c>
      <c r="B47" s="30" t="str">
        <f t="shared" si="11"/>
        <v>б/н</v>
      </c>
      <c r="C47" s="133" t="e">
        <f>Январь!#REF!+#REF!+#REF!+#REF!+#REF!+#REF!+#REF!+#REF!+#REF!+#REF!+#REF!+#REF!</f>
        <v>#REF!</v>
      </c>
      <c r="D47" s="30" t="e">
        <f>Январь!#REF!+#REF!+#REF!+#REF!+#REF!+#REF!+#REF!+#REF!+#REF!+#REF!+#REF!+#REF!</f>
        <v>#REF!</v>
      </c>
      <c r="E47" s="138" t="e">
        <f>Январь!#REF!+#REF!+#REF!+#REF!+#REF!+#REF!+#REF!+#REF!+#REF!+#REF!+#REF!+#REF!</f>
        <v>#REF!</v>
      </c>
      <c r="F47" s="31" t="e">
        <f>Январь!#REF!+#REF!+#REF!+#REF!+#REF!+#REF!+#REF!+#REF!+#REF!+#REF!+#REF!+#REF!</f>
        <v>#REF!</v>
      </c>
      <c r="G47" s="31" t="e">
        <f>Январь!#REF!+#REF!+#REF!+#REF!+#REF!+#REF!+#REF!+#REF!+#REF!+#REF!+#REF!+#REF!</f>
        <v>#REF!</v>
      </c>
      <c r="H47" s="31" t="e">
        <f t="shared" si="9"/>
        <v>#REF!</v>
      </c>
      <c r="I47" s="24" t="e">
        <f t="shared" si="10"/>
        <v>#REF!</v>
      </c>
      <c r="J47" s="24"/>
      <c r="K47" s="24"/>
    </row>
    <row r="48" spans="1:23">
      <c r="A48" s="30" t="str">
        <f t="shared" si="11"/>
        <v>Фукс 350 D</v>
      </c>
      <c r="B48" s="30" t="str">
        <f t="shared" si="11"/>
        <v>б/н</v>
      </c>
      <c r="C48" s="133" t="e">
        <f>Январь!#REF!+#REF!+#REF!+#REF!+#REF!+#REF!+#REF!+#REF!+#REF!+#REF!+#REF!+#REF!</f>
        <v>#REF!</v>
      </c>
      <c r="D48" s="30" t="e">
        <f>Январь!#REF!+#REF!+#REF!+#REF!+#REF!+#REF!+#REF!+#REF!+#REF!+#REF!+#REF!+#REF!</f>
        <v>#REF!</v>
      </c>
      <c r="E48" s="138" t="e">
        <f>Январь!#REF!+#REF!+#REF!+#REF!+#REF!+#REF!+#REF!+#REF!+#REF!+#REF!+#REF!+#REF!</f>
        <v>#REF!</v>
      </c>
      <c r="F48" s="31" t="e">
        <f>Январь!#REF!+#REF!+#REF!+#REF!+#REF!+#REF!+#REF!+#REF!+#REF!+#REF!+#REF!+#REF!</f>
        <v>#REF!</v>
      </c>
      <c r="G48" s="31" t="e">
        <f>Январь!#REF!+#REF!+#REF!+#REF!+#REF!+#REF!+#REF!+#REF!+#REF!+#REF!+#REF!+#REF!</f>
        <v>#REF!</v>
      </c>
      <c r="H48" s="31" t="e">
        <f t="shared" si="9"/>
        <v>#REF!</v>
      </c>
      <c r="I48" s="24" t="e">
        <f t="shared" si="10"/>
        <v>#REF!</v>
      </c>
      <c r="J48" s="24"/>
      <c r="K48" s="24"/>
    </row>
    <row r="49" spans="1:12">
      <c r="A49" s="30" t="str">
        <f t="shared" si="11"/>
        <v>Фольксваген</v>
      </c>
      <c r="B49" s="30" t="str">
        <f t="shared" si="11"/>
        <v>к 190 вк 799</v>
      </c>
      <c r="C49" s="133" t="e">
        <f>Январь!#REF!+#REF!+#REF!+#REF!+#REF!+#REF!+#REF!+#REF!+#REF!+#REF!+#REF!+#REF!</f>
        <v>#REF!</v>
      </c>
      <c r="D49" s="30" t="e">
        <f>Январь!#REF!+#REF!+#REF!+#REF!+#REF!+#REF!+#REF!+#REF!+#REF!+#REF!+#REF!+#REF!</f>
        <v>#REF!</v>
      </c>
      <c r="E49" s="138" t="e">
        <f>Январь!#REF!+#REF!+#REF!+#REF!+#REF!+#REF!+#REF!+#REF!+#REF!+#REF!+#REF!+#REF!</f>
        <v>#REF!</v>
      </c>
      <c r="F49" s="31" t="e">
        <f>Январь!#REF!+#REF!+#REF!+#REF!+#REF!+#REF!+#REF!+#REF!+#REF!+#REF!+#REF!+#REF!</f>
        <v>#REF!</v>
      </c>
      <c r="G49" s="31" t="e">
        <f>Январь!#REF!+#REF!+#REF!+#REF!+#REF!+#REF!+#REF!+#REF!+#REF!+#REF!+#REF!+#REF!</f>
        <v>#REF!</v>
      </c>
      <c r="H49" s="31" t="e">
        <f t="shared" si="9"/>
        <v>#REF!</v>
      </c>
      <c r="I49" s="24" t="e">
        <f t="shared" si="10"/>
        <v>#REF!</v>
      </c>
      <c r="J49" s="24"/>
      <c r="K49" s="24"/>
      <c r="L49" s="7"/>
    </row>
    <row r="50" spans="1:12">
      <c r="A50" s="30" t="str">
        <f t="shared" si="11"/>
        <v>Погрузчик LG</v>
      </c>
      <c r="B50" s="30">
        <f t="shared" si="11"/>
        <v>0</v>
      </c>
      <c r="C50" s="133" t="e">
        <f>Январь!#REF!+#REF!+#REF!+#REF!+#REF!+#REF!+#REF!+#REF!+#REF!+#REF!+#REF!+#REF!</f>
        <v>#REF!</v>
      </c>
      <c r="D50" s="30" t="e">
        <f>Январь!#REF!+#REF!+#REF!+#REF!+#REF!+#REF!+#REF!+#REF!+#REF!+#REF!+#REF!+#REF!</f>
        <v>#REF!</v>
      </c>
      <c r="E50" s="138" t="e">
        <f>Январь!#REF!+#REF!+#REF!+#REF!+#REF!+#REF!+#REF!+#REF!+#REF!+#REF!+#REF!+#REF!</f>
        <v>#REF!</v>
      </c>
      <c r="F50" s="31" t="e">
        <f>Январь!#REF!+#REF!+#REF!+#REF!+#REF!+#REF!+#REF!+#REF!+#REF!+#REF!+#REF!+#REF!</f>
        <v>#REF!</v>
      </c>
      <c r="G50" s="31" t="e">
        <f>Январь!#REF!+#REF!+#REF!+#REF!+#REF!+#REF!+#REF!+#REF!+#REF!+#REF!+#REF!+#REF!</f>
        <v>#REF!</v>
      </c>
      <c r="H50" s="31" t="e">
        <f t="shared" si="9"/>
        <v>#REF!</v>
      </c>
      <c r="I50" s="24" t="e">
        <f t="shared" si="10"/>
        <v>#REF!</v>
      </c>
      <c r="J50" s="24"/>
      <c r="K50" s="24"/>
      <c r="L50" s="7"/>
    </row>
    <row r="51" spans="1:12">
      <c r="A51" s="30"/>
      <c r="B51" s="30"/>
      <c r="C51" s="133"/>
      <c r="D51" s="30"/>
      <c r="E51" s="138"/>
      <c r="F51" s="31"/>
      <c r="G51" s="31"/>
      <c r="H51" s="31"/>
      <c r="I51" s="24"/>
      <c r="J51" s="24"/>
      <c r="K51" s="24"/>
    </row>
    <row r="52" spans="1:12">
      <c r="A52" s="30"/>
      <c r="B52" s="30"/>
      <c r="C52" s="133"/>
      <c r="D52" s="30"/>
      <c r="E52" s="138"/>
      <c r="F52" s="31"/>
      <c r="G52" s="31"/>
      <c r="H52" s="31"/>
      <c r="I52" s="24"/>
      <c r="J52" s="24"/>
      <c r="K52" s="24"/>
    </row>
    <row r="53" spans="1:12">
      <c r="A53" s="30"/>
      <c r="B53" s="30"/>
      <c r="C53" s="133"/>
      <c r="D53" s="30"/>
      <c r="E53" s="138"/>
      <c r="F53" s="31"/>
      <c r="G53" s="31"/>
      <c r="H53" s="31"/>
      <c r="I53" s="24"/>
      <c r="J53" s="24"/>
      <c r="K53" s="24"/>
    </row>
    <row r="54" spans="1:12">
      <c r="A54" s="142" t="s">
        <v>83</v>
      </c>
      <c r="B54" s="142"/>
      <c r="C54" s="143"/>
      <c r="D54" s="142"/>
      <c r="E54" s="144" t="e">
        <f>SUBTOTAL(109,[Топливо, литр])</f>
        <v>#REF!</v>
      </c>
      <c r="F54" s="145"/>
      <c r="G54" s="145" t="e">
        <f>SUBTOTAL(109,[Фактический расход топлива, литр])</f>
        <v>#REF!</v>
      </c>
      <c r="H54" s="145" t="e">
        <f>SUBTOTAL(109,[Отклонения от нормы + Перерасход, - экономия, литр])</f>
        <v>#REF!</v>
      </c>
      <c r="I54" s="145" t="e">
        <f>SUBTOTAL(109,[Отклонение от нормы, % ])</f>
        <v>#REF!</v>
      </c>
      <c r="J54" s="146">
        <f>SUBTOTAL(109,[Средний расход топлива])</f>
        <v>0</v>
      </c>
      <c r="K54" s="145">
        <f>SUBTOTAL(103,[Средний расход с учетом перехода на зимнее/летнее время за год])</f>
        <v>0</v>
      </c>
    </row>
    <row r="56" spans="1:12" ht="18.75">
      <c r="A56" s="64" t="s">
        <v>103</v>
      </c>
      <c r="B56" s="64"/>
      <c r="C56" s="64"/>
      <c r="D56" s="64"/>
      <c r="E56" s="64"/>
      <c r="F56" s="64"/>
      <c r="G56" s="64"/>
    </row>
    <row r="57" spans="1:12" ht="15">
      <c r="A57" s="65" t="s">
        <v>112</v>
      </c>
      <c r="B57" s="65"/>
      <c r="C57" s="65"/>
      <c r="D57" s="65"/>
      <c r="E57" s="65"/>
      <c r="F57" s="65"/>
      <c r="G57" s="65"/>
    </row>
    <row r="58" spans="1:12" ht="18.75">
      <c r="G58" s="151">
        <v>4912</v>
      </c>
      <c r="H58" s="151"/>
      <c r="I58" s="151"/>
      <c r="J58" s="151"/>
      <c r="K58" s="151"/>
    </row>
    <row r="59" spans="1:12" ht="57.75" customHeight="1">
      <c r="A59" s="156" t="s">
        <v>110</v>
      </c>
      <c r="B59" s="157" t="s">
        <v>111</v>
      </c>
      <c r="C59" s="157" t="s">
        <v>104</v>
      </c>
      <c r="D59" s="157" t="s">
        <v>105</v>
      </c>
      <c r="E59" s="158" t="s">
        <v>106</v>
      </c>
      <c r="F59" s="157" t="s">
        <v>109</v>
      </c>
      <c r="G59" s="157" t="s">
        <v>52</v>
      </c>
    </row>
    <row r="60" spans="1:12" ht="15">
      <c r="A60" s="149" t="s">
        <v>88</v>
      </c>
      <c r="B60" s="152">
        <v>18480</v>
      </c>
      <c r="C60" s="152">
        <v>385</v>
      </c>
      <c r="D60" s="152">
        <v>895.83</v>
      </c>
      <c r="E60" s="153"/>
      <c r="F60" s="152">
        <f>SUM(Движение_ДТ[[#This Row],[ТК ПРЕИМУЩЕСТВО + ТД "ПАРТНЕР"]:[Газпромнефть]])</f>
        <v>19760.830000000002</v>
      </c>
      <c r="G60" s="160"/>
    </row>
    <row r="61" spans="1:12" ht="15">
      <c r="A61" s="149" t="s">
        <v>89</v>
      </c>
      <c r="B61" s="152">
        <f>(4620+4590)*2</f>
        <v>18420</v>
      </c>
      <c r="C61" s="152">
        <v>412.46</v>
      </c>
      <c r="D61" s="152">
        <v>807.1</v>
      </c>
      <c r="E61" s="153"/>
      <c r="F61" s="152">
        <f>SUM(Движение_ДТ[[#This Row],[ТК ПРЕИМУЩЕСТВО + ТД "ПАРТНЕР"]:[Газпромнефть]])</f>
        <v>19639.559999999998</v>
      </c>
      <c r="G61" s="161"/>
    </row>
    <row r="62" spans="1:12" ht="115.5" customHeight="1">
      <c r="A62" s="149" t="s">
        <v>90</v>
      </c>
      <c r="B62" s="152">
        <v>27862</v>
      </c>
      <c r="C62" s="152">
        <v>414.8</v>
      </c>
      <c r="D62" s="152">
        <v>870.82</v>
      </c>
      <c r="E62" s="153"/>
      <c r="F62" s="152">
        <f>SUM(Движение_ДТ[[#This Row],[ТК ПРЕИМУЩЕСТВО + ТД "ПАРТНЕР"]:[Газпромнефть]])</f>
        <v>29147.62</v>
      </c>
      <c r="G62" s="161" t="s">
        <v>114</v>
      </c>
    </row>
    <row r="63" spans="1:12" ht="15">
      <c r="A63" s="149" t="s">
        <v>91</v>
      </c>
      <c r="B63" s="152">
        <v>24560</v>
      </c>
      <c r="C63" s="152">
        <v>324.67</v>
      </c>
      <c r="D63" s="152">
        <v>977.23</v>
      </c>
      <c r="E63" s="153"/>
      <c r="F63" s="152">
        <f>SUM(Движение_ДТ[[#This Row],[ТК ПРЕИМУЩЕСТВО + ТД "ПАРТНЕР"]:[Газпромнефть]])</f>
        <v>25861.899999999998</v>
      </c>
      <c r="G63" s="161"/>
    </row>
    <row r="64" spans="1:12" ht="15">
      <c r="A64" s="149" t="s">
        <v>92</v>
      </c>
      <c r="B64" s="152">
        <v>27800</v>
      </c>
      <c r="C64" s="152">
        <v>45</v>
      </c>
      <c r="D64" s="152">
        <v>881.78</v>
      </c>
      <c r="E64" s="153"/>
      <c r="F64" s="152">
        <f>SUM(Движение_ДТ[[#This Row],[ТК ПРЕИМУЩЕСТВО + ТД "ПАРТНЕР"]:[Газпромнефть]])</f>
        <v>28726.78</v>
      </c>
      <c r="G64" s="161"/>
    </row>
    <row r="65" spans="1:13" ht="15">
      <c r="A65" s="149" t="s">
        <v>93</v>
      </c>
      <c r="B65" s="152"/>
      <c r="C65" s="152"/>
      <c r="D65" s="152"/>
      <c r="E65" s="153"/>
      <c r="F65" s="152">
        <f>SUM(Движение_ДТ[[#This Row],[ТК ПРЕИМУЩЕСТВО + ТД "ПАРТНЕР"]:[Газпромнефть]])</f>
        <v>0</v>
      </c>
      <c r="G65" s="161"/>
      <c r="K65" s="97"/>
      <c r="L65" s="98"/>
      <c r="M65" s="99" t="s">
        <v>113</v>
      </c>
    </row>
    <row r="66" spans="1:13" ht="15">
      <c r="A66" s="149" t="s">
        <v>94</v>
      </c>
      <c r="B66" s="152"/>
      <c r="C66" s="152"/>
      <c r="D66" s="152"/>
      <c r="E66" s="153"/>
      <c r="F66" s="152">
        <f>SUM(Движение_ДТ[[#This Row],[ТК ПРЕИМУЩЕСТВО + ТД "ПАРТНЕР"]:[Газпромнефть]])</f>
        <v>0</v>
      </c>
      <c r="G66" s="161"/>
    </row>
    <row r="67" spans="1:13" ht="15">
      <c r="A67" s="149" t="s">
        <v>95</v>
      </c>
      <c r="B67" s="152"/>
      <c r="C67" s="152"/>
      <c r="D67" s="152"/>
      <c r="E67" s="153"/>
      <c r="F67" s="152">
        <f>SUM(Движение_ДТ[[#This Row],[ТК ПРЕИМУЩЕСТВО + ТД "ПАРТНЕР"]:[Газпромнефть]])</f>
        <v>0</v>
      </c>
      <c r="G67" s="161"/>
    </row>
    <row r="68" spans="1:13" ht="15">
      <c r="A68" s="149" t="s">
        <v>96</v>
      </c>
      <c r="B68" s="152"/>
      <c r="C68" s="152"/>
      <c r="D68" s="152"/>
      <c r="E68" s="153"/>
      <c r="F68" s="152">
        <f>SUM(Движение_ДТ[[#This Row],[ТК ПРЕИМУЩЕСТВО + ТД "ПАРТНЕР"]:[Газпромнефть]])</f>
        <v>0</v>
      </c>
      <c r="G68" s="161"/>
    </row>
    <row r="69" spans="1:13" ht="15">
      <c r="A69" s="149" t="s">
        <v>97</v>
      </c>
      <c r="B69" s="152"/>
      <c r="C69" s="152"/>
      <c r="D69" s="152"/>
      <c r="E69" s="153"/>
      <c r="F69" s="152">
        <f>SUM(Движение_ДТ[[#This Row],[ТК ПРЕИМУЩЕСТВО + ТД "ПАРТНЕР"]:[Газпромнефть]])</f>
        <v>0</v>
      </c>
      <c r="G69" s="161"/>
    </row>
    <row r="70" spans="1:13" ht="15">
      <c r="A70" s="149" t="s">
        <v>98</v>
      </c>
      <c r="B70" s="152"/>
      <c r="C70" s="152"/>
      <c r="D70" s="152"/>
      <c r="E70" s="153"/>
      <c r="F70" s="152">
        <f>SUM(Движение_ДТ[[#This Row],[ТК ПРЕИМУЩЕСТВО + ТД "ПАРТНЕР"]:[Газпромнефть]])</f>
        <v>0</v>
      </c>
      <c r="G70" s="161"/>
    </row>
    <row r="71" spans="1:13" ht="15">
      <c r="A71" s="150" t="s">
        <v>99</v>
      </c>
      <c r="B71" s="154"/>
      <c r="C71" s="154"/>
      <c r="D71" s="154"/>
      <c r="E71" s="155"/>
      <c r="F71" s="154">
        <f>SUM(Движение_ДТ[[#This Row],[ТК ПРЕИМУЩЕСТВО + ТД "ПАРТНЕР"]:[Газпромнефть]])</f>
        <v>0</v>
      </c>
      <c r="G71" s="162"/>
    </row>
  </sheetData>
  <dataConsolidate/>
  <mergeCells count="16">
    <mergeCell ref="A56:G56"/>
    <mergeCell ref="A57:G57"/>
    <mergeCell ref="A29:K29"/>
    <mergeCell ref="A30:K30"/>
    <mergeCell ref="A31:K31"/>
    <mergeCell ref="C33:E33"/>
    <mergeCell ref="A1:R1"/>
    <mergeCell ref="A2:R2"/>
    <mergeCell ref="A3:R3"/>
    <mergeCell ref="A4:R4"/>
    <mergeCell ref="A5:J5"/>
    <mergeCell ref="I7:J7"/>
    <mergeCell ref="C7:E7"/>
    <mergeCell ref="G6:J6"/>
    <mergeCell ref="K7:M7"/>
    <mergeCell ref="G7:H7"/>
  </mergeCells>
  <phoneticPr fontId="19" type="noConversion"/>
  <pageMargins left="0.75" right="0.75" top="1" bottom="1" header="0.5" footer="0.5"/>
  <pageSetup paperSize="9" scale="95"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8"/>
  <sheetViews>
    <sheetView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34" sqref="F34"/>
    </sheetView>
  </sheetViews>
  <sheetFormatPr defaultRowHeight="12.75"/>
  <cols>
    <col min="1" max="1" width="15.7109375" style="4" customWidth="1"/>
    <col min="2" max="2" width="16" style="4" bestFit="1" customWidth="1"/>
    <col min="3" max="4" width="12.7109375" style="4" customWidth="1"/>
    <col min="5" max="10" width="12.7109375" style="1" customWidth="1"/>
    <col min="11" max="11" width="15.85546875" style="1" customWidth="1"/>
    <col min="12" max="14" width="12.7109375" style="1" customWidth="1"/>
    <col min="15" max="15" width="16.28515625" style="1" customWidth="1"/>
    <col min="16" max="17" width="12.7109375" style="1" customWidth="1"/>
    <col min="18" max="18" width="15.42578125" style="1" customWidth="1"/>
    <col min="19" max="21" width="12.7109375" style="1" customWidth="1"/>
    <col min="22" max="22" width="15" style="1" customWidth="1"/>
    <col min="23" max="23" width="12.7109375" style="1" customWidth="1"/>
    <col min="24" max="24" width="57.140625" style="1" bestFit="1" customWidth="1"/>
    <col min="25" max="25" width="16.28515625" style="61" customWidth="1"/>
    <col min="26" max="26" width="9.140625" style="1"/>
    <col min="27" max="27" width="10.5703125" style="1" customWidth="1"/>
    <col min="28" max="28" width="10.85546875" style="1" customWidth="1"/>
    <col min="29" max="29" width="12.140625" style="1" customWidth="1"/>
    <col min="30" max="30" width="13.85546875" style="1" customWidth="1"/>
    <col min="31" max="16384" width="9.140625" style="1"/>
  </cols>
  <sheetData>
    <row r="1" spans="1:30" ht="23.25">
      <c r="A1" s="79" t="str">
        <f>Информация!A1</f>
        <v>Общество с ограниченной ответственностью  "ВТОРМЕТ "ЦАРИЦЫНО"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30" s="2" customFormat="1" ht="24" thickBot="1">
      <c r="A2" s="79" t="str">
        <f>Информация!A2</f>
        <v>Сводные показатели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Y2" s="62"/>
    </row>
    <row r="3" spans="1:30" s="2" customFormat="1" ht="23.25" thickBot="1">
      <c r="A3" s="45" t="s">
        <v>88</v>
      </c>
      <c r="B3" s="3"/>
      <c r="C3" s="3"/>
      <c r="D3" s="3"/>
      <c r="E3" s="3"/>
      <c r="F3" s="3"/>
      <c r="G3" s="3"/>
      <c r="H3" s="6"/>
      <c r="K3" s="17" t="s">
        <v>53</v>
      </c>
      <c r="L3" s="18">
        <v>2018</v>
      </c>
      <c r="M3" s="3"/>
      <c r="N3" s="3"/>
      <c r="O3" s="3"/>
      <c r="P3" s="3"/>
      <c r="Q3" s="3"/>
      <c r="R3" s="3"/>
      <c r="Y3" s="62"/>
    </row>
    <row r="4" spans="1:30" ht="13.5" customHeight="1">
      <c r="S4" s="76" t="s">
        <v>5</v>
      </c>
      <c r="T4" s="77"/>
      <c r="U4" s="77"/>
      <c r="V4" s="78"/>
      <c r="AA4" s="82" t="s">
        <v>102</v>
      </c>
      <c r="AB4" s="83"/>
      <c r="AC4" s="83"/>
      <c r="AD4" s="84"/>
    </row>
    <row r="5" spans="1:30" ht="92.25" customHeight="1">
      <c r="A5" s="11" t="s">
        <v>29</v>
      </c>
      <c r="B5" s="11" t="s">
        <v>30</v>
      </c>
      <c r="C5" s="11" t="s">
        <v>14</v>
      </c>
      <c r="D5" s="11" t="s">
        <v>15</v>
      </c>
      <c r="E5" s="12" t="s">
        <v>1</v>
      </c>
      <c r="F5" s="12" t="s">
        <v>17</v>
      </c>
      <c r="G5" s="12" t="s">
        <v>16</v>
      </c>
      <c r="H5" s="12" t="s">
        <v>2</v>
      </c>
      <c r="I5" s="12" t="s">
        <v>31</v>
      </c>
      <c r="J5" s="12" t="s">
        <v>35</v>
      </c>
      <c r="K5" s="12" t="s">
        <v>86</v>
      </c>
      <c r="L5" s="12" t="s">
        <v>36</v>
      </c>
      <c r="M5" s="12" t="s">
        <v>11</v>
      </c>
      <c r="N5" s="12" t="s">
        <v>10</v>
      </c>
      <c r="O5" s="13" t="s">
        <v>25</v>
      </c>
      <c r="P5" s="12" t="s">
        <v>0</v>
      </c>
      <c r="Q5" s="12" t="s">
        <v>26</v>
      </c>
      <c r="R5" s="12" t="s">
        <v>87</v>
      </c>
      <c r="S5" s="13" t="s">
        <v>6</v>
      </c>
      <c r="T5" s="12" t="s">
        <v>7</v>
      </c>
      <c r="U5" s="12" t="s">
        <v>8</v>
      </c>
      <c r="V5" s="12" t="s">
        <v>12</v>
      </c>
      <c r="W5" s="12" t="s">
        <v>13</v>
      </c>
      <c r="X5" s="16" t="s">
        <v>52</v>
      </c>
      <c r="Y5" s="13" t="s">
        <v>101</v>
      </c>
      <c r="AA5" s="81" t="s">
        <v>1</v>
      </c>
      <c r="AB5" s="81" t="s">
        <v>2</v>
      </c>
      <c r="AC5" s="81" t="s">
        <v>25</v>
      </c>
      <c r="AD5" s="81" t="s">
        <v>0</v>
      </c>
    </row>
    <row r="6" spans="1:30" ht="14.25">
      <c r="A6" s="41" t="str">
        <f>Информация!A9</f>
        <v>Камаз 65115</v>
      </c>
      <c r="B6" s="41" t="str">
        <f>Информация!B9</f>
        <v>т 056 вв 197</v>
      </c>
      <c r="C6" s="44">
        <f>Информация!C9</f>
        <v>209024</v>
      </c>
      <c r="D6" s="48">
        <f>SUMPRODUCT(INDEX([1]!Январь[Показание одометра машины на конец дня, км],COUNT([1]!Январь[Показание одометра машины на конец дня, км])))</f>
        <v>210723</v>
      </c>
      <c r="E6" s="63">
        <f>Январь[[#This Row],[Показание одометра на конец месяца,км]]-Январь[[#This Row],[Показание одометра на начало месяца,км]]+Январь[[#This Row],[Дополнительные, км]]</f>
        <v>1711</v>
      </c>
      <c r="F6" s="44">
        <f>Информация!D9</f>
        <v>620</v>
      </c>
      <c r="G6" s="51">
        <f>SUMPRODUCT(INDEX([1]!Январь[Показание счетчика моточасов  спецоборудования на конец дня, м/ч],COUNT([1]!Январь[Показание счетчика моточасов  спецоборудования на конец дня, м/ч])))</f>
        <v>671</v>
      </c>
      <c r="H6" s="43">
        <f>Январь[[#This Row],[Показание счетчика моточасов на конец месяца, м/ч]]-Январь[[#This Row],[Показание счетчика моточасов на начало месяца, м/ч]]</f>
        <v>51</v>
      </c>
      <c r="I6" s="43">
        <f>Информация!E9</f>
        <v>500</v>
      </c>
      <c r="J6" s="43">
        <f ca="1">Январь[[#This Row],[Выдано топливо за месяц (данные Стребкова Р.Ю.), литр]]+Январь[[#This Row],[Расхождение данных]]</f>
        <v>1082</v>
      </c>
      <c r="K6" s="51">
        <f>SUMPRODUCT([2]январь!$E$4:$E$153*([2]январь!$G$4:$G$153=Январь[[#This Row],[Номер государственной регистрации]]))</f>
        <v>1300</v>
      </c>
      <c r="L6" s="49">
        <f ca="1">SUMPRODUCT([1]Январь!$U$38:$U$39)</f>
        <v>-218</v>
      </c>
      <c r="M6" s="53">
        <f>Информация!I9</f>
        <v>51.546000000000014</v>
      </c>
      <c r="N6" s="39">
        <f>Информация!J9</f>
        <v>6.0500000000000007</v>
      </c>
      <c r="O6" s="57">
        <f>ROUND(((Январь[[#This Row],[Пройдено за месяц, км]]*Январь[[#This Row],[Расход топлива по норме на 100км., литр]]*0.01)+(Январь[[#This Row],[Отработано за месяц, м/ч]]*Январь[[#This Row],[Расход топлива по норме на 1м/ч, литр]])),3)</f>
        <v>1190.502</v>
      </c>
      <c r="P6" s="53">
        <f ca="1">Январь[[#This Row],[Остаток топлива в баке на начало месяца,  литр]]+Январь[[#This Row],[Выдано топливо за месяц, литр]]-Январь[[#This Row],[Остаток топлива в баке на конец месяца, литр]]</f>
        <v>1082</v>
      </c>
      <c r="Q6" s="55">
        <f>Информация!F9</f>
        <v>500</v>
      </c>
      <c r="R6" s="53">
        <f ca="1">Январь[[#This Row],[Фактический расход топлива, литр]]-Январь[[#This Row],[Расход топлива по норме, литр]]</f>
        <v>-108.50199999999995</v>
      </c>
      <c r="S6" s="147">
        <f>Январь[[#This Row],[Пройдено за месяц, км]]/100*4.5</f>
        <v>76.995000000000005</v>
      </c>
      <c r="T6" s="147">
        <f>Январь[[#This Row],[Пройдено за месяц, км]]/100*0.5</f>
        <v>8.5549999999999997</v>
      </c>
      <c r="U6" s="147">
        <f>Январь[[#This Row],[Пройдено за месяц, км]]/100*1</f>
        <v>17.11</v>
      </c>
      <c r="V6" s="147">
        <f>Январь[[#This Row],[Пройдено за месяц, км]]/100*0.2</f>
        <v>3.4220000000000002</v>
      </c>
      <c r="W6" s="39">
        <f ca="1">IF(Январь[[#This Row],[Выдано топливо за месяц, литр]]=0,"",ROUND(Январь[[#This Row],[Отклонение от нормы + Перерасход, - экономия, литр]]/Январь[[#This Row],[Фактический расход топлива, литр]],2)*100)</f>
        <v>-10</v>
      </c>
      <c r="X6" s="60" t="s">
        <v>100</v>
      </c>
      <c r="Y6" s="80">
        <v>12</v>
      </c>
      <c r="AA6" s="85">
        <f>IF(Январь[[#This Row],[Пройдено за месяц, км]]&gt;0,Январь[[#This Row],[Пройдено за месяц, км]],0)</f>
        <v>1711</v>
      </c>
      <c r="AB6" s="85">
        <f>IF(Январь[[#This Row],[Отработано за месяц, м/ч]]&gt;0,Январь[[#This Row],[Отработано за месяц, м/ч]],0)</f>
        <v>51</v>
      </c>
      <c r="AC6" s="86">
        <f>ROUND(IF(Январь[[#This Row],[Расход топлива по норме, литр]]&gt;0,Январь[[#This Row],[Расход топлива по норме, литр]],0),2)</f>
        <v>1190.5</v>
      </c>
      <c r="AD6" s="86">
        <f ca="1">IF(Январь[[#This Row],[Фактический расход топлива, литр]]&gt;0,Январь[[#This Row],[Фактический расход топлива, литр]],0)</f>
        <v>1082</v>
      </c>
    </row>
    <row r="7" spans="1:30" ht="14.25">
      <c r="A7" s="41" t="str">
        <f>Информация!A10</f>
        <v>Камаз 65115</v>
      </c>
      <c r="B7" s="41" t="str">
        <f>Информация!B10</f>
        <v>в 300 нс 197</v>
      </c>
      <c r="C7" s="44">
        <f>Информация!C10</f>
        <v>165140</v>
      </c>
      <c r="D7" s="49"/>
      <c r="E7" s="43">
        <f>Январь[[#This Row],[Показание одометра на конец месяца,км]]-Январь[[#This Row],[Показание одометра на начало месяца,км]]+Январь[[#This Row],[Дополнительные, км]]</f>
        <v>-165140</v>
      </c>
      <c r="F7" s="44">
        <f>Информация!D10</f>
        <v>568</v>
      </c>
      <c r="G7" s="51"/>
      <c r="H7" s="43">
        <f>Январь[[#This Row],[Показание счетчика моточасов на конец месяца, м/ч]]-Январь[[#This Row],[Показание счетчика моточасов на начало месяца, м/ч]]</f>
        <v>-568</v>
      </c>
      <c r="I7" s="43">
        <f>Информация!E10</f>
        <v>500</v>
      </c>
      <c r="J7" s="43">
        <f>Январь[[#This Row],[Выдано топливо за месяц (данные Стребкова Р.Ю.), литр]]+Январь[[#This Row],[Расхождение данных]]</f>
        <v>0</v>
      </c>
      <c r="K7" s="51">
        <f>SUMPRODUCT([2]январь!$E$4:$E$153*([2]январь!$G$4:$G$153=Январь[[#This Row],[Номер государственной регистрации]]))</f>
        <v>0</v>
      </c>
      <c r="L7" s="49"/>
      <c r="M7" s="53">
        <f>Информация!I10</f>
        <v>51.546000000000014</v>
      </c>
      <c r="N7" s="39">
        <f>Информация!J10</f>
        <v>6.0500000000000007</v>
      </c>
      <c r="O7" s="57">
        <f>ROUND(((Январь[[#This Row],[Пройдено за месяц, км]]*Январь[[#This Row],[Расход топлива по норме на 100км., литр]]*0.01)+(Январь[[#This Row],[Отработано за месяц, м/ч]]*Январь[[#This Row],[Расход топлива по норме на 1м/ч, литр]])),3)</f>
        <v>-88559.464000000007</v>
      </c>
      <c r="P7" s="53">
        <f>Январь[[#This Row],[Остаток топлива в баке на начало месяца,  литр]]+Январь[[#This Row],[Выдано топливо за месяц, литр]]-Январь[[#This Row],[Остаток топлива в баке на конец месяца, литр]]</f>
        <v>0</v>
      </c>
      <c r="Q7" s="55">
        <f>Информация!F10</f>
        <v>500</v>
      </c>
      <c r="R7" s="53">
        <f>Январь[[#This Row],[Фактический расход топлива, литр]]-Январь[[#This Row],[Расход топлива по норме, литр]]</f>
        <v>88559.464000000007</v>
      </c>
      <c r="S7" s="147">
        <f>Январь[[#This Row],[Пройдено за месяц, км]]/100*4.5</f>
        <v>-7431.3</v>
      </c>
      <c r="T7" s="147">
        <f>Январь[[#This Row],[Пройдено за месяц, км]]/100*0.5</f>
        <v>-825.7</v>
      </c>
      <c r="U7" s="147">
        <f>Январь[[#This Row],[Пройдено за месяц, км]]/100*1</f>
        <v>-1651.4</v>
      </c>
      <c r="V7" s="147">
        <f>Январь[[#This Row],[Пройдено за месяц, км]]/100*0.2</f>
        <v>-330.28000000000003</v>
      </c>
      <c r="W7" s="39" t="str">
        <f>IF(Январь[[#This Row],[Выдано топливо за месяц, литр]]=0,"",ROUND(Январь[[#This Row],[Отклонение от нормы + Перерасход, - экономия, литр]]/Январь[[#This Row],[Фактический расход топлива, литр]],2)*100)</f>
        <v/>
      </c>
      <c r="X7" s="59"/>
      <c r="Y7" s="80"/>
      <c r="AA7" s="85">
        <f>IF(Январь[[#This Row],[Пройдено за месяц, км]]&gt;0,Январь[[#This Row],[Пройдено за месяц, км]],0)</f>
        <v>0</v>
      </c>
      <c r="AB7" s="85">
        <f>IF(Январь[[#This Row],[Отработано за месяц, м/ч]]&gt;0,Январь[[#This Row],[Отработано за месяц, м/ч]],0)</f>
        <v>0</v>
      </c>
      <c r="AC7" s="86">
        <f>ROUND(IF(Январь[[#This Row],[Расход топлива по норме, литр]]&gt;0,Январь[[#This Row],[Расход топлива по норме, литр]],0),2)</f>
        <v>0</v>
      </c>
      <c r="AD7" s="86">
        <f>IF(Январь[[#This Row],[Фактический расход топлива, литр]]&gt;0,Январь[[#This Row],[Фактический расход топлива, литр]],0)</f>
        <v>0</v>
      </c>
    </row>
    <row r="8" spans="1:30" ht="14.25">
      <c r="A8" s="41" t="str">
        <f>Информация!A11</f>
        <v>Камаз 65115</v>
      </c>
      <c r="B8" s="41" t="str">
        <f>Информация!B11</f>
        <v>в 433 ру 197</v>
      </c>
      <c r="C8" s="44">
        <f>Информация!C11</f>
        <v>86179</v>
      </c>
      <c r="D8" s="49"/>
      <c r="E8" s="43">
        <f>Январь[[#This Row],[Показание одометра на конец месяца,км]]-Январь[[#This Row],[Показание одометра на начало месяца,км]]+Январь[[#This Row],[Дополнительные, км]]</f>
        <v>-86179</v>
      </c>
      <c r="F8" s="44">
        <f>Информация!D11</f>
        <v>3175</v>
      </c>
      <c r="G8" s="51"/>
      <c r="H8" s="43">
        <f>Январь[[#This Row],[Показание счетчика моточасов на конец месяца, м/ч]]-Январь[[#This Row],[Показание счетчика моточасов на начало месяца, м/ч]]</f>
        <v>-3175</v>
      </c>
      <c r="I8" s="43">
        <f>Информация!E11</f>
        <v>300</v>
      </c>
      <c r="J8" s="43">
        <f>Январь[[#This Row],[Выдано топливо за месяц (данные Стребкова Р.Ю.), литр]]+Январь[[#This Row],[Расхождение данных]]</f>
        <v>1190</v>
      </c>
      <c r="K8" s="51">
        <f>SUMPRODUCT([2]январь!$E$4:$E$153*([2]январь!$G$4:$G$153=Январь[[#This Row],[Номер государственной регистрации]]))</f>
        <v>1190</v>
      </c>
      <c r="L8" s="49"/>
      <c r="M8" s="53">
        <f>Информация!I11</f>
        <v>46.860000000000007</v>
      </c>
      <c r="N8" s="39">
        <f>Информация!J11</f>
        <v>5.5</v>
      </c>
      <c r="O8" s="57">
        <f>ROUND(((Январь[[#This Row],[Пройдено за месяц, км]]*Январь[[#This Row],[Расход топлива по норме на 100км., литр]]*0.01)+(Январь[[#This Row],[Отработано за месяц, м/ч]]*Январь[[#This Row],[Расход топлива по норме на 1м/ч, литр]])),3)</f>
        <v>-57845.978999999999</v>
      </c>
      <c r="P8" s="53">
        <f>Январь[[#This Row],[Остаток топлива в баке на начало месяца,  литр]]+Январь[[#This Row],[Выдано топливо за месяц, литр]]-Январь[[#This Row],[Остаток топлива в баке на конец месяца, литр]]</f>
        <v>1190</v>
      </c>
      <c r="Q8" s="55">
        <f>Информация!F11</f>
        <v>300</v>
      </c>
      <c r="R8" s="53">
        <f>Январь[[#This Row],[Фактический расход топлива, литр]]-Январь[[#This Row],[Расход топлива по норме, литр]]</f>
        <v>59035.978999999999</v>
      </c>
      <c r="S8" s="147">
        <f>Январь[[#This Row],[Пройдено за месяц, км]]/100*4.5</f>
        <v>-3878.0549999999998</v>
      </c>
      <c r="T8" s="147">
        <f>Январь[[#This Row],[Пройдено за месяц, км]]/100*0.5</f>
        <v>-430.89499999999998</v>
      </c>
      <c r="U8" s="147">
        <f>Январь[[#This Row],[Пройдено за месяц, км]]/100*1</f>
        <v>-861.79</v>
      </c>
      <c r="V8" s="147">
        <f>Январь[[#This Row],[Пройдено за месяц, км]]/100*0.2</f>
        <v>-172.358</v>
      </c>
      <c r="W8" s="39">
        <f>IF(Январь[[#This Row],[Выдано топливо за месяц, литр]]=0,"",ROUND(Январь[[#This Row],[Отклонение от нормы + Перерасход, - экономия, литр]]/Январь[[#This Row],[Фактический расход топлива, литр]],2)*100)</f>
        <v>4961</v>
      </c>
      <c r="X8" s="59"/>
      <c r="Y8" s="80"/>
      <c r="AA8" s="85">
        <f>IF(Январь[[#This Row],[Пройдено за месяц, км]]&gt;0,Январь[[#This Row],[Пройдено за месяц, км]],0)</f>
        <v>0</v>
      </c>
      <c r="AB8" s="85">
        <f>IF(Январь[[#This Row],[Отработано за месяц, м/ч]]&gt;0,Январь[[#This Row],[Отработано за месяц, м/ч]],0)</f>
        <v>0</v>
      </c>
      <c r="AC8" s="86">
        <f>ROUND(IF(Январь[[#This Row],[Расход топлива по норме, литр]]&gt;0,Январь[[#This Row],[Расход топлива по норме, литр]],0),2)</f>
        <v>0</v>
      </c>
      <c r="AD8" s="86">
        <f>IF(Январь[[#This Row],[Фактический расход топлива, литр]]&gt;0,Январь[[#This Row],[Фактический расход топлива, литр]],0)</f>
        <v>1190</v>
      </c>
    </row>
    <row r="9" spans="1:30" ht="14.25">
      <c r="A9" s="41" t="str">
        <f>Информация!A12</f>
        <v>Камаз 65115</v>
      </c>
      <c r="B9" s="41" t="str">
        <f>Информация!B12</f>
        <v>в 434 ру 197</v>
      </c>
      <c r="C9" s="44">
        <f>Информация!C12</f>
        <v>182893</v>
      </c>
      <c r="D9" s="49"/>
      <c r="E9" s="43">
        <f>Январь[[#This Row],[Показание одометра на конец месяца,км]]-Январь[[#This Row],[Показание одометра на начало месяца,км]]+Январь[[#This Row],[Дополнительные, км]]</f>
        <v>-182893</v>
      </c>
      <c r="F9" s="44">
        <f>Информация!D12</f>
        <v>537</v>
      </c>
      <c r="G9" s="51"/>
      <c r="H9" s="43">
        <f>Январь[[#This Row],[Показание счетчика моточасов на конец месяца, м/ч]]-Январь[[#This Row],[Показание счетчика моточасов на начало месяца, м/ч]]</f>
        <v>-537</v>
      </c>
      <c r="I9" s="43">
        <f>Информация!E12</f>
        <v>500</v>
      </c>
      <c r="J9" s="43">
        <f>Январь[[#This Row],[Выдано топливо за месяц (данные Стребкова Р.Ю.), литр]]+Январь[[#This Row],[Расхождение данных]]</f>
        <v>0</v>
      </c>
      <c r="K9" s="51">
        <f>SUMPRODUCT([2]январь!$E$4:$E$153*([2]январь!$G$4:$G$153=Январь[[#This Row],[Номер государственной регистрации]]))</f>
        <v>0</v>
      </c>
      <c r="L9" s="49"/>
      <c r="M9" s="53">
        <f>Информация!I12</f>
        <v>51.546000000000014</v>
      </c>
      <c r="N9" s="39">
        <f>Информация!J12</f>
        <v>6.0500000000000007</v>
      </c>
      <c r="O9" s="57">
        <f>ROUND(((Январь[[#This Row],[Пройдено за месяц, км]]*Январь[[#This Row],[Расход топлива по норме на 100км., литр]]*0.01)+(Январь[[#This Row],[Отработано за месяц, м/ч]]*Январь[[#This Row],[Расход топлива по норме на 1м/ч, литр]])),3)</f>
        <v>-97522.876000000004</v>
      </c>
      <c r="P9" s="53">
        <f>Январь[[#This Row],[Остаток топлива в баке на начало месяца,  литр]]+Январь[[#This Row],[Выдано топливо за месяц, литр]]-Январь[[#This Row],[Остаток топлива в баке на конец месяца, литр]]</f>
        <v>0</v>
      </c>
      <c r="Q9" s="55">
        <f>Информация!F12</f>
        <v>500</v>
      </c>
      <c r="R9" s="53">
        <f>Январь[[#This Row],[Фактический расход топлива, литр]]-Январь[[#This Row],[Расход топлива по норме, литр]]</f>
        <v>97522.876000000004</v>
      </c>
      <c r="S9" s="147">
        <f>Январь[[#This Row],[Пройдено за месяц, км]]/100*4.5</f>
        <v>-8230.1849999999995</v>
      </c>
      <c r="T9" s="147">
        <f>Январь[[#This Row],[Пройдено за месяц, км]]/100*0.5</f>
        <v>-914.46500000000003</v>
      </c>
      <c r="U9" s="147">
        <f>Январь[[#This Row],[Пройдено за месяц, км]]/100*1</f>
        <v>-1828.93</v>
      </c>
      <c r="V9" s="147">
        <f>Январь[[#This Row],[Пройдено за месяц, км]]/100*0.2</f>
        <v>-365.78600000000006</v>
      </c>
      <c r="W9" s="39" t="str">
        <f>IF(Январь[[#This Row],[Выдано топливо за месяц, литр]]=0,"",ROUND(Январь[[#This Row],[Отклонение от нормы + Перерасход, - экономия, литр]]/Январь[[#This Row],[Фактический расход топлива, литр]],2)*100)</f>
        <v/>
      </c>
      <c r="X9" s="59"/>
      <c r="Y9" s="80"/>
      <c r="AA9" s="85">
        <f>IF(Январь[[#This Row],[Пройдено за месяц, км]]&gt;0,Январь[[#This Row],[Пройдено за месяц, км]],0)</f>
        <v>0</v>
      </c>
      <c r="AB9" s="85">
        <f>IF(Январь[[#This Row],[Отработано за месяц, м/ч]]&gt;0,Январь[[#This Row],[Отработано за месяц, м/ч]],0)</f>
        <v>0</v>
      </c>
      <c r="AC9" s="86">
        <f>ROUND(IF(Январь[[#This Row],[Расход топлива по норме, литр]]&gt;0,Январь[[#This Row],[Расход топлива по норме, литр]],0),2)</f>
        <v>0</v>
      </c>
      <c r="AD9" s="86">
        <f>IF(Январь[[#This Row],[Фактический расход топлива, литр]]&gt;0,Январь[[#This Row],[Фактический расход топлива, литр]],0)</f>
        <v>0</v>
      </c>
    </row>
    <row r="10" spans="1:30" ht="14.25">
      <c r="A10" s="41" t="str">
        <f>Информация!A13</f>
        <v>Камаз 65115</v>
      </c>
      <c r="B10" s="41" t="str">
        <f>Информация!B13</f>
        <v>к 463 вт 197</v>
      </c>
      <c r="C10" s="44">
        <f>Информация!C13</f>
        <v>143357</v>
      </c>
      <c r="D10" s="49"/>
      <c r="E10" s="43">
        <f>Январь[[#This Row],[Показание одометра на конец месяца,км]]-Январь[[#This Row],[Показание одометра на начало месяца,км]]+Январь[[#This Row],[Дополнительные, км]]</f>
        <v>-143357</v>
      </c>
      <c r="F10" s="44">
        <f>Информация!D13</f>
        <v>332</v>
      </c>
      <c r="G10" s="51"/>
      <c r="H10" s="43">
        <f>Январь[[#This Row],[Показание счетчика моточасов на конец месяца, м/ч]]-Январь[[#This Row],[Показание счетчика моточасов на начало месяца, м/ч]]</f>
        <v>-332</v>
      </c>
      <c r="I10" s="43">
        <f>Информация!E13</f>
        <v>500</v>
      </c>
      <c r="J10" s="43">
        <f>Январь[[#This Row],[Выдано топливо за месяц (данные Стребкова Р.Ю.), литр]]+Январь[[#This Row],[Расхождение данных]]</f>
        <v>940</v>
      </c>
      <c r="K10" s="51">
        <f>SUMPRODUCT([2]январь!$E$4:$E$153*([2]январь!$G$4:$G$153=Январь[[#This Row],[Номер государственной регистрации]]))</f>
        <v>940</v>
      </c>
      <c r="L10" s="49"/>
      <c r="M10" s="53">
        <f>Информация!I13</f>
        <v>49.20300000000001</v>
      </c>
      <c r="N10" s="39">
        <f>Информация!J13</f>
        <v>5.7750000000000004</v>
      </c>
      <c r="O10" s="57">
        <f>ROUND(((Январь[[#This Row],[Пройдено за месяц, км]]*Январь[[#This Row],[Расход топлива по норме на 100км., литр]]*0.01)+(Январь[[#This Row],[Отработано за месяц, м/ч]]*Январь[[#This Row],[Расход топлива по норме на 1м/ч, литр]])),3)</f>
        <v>-72453.244999999995</v>
      </c>
      <c r="P10" s="53">
        <f>Январь[[#This Row],[Остаток топлива в баке на начало месяца,  литр]]+Январь[[#This Row],[Выдано топливо за месяц, литр]]-Январь[[#This Row],[Остаток топлива в баке на конец месяца, литр]]</f>
        <v>940</v>
      </c>
      <c r="Q10" s="55">
        <f>Информация!F13</f>
        <v>500</v>
      </c>
      <c r="R10" s="53">
        <f>Январь[[#This Row],[Фактический расход топлива, литр]]-Январь[[#This Row],[Расход топлива по норме, литр]]</f>
        <v>73393.244999999995</v>
      </c>
      <c r="S10" s="147">
        <f>Январь[[#This Row],[Пройдено за месяц, км]]/100*4.5</f>
        <v>-6451.0649999999996</v>
      </c>
      <c r="T10" s="147">
        <f>Январь[[#This Row],[Пройдено за месяц, км]]/100*0.5</f>
        <v>-716.78499999999997</v>
      </c>
      <c r="U10" s="147">
        <f>Январь[[#This Row],[Пройдено за месяц, км]]/100*1</f>
        <v>-1433.57</v>
      </c>
      <c r="V10" s="147">
        <f>Январь[[#This Row],[Пройдено за месяц, км]]/100*0.2</f>
        <v>-286.714</v>
      </c>
      <c r="W10" s="39">
        <f>IF(Январь[[#This Row],[Выдано топливо за месяц, литр]]=0,"",ROUND(Январь[[#This Row],[Отклонение от нормы + Перерасход, - экономия, литр]]/Январь[[#This Row],[Фактический расход топлива, литр]],2)*100)</f>
        <v>7808</v>
      </c>
      <c r="X10" s="59"/>
      <c r="Y10" s="80"/>
      <c r="AA10" s="85">
        <f>IF(Январь[[#This Row],[Пройдено за месяц, км]]&gt;0,Январь[[#This Row],[Пройдено за месяц, км]],0)</f>
        <v>0</v>
      </c>
      <c r="AB10" s="85">
        <f>IF(Январь[[#This Row],[Отработано за месяц, м/ч]]&gt;0,Январь[[#This Row],[Отработано за месяц, м/ч]],0)</f>
        <v>0</v>
      </c>
      <c r="AC10" s="86">
        <f>ROUND(IF(Январь[[#This Row],[Расход топлива по норме, литр]]&gt;0,Январь[[#This Row],[Расход топлива по норме, литр]],0),2)</f>
        <v>0</v>
      </c>
      <c r="AD10" s="86">
        <f>IF(Январь[[#This Row],[Фактический расход топлива, литр]]&gt;0,Январь[[#This Row],[Фактический расход топлива, литр]],0)</f>
        <v>940</v>
      </c>
    </row>
    <row r="11" spans="1:30" ht="14.25">
      <c r="A11" s="42" t="str">
        <f>Информация!A14</f>
        <v>Камаз 65115</v>
      </c>
      <c r="B11" s="42" t="str">
        <f>Информация!B14</f>
        <v>с 504 уо 777</v>
      </c>
      <c r="C11" s="44">
        <f>Информация!C14</f>
        <v>23190</v>
      </c>
      <c r="D11" s="50"/>
      <c r="E11" s="46">
        <f>Январь[[#This Row],[Показание одометра на конец месяца,км]]-Январь[[#This Row],[Показание одометра на начало месяца,км]]+Январь[[#This Row],[Дополнительные, км]]</f>
        <v>-23190</v>
      </c>
      <c r="F11" s="47">
        <f>Информация!D14</f>
        <v>1306</v>
      </c>
      <c r="G11" s="52"/>
      <c r="H11" s="46">
        <f>Январь[[#This Row],[Показание счетчика моточасов на конец месяца, м/ч]]-Январь[[#This Row],[Показание счетчика моточасов на начало месяца, м/ч]]</f>
        <v>-1306</v>
      </c>
      <c r="I11" s="46">
        <f>Информация!E14</f>
        <v>0</v>
      </c>
      <c r="J11" s="46">
        <f>Январь[[#This Row],[Выдано топливо за месяц (данные Стребкова Р.Ю.), литр]]+Январь[[#This Row],[Расхождение данных]]</f>
        <v>920</v>
      </c>
      <c r="K11" s="52">
        <f>SUMPRODUCT([2]январь!$E$4:$E$153*([2]январь!$G$4:$G$153=Январь[[#This Row],[Номер государственной регистрации]]))</f>
        <v>920</v>
      </c>
      <c r="L11" s="50"/>
      <c r="M11" s="54">
        <f>Информация!I14</f>
        <v>46.860000000000007</v>
      </c>
      <c r="N11" s="40">
        <f>Информация!J14</f>
        <v>5.5</v>
      </c>
      <c r="O11" s="58">
        <f>ROUND(((Январь[[#This Row],[Пройдено за месяц, км]]*Январь[[#This Row],[Расход топлива по норме на 100км., литр]]*0.01)+(Январь[[#This Row],[Отработано за месяц, м/ч]]*Январь[[#This Row],[Расход топлива по норме на 1м/ч, литр]])),3)</f>
        <v>-18049.833999999999</v>
      </c>
      <c r="P11" s="54">
        <f>Январь[[#This Row],[Остаток топлива в баке на начало месяца,  литр]]+Январь[[#This Row],[Выдано топливо за месяц, литр]]-Январь[[#This Row],[Остаток топлива в баке на конец месяца, литр]]</f>
        <v>570</v>
      </c>
      <c r="Q11" s="56">
        <f>Информация!F14</f>
        <v>350</v>
      </c>
      <c r="R11" s="54">
        <f>Январь[[#This Row],[Фактический расход топлива, литр]]-Январь[[#This Row],[Расход топлива по норме, литр]]</f>
        <v>18619.833999999999</v>
      </c>
      <c r="S11" s="148">
        <f>Январь[[#This Row],[Пройдено за месяц, км]]/100*4.5</f>
        <v>-1043.55</v>
      </c>
      <c r="T11" s="148">
        <f>Январь[[#This Row],[Пройдено за месяц, км]]/100*0.5</f>
        <v>-115.95</v>
      </c>
      <c r="U11" s="148">
        <f>Январь[[#This Row],[Пройдено за месяц, км]]/100*1</f>
        <v>-231.9</v>
      </c>
      <c r="V11" s="148">
        <f>Январь[[#This Row],[Пройдено за месяц, км]]/100*0.2</f>
        <v>-46.38</v>
      </c>
      <c r="W11" s="40">
        <f>IF(Январь[[#This Row],[Выдано топливо за месяц, литр]]=0,"",ROUND(Январь[[#This Row],[Отклонение от нормы + Перерасход, - экономия, литр]]/Январь[[#This Row],[Фактический расход топлива, литр]],2)*100)</f>
        <v>3267</v>
      </c>
      <c r="X11" s="59"/>
      <c r="Y11" s="80"/>
      <c r="AA11" s="85">
        <f>IF(Январь[[#This Row],[Пройдено за месяц, км]]&gt;0,Январь[[#This Row],[Пройдено за месяц, км]],0)</f>
        <v>0</v>
      </c>
      <c r="AB11" s="85">
        <f>IF(Январь[[#This Row],[Отработано за месяц, м/ч]]&gt;0,Январь[[#This Row],[Отработано за месяц, м/ч]],0)</f>
        <v>0</v>
      </c>
      <c r="AC11" s="86">
        <f>ROUND(IF(Январь[[#This Row],[Расход топлива по норме, литр]]&gt;0,Январь[[#This Row],[Расход топлива по норме, литр]],0),2)</f>
        <v>0</v>
      </c>
      <c r="AD11" s="86">
        <f>IF(Январь[[#This Row],[Фактический расход топлива, литр]]&gt;0,Январь[[#This Row],[Фактический расход топлива, литр]],0)</f>
        <v>570</v>
      </c>
    </row>
    <row r="12" spans="1:30" ht="14.25">
      <c r="A12" s="42" t="str">
        <f>Информация!A15</f>
        <v>Камаз 65115</v>
      </c>
      <c r="B12" s="42" t="str">
        <f>Информация!B15</f>
        <v>с 546 уо 777</v>
      </c>
      <c r="C12" s="44">
        <f>Информация!C15</f>
        <v>35177</v>
      </c>
      <c r="D12" s="50"/>
      <c r="E12" s="46">
        <f>Январь[[#This Row],[Показание одометра на конец месяца,км]]-Январь[[#This Row],[Показание одометра на начало месяца,км]]+Январь[[#This Row],[Дополнительные, км]]</f>
        <v>-35177</v>
      </c>
      <c r="F12" s="47">
        <f>Информация!D15</f>
        <v>1228</v>
      </c>
      <c r="G12" s="52"/>
      <c r="H12" s="46">
        <f>Январь[[#This Row],[Показание счетчика моточасов на конец месяца, м/ч]]-Январь[[#This Row],[Показание счетчика моточасов на начало месяца, м/ч]]</f>
        <v>-1228</v>
      </c>
      <c r="I12" s="46">
        <f>Информация!E15</f>
        <v>0</v>
      </c>
      <c r="J12" s="46">
        <f>Январь[[#This Row],[Выдано топливо за месяц (данные Стребкова Р.Ю.), литр]]+Январь[[#This Row],[Расхождение данных]]</f>
        <v>735</v>
      </c>
      <c r="K12" s="52">
        <f>SUMPRODUCT([2]январь!$E$4:$E$153*([2]январь!$G$4:$G$153=Январь[[#This Row],[Номер государственной регистрации]]))</f>
        <v>735</v>
      </c>
      <c r="L12" s="50"/>
      <c r="M12" s="54">
        <f>Информация!I15</f>
        <v>46.860000000000007</v>
      </c>
      <c r="N12" s="40">
        <f>Информация!J15</f>
        <v>5.5</v>
      </c>
      <c r="O12" s="58">
        <f>ROUND(((Январь[[#This Row],[Пройдено за месяц, км]]*Январь[[#This Row],[Расход топлива по норме на 100км., литр]]*0.01)+(Январь[[#This Row],[Отработано за месяц, м/ч]]*Январь[[#This Row],[Расход топлива по норме на 1м/ч, литр]])),3)</f>
        <v>-23237.941999999999</v>
      </c>
      <c r="P12" s="54">
        <f>Январь[[#This Row],[Остаток топлива в баке на начало месяца,  литр]]+Январь[[#This Row],[Выдано топливо за месяц, литр]]-Январь[[#This Row],[Остаток топлива в баке на конец месяца, литр]]</f>
        <v>385</v>
      </c>
      <c r="Q12" s="56">
        <f>Информация!F15</f>
        <v>350</v>
      </c>
      <c r="R12" s="54">
        <f>Январь[[#This Row],[Фактический расход топлива, литр]]-Январь[[#This Row],[Расход топлива по норме, литр]]</f>
        <v>23622.941999999999</v>
      </c>
      <c r="S12" s="148">
        <f>Январь[[#This Row],[Пройдено за месяц, км]]/100*4.5</f>
        <v>-1582.9649999999999</v>
      </c>
      <c r="T12" s="148">
        <f>Январь[[#This Row],[Пройдено за месяц, км]]/100*0.5</f>
        <v>-175.88499999999999</v>
      </c>
      <c r="U12" s="148">
        <f>Январь[[#This Row],[Пройдено за месяц, км]]/100*1</f>
        <v>-351.77</v>
      </c>
      <c r="V12" s="148">
        <f>Январь[[#This Row],[Пройдено за месяц, км]]/100*0.2</f>
        <v>-70.353999999999999</v>
      </c>
      <c r="W12" s="40">
        <f>IF(Январь[[#This Row],[Выдано топливо за месяц, литр]]=0,"",ROUND(Январь[[#This Row],[Отклонение от нормы + Перерасход, - экономия, литр]]/Январь[[#This Row],[Фактический расход топлива, литр]],2)*100)</f>
        <v>6136</v>
      </c>
      <c r="X12" s="59"/>
      <c r="Y12" s="80"/>
      <c r="AA12" s="85">
        <f>IF(Январь[[#This Row],[Пройдено за месяц, км]]&gt;0,Январь[[#This Row],[Пройдено за месяц, км]],0)</f>
        <v>0</v>
      </c>
      <c r="AB12" s="85">
        <f>IF(Январь[[#This Row],[Отработано за месяц, м/ч]]&gt;0,Январь[[#This Row],[Отработано за месяц, м/ч]],0)</f>
        <v>0</v>
      </c>
      <c r="AC12" s="86">
        <f>ROUND(IF(Январь[[#This Row],[Расход топлива по норме, литр]]&gt;0,Январь[[#This Row],[Расход топлива по норме, литр]],0),2)</f>
        <v>0</v>
      </c>
      <c r="AD12" s="86">
        <f>IF(Январь[[#This Row],[Фактический расход топлива, литр]]&gt;0,Январь[[#This Row],[Фактический расход топлива, литр]],0)</f>
        <v>385</v>
      </c>
    </row>
    <row r="13" spans="1:30" ht="14.25">
      <c r="A13" s="42" t="str">
        <f>Информация!A16</f>
        <v>Камаз 65115</v>
      </c>
      <c r="B13" s="42" t="str">
        <f>Информация!B16</f>
        <v>н 577 мо 197</v>
      </c>
      <c r="C13" s="44">
        <f>Информация!C16</f>
        <v>157017</v>
      </c>
      <c r="D13" s="50"/>
      <c r="E13" s="46">
        <f>Январь[[#This Row],[Показание одометра на конец месяца,км]]-Январь[[#This Row],[Показание одометра на начало месяца,км]]+Январь[[#This Row],[Дополнительные, км]]</f>
        <v>-157017</v>
      </c>
      <c r="F13" s="47">
        <f>Информация!D16</f>
        <v>5373</v>
      </c>
      <c r="G13" s="52"/>
      <c r="H13" s="46">
        <f>Январь[[#This Row],[Показание счетчика моточасов на конец месяца, м/ч]]-Январь[[#This Row],[Показание счетчика моточасов на начало месяца, м/ч]]</f>
        <v>-5373</v>
      </c>
      <c r="I13" s="46">
        <f>Информация!E16</f>
        <v>66</v>
      </c>
      <c r="J13" s="46">
        <f>Январь[[#This Row],[Выдано топливо за месяц (данные Стребкова Р.Ю.), литр]]+Январь[[#This Row],[Расхождение данных]]</f>
        <v>0</v>
      </c>
      <c r="K13" s="52">
        <f>SUMPRODUCT([2]январь!$E$4:$E$153*([2]январь!$G$4:$G$153=Январь[[#This Row],[Номер государственной регистрации]]))</f>
        <v>0</v>
      </c>
      <c r="L13" s="50"/>
      <c r="M13" s="54">
        <f>Информация!I16</f>
        <v>51.546000000000014</v>
      </c>
      <c r="N13" s="40">
        <f>Информация!J16</f>
        <v>6.0500000000000007</v>
      </c>
      <c r="O13" s="58">
        <f>ROUND(((Январь[[#This Row],[Пройдено за месяц, км]]*Январь[[#This Row],[Расход топлива по норме на 100км., литр]]*0.01)+(Январь[[#This Row],[Отработано за месяц, м/ч]]*Январь[[#This Row],[Расход топлива по норме на 1м/ч, литр]])),3)</f>
        <v>-113442.633</v>
      </c>
      <c r="P13" s="54">
        <f>Январь[[#This Row],[Остаток топлива в баке на начало месяца,  литр]]+Январь[[#This Row],[Выдано топливо за месяц, литр]]-Январь[[#This Row],[Остаток топлива в баке на конец месяца, литр]]</f>
        <v>-434</v>
      </c>
      <c r="Q13" s="56">
        <f>Информация!F16</f>
        <v>500</v>
      </c>
      <c r="R13" s="54">
        <f>Январь[[#This Row],[Фактический расход топлива, литр]]-Январь[[#This Row],[Расход топлива по норме, литр]]</f>
        <v>113008.633</v>
      </c>
      <c r="S13" s="148">
        <f>Январь[[#This Row],[Пройдено за месяц, км]]/100*4.5</f>
        <v>-7065.7650000000003</v>
      </c>
      <c r="T13" s="148">
        <f>Январь[[#This Row],[Пройдено за месяц, км]]/100*0.5</f>
        <v>-785.08500000000004</v>
      </c>
      <c r="U13" s="148">
        <f>Январь[[#This Row],[Пройдено за месяц, км]]/100*1</f>
        <v>-1570.17</v>
      </c>
      <c r="V13" s="148">
        <f>Январь[[#This Row],[Пройдено за месяц, км]]/100*0.2</f>
        <v>-314.03400000000005</v>
      </c>
      <c r="W13" s="40" t="str">
        <f>IF(Январь[[#This Row],[Выдано топливо за месяц, литр]]=0,"",ROUND(Январь[[#This Row],[Отклонение от нормы + Перерасход, - экономия, литр]]/Январь[[#This Row],[Фактический расход топлива, литр]],2)*100)</f>
        <v/>
      </c>
      <c r="X13" s="59"/>
      <c r="Y13" s="80"/>
      <c r="AA13" s="85">
        <f>IF(Январь[[#This Row],[Пройдено за месяц, км]]&gt;0,Январь[[#This Row],[Пройдено за месяц, км]],0)</f>
        <v>0</v>
      </c>
      <c r="AB13" s="85">
        <f>IF(Январь[[#This Row],[Отработано за месяц, м/ч]]&gt;0,Январь[[#This Row],[Отработано за месяц, м/ч]],0)</f>
        <v>0</v>
      </c>
      <c r="AC13" s="86">
        <f>ROUND(IF(Январь[[#This Row],[Расход топлива по норме, литр]]&gt;0,Январь[[#This Row],[Расход топлива по норме, литр]],0),2)</f>
        <v>0</v>
      </c>
      <c r="AD13" s="86">
        <f>IF(Январь[[#This Row],[Фактический расход топлива, литр]]&gt;0,Январь[[#This Row],[Фактический расход топлива, литр]],0)</f>
        <v>0</v>
      </c>
    </row>
    <row r="14" spans="1:30" ht="14.25">
      <c r="A14" s="42" t="str">
        <f>Информация!A17</f>
        <v>Камаз 65115</v>
      </c>
      <c r="B14" s="42" t="str">
        <f>Информация!B17</f>
        <v>х 733 ун 197</v>
      </c>
      <c r="C14" s="44">
        <f>Информация!C17</f>
        <v>163420</v>
      </c>
      <c r="D14" s="50"/>
      <c r="E14" s="46">
        <f>Январь[[#This Row],[Показание одометра на конец месяца,км]]-Январь[[#This Row],[Показание одометра на начало месяца,км]]+Январь[[#This Row],[Дополнительные, км]]</f>
        <v>-163420</v>
      </c>
      <c r="F14" s="47">
        <f>Информация!D17</f>
        <v>85</v>
      </c>
      <c r="G14" s="52"/>
      <c r="H14" s="46">
        <f>Январь[[#This Row],[Показание счетчика моточасов на конец месяца, м/ч]]-Январь[[#This Row],[Показание счетчика моточасов на начало месяца, м/ч]]</f>
        <v>-85</v>
      </c>
      <c r="I14" s="46">
        <f>Информация!E17</f>
        <v>500</v>
      </c>
      <c r="J14" s="46">
        <f>Январь[[#This Row],[Выдано топливо за месяц (данные Стребкова Р.Ю.), литр]]+Январь[[#This Row],[Расхождение данных]]</f>
        <v>1285</v>
      </c>
      <c r="K14" s="52">
        <f>SUMPRODUCT([2]январь!$E$4:$E$153*([2]январь!$G$4:$G$153=Январь[[#This Row],[Номер государственной регистрации]]))</f>
        <v>1285</v>
      </c>
      <c r="L14" s="50"/>
      <c r="M14" s="54">
        <f>Информация!I17</f>
        <v>51.546000000000014</v>
      </c>
      <c r="N14" s="40">
        <f>Информация!J17</f>
        <v>6.0500000000000007</v>
      </c>
      <c r="O14" s="58">
        <f>ROUND(((Январь[[#This Row],[Пройдено за месяц, км]]*Январь[[#This Row],[Расход топлива по норме на 100км., литр]]*0.01)+(Январь[[#This Row],[Отработано за месяц, м/ч]]*Январь[[#This Row],[Расход топлива по норме на 1м/ч, литр]])),3)</f>
        <v>-84750.722999999998</v>
      </c>
      <c r="P14" s="54">
        <f>Январь[[#This Row],[Остаток топлива в баке на начало месяца,  литр]]+Январь[[#This Row],[Выдано топливо за месяц, литр]]-Январь[[#This Row],[Остаток топлива в баке на конец месяца, литр]]</f>
        <v>1285</v>
      </c>
      <c r="Q14" s="56">
        <f>Информация!F17</f>
        <v>500</v>
      </c>
      <c r="R14" s="54">
        <f>Январь[[#This Row],[Фактический расход топлива, литр]]-Январь[[#This Row],[Расход топлива по норме, литр]]</f>
        <v>86035.722999999998</v>
      </c>
      <c r="S14" s="148">
        <f>Январь[[#This Row],[Пройдено за месяц, км]]/100*4.5</f>
        <v>-7353.9000000000005</v>
      </c>
      <c r="T14" s="148">
        <f>Январь[[#This Row],[Пройдено за месяц, км]]/100*0.5</f>
        <v>-817.1</v>
      </c>
      <c r="U14" s="148">
        <f>Январь[[#This Row],[Пройдено за месяц, км]]/100*1</f>
        <v>-1634.2</v>
      </c>
      <c r="V14" s="148">
        <f>Январь[[#This Row],[Пройдено за месяц, км]]/100*0.2</f>
        <v>-326.84000000000003</v>
      </c>
      <c r="W14" s="40">
        <f>IF(Январь[[#This Row],[Выдано топливо за месяц, литр]]=0,"",ROUND(Январь[[#This Row],[Отклонение от нормы + Перерасход, - экономия, литр]]/Январь[[#This Row],[Фактический расход топлива, литр]],2)*100)</f>
        <v>6695</v>
      </c>
      <c r="X14" s="59"/>
      <c r="Y14" s="80"/>
      <c r="AA14" s="85">
        <f>IF(Январь[[#This Row],[Пройдено за месяц, км]]&gt;0,Январь[[#This Row],[Пройдено за месяц, км]],0)</f>
        <v>0</v>
      </c>
      <c r="AB14" s="85">
        <f>IF(Январь[[#This Row],[Отработано за месяц, м/ч]]&gt;0,Январь[[#This Row],[Отработано за месяц, м/ч]],0)</f>
        <v>0</v>
      </c>
      <c r="AC14" s="86">
        <f>ROUND(IF(Январь[[#This Row],[Расход топлива по норме, литр]]&gt;0,Январь[[#This Row],[Расход топлива по норме, литр]],0),2)</f>
        <v>0</v>
      </c>
      <c r="AD14" s="86">
        <f>IF(Январь[[#This Row],[Фактический расход топлива, литр]]&gt;0,Январь[[#This Row],[Фактический расход топлива, литр]],0)</f>
        <v>1285</v>
      </c>
    </row>
    <row r="15" spans="1:30" ht="14.25">
      <c r="A15" s="42" t="str">
        <f>Информация!A18</f>
        <v>Камаз 65115</v>
      </c>
      <c r="B15" s="42" t="str">
        <f>Информация!B18</f>
        <v>к 855 ке 197</v>
      </c>
      <c r="C15" s="44">
        <f>Информация!C18</f>
        <v>176352</v>
      </c>
      <c r="D15" s="50"/>
      <c r="E15" s="46">
        <f>Январь[[#This Row],[Показание одометра на конец месяца,км]]-Январь[[#This Row],[Показание одометра на начало месяца,км]]+Январь[[#This Row],[Дополнительные, км]]</f>
        <v>-176352</v>
      </c>
      <c r="F15" s="47">
        <f>Информация!D18</f>
        <v>314</v>
      </c>
      <c r="G15" s="52"/>
      <c r="H15" s="46">
        <f>Январь[[#This Row],[Показание счетчика моточасов на конец месяца, м/ч]]-Январь[[#This Row],[Показание счетчика моточасов на начало месяца, м/ч]]</f>
        <v>-314</v>
      </c>
      <c r="I15" s="46">
        <f>Информация!E18</f>
        <v>500</v>
      </c>
      <c r="J15" s="46">
        <f>Январь[[#This Row],[Выдано топливо за месяц (данные Стребкова Р.Ю.), литр]]+Январь[[#This Row],[Расхождение данных]]</f>
        <v>630</v>
      </c>
      <c r="K15" s="52">
        <f>SUMPRODUCT([2]январь!$E$4:$E$153*([2]январь!$G$4:$G$153=Январь[[#This Row],[Номер государственной регистрации]]))</f>
        <v>630</v>
      </c>
      <c r="L15" s="50"/>
      <c r="M15" s="54">
        <f>Информация!I18</f>
        <v>51.546000000000014</v>
      </c>
      <c r="N15" s="40">
        <f>Информация!J18</f>
        <v>6.0500000000000007</v>
      </c>
      <c r="O15" s="58">
        <f>ROUND(((Январь[[#This Row],[Пройдено за месяц, км]]*Январь[[#This Row],[Расход топлива по норме на 100км., литр]]*0.01)+(Январь[[#This Row],[Отработано за месяц, м/ч]]*Январь[[#This Row],[Расход топлива по норме на 1м/ч, литр]])),3)</f>
        <v>-92802.101999999999</v>
      </c>
      <c r="P15" s="54">
        <f>Январь[[#This Row],[Остаток топлива в баке на начало месяца,  литр]]+Январь[[#This Row],[Выдано топливо за месяц, литр]]-Январь[[#This Row],[Остаток топлива в баке на конец месяца, литр]]</f>
        <v>630</v>
      </c>
      <c r="Q15" s="56">
        <f>Информация!F18</f>
        <v>500</v>
      </c>
      <c r="R15" s="54">
        <f>Январь[[#This Row],[Фактический расход топлива, литр]]-Январь[[#This Row],[Расход топлива по норме, литр]]</f>
        <v>93432.101999999999</v>
      </c>
      <c r="S15" s="148">
        <f>Январь[[#This Row],[Пройдено за месяц, км]]/100*4.5</f>
        <v>-7935.84</v>
      </c>
      <c r="T15" s="148">
        <f>Январь[[#This Row],[Пройдено за месяц, км]]/100*0.5</f>
        <v>-881.76</v>
      </c>
      <c r="U15" s="148">
        <f>Январь[[#This Row],[Пройдено за месяц, км]]/100*1</f>
        <v>-1763.52</v>
      </c>
      <c r="V15" s="148">
        <f>Январь[[#This Row],[Пройдено за месяц, км]]/100*0.2</f>
        <v>-352.70400000000001</v>
      </c>
      <c r="W15" s="40">
        <f>IF(Январь[[#This Row],[Выдано топливо за месяц, литр]]=0,"",ROUND(Январь[[#This Row],[Отклонение от нормы + Перерасход, - экономия, литр]]/Январь[[#This Row],[Фактический расход топлива, литр]],2)*100)</f>
        <v>14830.000000000002</v>
      </c>
      <c r="X15" s="59"/>
      <c r="Y15" s="80"/>
      <c r="AA15" s="85">
        <f>IF(Январь[[#This Row],[Пройдено за месяц, км]]&gt;0,Январь[[#This Row],[Пройдено за месяц, км]],0)</f>
        <v>0</v>
      </c>
      <c r="AB15" s="85">
        <f>IF(Январь[[#This Row],[Отработано за месяц, м/ч]]&gt;0,Январь[[#This Row],[Отработано за месяц, м/ч]],0)</f>
        <v>0</v>
      </c>
      <c r="AC15" s="86">
        <f>ROUND(IF(Январь[[#This Row],[Расход топлива по норме, литр]]&gt;0,Январь[[#This Row],[Расход топлива по норме, литр]],0),2)</f>
        <v>0</v>
      </c>
      <c r="AD15" s="86">
        <f>IF(Январь[[#This Row],[Фактический расход топлива, литр]]&gt;0,Январь[[#This Row],[Фактический расход топлива, литр]],0)</f>
        <v>630</v>
      </c>
    </row>
    <row r="16" spans="1:30" ht="14.25">
      <c r="A16" s="42" t="str">
        <f>Информация!A19</f>
        <v>Камаз 65115</v>
      </c>
      <c r="B16" s="42" t="str">
        <f>Информация!B19</f>
        <v>р 908 он 197</v>
      </c>
      <c r="C16" s="44">
        <f>Информация!C19</f>
        <v>166467</v>
      </c>
      <c r="D16" s="50"/>
      <c r="E16" s="46">
        <f>Январь[[#This Row],[Показание одометра на конец месяца,км]]-Январь[[#This Row],[Показание одометра на начало месяца,км]]+Январь[[#This Row],[Дополнительные, км]]</f>
        <v>-166467</v>
      </c>
      <c r="F16" s="47">
        <f>Информация!D19</f>
        <v>1010</v>
      </c>
      <c r="G16" s="52"/>
      <c r="H16" s="46">
        <f>Январь[[#This Row],[Показание счетчика моточасов на конец месяца, м/ч]]-Январь[[#This Row],[Показание счетчика моточасов на начало месяца, м/ч]]</f>
        <v>-1010</v>
      </c>
      <c r="I16" s="46">
        <f>Информация!E19</f>
        <v>500</v>
      </c>
      <c r="J16" s="46">
        <f>Январь[[#This Row],[Выдано топливо за месяц (данные Стребкова Р.Ю.), литр]]+Январь[[#This Row],[Расхождение данных]]</f>
        <v>1790</v>
      </c>
      <c r="K16" s="52">
        <f>SUMPRODUCT([2]январь!$E$4:$E$153*([2]январь!$G$4:$G$153=Январь[[#This Row],[Номер государственной регистрации]]))</f>
        <v>1790</v>
      </c>
      <c r="L16" s="50"/>
      <c r="M16" s="54">
        <f>Информация!I19</f>
        <v>51.546000000000014</v>
      </c>
      <c r="N16" s="40">
        <f>Информация!J19</f>
        <v>6.0500000000000007</v>
      </c>
      <c r="O16" s="58">
        <f>ROUND(((Январь[[#This Row],[Пройдено за месяц, км]]*Январь[[#This Row],[Расход топлива по норме на 100км., литр]]*0.01)+(Январь[[#This Row],[Отработано за месяц, м/ч]]*Январь[[#This Row],[Расход топлива по норме на 1м/ч, литр]])),3)</f>
        <v>-91917.58</v>
      </c>
      <c r="P16" s="54">
        <f>Январь[[#This Row],[Остаток топлива в баке на начало месяца,  литр]]+Январь[[#This Row],[Выдано топливо за месяц, литр]]-Январь[[#This Row],[Остаток топлива в баке на конец месяца, литр]]</f>
        <v>1790</v>
      </c>
      <c r="Q16" s="56">
        <f>Информация!F19</f>
        <v>500</v>
      </c>
      <c r="R16" s="54">
        <f>Январь[[#This Row],[Фактический расход топлива, литр]]-Январь[[#This Row],[Расход топлива по норме, литр]]</f>
        <v>93707.58</v>
      </c>
      <c r="S16" s="148">
        <f>Январь[[#This Row],[Пройдено за месяц, км]]/100*4.5</f>
        <v>-7491.0150000000003</v>
      </c>
      <c r="T16" s="148">
        <f>Январь[[#This Row],[Пройдено за месяц, км]]/100*0.5</f>
        <v>-832.33500000000004</v>
      </c>
      <c r="U16" s="148">
        <f>Январь[[#This Row],[Пройдено за месяц, км]]/100*1</f>
        <v>-1664.67</v>
      </c>
      <c r="V16" s="148">
        <f>Январь[[#This Row],[Пройдено за месяц, км]]/100*0.2</f>
        <v>-332.93400000000003</v>
      </c>
      <c r="W16" s="40">
        <f>IF(Январь[[#This Row],[Выдано топливо за месяц, литр]]=0,"",ROUND(Январь[[#This Row],[Отклонение от нормы + Перерасход, - экономия, литр]]/Январь[[#This Row],[Фактический расход топлива, литр]],2)*100)</f>
        <v>5235</v>
      </c>
      <c r="X16" s="59"/>
      <c r="Y16" s="80"/>
      <c r="AA16" s="85">
        <f>IF(Январь[[#This Row],[Пройдено за месяц, км]]&gt;0,Январь[[#This Row],[Пройдено за месяц, км]],0)</f>
        <v>0</v>
      </c>
      <c r="AB16" s="85">
        <f>IF(Январь[[#This Row],[Отработано за месяц, м/ч]]&gt;0,Январь[[#This Row],[Отработано за месяц, м/ч]],0)</f>
        <v>0</v>
      </c>
      <c r="AC16" s="86">
        <f>ROUND(IF(Январь[[#This Row],[Расход топлива по норме, литр]]&gt;0,Январь[[#This Row],[Расход топлива по норме, литр]],0),2)</f>
        <v>0</v>
      </c>
      <c r="AD16" s="86">
        <f>IF(Январь[[#This Row],[Фактический расход топлива, литр]]&gt;0,Январь[[#This Row],[Фактический расход топлива, литр]],0)</f>
        <v>1790</v>
      </c>
    </row>
    <row r="17" spans="1:30" ht="14.25">
      <c r="A17" s="42" t="str">
        <f>Информация!A20</f>
        <v>Камаз 65115</v>
      </c>
      <c r="B17" s="42" t="str">
        <f>Информация!B20</f>
        <v>е 969 кк 197</v>
      </c>
      <c r="C17" s="44">
        <f>Информация!C20</f>
        <v>160673</v>
      </c>
      <c r="D17" s="50"/>
      <c r="E17" s="46">
        <f>Январь[[#This Row],[Показание одометра на конец месяца,км]]-Январь[[#This Row],[Показание одометра на начало месяца,км]]+Январь[[#This Row],[Дополнительные, км]]</f>
        <v>-160673</v>
      </c>
      <c r="F17" s="47">
        <f>Информация!D20</f>
        <v>471</v>
      </c>
      <c r="G17" s="52"/>
      <c r="H17" s="46">
        <f>Январь[[#This Row],[Показание счетчика моточасов на конец месяца, м/ч]]-Январь[[#This Row],[Показание счетчика моточасов на начало месяца, м/ч]]</f>
        <v>-471</v>
      </c>
      <c r="I17" s="46">
        <f>Информация!E20</f>
        <v>50</v>
      </c>
      <c r="J17" s="46">
        <f>Январь[[#This Row],[Выдано топливо за месяц (данные Стребкова Р.Ю.), литр]]+Январь[[#This Row],[Расхождение данных]]</f>
        <v>0</v>
      </c>
      <c r="K17" s="52">
        <f>SUMPRODUCT([2]январь!$E$4:$E$153*([2]январь!$G$4:$G$153=Январь[[#This Row],[Номер государственной регистрации]]))</f>
        <v>0</v>
      </c>
      <c r="L17" s="50"/>
      <c r="M17" s="54">
        <f>Информация!I20</f>
        <v>51.546000000000014</v>
      </c>
      <c r="N17" s="40">
        <f>Информация!J20</f>
        <v>6.0500000000000007</v>
      </c>
      <c r="O17" s="58">
        <f>ROUND(((Январь[[#This Row],[Пройдено за месяц, км]]*Январь[[#This Row],[Расход топлива по норме на 100км., литр]]*0.01)+(Январь[[#This Row],[Отработано за месяц, м/ч]]*Январь[[#This Row],[Расход топлива по норме на 1м/ч, литр]])),3)</f>
        <v>-85670.054999999993</v>
      </c>
      <c r="P17" s="54">
        <f>Январь[[#This Row],[Остаток топлива в баке на начало месяца,  литр]]+Январь[[#This Row],[Выдано топливо за месяц, литр]]-Январь[[#This Row],[Остаток топлива в баке на конец месяца, литр]]</f>
        <v>-450</v>
      </c>
      <c r="Q17" s="56">
        <f>Информация!F20</f>
        <v>500</v>
      </c>
      <c r="R17" s="54">
        <f>Январь[[#This Row],[Фактический расход топлива, литр]]-Январь[[#This Row],[Расход топлива по норме, литр]]</f>
        <v>85220.054999999993</v>
      </c>
      <c r="S17" s="148">
        <f>Январь[[#This Row],[Пройдено за месяц, км]]/100*4.5</f>
        <v>-7230.2849999999999</v>
      </c>
      <c r="T17" s="148">
        <f>Январь[[#This Row],[Пройдено за месяц, км]]/100*0.5</f>
        <v>-803.36500000000001</v>
      </c>
      <c r="U17" s="148">
        <f>Январь[[#This Row],[Пройдено за месяц, км]]/100*1</f>
        <v>-1606.73</v>
      </c>
      <c r="V17" s="148">
        <f>Январь[[#This Row],[Пройдено за месяц, км]]/100*0.2</f>
        <v>-321.346</v>
      </c>
      <c r="W17" s="40" t="str">
        <f>IF(Январь[[#This Row],[Выдано топливо за месяц, литр]]=0,"",ROUND(Январь[[#This Row],[Отклонение от нормы + Перерасход, - экономия, литр]]/Январь[[#This Row],[Фактический расход топлива, литр]],2)*100)</f>
        <v/>
      </c>
      <c r="X17" s="59"/>
      <c r="Y17" s="80"/>
      <c r="AA17" s="85">
        <f>IF(Январь[[#This Row],[Пройдено за месяц, км]]&gt;0,Январь[[#This Row],[Пройдено за месяц, км]],0)</f>
        <v>0</v>
      </c>
      <c r="AB17" s="85">
        <f>IF(Январь[[#This Row],[Отработано за месяц, м/ч]]&gt;0,Январь[[#This Row],[Отработано за месяц, м/ч]],0)</f>
        <v>0</v>
      </c>
      <c r="AC17" s="86">
        <f>ROUND(IF(Январь[[#This Row],[Расход топлива по норме, литр]]&gt;0,Январь[[#This Row],[Расход топлива по норме, литр]],0),2)</f>
        <v>0</v>
      </c>
      <c r="AD17" s="86">
        <f>IF(Январь[[#This Row],[Фактический расход топлива, литр]]&gt;0,Январь[[#This Row],[Фактический расход топлива, литр]],0)</f>
        <v>0</v>
      </c>
    </row>
    <row r="18" spans="1:30" ht="14.25">
      <c r="A18" s="42" t="str">
        <f>Информация!A21</f>
        <v>Фукс 350 (с)</v>
      </c>
      <c r="B18" s="42" t="str">
        <f>Информация!B21</f>
        <v>б/н</v>
      </c>
      <c r="C18" s="44">
        <f>Информация!C21</f>
        <v>0</v>
      </c>
      <c r="D18" s="50"/>
      <c r="E18" s="46">
        <f>Январь[[#This Row],[Показание одометра на конец месяца,км]]-Январь[[#This Row],[Показание одометра на начало месяца,км]]+Январь[[#This Row],[Дополнительные, км]]</f>
        <v>0</v>
      </c>
      <c r="F18" s="47">
        <f>Информация!D21</f>
        <v>29170</v>
      </c>
      <c r="G18" s="52"/>
      <c r="H18" s="46">
        <f>Январь[[#This Row],[Показание счетчика моточасов на конец месяца, м/ч]]-Январь[[#This Row],[Показание счетчика моточасов на начало месяца, м/ч]]</f>
        <v>-29170</v>
      </c>
      <c r="I18" s="46">
        <f>Информация!E21</f>
        <v>350</v>
      </c>
      <c r="J18" s="46">
        <f>Январь[[#This Row],[Выдано топливо за месяц (данные Стребкова Р.Ю.), литр]]+Январь[[#This Row],[Расхождение данных]]</f>
        <v>10210</v>
      </c>
      <c r="K18" s="52">
        <f>SUMPRODUCT([2]январь!$E$4:$E$153*([2]январь!$G$4:$G$153=Январь[[#This Row],[Номер государственной регистрации]]))</f>
        <v>10210</v>
      </c>
      <c r="L18" s="50"/>
      <c r="M18" s="54">
        <f>Информация!I21</f>
        <v>0</v>
      </c>
      <c r="N18" s="40">
        <f>Информация!J21</f>
        <v>18.150000000000002</v>
      </c>
      <c r="O18" s="58">
        <f>ROUND(((Январь[[#This Row],[Пройдено за месяц, км]]*Январь[[#This Row],[Расход топлива по норме на 100км., литр]]*0.01)+(Январь[[#This Row],[Отработано за месяц, м/ч]]*Январь[[#This Row],[Расход топлива по норме на 1м/ч, литр]])),3)</f>
        <v>-529435.5</v>
      </c>
      <c r="P18" s="54">
        <f>Январь[[#This Row],[Остаток топлива в баке на начало месяца,  литр]]+Январь[[#This Row],[Выдано топливо за месяц, литр]]-Январь[[#This Row],[Остаток топлива в баке на конец месяца, литр]]</f>
        <v>10210</v>
      </c>
      <c r="Q18" s="56">
        <f>Информация!F21</f>
        <v>350</v>
      </c>
      <c r="R18" s="54">
        <f>Январь[[#This Row],[Фактический расход топлива, литр]]-Январь[[#This Row],[Расход топлива по норме, литр]]</f>
        <v>539645.5</v>
      </c>
      <c r="S18" s="148">
        <f>Январь[[#This Row],[Пройдено за месяц, км]]/100*4.5</f>
        <v>0</v>
      </c>
      <c r="T18" s="148">
        <f>Январь[[#This Row],[Пройдено за месяц, км]]/100*0.5</f>
        <v>0</v>
      </c>
      <c r="U18" s="148">
        <f>Январь[[#This Row],[Пройдено за месяц, км]]/100*1</f>
        <v>0</v>
      </c>
      <c r="V18" s="148">
        <f>Январь[[#This Row],[Пройдено за месяц, км]]/100*0.2</f>
        <v>0</v>
      </c>
      <c r="W18" s="40">
        <f>IF(Январь[[#This Row],[Выдано топливо за месяц, литр]]=0,"",ROUND(Январь[[#This Row],[Отклонение от нормы + Перерасход, - экономия, литр]]/Январь[[#This Row],[Фактический расход топлива, литр]],2)*100)</f>
        <v>5285</v>
      </c>
      <c r="X18" s="59"/>
      <c r="Y18" s="80"/>
      <c r="AA18" s="85">
        <f>IF(Январь[[#This Row],[Пройдено за месяц, км]]&gt;0,Январь[[#This Row],[Пройдено за месяц, км]],0)</f>
        <v>0</v>
      </c>
      <c r="AB18" s="85">
        <f>IF(Январь[[#This Row],[Отработано за месяц, м/ч]]&gt;0,Январь[[#This Row],[Отработано за месяц, м/ч]],0)</f>
        <v>0</v>
      </c>
      <c r="AC18" s="86">
        <f>ROUND(IF(Январь[[#This Row],[Расход топлива по норме, литр]]&gt;0,Январь[[#This Row],[Расход топлива по норме, литр]],0),2)</f>
        <v>0</v>
      </c>
      <c r="AD18" s="86">
        <f>IF(Январь[[#This Row],[Фактический расход топлива, литр]]&gt;0,Январь[[#This Row],[Фактический расход топлива, литр]],0)</f>
        <v>10210</v>
      </c>
    </row>
    <row r="19" spans="1:30" ht="14.25">
      <c r="A19" s="42" t="str">
        <f>Информация!A22</f>
        <v>Фукс 350 D</v>
      </c>
      <c r="B19" s="42" t="str">
        <f>Информация!B22</f>
        <v>б/н</v>
      </c>
      <c r="C19" s="44">
        <f>Информация!C22</f>
        <v>0</v>
      </c>
      <c r="D19" s="50"/>
      <c r="E19" s="46">
        <f>Январь[[#This Row],[Показание одометра на конец месяца,км]]-Январь[[#This Row],[Показание одометра на начало месяца,км]]+Январь[[#This Row],[Дополнительные, км]]</f>
        <v>0</v>
      </c>
      <c r="F19" s="47">
        <f>Информация!D22</f>
        <v>3484</v>
      </c>
      <c r="G19" s="52"/>
      <c r="H19" s="46">
        <f>Январь[[#This Row],[Показание счетчика моточасов на конец месяца, м/ч]]-Январь[[#This Row],[Показание счетчика моточасов на начало месяца, м/ч]]</f>
        <v>-3484</v>
      </c>
      <c r="I19" s="46">
        <f>Информация!E22</f>
        <v>390</v>
      </c>
      <c r="J19" s="46">
        <f>Январь[[#This Row],[Выдано топливо за месяц (данные Стребкова Р.Ю.), литр]]+Январь[[#This Row],[Расхождение данных]]</f>
        <v>10210</v>
      </c>
      <c r="K19" s="52">
        <f>SUMPRODUCT([2]январь!$E$4:$E$153*([2]январь!$G$4:$G$153=Январь[[#This Row],[Номер государственной регистрации]]))</f>
        <v>10210</v>
      </c>
      <c r="L19" s="50"/>
      <c r="M19" s="54">
        <f>Информация!I22</f>
        <v>0</v>
      </c>
      <c r="N19" s="40">
        <f>Информация!J22</f>
        <v>19.8</v>
      </c>
      <c r="O19" s="58">
        <f>ROUND(((Январь[[#This Row],[Пройдено за месяц, км]]*Январь[[#This Row],[Расход топлива по норме на 100км., литр]]*0.01)+(Январь[[#This Row],[Отработано за месяц, м/ч]]*Январь[[#This Row],[Расход топлива по норме на 1м/ч, литр]])),3)</f>
        <v>-68983.199999999997</v>
      </c>
      <c r="P19" s="54">
        <f>Январь[[#This Row],[Остаток топлива в баке на начало месяца,  литр]]+Январь[[#This Row],[Выдано топливо за месяц, литр]]-Январь[[#This Row],[Остаток топлива в баке на конец месяца, литр]]</f>
        <v>10210</v>
      </c>
      <c r="Q19" s="56">
        <f>Информация!F22</f>
        <v>390</v>
      </c>
      <c r="R19" s="54">
        <f>Январь[[#This Row],[Фактический расход топлива, литр]]-Январь[[#This Row],[Расход топлива по норме, литр]]</f>
        <v>79193.2</v>
      </c>
      <c r="S19" s="148">
        <f>Январь[[#This Row],[Пройдено за месяц, км]]/100*4.5</f>
        <v>0</v>
      </c>
      <c r="T19" s="148">
        <f>Январь[[#This Row],[Пройдено за месяц, км]]/100*0.5</f>
        <v>0</v>
      </c>
      <c r="U19" s="148">
        <f>Январь[[#This Row],[Пройдено за месяц, км]]/100*1</f>
        <v>0</v>
      </c>
      <c r="V19" s="148">
        <f>Январь[[#This Row],[Пройдено за месяц, км]]/100*0.2</f>
        <v>0</v>
      </c>
      <c r="W19" s="40">
        <f>IF(Январь[[#This Row],[Выдано топливо за месяц, литр]]=0,"",ROUND(Январь[[#This Row],[Отклонение от нормы + Перерасход, - экономия, литр]]/Январь[[#This Row],[Фактический расход топлива, литр]],2)*100)</f>
        <v>776</v>
      </c>
      <c r="X19" s="59"/>
      <c r="Y19" s="80"/>
      <c r="AA19" s="85">
        <f>IF(Январь[[#This Row],[Пройдено за месяц, км]]&gt;0,Январь[[#This Row],[Пройдено за месяц, км]],0)</f>
        <v>0</v>
      </c>
      <c r="AB19" s="85">
        <f>IF(Январь[[#This Row],[Отработано за месяц, м/ч]]&gt;0,Январь[[#This Row],[Отработано за месяц, м/ч]],0)</f>
        <v>0</v>
      </c>
      <c r="AC19" s="86">
        <f>ROUND(IF(Январь[[#This Row],[Расход топлива по норме, литр]]&gt;0,Январь[[#This Row],[Расход топлива по норме, литр]],0),2)</f>
        <v>0</v>
      </c>
      <c r="AD19" s="86">
        <f>IF(Январь[[#This Row],[Фактический расход топлива, литр]]&gt;0,Январь[[#This Row],[Фактический расход топлива, литр]],0)</f>
        <v>10210</v>
      </c>
    </row>
    <row r="20" spans="1:30" ht="14.25">
      <c r="A20" s="42" t="str">
        <f>Информация!A23</f>
        <v>Фольксваген</v>
      </c>
      <c r="B20" s="42" t="str">
        <f>Информация!B23</f>
        <v>к 190 вк 799</v>
      </c>
      <c r="C20" s="44">
        <f>Информация!C23</f>
        <v>153546</v>
      </c>
      <c r="D20" s="50"/>
      <c r="E20" s="46">
        <f>Январь[[#This Row],[Показание одометра на конец месяца,км]]-Январь[[#This Row],[Показание одометра на начало месяца,км]]+Январь[[#This Row],[Дополнительные, км]]</f>
        <v>-153546</v>
      </c>
      <c r="F20" s="47">
        <f>Информация!D23</f>
        <v>0</v>
      </c>
      <c r="G20" s="52"/>
      <c r="H20" s="46">
        <f>Январь[[#This Row],[Показание счетчика моточасов на конец месяца, м/ч]]-Январь[[#This Row],[Показание счетчика моточасов на начало месяца, м/ч]]</f>
        <v>0</v>
      </c>
      <c r="I20" s="46">
        <f>Информация!E23</f>
        <v>64</v>
      </c>
      <c r="J20" s="46">
        <f>Январь[[#This Row],[Выдано топливо за месяц (данные Стребкова Р.Ю.), литр]]+Январь[[#This Row],[Расхождение данных]]</f>
        <v>0</v>
      </c>
      <c r="K20" s="52">
        <f>SUMPRODUCT([2]январь!$E$4:$E$153*([2]январь!$G$4:$G$153=Январь[[#This Row],[Номер государственной регистрации]]))</f>
        <v>0</v>
      </c>
      <c r="L20" s="50"/>
      <c r="M20" s="54">
        <f>Информация!I23</f>
        <v>12.705000000000002</v>
      </c>
      <c r="N20" s="40">
        <f>Информация!J23</f>
        <v>0</v>
      </c>
      <c r="O20" s="58">
        <f>ROUND(((Январь[[#This Row],[Пройдено за месяц, км]]*Январь[[#This Row],[Расход топлива по норме на 100км., литр]]*0.01)+(Январь[[#This Row],[Отработано за месяц, м/ч]]*Январь[[#This Row],[Расход топлива по норме на 1м/ч, литр]])),3)</f>
        <v>-19508.019</v>
      </c>
      <c r="P20" s="54">
        <f>Январь[[#This Row],[Остаток топлива в баке на начало месяца,  литр]]+Январь[[#This Row],[Выдано топливо за месяц, литр]]-Январь[[#This Row],[Остаток топлива в баке на конец месяца, литр]]</f>
        <v>0</v>
      </c>
      <c r="Q20" s="56">
        <f>Информация!F23</f>
        <v>64</v>
      </c>
      <c r="R20" s="54">
        <f>Январь[[#This Row],[Фактический расход топлива, литр]]-Январь[[#This Row],[Расход топлива по норме, литр]]</f>
        <v>19508.019</v>
      </c>
      <c r="S20" s="148">
        <f>Январь[[#This Row],[Пройдено за месяц, км]]/100*4.5</f>
        <v>-6909.57</v>
      </c>
      <c r="T20" s="148">
        <f>Январь[[#This Row],[Пройдено за месяц, км]]/100*0.5</f>
        <v>-767.73</v>
      </c>
      <c r="U20" s="148">
        <f>Январь[[#This Row],[Пройдено за месяц, км]]/100*1</f>
        <v>-1535.46</v>
      </c>
      <c r="V20" s="148">
        <f>Январь[[#This Row],[Пройдено за месяц, км]]/100*0.2</f>
        <v>-307.09200000000004</v>
      </c>
      <c r="W20" s="40" t="str">
        <f>IF(Январь[[#This Row],[Выдано топливо за месяц, литр]]=0,"",ROUND(Январь[[#This Row],[Отклонение от нормы + Перерасход, - экономия, литр]]/Январь[[#This Row],[Фактический расход топлива, литр]],2)*100)</f>
        <v/>
      </c>
      <c r="X20" s="59"/>
      <c r="Y20" s="80"/>
      <c r="AA20" s="85">
        <f>IF(Январь[[#This Row],[Пройдено за месяц, км]]&gt;0,Январь[[#This Row],[Пройдено за месяц, км]],0)</f>
        <v>0</v>
      </c>
      <c r="AB20" s="85">
        <f>IF(Январь[[#This Row],[Отработано за месяц, м/ч]]&gt;0,Январь[[#This Row],[Отработано за месяц, м/ч]],0)</f>
        <v>0</v>
      </c>
      <c r="AC20" s="86">
        <f>ROUND(IF(Январь[[#This Row],[Расход топлива по норме, литр]]&gt;0,Январь[[#This Row],[Расход топлива по норме, литр]],0),2)</f>
        <v>0</v>
      </c>
      <c r="AD20" s="86">
        <f>IF(Январь[[#This Row],[Фактический расход топлива, литр]]&gt;0,Январь[[#This Row],[Фактический расход топлива, литр]],0)</f>
        <v>0</v>
      </c>
    </row>
    <row r="21" spans="1:30" ht="14.25">
      <c r="A21" s="42" t="str">
        <f>Информация!A24</f>
        <v>Погрузчик LG</v>
      </c>
      <c r="B21" s="42">
        <f>Информация!B24</f>
        <v>0</v>
      </c>
      <c r="C21" s="44">
        <f>Информация!C24</f>
        <v>0</v>
      </c>
      <c r="D21" s="50"/>
      <c r="E21" s="46">
        <f>Январь[[#This Row],[Показание одометра на конец месяца,км]]-Январь[[#This Row],[Показание одометра на начало месяца,км]]+Январь[[#This Row],[Дополнительные, км]]</f>
        <v>0</v>
      </c>
      <c r="F21" s="47">
        <f>Информация!D24</f>
        <v>4976</v>
      </c>
      <c r="G21" s="52"/>
      <c r="H21" s="46">
        <f>Январь[[#This Row],[Показание счетчика моточасов на конец месяца, м/ч]]-Январь[[#This Row],[Показание счетчика моточасов на начало месяца, м/ч]]</f>
        <v>-4976</v>
      </c>
      <c r="I21" s="46">
        <f>Информация!E24</f>
        <v>18</v>
      </c>
      <c r="J21" s="46">
        <f>Январь[[#This Row],[Выдано топливо за месяц (данные Стребкова Р.Ю.), литр]]+Январь[[#This Row],[Расхождение данных]]</f>
        <v>0</v>
      </c>
      <c r="K21" s="52">
        <f>SUMPRODUCT([2]январь!$E$4:$E$153*([2]январь!$G$4:$G$153=Январь[[#This Row],[Номер государственной регистрации]]))</f>
        <v>0</v>
      </c>
      <c r="L21" s="50"/>
      <c r="M21" s="54">
        <f>Информация!I24</f>
        <v>0</v>
      </c>
      <c r="N21" s="40">
        <f>Информация!J24</f>
        <v>14.740000000000002</v>
      </c>
      <c r="O21" s="58">
        <f>ROUND(((Январь[[#This Row],[Пройдено за месяц, км]]*Январь[[#This Row],[Расход топлива по норме на 100км., литр]]*0.01)+(Январь[[#This Row],[Отработано за месяц, м/ч]]*Январь[[#This Row],[Расход топлива по норме на 1м/ч, литр]])),3)</f>
        <v>-73346.240000000005</v>
      </c>
      <c r="P21" s="54">
        <f>Январь[[#This Row],[Остаток топлива в баке на начало месяца,  литр]]+Январь[[#This Row],[Выдано топливо за месяц, литр]]-Январь[[#This Row],[Остаток топлива в баке на конец месяца, литр]]</f>
        <v>-232</v>
      </c>
      <c r="Q21" s="56">
        <f>Информация!F24</f>
        <v>250</v>
      </c>
      <c r="R21" s="54">
        <f>Январь[[#This Row],[Фактический расход топлива, литр]]-Январь[[#This Row],[Расход топлива по норме, литр]]</f>
        <v>73114.240000000005</v>
      </c>
      <c r="S21" s="148">
        <f>Январь[[#This Row],[Пройдено за месяц, км]]/100*4.5</f>
        <v>0</v>
      </c>
      <c r="T21" s="148">
        <f>Январь[[#This Row],[Пройдено за месяц, км]]/100*0.5</f>
        <v>0</v>
      </c>
      <c r="U21" s="148">
        <f>Январь[[#This Row],[Пройдено за месяц, км]]/100*1</f>
        <v>0</v>
      </c>
      <c r="V21" s="148">
        <f>Январь[[#This Row],[Пройдено за месяц, км]]/100*0.2</f>
        <v>0</v>
      </c>
      <c r="W21" s="40" t="str">
        <f>IF(Январь[[#This Row],[Выдано топливо за месяц, литр]]=0,"",ROUND(Январь[[#This Row],[Отклонение от нормы + Перерасход, - экономия, литр]]/Январь[[#This Row],[Фактический расход топлива, литр]],2)*100)</f>
        <v/>
      </c>
      <c r="X21" s="59"/>
      <c r="Y21" s="80"/>
      <c r="AA21" s="85">
        <f>IF(Январь[[#This Row],[Пройдено за месяц, км]]&gt;0,Январь[[#This Row],[Пройдено за месяц, км]],0)</f>
        <v>0</v>
      </c>
      <c r="AB21" s="85">
        <f>IF(Январь[[#This Row],[Отработано за месяц, м/ч]]&gt;0,Январь[[#This Row],[Отработано за месяц, м/ч]],0)</f>
        <v>0</v>
      </c>
      <c r="AC21" s="86">
        <f>ROUND(IF(Январь[[#This Row],[Расход топлива по норме, литр]]&gt;0,Январь[[#This Row],[Расход топлива по норме, литр]],0),2)</f>
        <v>0</v>
      </c>
      <c r="AD21" s="86">
        <f>IF(Январь[[#This Row],[Фактический расход топлива, литр]]&gt;0,Январь[[#This Row],[Фактический расход топлива, литр]],0)</f>
        <v>0</v>
      </c>
    </row>
    <row r="22" spans="1:30" ht="14.25">
      <c r="A22" s="42">
        <f>Информация!A26</f>
        <v>0</v>
      </c>
      <c r="B22" s="42">
        <f>Информация!B26</f>
        <v>0</v>
      </c>
      <c r="C22" s="44">
        <f>Информация!C26</f>
        <v>0</v>
      </c>
      <c r="D22" s="50"/>
      <c r="E22" s="46">
        <f>Январь[[#This Row],[Показание одометра на конец месяца,км]]-Январь[[#This Row],[Показание одометра на начало месяца,км]]+Январь[[#This Row],[Дополнительные, км]]</f>
        <v>0</v>
      </c>
      <c r="F22" s="47"/>
      <c r="G22" s="52"/>
      <c r="H22" s="46"/>
      <c r="I22" s="46"/>
      <c r="J22" s="46"/>
      <c r="K22" s="52">
        <f>SUMPRODUCT([2]январь!$E$4:$E$153*([2]январь!$G$4:$G$153=Январь[[#This Row],[Номер государственной регистрации]]))</f>
        <v>0</v>
      </c>
      <c r="L22" s="50"/>
      <c r="M22" s="54">
        <f>Информация!I26</f>
        <v>0</v>
      </c>
      <c r="N22" s="40">
        <f>Информация!J26</f>
        <v>0</v>
      </c>
      <c r="O22" s="58">
        <f>ROUND(((Январь[[#This Row],[Пройдено за месяц, км]]*Январь[[#This Row],[Расход топлива по норме на 100км., литр]]*0.01)+(Январь[[#This Row],[Отработано за месяц, м/ч]]*Январь[[#This Row],[Расход топлива по норме на 1м/ч, литр]])),3)</f>
        <v>0</v>
      </c>
      <c r="P22" s="54">
        <f>Январь[[#This Row],[Остаток топлива в баке на начало месяца,  литр]]+Январь[[#This Row],[Выдано топливо за месяц, литр]]-Январь[[#This Row],[Остаток топлива в баке на конец месяца, литр]]</f>
        <v>0</v>
      </c>
      <c r="Q22" s="56">
        <f>Информация!F26</f>
        <v>0</v>
      </c>
      <c r="R22" s="54">
        <f>Январь[[#This Row],[Фактический расход топлива, литр]]-Январь[[#This Row],[Расход топлива по норме, литр]]</f>
        <v>0</v>
      </c>
      <c r="S22" s="148">
        <f>Январь[[#This Row],[Пройдено за месяц, км]]/100*4.5</f>
        <v>0</v>
      </c>
      <c r="T22" s="148">
        <f>Январь[[#This Row],[Пройдено за месяц, км]]/100*0.5</f>
        <v>0</v>
      </c>
      <c r="U22" s="148">
        <f>Январь[[#This Row],[Пройдено за месяц, км]]/100*1</f>
        <v>0</v>
      </c>
      <c r="V22" s="148">
        <f>Январь[[#This Row],[Пройдено за месяц, км]]/100*0.2</f>
        <v>0</v>
      </c>
      <c r="W22" s="40" t="str">
        <f>IF(Январь[[#This Row],[Выдано топливо за месяц, литр]]=0,"",ROUND(Январь[[#This Row],[Отклонение от нормы + Перерасход, - экономия, литр]]/Январь[[#This Row],[Фактический расход топлива, литр]],2)*100)</f>
        <v/>
      </c>
      <c r="X22" s="59"/>
      <c r="Y22" s="80"/>
      <c r="AA22" s="85">
        <f>IF(Январь[[#This Row],[Пройдено за месяц, км]]&gt;0,Январь[[#This Row],[Пройдено за месяц, км]],0)</f>
        <v>0</v>
      </c>
      <c r="AB22" s="85">
        <f>IF(Январь[[#This Row],[Отработано за месяц, м/ч]]&gt;0,Январь[[#This Row],[Отработано за месяц, м/ч]],0)</f>
        <v>0</v>
      </c>
      <c r="AC22" s="86">
        <f>ROUND(IF(Январь[[#This Row],[Расход топлива по норме, литр]]&gt;0,Январь[[#This Row],[Расход топлива по норме, литр]],0),2)</f>
        <v>0</v>
      </c>
      <c r="AD22" s="86">
        <f>IF(Январь[[#This Row],[Фактический расход топлива, литр]]&gt;0,Январь[[#This Row],[Фактический расход топлива, литр]],0)</f>
        <v>0</v>
      </c>
    </row>
    <row r="23" spans="1:30" s="2" customFormat="1" ht="14.25">
      <c r="A23" s="42">
        <f>Информация!A27</f>
        <v>0</v>
      </c>
      <c r="B23" s="42">
        <f>Информация!B27</f>
        <v>0</v>
      </c>
      <c r="C23" s="44">
        <f>Информация!C27</f>
        <v>0</v>
      </c>
      <c r="D23" s="50"/>
      <c r="E23" s="46">
        <f>Январь[[#This Row],[Показание одометра на конец месяца,км]]-Январь[[#This Row],[Показание одометра на начало месяца,км]]+Январь[[#This Row],[Дополнительные, км]]</f>
        <v>0</v>
      </c>
      <c r="F23" s="47">
        <f>Информация!D27</f>
        <v>0</v>
      </c>
      <c r="G23" s="52"/>
      <c r="H23" s="46">
        <f>Январь[[#This Row],[Показание счетчика моточасов на конец месяца, м/ч]]-Январь[[#This Row],[Показание счетчика моточасов на начало месяца, м/ч]]</f>
        <v>0</v>
      </c>
      <c r="I23" s="46">
        <f>Информация!E27</f>
        <v>0</v>
      </c>
      <c r="J23" s="46">
        <f>Январь[[#This Row],[Выдано топливо за месяц (данные Стребкова Р.Ю.), литр]]+Январь[[#This Row],[Расхождение данных]]</f>
        <v>0</v>
      </c>
      <c r="K23" s="52">
        <f>SUMPRODUCT([2]январь!$E$4:$E$153*([2]январь!$G$4:$G$153=Январь[[#This Row],[Номер государственной регистрации]]))</f>
        <v>0</v>
      </c>
      <c r="L23" s="50"/>
      <c r="M23" s="54">
        <f>Информация!I27</f>
        <v>0</v>
      </c>
      <c r="N23" s="40">
        <f>Информация!J27</f>
        <v>0</v>
      </c>
      <c r="O23" s="58">
        <f>ROUND(((Январь[[#This Row],[Пройдено за месяц, км]]*Январь[[#This Row],[Расход топлива по норме на 100км., литр]]*0.01)+(Январь[[#This Row],[Отработано за месяц, м/ч]]*Январь[[#This Row],[Расход топлива по норме на 1м/ч, литр]])),3)</f>
        <v>0</v>
      </c>
      <c r="P23" s="54">
        <f>Январь[[#This Row],[Остаток топлива в баке на начало месяца,  литр]]+Январь[[#This Row],[Выдано топливо за месяц, литр]]-Январь[[#This Row],[Остаток топлива в баке на конец месяца, литр]]</f>
        <v>0</v>
      </c>
      <c r="Q23" s="56">
        <f>Информация!F27</f>
        <v>0</v>
      </c>
      <c r="R23" s="54">
        <f>Январь[[#This Row],[Фактический расход топлива, литр]]-Январь[[#This Row],[Расход топлива по норме, литр]]</f>
        <v>0</v>
      </c>
      <c r="S23" s="148">
        <f>Январь[[#This Row],[Пройдено за месяц, км]]/100*4.5</f>
        <v>0</v>
      </c>
      <c r="T23" s="148">
        <f>Январь[[#This Row],[Пройдено за месяц, км]]/100*0.5</f>
        <v>0</v>
      </c>
      <c r="U23" s="148">
        <f>Январь[[#This Row],[Пройдено за месяц, км]]/100*1</f>
        <v>0</v>
      </c>
      <c r="V23" s="148">
        <f>Январь[[#This Row],[Пройдено за месяц, км]]/100*0.2</f>
        <v>0</v>
      </c>
      <c r="W23" s="40" t="str">
        <f>IF(Январь[[#This Row],[Выдано топливо за месяц, литр]]=0,"",ROUND(Январь[[#This Row],[Отклонение от нормы + Перерасход, - экономия, литр]]/Январь[[#This Row],[Фактический расход топлива, литр]],2)*100)</f>
        <v/>
      </c>
      <c r="X23" s="59"/>
      <c r="Y23" s="80"/>
      <c r="AA23" s="87" t="s">
        <v>83</v>
      </c>
      <c r="AB23" s="87"/>
      <c r="AC23" s="88">
        <f>SUBTOTAL(109,[Расход топлива по норме, литр])</f>
        <v>1190.5</v>
      </c>
      <c r="AD23" s="88">
        <f ca="1">SUBTOTAL(109,[Фактический расход топлива, литр])</f>
        <v>28292</v>
      </c>
    </row>
    <row r="24" spans="1:30" ht="14.25">
      <c r="A24" s="42">
        <f>Информация!A28</f>
        <v>0</v>
      </c>
      <c r="B24" s="42">
        <f>Информация!B28</f>
        <v>0</v>
      </c>
      <c r="C24" s="44">
        <f>Информация!C28</f>
        <v>0</v>
      </c>
      <c r="D24" s="50"/>
      <c r="E24" s="46">
        <f>Январь[[#This Row],[Показание одометра на конец месяца,км]]-Январь[[#This Row],[Показание одометра на начало месяца,км]]+Январь[[#This Row],[Дополнительные, км]]</f>
        <v>0</v>
      </c>
      <c r="F24" s="47">
        <f>Информация!D28</f>
        <v>0</v>
      </c>
      <c r="G24" s="52"/>
      <c r="H24" s="46">
        <f>Январь[[#This Row],[Показание счетчика моточасов на конец месяца, м/ч]]-Январь[[#This Row],[Показание счетчика моточасов на начало месяца, м/ч]]</f>
        <v>0</v>
      </c>
      <c r="I24" s="46">
        <f>Информация!E28</f>
        <v>0</v>
      </c>
      <c r="J24" s="46">
        <f>Январь[[#This Row],[Выдано топливо за месяц (данные Стребкова Р.Ю.), литр]]+Январь[[#This Row],[Расхождение данных]]</f>
        <v>0</v>
      </c>
      <c r="K24" s="52">
        <f>SUMPRODUCT([2]январь!$E$4:$E$153*([2]январь!$G$4:$G$153=Январь[[#This Row],[Номер государственной регистрации]]))</f>
        <v>0</v>
      </c>
      <c r="L24" s="50"/>
      <c r="M24" s="54">
        <f>Информация!I28</f>
        <v>0</v>
      </c>
      <c r="N24" s="40">
        <f>Информация!J28</f>
        <v>0</v>
      </c>
      <c r="O24" s="58">
        <f>ROUND(((Январь[[#This Row],[Пройдено за месяц, км]]*Январь[[#This Row],[Расход топлива по норме на 100км., литр]]*0.01)+(Январь[[#This Row],[Отработано за месяц, м/ч]]*Январь[[#This Row],[Расход топлива по норме на 1м/ч, литр]])),3)</f>
        <v>0</v>
      </c>
      <c r="P24" s="54">
        <f>Январь[[#This Row],[Остаток топлива в баке на начало месяца,  литр]]+Январь[[#This Row],[Выдано топливо за месяц, литр]]-Январь[[#This Row],[Остаток топлива в баке на конец месяца, литр]]</f>
        <v>0</v>
      </c>
      <c r="Q24" s="56">
        <f>Информация!F28</f>
        <v>0</v>
      </c>
      <c r="R24" s="54">
        <f>Январь[[#This Row],[Фактический расход топлива, литр]]-Январь[[#This Row],[Расход топлива по норме, литр]]</f>
        <v>0</v>
      </c>
      <c r="S24" s="148">
        <f>Январь[[#This Row],[Пройдено за месяц, км]]/100*4.5</f>
        <v>0</v>
      </c>
      <c r="T24" s="148">
        <f>Январь[[#This Row],[Пройдено за месяц, км]]/100*0.5</f>
        <v>0</v>
      </c>
      <c r="U24" s="148">
        <f>Январь[[#This Row],[Пройдено за месяц, км]]/100*1</f>
        <v>0</v>
      </c>
      <c r="V24" s="148">
        <f>Январь[[#This Row],[Пройдено за месяц, км]]/100*0.2</f>
        <v>0</v>
      </c>
      <c r="W24" s="40" t="str">
        <f>IF(Январь[[#This Row],[Выдано топливо за месяц, литр]]=0,"",ROUND(Январь[[#This Row],[Отклонение от нормы + Перерасход, - экономия, литр]]/Январь[[#This Row],[Фактический расход топлива, литр]],2)*100)</f>
        <v/>
      </c>
      <c r="X24" s="59"/>
      <c r="Y24" s="80"/>
    </row>
    <row r="25" spans="1:30" ht="14.25">
      <c r="A25" s="90" t="s">
        <v>83</v>
      </c>
      <c r="B25" s="90"/>
      <c r="C25" s="91"/>
      <c r="D25" s="95"/>
      <c r="E25" s="95"/>
      <c r="F25" s="96"/>
      <c r="G25" s="95"/>
      <c r="H25" s="92"/>
      <c r="I25" s="93">
        <f>SUBTOTAL(109,[Остаток топлива в баке на начало месяца,  литр])</f>
        <v>4738</v>
      </c>
      <c r="J25" s="93">
        <f ca="1">SUBTOTAL(109,[Выдано топливо за месяц, литр])</f>
        <v>28992</v>
      </c>
      <c r="K25" s="93">
        <f>SUBTOTAL(109,[Выдано топливо за месяц (данные Стребкова Р.Ю.), литр])</f>
        <v>29210</v>
      </c>
      <c r="L25" s="93">
        <f ca="1">SUBTOTAL(109,[Расхождение данных])</f>
        <v>-218</v>
      </c>
      <c r="M25" s="92"/>
      <c r="N25" s="92"/>
      <c r="O25" s="94">
        <f>SUBTOTAL(109,[Расход топлива по норме, литр])</f>
        <v>-1516334.89</v>
      </c>
      <c r="P25" s="94">
        <f ca="1">SUBTOTAL(109,[Фактический расход топлива, литр])</f>
        <v>27176</v>
      </c>
      <c r="Q25" s="94">
        <f>SUBTOTAL(109,[Остаток топлива в баке на конец месяца, литр])</f>
        <v>6554</v>
      </c>
      <c r="R25" s="94">
        <f ca="1">SUBTOTAL(109,[Отклонение от нормы + Перерасход, - экономия, литр])</f>
        <v>1543510.89</v>
      </c>
      <c r="S25" s="94">
        <f>SUBTOTAL(109,[Моторные масла, на 100 км - 4,5л. ])</f>
        <v>-72526.5</v>
      </c>
      <c r="T25" s="94">
        <f>SUBTOTAL(109,[Трансмиссионные и гидравлические масла, на 100 км. -0,5л. ])</f>
        <v>-8058.5</v>
      </c>
      <c r="U25" s="94">
        <f>SUBTOTAL(109,[Специальные масла, жидкости, на 100 км. -1,0л. ])</f>
        <v>-16117</v>
      </c>
      <c r="V25" s="94">
        <f>SUBTOTAL(109,[Пластичные (консистентые), на 100 км - 0,2кг.])</f>
        <v>-3223.400000000001</v>
      </c>
      <c r="W25" s="94">
        <f ca="1">SUBTOTAL(109,[% Перерасхода(+) /Экономии(-) диз.топлива])</f>
        <v>54983</v>
      </c>
      <c r="X25" s="90"/>
      <c r="Y25" s="89">
        <f>SUBTOTAL(109,[Дополнительные, км])</f>
        <v>12</v>
      </c>
    </row>
    <row r="26" spans="1:30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/>
      <c r="P26" s="34"/>
      <c r="Q26" s="34"/>
      <c r="R26" s="34"/>
      <c r="S26" s="34"/>
      <c r="T26" s="34"/>
      <c r="U26" s="34"/>
      <c r="V26" s="34"/>
      <c r="W26" s="34"/>
      <c r="X26" s="36"/>
    </row>
    <row r="27" spans="1:30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/>
      <c r="P27" s="34"/>
      <c r="Q27" s="34"/>
      <c r="R27" s="34"/>
      <c r="S27" s="34"/>
      <c r="T27" s="34"/>
      <c r="U27" s="34"/>
      <c r="V27" s="34"/>
      <c r="W27" s="34"/>
      <c r="X27" s="36"/>
    </row>
    <row r="28" spans="1:30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/>
      <c r="P28" s="34"/>
      <c r="Q28" s="34"/>
      <c r="R28" s="34"/>
      <c r="S28" s="34"/>
      <c r="T28" s="34"/>
      <c r="U28" s="34"/>
      <c r="V28" s="34"/>
      <c r="W28" s="34"/>
      <c r="X28" s="36"/>
    </row>
    <row r="29" spans="1:30">
      <c r="A29" s="34"/>
      <c r="B29" s="34"/>
      <c r="C29" s="34"/>
      <c r="D29" s="34"/>
      <c r="E29" s="176"/>
      <c r="F29" s="34"/>
      <c r="G29" s="34"/>
      <c r="H29" s="34"/>
      <c r="I29" s="34"/>
      <c r="J29" s="34"/>
      <c r="K29" s="34"/>
      <c r="L29" s="34"/>
      <c r="M29" s="34"/>
      <c r="N29" s="34"/>
      <c r="O29" s="35"/>
      <c r="P29" s="34"/>
      <c r="Q29" s="34"/>
      <c r="R29" s="34"/>
      <c r="S29" s="34"/>
      <c r="T29" s="34"/>
      <c r="U29" s="34"/>
      <c r="V29" s="34"/>
      <c r="W29" s="34"/>
      <c r="X29" s="36"/>
    </row>
    <row r="30" spans="1:30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5"/>
      <c r="P30" s="34"/>
      <c r="Q30" s="34"/>
      <c r="R30" s="34"/>
      <c r="S30" s="34"/>
      <c r="T30" s="34"/>
      <c r="U30" s="34"/>
      <c r="V30" s="34"/>
      <c r="W30" s="34"/>
      <c r="X30" s="36"/>
    </row>
    <row r="31" spans="1:30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  <c r="P31" s="34"/>
      <c r="Q31" s="34"/>
      <c r="R31" s="34"/>
      <c r="S31" s="34"/>
      <c r="T31" s="34"/>
      <c r="U31" s="34"/>
      <c r="V31" s="34"/>
      <c r="W31" s="34"/>
      <c r="X31" s="36"/>
    </row>
    <row r="32" spans="1:30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4"/>
      <c r="Q32" s="14"/>
      <c r="R32" s="14"/>
      <c r="S32" s="14"/>
      <c r="T32" s="14"/>
      <c r="U32" s="14"/>
      <c r="V32" s="14"/>
      <c r="W32" s="14"/>
      <c r="X32" s="36"/>
    </row>
    <row r="33" spans="1:24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5"/>
      <c r="P33" s="34"/>
      <c r="Q33" s="34"/>
      <c r="R33" s="34"/>
      <c r="S33" s="34"/>
      <c r="T33" s="34"/>
      <c r="U33" s="34"/>
      <c r="V33" s="34"/>
      <c r="W33" s="34"/>
      <c r="X33" s="36"/>
    </row>
    <row r="34" spans="1:24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/>
      <c r="P34" s="34"/>
      <c r="Q34" s="34"/>
      <c r="R34" s="34"/>
      <c r="S34" s="34"/>
      <c r="T34" s="34"/>
      <c r="U34" s="34"/>
      <c r="V34" s="34"/>
      <c r="W34" s="34"/>
      <c r="X34" s="36"/>
    </row>
    <row r="35" spans="1:24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/>
      <c r="P35" s="34"/>
      <c r="Q35" s="34"/>
      <c r="R35" s="34"/>
      <c r="S35" s="34"/>
      <c r="T35" s="34"/>
      <c r="U35" s="34"/>
      <c r="V35" s="34"/>
      <c r="W35" s="34"/>
      <c r="X35" s="36"/>
    </row>
    <row r="36" spans="1:24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5"/>
      <c r="P36" s="34"/>
      <c r="Q36" s="34"/>
      <c r="R36" s="34"/>
      <c r="S36" s="34"/>
      <c r="T36" s="34"/>
      <c r="U36" s="34"/>
      <c r="V36" s="34"/>
      <c r="W36" s="34"/>
      <c r="X36" s="36"/>
    </row>
    <row r="37" spans="1:24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4"/>
      <c r="Q37" s="34"/>
      <c r="R37" s="34"/>
      <c r="S37" s="34"/>
      <c r="T37" s="34"/>
      <c r="U37" s="34"/>
      <c r="V37" s="34"/>
      <c r="W37" s="34"/>
      <c r="X37" s="36"/>
    </row>
    <row r="38" spans="1:24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4"/>
      <c r="Q38" s="14"/>
      <c r="R38" s="14"/>
      <c r="S38" s="14"/>
      <c r="T38" s="14"/>
      <c r="U38" s="14"/>
      <c r="V38" s="14"/>
      <c r="W38" s="14"/>
      <c r="X38" s="36"/>
    </row>
  </sheetData>
  <mergeCells count="4">
    <mergeCell ref="S4:V4"/>
    <mergeCell ref="A1:W1"/>
    <mergeCell ref="A2:W2"/>
    <mergeCell ref="AA4:AD4"/>
  </mergeCells>
  <phoneticPr fontId="19" type="noConversion"/>
  <dataValidations disablePrompts="1" count="1">
    <dataValidation type="list" allowBlank="1" showInputMessage="1" showErrorMessage="1" sqref="A3">
      <formula1>Месяц</formula1>
    </dataValidation>
  </dataValidations>
  <pageMargins left="0" right="0" top="0.98425196850393704" bottom="0.98425196850393704" header="0.51181102362204722" footer="0.51181102362204722"/>
  <pageSetup paperSize="9" scale="75" fitToHeight="0" orientation="landscape" r:id="rId1"/>
  <headerFooter alignWithMargins="0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B3:B14"/>
  <sheetViews>
    <sheetView workbookViewId="0">
      <selection activeCell="B3" sqref="B3:B14"/>
    </sheetView>
  </sheetViews>
  <sheetFormatPr defaultRowHeight="12.75"/>
  <cols>
    <col min="2" max="2" width="9" bestFit="1" customWidth="1"/>
  </cols>
  <sheetData>
    <row r="3" spans="2:2">
      <c r="B3" t="s">
        <v>88</v>
      </c>
    </row>
    <row r="4" spans="2:2">
      <c r="B4" t="s">
        <v>89</v>
      </c>
    </row>
    <row r="5" spans="2:2">
      <c r="B5" t="s">
        <v>90</v>
      </c>
    </row>
    <row r="6" spans="2:2">
      <c r="B6" t="s">
        <v>91</v>
      </c>
    </row>
    <row r="7" spans="2:2">
      <c r="B7" t="s">
        <v>92</v>
      </c>
    </row>
    <row r="8" spans="2:2">
      <c r="B8" t="s">
        <v>93</v>
      </c>
    </row>
    <row r="9" spans="2:2">
      <c r="B9" t="s">
        <v>94</v>
      </c>
    </row>
    <row r="10" spans="2:2">
      <c r="B10" t="s">
        <v>95</v>
      </c>
    </row>
    <row r="11" spans="2:2">
      <c r="B11" t="s">
        <v>96</v>
      </c>
    </row>
    <row r="12" spans="2:2">
      <c r="B12" t="s">
        <v>97</v>
      </c>
    </row>
    <row r="13" spans="2:2">
      <c r="B13" t="s">
        <v>98</v>
      </c>
    </row>
    <row r="14" spans="2:2">
      <c r="B1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Информация</vt:lpstr>
      <vt:lpstr>Январь</vt:lpstr>
      <vt:lpstr>Лист1</vt:lpstr>
      <vt:lpstr>Месяц</vt:lpstr>
      <vt:lpstr>Информация!Область_печати</vt:lpstr>
      <vt:lpstr>Январь!Область_печати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cp:lastModifiedBy>Анисимов А.С</cp:lastModifiedBy>
  <cp:lastPrinted>2018-06-15T12:09:28Z</cp:lastPrinted>
  <dcterms:created xsi:type="dcterms:W3CDTF">2011-02-03T06:04:39Z</dcterms:created>
  <dcterms:modified xsi:type="dcterms:W3CDTF">2018-07-11T11:06:29Z</dcterms:modified>
</cp:coreProperties>
</file>