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Август 2018 шаблон З ЛІКАРНЯН" sheetId="1" r:id="rId1"/>
  </sheets>
  <externalReferences>
    <externalReference r:id="rId2"/>
  </externalReferences>
  <definedNames>
    <definedName name="а">{0,"тисяч ";1,"тисяча ";2,"тисячi ";5,"тисяч "}</definedName>
    <definedName name="грив">{0,"гривень";1,"гривня";2,"гривнi";5,"гривень"}</definedName>
    <definedName name="рр">{"","сто ","двісті ","триста ","чотириста ","п'ятсот ","шістсот ","сімсот ","вісімсот ","дев'ятсот 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C49" i="1"/>
  <c r="BK112" l="1"/>
  <c r="BK104"/>
  <c r="AZ104"/>
  <c r="AZ102"/>
  <c r="AZ99"/>
  <c r="G99"/>
  <c r="D99"/>
  <c r="AZ97"/>
  <c r="D97"/>
  <c r="G94"/>
  <c r="D94"/>
  <c r="BJ92"/>
  <c r="B92"/>
  <c r="BK90"/>
  <c r="BK89"/>
  <c r="BH89"/>
  <c r="AK89"/>
  <c r="AJ89"/>
  <c r="AI89"/>
  <c r="AH89"/>
  <c r="AG89"/>
  <c r="AF89"/>
  <c r="AE89"/>
  <c r="AD89"/>
  <c r="AC89"/>
  <c r="AB89"/>
  <c r="AA89"/>
  <c r="Z89"/>
  <c r="Y89"/>
  <c r="X89"/>
  <c r="W89"/>
  <c r="V89"/>
  <c r="BK88"/>
  <c r="AL88"/>
  <c r="AT88" s="1"/>
  <c r="U88"/>
  <c r="T88"/>
  <c r="G88"/>
  <c r="A88"/>
  <c r="BK87"/>
  <c r="AL87"/>
  <c r="AT87" s="1"/>
  <c r="U87"/>
  <c r="T87"/>
  <c r="G87"/>
  <c r="A87"/>
  <c r="BK86"/>
  <c r="AL86"/>
  <c r="AT86" s="1"/>
  <c r="U86"/>
  <c r="T86"/>
  <c r="G86"/>
  <c r="A86"/>
  <c r="BK85"/>
  <c r="AL85"/>
  <c r="AT85" s="1"/>
  <c r="U85"/>
  <c r="T85"/>
  <c r="G85"/>
  <c r="A85"/>
  <c r="BK84"/>
  <c r="AL84"/>
  <c r="AT84" s="1"/>
  <c r="U84"/>
  <c r="T84"/>
  <c r="G84"/>
  <c r="A84"/>
  <c r="BK83"/>
  <c r="AL83"/>
  <c r="AT83" s="1"/>
  <c r="U83"/>
  <c r="T83"/>
  <c r="G83"/>
  <c r="A83"/>
  <c r="BK82"/>
  <c r="AL82"/>
  <c r="AT82" s="1"/>
  <c r="U82"/>
  <c r="T82"/>
  <c r="G82"/>
  <c r="A82"/>
  <c r="BK81"/>
  <c r="AL81"/>
  <c r="AT81" s="1"/>
  <c r="U81"/>
  <c r="U89" s="1"/>
  <c r="T81"/>
  <c r="T89" s="1"/>
  <c r="G81"/>
  <c r="G89" s="1"/>
  <c r="A81"/>
  <c r="A89" s="1"/>
  <c r="BK80"/>
  <c r="BH80"/>
  <c r="AK80"/>
  <c r="AJ80"/>
  <c r="AI80"/>
  <c r="AH80"/>
  <c r="AG80"/>
  <c r="AF80"/>
  <c r="AE80"/>
  <c r="AD80"/>
  <c r="AC80"/>
  <c r="AB80"/>
  <c r="AA80"/>
  <c r="Z80"/>
  <c r="Y80"/>
  <c r="X80"/>
  <c r="W80"/>
  <c r="V80"/>
  <c r="BK79"/>
  <c r="AL79"/>
  <c r="AT79" s="1"/>
  <c r="AU79" s="1"/>
  <c r="U79"/>
  <c r="T79"/>
  <c r="G79"/>
  <c r="A79"/>
  <c r="BK78"/>
  <c r="AL78"/>
  <c r="AT78" s="1"/>
  <c r="AU78" s="1"/>
  <c r="U78"/>
  <c r="T78"/>
  <c r="G78"/>
  <c r="A78"/>
  <c r="BK77"/>
  <c r="AL77"/>
  <c r="AT77" s="1"/>
  <c r="AU77" s="1"/>
  <c r="U77"/>
  <c r="T77"/>
  <c r="G77"/>
  <c r="A77"/>
  <c r="BK76"/>
  <c r="AL76"/>
  <c r="AT76" s="1"/>
  <c r="AU76" s="1"/>
  <c r="U76"/>
  <c r="T76"/>
  <c r="G76"/>
  <c r="A76"/>
  <c r="BK75"/>
  <c r="AL75"/>
  <c r="AT75" s="1"/>
  <c r="AU75" s="1"/>
  <c r="U75"/>
  <c r="T75"/>
  <c r="G75"/>
  <c r="A75"/>
  <c r="BK74"/>
  <c r="AL74"/>
  <c r="AT74" s="1"/>
  <c r="AU74" s="1"/>
  <c r="U74"/>
  <c r="T74"/>
  <c r="G74"/>
  <c r="A74"/>
  <c r="BK73"/>
  <c r="AL73"/>
  <c r="AT73" s="1"/>
  <c r="AU73" s="1"/>
  <c r="U73"/>
  <c r="T73"/>
  <c r="G73"/>
  <c r="A73"/>
  <c r="BK72"/>
  <c r="AL72"/>
  <c r="AT72" s="1"/>
  <c r="AU72" s="1"/>
  <c r="U72"/>
  <c r="T72"/>
  <c r="G72"/>
  <c r="A72"/>
  <c r="BK71"/>
  <c r="AL71"/>
  <c r="AT71" s="1"/>
  <c r="AU71" s="1"/>
  <c r="U71"/>
  <c r="T71"/>
  <c r="G71"/>
  <c r="A71"/>
  <c r="BK70"/>
  <c r="AL70"/>
  <c r="AT70" s="1"/>
  <c r="AU70" s="1"/>
  <c r="U70"/>
  <c r="T70"/>
  <c r="G70"/>
  <c r="A70"/>
  <c r="BK69"/>
  <c r="AL69"/>
  <c r="AT69" s="1"/>
  <c r="AU69" s="1"/>
  <c r="U69"/>
  <c r="T69"/>
  <c r="G69"/>
  <c r="A69"/>
  <c r="BK68"/>
  <c r="AL68"/>
  <c r="AT68" s="1"/>
  <c r="AU68" s="1"/>
  <c r="U68"/>
  <c r="T68"/>
  <c r="G68"/>
  <c r="A68"/>
  <c r="BK67"/>
  <c r="AL67"/>
  <c r="AT67" s="1"/>
  <c r="AU67" s="1"/>
  <c r="U67"/>
  <c r="T67"/>
  <c r="G67"/>
  <c r="A67"/>
  <c r="BK66"/>
  <c r="AL66"/>
  <c r="AT66" s="1"/>
  <c r="AU66" s="1"/>
  <c r="U66"/>
  <c r="T66"/>
  <c r="G66"/>
  <c r="A66"/>
  <c r="BK65"/>
  <c r="AL65"/>
  <c r="AT65" s="1"/>
  <c r="AU65" s="1"/>
  <c r="U65"/>
  <c r="T65"/>
  <c r="G65"/>
  <c r="A65"/>
  <c r="BK64"/>
  <c r="AL64"/>
  <c r="AT64" s="1"/>
  <c r="AU64" s="1"/>
  <c r="U64"/>
  <c r="T64"/>
  <c r="G64"/>
  <c r="A64"/>
  <c r="BK63"/>
  <c r="AL63"/>
  <c r="AT63" s="1"/>
  <c r="AU63" s="1"/>
  <c r="U63"/>
  <c r="T63"/>
  <c r="G63"/>
  <c r="A63"/>
  <c r="BK62"/>
  <c r="AL62"/>
  <c r="AT62" s="1"/>
  <c r="AU62" s="1"/>
  <c r="U62"/>
  <c r="T62"/>
  <c r="G62"/>
  <c r="A62"/>
  <c r="BK61"/>
  <c r="AL61"/>
  <c r="AT61" s="1"/>
  <c r="AU61" s="1"/>
  <c r="U61"/>
  <c r="T61"/>
  <c r="G61"/>
  <c r="A61"/>
  <c r="BK60"/>
  <c r="AL60"/>
  <c r="AT60" s="1"/>
  <c r="AU60" s="1"/>
  <c r="U60"/>
  <c r="T60"/>
  <c r="G60"/>
  <c r="A60"/>
  <c r="BK59"/>
  <c r="AL59"/>
  <c r="AT59" s="1"/>
  <c r="AU59" s="1"/>
  <c r="U59"/>
  <c r="T59"/>
  <c r="G59"/>
  <c r="A59"/>
  <c r="BK58"/>
  <c r="AL58"/>
  <c r="AT58" s="1"/>
  <c r="AU58" s="1"/>
  <c r="U58"/>
  <c r="T58"/>
  <c r="G58"/>
  <c r="A58"/>
  <c r="BK57"/>
  <c r="AL57"/>
  <c r="AT57" s="1"/>
  <c r="AU57" s="1"/>
  <c r="U57"/>
  <c r="T57"/>
  <c r="G57"/>
  <c r="A57"/>
  <c r="BK56"/>
  <c r="AL56"/>
  <c r="AT56" s="1"/>
  <c r="AU56" s="1"/>
  <c r="U56"/>
  <c r="T56"/>
  <c r="G56"/>
  <c r="A56"/>
  <c r="BK55"/>
  <c r="AL55"/>
  <c r="AT55" s="1"/>
  <c r="AU55" s="1"/>
  <c r="U55"/>
  <c r="T55"/>
  <c r="G55"/>
  <c r="A55"/>
  <c r="BK54"/>
  <c r="AL54"/>
  <c r="AT54" s="1"/>
  <c r="AU54" s="1"/>
  <c r="U54"/>
  <c r="T54"/>
  <c r="G54"/>
  <c r="A54"/>
  <c r="BK53"/>
  <c r="AL53"/>
  <c r="AT53" s="1"/>
  <c r="AU53" s="1"/>
  <c r="U53"/>
  <c r="T53"/>
  <c r="G53"/>
  <c r="A53"/>
  <c r="BK52"/>
  <c r="AO52"/>
  <c r="AS52" s="1"/>
  <c r="AL52"/>
  <c r="AT52" s="1"/>
  <c r="AU52" s="1"/>
  <c r="U52"/>
  <c r="T52"/>
  <c r="G52"/>
  <c r="BK51"/>
  <c r="AO51"/>
  <c r="AS51" s="1"/>
  <c r="AL51"/>
  <c r="AT51" s="1"/>
  <c r="AU51" s="1"/>
  <c r="U51"/>
  <c r="T51"/>
  <c r="G51"/>
  <c r="BK50"/>
  <c r="AL50"/>
  <c r="AL80" s="1"/>
  <c r="U50"/>
  <c r="U80" s="1"/>
  <c r="T50"/>
  <c r="T80" s="1"/>
  <c r="G50"/>
  <c r="AQ49"/>
  <c r="AQ90" s="1"/>
  <c r="AP49"/>
  <c r="AP90" s="1"/>
  <c r="AR91" s="1"/>
  <c r="AN49"/>
  <c r="AN90" s="1"/>
  <c r="AM49"/>
  <c r="AM90" s="1"/>
  <c r="AK49"/>
  <c r="AK90" s="1"/>
  <c r="AJ49"/>
  <c r="AJ90" s="1"/>
  <c r="AI49"/>
  <c r="AI90" s="1"/>
  <c r="AH49"/>
  <c r="AH90" s="1"/>
  <c r="AG49"/>
  <c r="AG90" s="1"/>
  <c r="AF49"/>
  <c r="AF90" s="1"/>
  <c r="AE49"/>
  <c r="AE90" s="1"/>
  <c r="AD49"/>
  <c r="AD90" s="1"/>
  <c r="AC49"/>
  <c r="AC90" s="1"/>
  <c r="AB49"/>
  <c r="AB90" s="1"/>
  <c r="AA49"/>
  <c r="AA90" s="1"/>
  <c r="Z49"/>
  <c r="Z90" s="1"/>
  <c r="Y49"/>
  <c r="Y90" s="1"/>
  <c r="X49"/>
  <c r="X90" s="1"/>
  <c r="W49"/>
  <c r="W90" s="1"/>
  <c r="V49"/>
  <c r="V90" s="1"/>
  <c r="AL91" s="1"/>
  <c r="F49" a="1"/>
  <c r="F49" s="1"/>
  <c r="F90" s="1"/>
  <c r="E49" a="1"/>
  <c r="E49" s="1"/>
  <c r="E90" s="1"/>
  <c r="G108" s="1"/>
  <c r="D49"/>
  <c r="G96" s="1"/>
  <c r="G95"/>
  <c r="BK48"/>
  <c r="AZ48"/>
  <c r="AR48"/>
  <c r="AL48"/>
  <c r="AO48" s="1"/>
  <c r="AS48" s="1"/>
  <c r="U48"/>
  <c r="T48"/>
  <c r="G48"/>
  <c r="A48"/>
  <c r="BK47"/>
  <c r="AZ47"/>
  <c r="AR47"/>
  <c r="AL47"/>
  <c r="AT47" s="1"/>
  <c r="AU47" s="1"/>
  <c r="U47"/>
  <c r="T47"/>
  <c r="G47"/>
  <c r="A47"/>
  <c r="BK46"/>
  <c r="AZ46"/>
  <c r="AR46"/>
  <c r="AL46"/>
  <c r="AO46" s="1"/>
  <c r="AS46" s="1"/>
  <c r="U46"/>
  <c r="T46"/>
  <c r="G46"/>
  <c r="A46"/>
  <c r="BK45"/>
  <c r="AZ45"/>
  <c r="AR45"/>
  <c r="AO45"/>
  <c r="AS45" s="1"/>
  <c r="AL45"/>
  <c r="AT45" s="1"/>
  <c r="U45"/>
  <c r="T45"/>
  <c r="G45"/>
  <c r="A45"/>
  <c r="BK44"/>
  <c r="AZ44"/>
  <c r="AR44"/>
  <c r="AL44"/>
  <c r="AO44" s="1"/>
  <c r="AS44" s="1"/>
  <c r="U44"/>
  <c r="T44"/>
  <c r="G44"/>
  <c r="A44"/>
  <c r="BK43"/>
  <c r="AZ43"/>
  <c r="AW43"/>
  <c r="BC43" s="1"/>
  <c r="BF43" s="1"/>
  <c r="AR43"/>
  <c r="AO43"/>
  <c r="AS43" s="1"/>
  <c r="AL43"/>
  <c r="AT43" s="1"/>
  <c r="U43"/>
  <c r="T43"/>
  <c r="G43"/>
  <c r="A43"/>
  <c r="BK42"/>
  <c r="AZ42"/>
  <c r="AR42"/>
  <c r="AL42"/>
  <c r="AO42" s="1"/>
  <c r="AS42" s="1"/>
  <c r="U42"/>
  <c r="T42"/>
  <c r="G42"/>
  <c r="A42"/>
  <c r="BK41"/>
  <c r="AZ41"/>
  <c r="AR41"/>
  <c r="AL41"/>
  <c r="AT41" s="1"/>
  <c r="AU41" s="1"/>
  <c r="U41"/>
  <c r="T41"/>
  <c r="G41"/>
  <c r="BK40"/>
  <c r="AZ40"/>
  <c r="AR40"/>
  <c r="AL40"/>
  <c r="AO40" s="1"/>
  <c r="AS40" s="1"/>
  <c r="U40"/>
  <c r="T40"/>
  <c r="G40"/>
  <c r="BK39"/>
  <c r="AZ39"/>
  <c r="AR39"/>
  <c r="AO39"/>
  <c r="AS39" s="1"/>
  <c r="AL39"/>
  <c r="AT39" s="1"/>
  <c r="U39"/>
  <c r="T39"/>
  <c r="G39"/>
  <c r="BK38"/>
  <c r="AZ38"/>
  <c r="AR38"/>
  <c r="AL38"/>
  <c r="AO38" s="1"/>
  <c r="AS38" s="1"/>
  <c r="U38"/>
  <c r="T38"/>
  <c r="G38"/>
  <c r="BK37"/>
  <c r="AZ37"/>
  <c r="AR37"/>
  <c r="AL37"/>
  <c r="AT37" s="1"/>
  <c r="U37"/>
  <c r="T37"/>
  <c r="G37"/>
  <c r="BK36"/>
  <c r="AZ36"/>
  <c r="AR36"/>
  <c r="AL36"/>
  <c r="AO36" s="1"/>
  <c r="AS36" s="1"/>
  <c r="U36"/>
  <c r="T36"/>
  <c r="G36"/>
  <c r="BK35"/>
  <c r="AZ35"/>
  <c r="AR35"/>
  <c r="AO35"/>
  <c r="AS35" s="1"/>
  <c r="AL35"/>
  <c r="AT35" s="1"/>
  <c r="U35"/>
  <c r="T35"/>
  <c r="G35"/>
  <c r="BK34"/>
  <c r="AZ34"/>
  <c r="AR34"/>
  <c r="AL34"/>
  <c r="AO34" s="1"/>
  <c r="AS34" s="1"/>
  <c r="U34"/>
  <c r="T34"/>
  <c r="G34"/>
  <c r="BK33"/>
  <c r="AZ33"/>
  <c r="AR33"/>
  <c r="AL33"/>
  <c r="AT33" s="1"/>
  <c r="U33"/>
  <c r="T33"/>
  <c r="G33"/>
  <c r="BK32"/>
  <c r="AZ32"/>
  <c r="AR32"/>
  <c r="AL32"/>
  <c r="U32"/>
  <c r="T32"/>
  <c r="G32"/>
  <c r="BK31"/>
  <c r="AZ31"/>
  <c r="AR31"/>
  <c r="AO31"/>
  <c r="AS31" s="1"/>
  <c r="AL31"/>
  <c r="AT31" s="1"/>
  <c r="U31"/>
  <c r="T31"/>
  <c r="G31"/>
  <c r="BK30"/>
  <c r="AZ30"/>
  <c r="AR30"/>
  <c r="AL30"/>
  <c r="AT30" s="1"/>
  <c r="U30"/>
  <c r="T30"/>
  <c r="G30"/>
  <c r="BK29"/>
  <c r="AZ29"/>
  <c r="AR29"/>
  <c r="AL29"/>
  <c r="AT29" s="1"/>
  <c r="U29"/>
  <c r="T29"/>
  <c r="G29"/>
  <c r="BK28"/>
  <c r="AZ28"/>
  <c r="AR28"/>
  <c r="AL28"/>
  <c r="U28"/>
  <c r="T28"/>
  <c r="G28"/>
  <c r="BK27"/>
  <c r="AZ27"/>
  <c r="AR27"/>
  <c r="AO27"/>
  <c r="AS27" s="1"/>
  <c r="AL27"/>
  <c r="AT27" s="1"/>
  <c r="U27"/>
  <c r="T27"/>
  <c r="G27"/>
  <c r="BK26"/>
  <c r="AZ26"/>
  <c r="AR26"/>
  <c r="AL26"/>
  <c r="AT26" s="1"/>
  <c r="U26"/>
  <c r="T26"/>
  <c r="G26"/>
  <c r="BK25"/>
  <c r="AZ25"/>
  <c r="AR25"/>
  <c r="AL25"/>
  <c r="AT25" s="1"/>
  <c r="U25"/>
  <c r="T25"/>
  <c r="G25"/>
  <c r="BK24"/>
  <c r="AZ24"/>
  <c r="AR24"/>
  <c r="AL24"/>
  <c r="U24"/>
  <c r="T24"/>
  <c r="G24"/>
  <c r="BK23"/>
  <c r="AZ23"/>
  <c r="AR23"/>
  <c r="AO23"/>
  <c r="AS23" s="1"/>
  <c r="AL23"/>
  <c r="AT23" s="1"/>
  <c r="U23"/>
  <c r="T23"/>
  <c r="G23"/>
  <c r="BK22"/>
  <c r="AZ22"/>
  <c r="AR22"/>
  <c r="AL22"/>
  <c r="AT22" s="1"/>
  <c r="U22"/>
  <c r="T22"/>
  <c r="G22"/>
  <c r="BK21"/>
  <c r="AZ21"/>
  <c r="AR21"/>
  <c r="AL21"/>
  <c r="AT21" s="1"/>
  <c r="U21"/>
  <c r="T21"/>
  <c r="G21"/>
  <c r="BK20"/>
  <c r="AZ20"/>
  <c r="AR20"/>
  <c r="AL20"/>
  <c r="U20"/>
  <c r="T20"/>
  <c r="G20"/>
  <c r="BK19"/>
  <c r="AZ19"/>
  <c r="AR19"/>
  <c r="AO19"/>
  <c r="AS19" s="1"/>
  <c r="AL19"/>
  <c r="AT19" s="1"/>
  <c r="U19"/>
  <c r="T19"/>
  <c r="G19"/>
  <c r="BK18"/>
  <c r="AZ18"/>
  <c r="AR18"/>
  <c r="AL18"/>
  <c r="AT18" s="1"/>
  <c r="U18"/>
  <c r="T18"/>
  <c r="G18"/>
  <c r="BK17"/>
  <c r="AZ17"/>
  <c r="AR17"/>
  <c r="AL17"/>
  <c r="U17"/>
  <c r="T17"/>
  <c r="G17"/>
  <c r="BK16"/>
  <c r="AZ16"/>
  <c r="AR16"/>
  <c r="AO16"/>
  <c r="AS16" s="1"/>
  <c r="AL16"/>
  <c r="AT16" s="1"/>
  <c r="U16"/>
  <c r="T16"/>
  <c r="G16"/>
  <c r="BK15"/>
  <c r="AZ15"/>
  <c r="AR15"/>
  <c r="AL15"/>
  <c r="AT15" s="1"/>
  <c r="U15"/>
  <c r="T15"/>
  <c r="G1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BK14"/>
  <c r="AZ14"/>
  <c r="AR14"/>
  <c r="AO14"/>
  <c r="AL14"/>
  <c r="U14"/>
  <c r="U49" s="1"/>
  <c r="T14"/>
  <c r="G14"/>
  <c r="A14"/>
  <c r="AU13"/>
  <c r="AP2" s="1"/>
  <c r="AK5"/>
  <c r="AJ5"/>
  <c r="AI5"/>
  <c r="AH5"/>
  <c r="AG5"/>
  <c r="AF5"/>
  <c r="AE5"/>
  <c r="AD5"/>
  <c r="AC5"/>
  <c r="AB5"/>
  <c r="AA5"/>
  <c r="Z5"/>
  <c r="Y5"/>
  <c r="X5"/>
  <c r="W5"/>
  <c r="BD3"/>
  <c r="AP3"/>
  <c r="BD2"/>
  <c r="BD1"/>
  <c r="AU37" l="1"/>
  <c r="G49"/>
  <c r="AO50"/>
  <c r="AO53"/>
  <c r="AS53" s="1"/>
  <c r="AO54"/>
  <c r="AS54" s="1"/>
  <c r="AO55"/>
  <c r="AS55" s="1"/>
  <c r="AO56"/>
  <c r="AS56" s="1"/>
  <c r="AO57"/>
  <c r="AS57" s="1"/>
  <c r="AO58"/>
  <c r="AS58" s="1"/>
  <c r="AO59"/>
  <c r="AS59" s="1"/>
  <c r="AO60"/>
  <c r="AS60" s="1"/>
  <c r="AO61"/>
  <c r="AS61" s="1"/>
  <c r="AO62"/>
  <c r="AS62" s="1"/>
  <c r="AO63"/>
  <c r="AS63" s="1"/>
  <c r="AO64"/>
  <c r="AS64" s="1"/>
  <c r="AO65"/>
  <c r="AS65" s="1"/>
  <c r="AO66"/>
  <c r="AS66" s="1"/>
  <c r="AO67"/>
  <c r="AS67" s="1"/>
  <c r="AO68"/>
  <c r="AS68" s="1"/>
  <c r="AO69"/>
  <c r="AS69" s="1"/>
  <c r="AO70"/>
  <c r="AS70" s="1"/>
  <c r="AO71"/>
  <c r="AS71" s="1"/>
  <c r="AO72"/>
  <c r="AS72" s="1"/>
  <c r="AO73"/>
  <c r="AS73" s="1"/>
  <c r="AO74"/>
  <c r="AS74" s="1"/>
  <c r="AO75"/>
  <c r="AS75" s="1"/>
  <c r="AO76"/>
  <c r="AS76" s="1"/>
  <c r="AO77"/>
  <c r="AS77" s="1"/>
  <c r="AO78"/>
  <c r="AS78" s="1"/>
  <c r="AO79"/>
  <c r="AS79" s="1"/>
  <c r="AL5"/>
  <c r="AM5" s="1"/>
  <c r="AN5" s="1"/>
  <c r="AO5" s="1"/>
  <c r="AP5" s="1"/>
  <c r="AQ5" s="1"/>
  <c r="AR5" s="1"/>
  <c r="AS5" s="1"/>
  <c r="AT5" s="1"/>
  <c r="AT17"/>
  <c r="AT20"/>
  <c r="AO21"/>
  <c r="AS21" s="1"/>
  <c r="AT24"/>
  <c r="AO25"/>
  <c r="AS25" s="1"/>
  <c r="AT28"/>
  <c r="AO29"/>
  <c r="AS29" s="1"/>
  <c r="AT32"/>
  <c r="AO33"/>
  <c r="AS33" s="1"/>
  <c r="AU35"/>
  <c r="AO37"/>
  <c r="AS37" s="1"/>
  <c r="AU39"/>
  <c r="AO41"/>
  <c r="AS41" s="1"/>
  <c r="AU43"/>
  <c r="AU45"/>
  <c r="AO47"/>
  <c r="AS47" s="1"/>
  <c r="AW47"/>
  <c r="BC47" s="1"/>
  <c r="BF47" s="1"/>
  <c r="AT50"/>
  <c r="AU50" s="1"/>
  <c r="AW16"/>
  <c r="BC16" s="1"/>
  <c r="BF16" s="1"/>
  <c r="AU16"/>
  <c r="AW17"/>
  <c r="BC17" s="1"/>
  <c r="BF17" s="1"/>
  <c r="AU17"/>
  <c r="AW19"/>
  <c r="BC19" s="1"/>
  <c r="BF19" s="1"/>
  <c r="AU19"/>
  <c r="AW20"/>
  <c r="BC20" s="1"/>
  <c r="BF20" s="1"/>
  <c r="AU20"/>
  <c r="AY21"/>
  <c r="BA21" s="1"/>
  <c r="AW23"/>
  <c r="BC23" s="1"/>
  <c r="BF23" s="1"/>
  <c r="AU23"/>
  <c r="AW24"/>
  <c r="BC24" s="1"/>
  <c r="BF24" s="1"/>
  <c r="AU24"/>
  <c r="AY25"/>
  <c r="BA25" s="1"/>
  <c r="AV25"/>
  <c r="AW27"/>
  <c r="BC27" s="1"/>
  <c r="BF27" s="1"/>
  <c r="AU27"/>
  <c r="AW28"/>
  <c r="BC28" s="1"/>
  <c r="BF28" s="1"/>
  <c r="AU28"/>
  <c r="AY29"/>
  <c r="BA29" s="1"/>
  <c r="AV29"/>
  <c r="AW31"/>
  <c r="BC31" s="1"/>
  <c r="BF31" s="1"/>
  <c r="AU31"/>
  <c r="AW32"/>
  <c r="BC32" s="1"/>
  <c r="BF32" s="1"/>
  <c r="AU32"/>
  <c r="AY33"/>
  <c r="BA33" s="1"/>
  <c r="AV33"/>
  <c r="AV37"/>
  <c r="AY37"/>
  <c r="BA37" s="1"/>
  <c r="AV41"/>
  <c r="AY41"/>
  <c r="BA41" s="1"/>
  <c r="AV47"/>
  <c r="AY47"/>
  <c r="BA47" s="1"/>
  <c r="AW15"/>
  <c r="BC15" s="1"/>
  <c r="BF15" s="1"/>
  <c r="AU15"/>
  <c r="AY16"/>
  <c r="BA16" s="1"/>
  <c r="AV16"/>
  <c r="AW18"/>
  <c r="BC18" s="1"/>
  <c r="BF18" s="1"/>
  <c r="AU18"/>
  <c r="AY19"/>
  <c r="BA19" s="1"/>
  <c r="AV19"/>
  <c r="AW21"/>
  <c r="BC21" s="1"/>
  <c r="BF21" s="1"/>
  <c r="AU21"/>
  <c r="AV21"/>
  <c r="AW22"/>
  <c r="BC22" s="1"/>
  <c r="BF22" s="1"/>
  <c r="AU22"/>
  <c r="AY23"/>
  <c r="BA23" s="1"/>
  <c r="AV23"/>
  <c r="AW25"/>
  <c r="BC25" s="1"/>
  <c r="BF25" s="1"/>
  <c r="AU25"/>
  <c r="AW26"/>
  <c r="BC26" s="1"/>
  <c r="BF26" s="1"/>
  <c r="AU26"/>
  <c r="AY27"/>
  <c r="BA27" s="1"/>
  <c r="AV27"/>
  <c r="AW29"/>
  <c r="BC29" s="1"/>
  <c r="BF29" s="1"/>
  <c r="AU29"/>
  <c r="AW30"/>
  <c r="BC30" s="1"/>
  <c r="BF30" s="1"/>
  <c r="AU30"/>
  <c r="AY31"/>
  <c r="BA31" s="1"/>
  <c r="AV31"/>
  <c r="AW33"/>
  <c r="BC33" s="1"/>
  <c r="BF33" s="1"/>
  <c r="AU33"/>
  <c r="AV35"/>
  <c r="AY35"/>
  <c r="BA35" s="1"/>
  <c r="AV39"/>
  <c r="AY39"/>
  <c r="BA39" s="1"/>
  <c r="AV43"/>
  <c r="AY43"/>
  <c r="BA43" s="1"/>
  <c r="AV45"/>
  <c r="AY45"/>
  <c r="BA45" s="1"/>
  <c r="BI111" a="1"/>
  <c r="BI111" s="1"/>
  <c r="BI112" a="1"/>
  <c r="BI112" s="1"/>
  <c r="BJ112" s="1"/>
  <c r="AR49"/>
  <c r="AY44"/>
  <c r="BA44" s="1"/>
  <c r="AY48"/>
  <c r="BA48" s="1"/>
  <c r="AZ91"/>
  <c r="AY81"/>
  <c r="AV81"/>
  <c r="AU81"/>
  <c r="AY82"/>
  <c r="BA82" s="1"/>
  <c r="AV82"/>
  <c r="AU82"/>
  <c r="AY83"/>
  <c r="BA83" s="1"/>
  <c r="AV83"/>
  <c r="AU83"/>
  <c r="AY84"/>
  <c r="BA84" s="1"/>
  <c r="AV84"/>
  <c r="AU84"/>
  <c r="AY85"/>
  <c r="BA85" s="1"/>
  <c r="AV85"/>
  <c r="AU85"/>
  <c r="AY86"/>
  <c r="BA86" s="1"/>
  <c r="AV86"/>
  <c r="AU86"/>
  <c r="AY87"/>
  <c r="BA87" s="1"/>
  <c r="AV87"/>
  <c r="AU87"/>
  <c r="AY88"/>
  <c r="BA88" s="1"/>
  <c r="AV88"/>
  <c r="AU88"/>
  <c r="A49"/>
  <c r="T49"/>
  <c r="T90" s="1"/>
  <c r="AL49"/>
  <c r="AT14"/>
  <c r="AZ49"/>
  <c r="AZ90" s="1"/>
  <c r="AO15"/>
  <c r="AS15" s="1"/>
  <c r="AO17"/>
  <c r="AS17" s="1"/>
  <c r="AO18"/>
  <c r="AS18" s="1"/>
  <c r="AO20"/>
  <c r="AS20" s="1"/>
  <c r="AO22"/>
  <c r="AS22" s="1"/>
  <c r="AO24"/>
  <c r="AS24" s="1"/>
  <c r="AO26"/>
  <c r="AS26" s="1"/>
  <c r="AO28"/>
  <c r="AS28" s="1"/>
  <c r="AO30"/>
  <c r="AS30" s="1"/>
  <c r="AO32"/>
  <c r="AS32" s="1"/>
  <c r="AW35"/>
  <c r="BC35" s="1"/>
  <c r="BF35" s="1"/>
  <c r="AW37"/>
  <c r="BC37" s="1"/>
  <c r="BF37" s="1"/>
  <c r="AW39"/>
  <c r="BC39" s="1"/>
  <c r="BF39" s="1"/>
  <c r="AW41"/>
  <c r="BC41" s="1"/>
  <c r="BF41" s="1"/>
  <c r="AT44"/>
  <c r="AW45"/>
  <c r="BC45" s="1"/>
  <c r="BF45" s="1"/>
  <c r="AT48"/>
  <c r="AU80"/>
  <c r="G97"/>
  <c r="BK108"/>
  <c r="BK107"/>
  <c r="BK98"/>
  <c r="BK100"/>
  <c r="BK99"/>
  <c r="G100"/>
  <c r="AV97"/>
  <c r="AV99"/>
  <c r="G107"/>
  <c r="U90"/>
  <c r="G110" s="1"/>
  <c r="BI103" a="1"/>
  <c r="BI103" s="1"/>
  <c r="BI104" a="1"/>
  <c r="BI104" s="1"/>
  <c r="BJ104" s="1"/>
  <c r="AY34"/>
  <c r="BA34" s="1"/>
  <c r="AY36"/>
  <c r="BA36" s="1"/>
  <c r="AY38"/>
  <c r="BA38" s="1"/>
  <c r="AY40"/>
  <c r="BA40" s="1"/>
  <c r="AY42"/>
  <c r="BA42" s="1"/>
  <c r="AY46"/>
  <c r="BA46" s="1"/>
  <c r="AS14"/>
  <c r="AT34"/>
  <c r="AT36"/>
  <c r="AT38"/>
  <c r="AV38" s="1"/>
  <c r="AT40"/>
  <c r="AT42"/>
  <c r="AV42" s="1"/>
  <c r="AT46"/>
  <c r="AV50"/>
  <c r="AY50"/>
  <c r="AV51"/>
  <c r="AY51"/>
  <c r="BA51" s="1"/>
  <c r="AV52"/>
  <c r="AY52"/>
  <c r="BA52" s="1"/>
  <c r="AV53"/>
  <c r="AY53"/>
  <c r="BA53" s="1"/>
  <c r="AV54"/>
  <c r="AY54"/>
  <c r="BA54" s="1"/>
  <c r="AV55"/>
  <c r="AY55"/>
  <c r="BA55" s="1"/>
  <c r="AV56"/>
  <c r="AY56"/>
  <c r="BA56" s="1"/>
  <c r="AV57"/>
  <c r="AY57"/>
  <c r="BA57" s="1"/>
  <c r="AV58"/>
  <c r="AY58"/>
  <c r="BA58" s="1"/>
  <c r="AV59"/>
  <c r="AY59"/>
  <c r="BA59" s="1"/>
  <c r="AV60"/>
  <c r="AY60"/>
  <c r="BA60" s="1"/>
  <c r="AV61"/>
  <c r="AY61"/>
  <c r="BA61" s="1"/>
  <c r="AV62"/>
  <c r="AY62"/>
  <c r="BA62" s="1"/>
  <c r="AV63"/>
  <c r="AY63"/>
  <c r="BA63" s="1"/>
  <c r="AV64"/>
  <c r="AY64"/>
  <c r="BA64" s="1"/>
  <c r="AV65"/>
  <c r="AY65"/>
  <c r="BA65" s="1"/>
  <c r="AV66"/>
  <c r="AY66"/>
  <c r="BA66" s="1"/>
  <c r="AV67"/>
  <c r="AY67"/>
  <c r="BA67" s="1"/>
  <c r="AV68"/>
  <c r="AY68"/>
  <c r="BA68" s="1"/>
  <c r="AV69"/>
  <c r="AY69"/>
  <c r="BA69" s="1"/>
  <c r="AV70"/>
  <c r="AY70"/>
  <c r="BA70" s="1"/>
  <c r="AV71"/>
  <c r="AY71"/>
  <c r="BA71" s="1"/>
  <c r="AV72"/>
  <c r="AY72"/>
  <c r="BA72" s="1"/>
  <c r="AV73"/>
  <c r="AY73"/>
  <c r="BA73" s="1"/>
  <c r="AV74"/>
  <c r="AY74"/>
  <c r="BA74" s="1"/>
  <c r="AV75"/>
  <c r="AY75"/>
  <c r="BA75" s="1"/>
  <c r="AV76"/>
  <c r="AY76"/>
  <c r="BA76" s="1"/>
  <c r="AV77"/>
  <c r="AY77"/>
  <c r="BA77" s="1"/>
  <c r="AV78"/>
  <c r="AY78"/>
  <c r="BA78" s="1"/>
  <c r="AV79"/>
  <c r="AY79"/>
  <c r="BA79" s="1"/>
  <c r="G80"/>
  <c r="G102" s="1"/>
  <c r="AO80"/>
  <c r="AT80"/>
  <c r="AL89"/>
  <c r="AT89" s="1"/>
  <c r="AU89" s="1"/>
  <c r="AS50"/>
  <c r="AS80" s="1"/>
  <c r="AO81"/>
  <c r="AO82"/>
  <c r="AS82" s="1"/>
  <c r="AO83"/>
  <c r="AS83" s="1"/>
  <c r="AO84"/>
  <c r="AS84" s="1"/>
  <c r="AO85"/>
  <c r="AS85" s="1"/>
  <c r="AO86"/>
  <c r="AS86" s="1"/>
  <c r="AO87"/>
  <c r="AS87" s="1"/>
  <c r="AO88"/>
  <c r="AS88" s="1"/>
  <c r="BI98" l="1" a="1"/>
  <c r="BI98" s="1"/>
  <c r="BJ98" s="1"/>
  <c r="BL98" s="1"/>
  <c r="AO49"/>
  <c r="BB42"/>
  <c r="BB38"/>
  <c r="AX78"/>
  <c r="BD78" s="1"/>
  <c r="BB78"/>
  <c r="BE78" s="1"/>
  <c r="AX76"/>
  <c r="BD76" s="1"/>
  <c r="BB76"/>
  <c r="BE76" s="1"/>
  <c r="AX74"/>
  <c r="BD74" s="1"/>
  <c r="BB74"/>
  <c r="BE74" s="1"/>
  <c r="AX72"/>
  <c r="BD72" s="1"/>
  <c r="BB72"/>
  <c r="BE72" s="1"/>
  <c r="AX70"/>
  <c r="BD70" s="1"/>
  <c r="BB70"/>
  <c r="BE70" s="1"/>
  <c r="AX68"/>
  <c r="BD68" s="1"/>
  <c r="BB68"/>
  <c r="BE68" s="1"/>
  <c r="AX66"/>
  <c r="BD66" s="1"/>
  <c r="BB66"/>
  <c r="BE66" s="1"/>
  <c r="AX64"/>
  <c r="BD64" s="1"/>
  <c r="BB64"/>
  <c r="BE64" s="1"/>
  <c r="AX62"/>
  <c r="BD62" s="1"/>
  <c r="BB62"/>
  <c r="BE62" s="1"/>
  <c r="AX60"/>
  <c r="BD60" s="1"/>
  <c r="BB60"/>
  <c r="BE60" s="1"/>
  <c r="AX58"/>
  <c r="BD58" s="1"/>
  <c r="BB58"/>
  <c r="BE58" s="1"/>
  <c r="AX56"/>
  <c r="BD56" s="1"/>
  <c r="BB56"/>
  <c r="BE56" s="1"/>
  <c r="AX54"/>
  <c r="BD54" s="1"/>
  <c r="BB54"/>
  <c r="BE54" s="1"/>
  <c r="AX52"/>
  <c r="BD52" s="1"/>
  <c r="BB52"/>
  <c r="BE52" s="1"/>
  <c r="AX50"/>
  <c r="AV80"/>
  <c r="BB50"/>
  <c r="AW46"/>
  <c r="BC46" s="1"/>
  <c r="BF46" s="1"/>
  <c r="AU46"/>
  <c r="AW40"/>
  <c r="BC40" s="1"/>
  <c r="BF40" s="1"/>
  <c r="AU40"/>
  <c r="AW36"/>
  <c r="BC36" s="1"/>
  <c r="BF36" s="1"/>
  <c r="AU36"/>
  <c r="AS49"/>
  <c r="AY14"/>
  <c r="AV14"/>
  <c r="BI105"/>
  <c r="BJ103"/>
  <c r="AW48"/>
  <c r="BC48" s="1"/>
  <c r="BF48" s="1"/>
  <c r="AU48"/>
  <c r="AV48"/>
  <c r="AW44"/>
  <c r="BC44" s="1"/>
  <c r="BF44" s="1"/>
  <c r="AU44"/>
  <c r="AV44"/>
  <c r="AV30"/>
  <c r="AY30"/>
  <c r="BA30" s="1"/>
  <c r="AV26"/>
  <c r="AY26"/>
  <c r="BA26" s="1"/>
  <c r="AV22"/>
  <c r="AY22"/>
  <c r="BA22" s="1"/>
  <c r="AV18"/>
  <c r="AY18"/>
  <c r="BA18" s="1"/>
  <c r="AV15"/>
  <c r="AY15"/>
  <c r="BA15" s="1"/>
  <c r="AT49"/>
  <c r="AT90" s="1"/>
  <c r="AW14"/>
  <c r="AU14"/>
  <c r="AY89"/>
  <c r="BA81"/>
  <c r="BA89" s="1"/>
  <c r="AR90"/>
  <c r="BJ111"/>
  <c r="BI113"/>
  <c r="BB45"/>
  <c r="AX45"/>
  <c r="BB39"/>
  <c r="AX39"/>
  <c r="BB31"/>
  <c r="AX31"/>
  <c r="BB23"/>
  <c r="AX23"/>
  <c r="BB19"/>
  <c r="AX19"/>
  <c r="BB41"/>
  <c r="AX41"/>
  <c r="BB33"/>
  <c r="AX33"/>
  <c r="BB25"/>
  <c r="AX25"/>
  <c r="AV36"/>
  <c r="AO89"/>
  <c r="G103" s="1"/>
  <c r="AS81"/>
  <c r="AS89" s="1"/>
  <c r="BI107"/>
  <c r="BJ107" s="1"/>
  <c r="AX79"/>
  <c r="BD79" s="1"/>
  <c r="BB79"/>
  <c r="BE79" s="1"/>
  <c r="AX77"/>
  <c r="BD77" s="1"/>
  <c r="BB77"/>
  <c r="BE77" s="1"/>
  <c r="AX75"/>
  <c r="BD75" s="1"/>
  <c r="BB75"/>
  <c r="BE75" s="1"/>
  <c r="AX73"/>
  <c r="BD73" s="1"/>
  <c r="BB73"/>
  <c r="BE73" s="1"/>
  <c r="AX71"/>
  <c r="BD71" s="1"/>
  <c r="BB71"/>
  <c r="BE71" s="1"/>
  <c r="AX69"/>
  <c r="BD69" s="1"/>
  <c r="BB69"/>
  <c r="BE69" s="1"/>
  <c r="AX67"/>
  <c r="BD67" s="1"/>
  <c r="BB67"/>
  <c r="BE67" s="1"/>
  <c r="AX65"/>
  <c r="BD65" s="1"/>
  <c r="BB65"/>
  <c r="BE65" s="1"/>
  <c r="AX63"/>
  <c r="BD63" s="1"/>
  <c r="BB63"/>
  <c r="BE63" s="1"/>
  <c r="AX61"/>
  <c r="BD61" s="1"/>
  <c r="BB61"/>
  <c r="BE61" s="1"/>
  <c r="AX59"/>
  <c r="BD59" s="1"/>
  <c r="BB59"/>
  <c r="BE59" s="1"/>
  <c r="AX57"/>
  <c r="BD57" s="1"/>
  <c r="BB57"/>
  <c r="BE57" s="1"/>
  <c r="AX55"/>
  <c r="BD55" s="1"/>
  <c r="BB55"/>
  <c r="BE55" s="1"/>
  <c r="AX53"/>
  <c r="BD53" s="1"/>
  <c r="BB53"/>
  <c r="BE53" s="1"/>
  <c r="AX51"/>
  <c r="BD51" s="1"/>
  <c r="BB51"/>
  <c r="BE51" s="1"/>
  <c r="BA50"/>
  <c r="BA80" s="1"/>
  <c r="AY80"/>
  <c r="AW42"/>
  <c r="BC42" s="1"/>
  <c r="BF42" s="1"/>
  <c r="AU42"/>
  <c r="AW38"/>
  <c r="BC38" s="1"/>
  <c r="BF38" s="1"/>
  <c r="AU38"/>
  <c r="AW34"/>
  <c r="BC34" s="1"/>
  <c r="BF34" s="1"/>
  <c r="AU34"/>
  <c r="BM104"/>
  <c r="BL104"/>
  <c r="G101"/>
  <c r="AV100"/>
  <c r="G109"/>
  <c r="AO90"/>
  <c r="AV32"/>
  <c r="AY32"/>
  <c r="BA32" s="1"/>
  <c r="AV28"/>
  <c r="AY28"/>
  <c r="BA28" s="1"/>
  <c r="AV24"/>
  <c r="AY24"/>
  <c r="BA24" s="1"/>
  <c r="AV20"/>
  <c r="AY20"/>
  <c r="BA20" s="1"/>
  <c r="AV17"/>
  <c r="AY17"/>
  <c r="BA17" s="1"/>
  <c r="A50"/>
  <c r="BB88"/>
  <c r="BE88" s="1"/>
  <c r="AX88"/>
  <c r="BD88" s="1"/>
  <c r="BB87"/>
  <c r="BE87" s="1"/>
  <c r="AX87"/>
  <c r="BD87" s="1"/>
  <c r="BB86"/>
  <c r="BE86" s="1"/>
  <c r="AX86"/>
  <c r="BD86" s="1"/>
  <c r="BB85"/>
  <c r="BE85" s="1"/>
  <c r="AX85"/>
  <c r="BD85" s="1"/>
  <c r="BB84"/>
  <c r="BE84" s="1"/>
  <c r="AX84"/>
  <c r="BD84" s="1"/>
  <c r="BB83"/>
  <c r="BE83" s="1"/>
  <c r="AX83"/>
  <c r="BD83" s="1"/>
  <c r="BB82"/>
  <c r="BE82" s="1"/>
  <c r="AX82"/>
  <c r="BD82" s="1"/>
  <c r="AV89"/>
  <c r="BB81"/>
  <c r="AX81"/>
  <c r="BM112"/>
  <c r="BL112"/>
  <c r="BB43"/>
  <c r="AX43"/>
  <c r="BB35"/>
  <c r="AX35"/>
  <c r="BB27"/>
  <c r="AX27"/>
  <c r="BB21"/>
  <c r="AX21"/>
  <c r="BB16"/>
  <c r="AX16"/>
  <c r="BB47"/>
  <c r="AX47"/>
  <c r="BB37"/>
  <c r="AX37"/>
  <c r="BB29"/>
  <c r="AX29"/>
  <c r="BI99" a="1"/>
  <c r="BI99" s="1"/>
  <c r="BJ99" s="1"/>
  <c r="BL99" s="1"/>
  <c r="G90"/>
  <c r="G104" s="1"/>
  <c r="G105"/>
  <c r="AL90"/>
  <c r="AV46"/>
  <c r="AV34"/>
  <c r="AV40"/>
  <c r="BJ82" l="1"/>
  <c r="BG82"/>
  <c r="BI82" s="1"/>
  <c r="BJ84"/>
  <c r="BG84"/>
  <c r="BI84" s="1"/>
  <c r="BJ85"/>
  <c r="BG85"/>
  <c r="BI85" s="1"/>
  <c r="BJ87"/>
  <c r="BG87"/>
  <c r="BI87" s="1"/>
  <c r="BB20"/>
  <c r="AX20"/>
  <c r="G111"/>
  <c r="G106"/>
  <c r="AV94"/>
  <c r="AS91"/>
  <c r="AY91" s="1"/>
  <c r="BJ51"/>
  <c r="BG51"/>
  <c r="BI51" s="1"/>
  <c r="BJ53"/>
  <c r="BG53"/>
  <c r="BI53" s="1"/>
  <c r="BJ57"/>
  <c r="BG57"/>
  <c r="BI57" s="1"/>
  <c r="BJ61"/>
  <c r="BG61"/>
  <c r="BI61" s="1"/>
  <c r="BJ63"/>
  <c r="BG63"/>
  <c r="BI63" s="1"/>
  <c r="BJ67"/>
  <c r="BG67"/>
  <c r="BI67" s="1"/>
  <c r="BJ69"/>
  <c r="BG69"/>
  <c r="BI69" s="1"/>
  <c r="BJ73"/>
  <c r="BG73"/>
  <c r="BI73" s="1"/>
  <c r="BJ77"/>
  <c r="BG77"/>
  <c r="BI77" s="1"/>
  <c r="AU49"/>
  <c r="AU90" s="1"/>
  <c r="BM98" a="1"/>
  <c r="BM98" s="1"/>
  <c r="BM99" a="1"/>
  <c r="BM99" s="1"/>
  <c r="BA91"/>
  <c r="BB40"/>
  <c r="AX40"/>
  <c r="BB46"/>
  <c r="AX46"/>
  <c r="BD29"/>
  <c r="BE29"/>
  <c r="BD37"/>
  <c r="BE37"/>
  <c r="BD47"/>
  <c r="BE47"/>
  <c r="BD16"/>
  <c r="BE16"/>
  <c r="BD21"/>
  <c r="BE21"/>
  <c r="BD27"/>
  <c r="BE27"/>
  <c r="BD35"/>
  <c r="BE35"/>
  <c r="BD43"/>
  <c r="BE43"/>
  <c r="BB89"/>
  <c r="BE81"/>
  <c r="A51"/>
  <c r="A52" s="1"/>
  <c r="BB17"/>
  <c r="AX17"/>
  <c r="BB24"/>
  <c r="AX24"/>
  <c r="BB32"/>
  <c r="AX32"/>
  <c r="BM107"/>
  <c r="BL107"/>
  <c r="BB36"/>
  <c r="AX36"/>
  <c r="BD25"/>
  <c r="BE25"/>
  <c r="BD33"/>
  <c r="BE33"/>
  <c r="BD41"/>
  <c r="BE41"/>
  <c r="BD19"/>
  <c r="BE19"/>
  <c r="BD23"/>
  <c r="BE23"/>
  <c r="BD31"/>
  <c r="BE31"/>
  <c r="BD39"/>
  <c r="BE39"/>
  <c r="BD45"/>
  <c r="BE45"/>
  <c r="BJ113"/>
  <c r="BM111"/>
  <c r="BM113" s="1"/>
  <c r="BL111"/>
  <c r="BL113" s="1"/>
  <c r="AW49"/>
  <c r="AW90" s="1"/>
  <c r="BC91" s="1"/>
  <c r="BC14"/>
  <c r="BB15"/>
  <c r="AX15"/>
  <c r="BB22"/>
  <c r="AX22"/>
  <c r="BB30"/>
  <c r="AX30"/>
  <c r="BB48"/>
  <c r="AX48"/>
  <c r="AY49"/>
  <c r="AY90" s="1"/>
  <c r="BA14"/>
  <c r="BA49" s="1"/>
  <c r="BA90" s="1"/>
  <c r="BJ52"/>
  <c r="BG52"/>
  <c r="BI52" s="1"/>
  <c r="BJ54"/>
  <c r="BG54"/>
  <c r="BI54" s="1"/>
  <c r="BJ56"/>
  <c r="BG56"/>
  <c r="BI56" s="1"/>
  <c r="BJ58"/>
  <c r="BG58"/>
  <c r="BI58" s="1"/>
  <c r="BJ60"/>
  <c r="BG60"/>
  <c r="BI60" s="1"/>
  <c r="BJ62"/>
  <c r="BG62"/>
  <c r="BI62" s="1"/>
  <c r="BJ64"/>
  <c r="BG64"/>
  <c r="BI64" s="1"/>
  <c r="BJ66"/>
  <c r="BG66"/>
  <c r="BI66" s="1"/>
  <c r="BJ68"/>
  <c r="BG68"/>
  <c r="BI68" s="1"/>
  <c r="BJ70"/>
  <c r="BG70"/>
  <c r="BI70" s="1"/>
  <c r="BJ72"/>
  <c r="BG72"/>
  <c r="BI72" s="1"/>
  <c r="BJ74"/>
  <c r="BG74"/>
  <c r="BI74" s="1"/>
  <c r="BJ76"/>
  <c r="BG76"/>
  <c r="BI76" s="1"/>
  <c r="BJ78"/>
  <c r="BG78"/>
  <c r="BI78" s="1"/>
  <c r="BD38"/>
  <c r="BE38"/>
  <c r="BD42"/>
  <c r="BE42"/>
  <c r="BL100"/>
  <c r="BI100"/>
  <c r="AS90"/>
  <c r="BB34"/>
  <c r="AX34"/>
  <c r="AT91"/>
  <c r="AU91" s="1"/>
  <c r="AO91"/>
  <c r="AX89"/>
  <c r="BD81"/>
  <c r="BD89" s="1"/>
  <c r="BJ83"/>
  <c r="BG83"/>
  <c r="BI83" s="1"/>
  <c r="BJ86"/>
  <c r="BG86"/>
  <c r="BI86" s="1"/>
  <c r="BJ88"/>
  <c r="BG88"/>
  <c r="BI88" s="1"/>
  <c r="BB28"/>
  <c r="AX28"/>
  <c r="BJ55"/>
  <c r="BG55"/>
  <c r="BI55" s="1"/>
  <c r="BJ59"/>
  <c r="BG59"/>
  <c r="BI59" s="1"/>
  <c r="BJ65"/>
  <c r="BG65"/>
  <c r="BI65" s="1"/>
  <c r="BJ71"/>
  <c r="BG71"/>
  <c r="BI71" s="1"/>
  <c r="BJ75"/>
  <c r="BG75"/>
  <c r="BI75" s="1"/>
  <c r="BJ79"/>
  <c r="BG79"/>
  <c r="BI79" s="1"/>
  <c r="BI108"/>
  <c r="BJ108" s="1"/>
  <c r="BB18"/>
  <c r="AX18"/>
  <c r="BB26"/>
  <c r="AX26"/>
  <c r="BB44"/>
  <c r="AX44"/>
  <c r="BM103"/>
  <c r="BM105" s="1"/>
  <c r="BL103"/>
  <c r="BL105" s="1"/>
  <c r="AV49"/>
  <c r="AV90" s="1"/>
  <c r="BB14"/>
  <c r="AX14"/>
  <c r="BB80"/>
  <c r="BE50"/>
  <c r="AX80"/>
  <c r="BD50"/>
  <c r="BD80" s="1"/>
  <c r="AX38"/>
  <c r="AX42"/>
  <c r="BL106" l="1"/>
  <c r="BM100"/>
  <c r="BM106" s="1"/>
  <c r="A80"/>
  <c r="A90" s="1"/>
  <c r="AV96"/>
  <c r="BB91"/>
  <c r="BD44"/>
  <c r="BE44"/>
  <c r="BD18"/>
  <c r="BE18"/>
  <c r="BI106"/>
  <c r="BI109" s="1"/>
  <c r="BI114" s="1"/>
  <c r="BJ100"/>
  <c r="BD48"/>
  <c r="BE48"/>
  <c r="BD30"/>
  <c r="BE30"/>
  <c r="BD22"/>
  <c r="BE22"/>
  <c r="BD15"/>
  <c r="BE15"/>
  <c r="BJ45"/>
  <c r="BG45"/>
  <c r="BI45" s="1"/>
  <c r="BJ39"/>
  <c r="BG39"/>
  <c r="BI39" s="1"/>
  <c r="BJ31"/>
  <c r="BG31"/>
  <c r="BI31" s="1"/>
  <c r="BJ23"/>
  <c r="BG23"/>
  <c r="BI23" s="1"/>
  <c r="BJ19"/>
  <c r="BG19"/>
  <c r="BI19" s="1"/>
  <c r="BJ41"/>
  <c r="BG41"/>
  <c r="BI41" s="1"/>
  <c r="BG33"/>
  <c r="BJ25"/>
  <c r="BG25"/>
  <c r="BI25" s="1"/>
  <c r="BD32"/>
  <c r="BE32"/>
  <c r="BD24"/>
  <c r="BE24"/>
  <c r="BD17"/>
  <c r="BE17"/>
  <c r="BD46"/>
  <c r="BE46"/>
  <c r="BD40"/>
  <c r="BE40"/>
  <c r="BJ50"/>
  <c r="BG50"/>
  <c r="BE80"/>
  <c r="BD26"/>
  <c r="BE26"/>
  <c r="BM108"/>
  <c r="BL108"/>
  <c r="BL109" s="1"/>
  <c r="BL114" s="1"/>
  <c r="BB49"/>
  <c r="BB90" s="1"/>
  <c r="BD14"/>
  <c r="BE14"/>
  <c r="BD28"/>
  <c r="BE28"/>
  <c r="BD34"/>
  <c r="BE34"/>
  <c r="BJ42"/>
  <c r="BG42"/>
  <c r="BI42" s="1"/>
  <c r="BJ38"/>
  <c r="BG38"/>
  <c r="BI38" s="1"/>
  <c r="BC49"/>
  <c r="BC90" s="1"/>
  <c r="BF91" s="1"/>
  <c r="BF14"/>
  <c r="BF49" s="1"/>
  <c r="BF90" s="1"/>
  <c r="BD36"/>
  <c r="BE36"/>
  <c r="BE89"/>
  <c r="BJ81"/>
  <c r="BJ89" s="1"/>
  <c r="BG81"/>
  <c r="BG43"/>
  <c r="BI43" s="1"/>
  <c r="BJ43"/>
  <c r="BJ35"/>
  <c r="BG35"/>
  <c r="BI35" s="1"/>
  <c r="BJ27"/>
  <c r="BG27"/>
  <c r="BI27" s="1"/>
  <c r="BJ21"/>
  <c r="BG21"/>
  <c r="BI21" s="1"/>
  <c r="BJ16"/>
  <c r="BG16"/>
  <c r="BI16" s="1"/>
  <c r="BG47"/>
  <c r="BI47" s="1"/>
  <c r="BJ47"/>
  <c r="BJ37"/>
  <c r="BG37"/>
  <c r="BI37" s="1"/>
  <c r="BJ29"/>
  <c r="BG29"/>
  <c r="BI29" s="1"/>
  <c r="BD20"/>
  <c r="BE20"/>
  <c r="AX49"/>
  <c r="AX90" s="1"/>
  <c r="BD91" s="1"/>
  <c r="BE91"/>
  <c r="BJ109"/>
  <c r="BJ36" l="1"/>
  <c r="BG36"/>
  <c r="BI36" s="1"/>
  <c r="BJ34"/>
  <c r="BG34"/>
  <c r="BI34" s="1"/>
  <c r="BJ28"/>
  <c r="BG28"/>
  <c r="BI28" s="1"/>
  <c r="BE49"/>
  <c r="BE90" s="1"/>
  <c r="BJ14"/>
  <c r="BG14"/>
  <c r="BG80"/>
  <c r="BI50"/>
  <c r="BI80" s="1"/>
  <c r="BH33"/>
  <c r="BJ33" s="1"/>
  <c r="BM109"/>
  <c r="BM114" s="1"/>
  <c r="BJ20"/>
  <c r="BG20"/>
  <c r="BI20" s="1"/>
  <c r="BI81"/>
  <c r="BI89" s="1"/>
  <c r="BG89"/>
  <c r="BJ26"/>
  <c r="BG26"/>
  <c r="BI26" s="1"/>
  <c r="BJ80"/>
  <c r="BJ40"/>
  <c r="BG40"/>
  <c r="BI40" s="1"/>
  <c r="BJ46"/>
  <c r="BG46"/>
  <c r="BI46" s="1"/>
  <c r="BG17"/>
  <c r="BJ24"/>
  <c r="BG24"/>
  <c r="BI24" s="1"/>
  <c r="BJ32"/>
  <c r="BG32"/>
  <c r="BI32" s="1"/>
  <c r="BJ15"/>
  <c r="BG15"/>
  <c r="BI15" s="1"/>
  <c r="BJ22"/>
  <c r="BG22"/>
  <c r="BI22" s="1"/>
  <c r="BJ30"/>
  <c r="BG30"/>
  <c r="BI30" s="1"/>
  <c r="BJ48"/>
  <c r="BG48"/>
  <c r="BI48" s="1"/>
  <c r="BJ18"/>
  <c r="BG18"/>
  <c r="BI18" s="1"/>
  <c r="BJ44"/>
  <c r="BG44"/>
  <c r="BI44" s="1"/>
  <c r="BD49"/>
  <c r="BD90" s="1"/>
  <c r="BG91" s="1"/>
  <c r="BI33" l="1"/>
  <c r="BH17"/>
  <c r="BG49"/>
  <c r="BG90" s="1"/>
  <c r="BI14"/>
  <c r="BH49" l="1"/>
  <c r="BH90" s="1"/>
  <c r="BJ91" s="1"/>
  <c r="BJ17"/>
  <c r="BI17"/>
  <c r="BI49" s="1"/>
  <c r="BI90" s="1"/>
  <c r="BJ49" l="1"/>
  <c r="BJ90" s="1"/>
  <c r="BI9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T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0"/>
            <rFont val="Tahoma"/>
            <family val="2"/>
            <charset val="204"/>
          </rPr>
          <t>Вводити вручну дні і години</t>
        </r>
      </text>
    </comment>
    <comment ref="AV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AY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і Лікарняні вводить в формате:
6 авг - 31 авг
После числа перед месяцем пробел</t>
        </r>
      </text>
    </comment>
    <comment ref="AL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</t>
        </r>
        <r>
          <rPr>
            <sz val="12"/>
            <color indexed="10"/>
            <rFont val="Tahoma"/>
            <family val="2"/>
            <charset val="204"/>
          </rPr>
          <t xml:space="preserve">и красный шрифт </t>
        </r>
        <r>
          <rPr>
            <sz val="12"/>
            <color indexed="12"/>
            <rFont val="Tahoma"/>
            <family val="2"/>
            <charset val="204"/>
          </rPr>
          <t>столбца AL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меньше минимальной зарплаты 3200
Столбец AL&lt;3200</t>
        </r>
      </text>
    </comment>
    <comment ref="AS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>столбца AР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+ Відпустка + Розрахункові + Лікарняні Перші 5-ть днів меньше минимальной зарплаты 3200
Столбец AР&lt;3200</t>
        </r>
      </text>
    </comment>
    <comment ref="AT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>столбца AT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+ Відпустка + Розрахункові + Лікарняні Перші 5-ть днів + ФССзТВП меньше минимальной зарплаты 3200
Столбец AT&lt;3200</t>
        </r>
      </text>
    </comment>
    <comment ref="AU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Уваага! В этот столбец Мінять формулу при зміні мінімальної зарплати. Вносити розмір мінімальної зарплати. И 22% з Мінімальной зарплати.
</t>
        </r>
        <r>
          <rPr>
            <sz val="12"/>
            <color indexed="12"/>
            <rFont val="Tahoma"/>
            <family val="2"/>
            <charset val="204"/>
          </rPr>
          <t>Була формула =ОКРУГЛ(ЕСЛИ(И(AT14&gt;=3200;G14&lt;=$G$99);ЕСЛИОШИБКА(ЕСЛИ(НАЙТИ("Інвалид";B14;1)&gt;0;AT14*0.0841;"");AT14*0.22);ЕСЛИ(И(AT14&lt;3200;G14=$G$99);ЕСЛИОШИБКА(ЕСЛИ(НАЙТИ("Інвалид";B14;1)&gt;0;AT14*0.0841;"");704);ЕСЛИ(И(G14&lt;$G$99;AT14&lt;3200);ЕСЛИОШИБКА(ЕСЛИ(НАЙТИ("Інвалид";B14;1)&gt;0;AT14*0.0841;"");AT14*0.22))));2)</t>
        </r>
      </text>
    </comment>
    <comment ref="AV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Увага! В этот столбец Мінять формулу при зміні розміру податкової соціальної пільги. Вносити розмір пільги і граничний розмір доходу.
</t>
        </r>
        <r>
          <rPr>
            <sz val="12"/>
            <color indexed="17"/>
            <rFont val="Tahoma"/>
            <family val="2"/>
            <charset val="204"/>
          </rPr>
          <t xml:space="preserve">
Зелёная заливка,</t>
        </r>
        <r>
          <rPr>
            <sz val="12"/>
            <color indexed="10"/>
            <rFont val="Tahoma"/>
            <family val="2"/>
            <charset val="204"/>
          </rPr>
          <t xml:space="preserve"> красный шрифт и буква «л.» </t>
        </r>
        <r>
          <rPr>
            <sz val="12"/>
            <color indexed="12"/>
            <rFont val="Tahoma"/>
            <family val="2"/>
            <charset val="204"/>
          </rPr>
          <t>столбца AV</t>
        </r>
        <r>
          <rPr>
            <sz val="12"/>
            <color indexed="10"/>
            <rFont val="Tahoma"/>
            <family val="2"/>
            <charset val="204"/>
          </rPr>
          <t xml:space="preserve">  </t>
        </r>
        <r>
          <rPr>
            <sz val="12"/>
            <color indexed="17"/>
            <rFont val="Tahoma"/>
            <family val="2"/>
            <charset val="204"/>
          </rPr>
          <t xml:space="preserve">у кого льгота по ПДФО
Була формула: =ОКРУГЛ(МАКС(0;18%*(AS14-ЕСЛИОШИБКА(ЕСЛИ(НАЙТИ("Пільга 150%";B14;1)&gt;0;1200;"");800)*(AT14&lt;=2240)*ЕПУСТО(D14)));2)
</t>
        </r>
      </text>
    </comment>
    <comment ref="AU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Проверить в этом столбце формулу Если Iнвалид и больничные начиная с февраля уточнить формулу.</t>
        </r>
        <r>
          <rPr>
            <sz val="8"/>
            <color indexed="81"/>
            <rFont val="Tahoma"/>
            <family val="2"/>
            <charset val="204"/>
          </rPr>
          <t xml:space="preserve"> Были формулы: Травень з лікарняними
=ОКРУГЛ(ЕСЛИ(И(AT14&gt;=1450;G14&lt;=$G$84);ЕСЛИОШИБКА(ЕСЛИ(НАЙТИ("Інвалид";B14;1)&gt;0;AT14*0.0841;"");AT14*0.22);ЕСЛИ(И(AT14&lt;1450;G14=$G$84);ЕСЛИОШИБКА(ЕСЛИ(НАЙТИ("Інвалид";B14;1)&gt;0;121.945;"");319);ЕСЛИ(И(G14&lt;$G$84;AT14&lt;1450);ЕСЛИОШИБКА(ЕСЛИ(НАЙТИ("Інвалид";B14;1)&gt;0;AT14*0.0841;"");AT14*0.22))));2)
Грудень без лікарняних
=ОКРУГЛ(ЕСЛИ(И(AO14&gt;=1600;G14&lt;=$G$84);ЕСЛИОШИБКА(ЕСЛИ(НАЙТИ("Інвалид";B14;1)&gt;0;AO14*0.0841;"");AO14*0.22);ЕСЛИ(И(AO14&lt;1600;G14=$G$84);ЕСЛИОШИБКА(ЕСЛИ(НАЙТИ("Інвалид";B14;1)&gt;0;134.56;"");352);ЕСЛИ(И(G14&lt;$G$84;AO14&lt;1600);ЕСЛИОШИБКА(ЕСЛИ(НАЙТИ("Інвалид";B14;1)&gt;0;AO14*0.0841;"");AO14*0.22))));2)
Січень без лікарняних
=ОКРУГЛ(ЕСЛИ(И(AO14&gt;=3200;G14&lt;=$G$84);ЕСЛИОШИБКА(ЕСЛИ(НАЙТИ("Інвалид";B14;1)&gt;0;AO14*0.0841;"");AO14*0.22);ЕСЛИ(И(AO14&lt;3200;G14=$G$84);ЕСЛИОШИБКА(ЕСЛИ(НАЙТИ("Інвалид";B14;1)&gt;0;269.12;"");704);ЕСЛИ(И(G14&lt;$G$84;AO14&lt;3200);ЕСЛИОШИБКА(ЕСЛИ(НАЙТИ("Інвалид";B14;1)&gt;0;AO14*0.0841;"");AO14*0.22))));2)
Лютий з лікарняними
=ЕСЛИ(F14&lt;&gt;0;AT14*$AU$13;(ОКРУГЛ(ЕСЛИ(И(AT14&gt;=3200;G14&lt;=$G$84);ЕСЛИОШИБКА(ЕСЛИ(НАЙТИ("Інвалид";B14;1)&gt;0;AT14*0.0841;"");AT14*0.22);ЕСЛИ(И(AT14&lt;3200;G14=$G$84);ЕСЛИОШИБКА(ЕСЛИ(НАЙТИ("Інвалид";B14;1)&gt;0;269.12;"");704);ЕСЛИ(И(G14&lt;$G$84;AT14&lt;3200);ЕСЛИОШИБКА(ЕСЛИ(НАЙТИ("Інвалид";B14;1)&gt;0;AT14*0.0841;"");AT14*0.22))));2)))
Березень з лікарняними
=ЕСЛИ(F14&lt;&gt;0;AT14*$AU$13;(ОКРУГЛ(ЕСЛИ(И(AT14&gt;=3200;G14&lt;=$G$84);ЕСЛИОШИБКА(ЕСЛИ(НАЙТИ("Інвалид";B14;1)&gt;0;AT14*0.0841;"");AT14*0.22);ЕСЛИ(И(AT14&lt;3200;G14=$G$84);ЕСЛИОШИБКА(ЕСЛИ(НАЙТИ("Інвалид";B14;1)&gt;0;269.12;"");704);ЕСЛИ(И(G14&lt;$G$84;AT14&lt;3200);ЕСЛИОШИБКА(ЕСЛИ(НАЙТИ("Інвалид";B14;1)&gt;0;AT14*0.0841;"");AT14*0.22))));2)))
</t>
        </r>
      </text>
    </comment>
    <comment ref="AW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Була формула =ОКРУГЛ(МАКС(0;18%*(AQ14-800*(AT14&lt;=2240)));2)</t>
        </r>
      </text>
    </comment>
    <comment ref="AV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12"/>
            <rFont val="Tahoma"/>
            <family val="2"/>
            <charset val="204"/>
          </rPr>
          <t>В ячейке</t>
        </r>
        <r>
          <rPr>
            <sz val="8"/>
            <color indexed="81"/>
            <rFont val="Tahoma"/>
            <family val="2"/>
            <charset val="204"/>
          </rPr>
          <t xml:space="preserve">  </t>
        </r>
        <r>
          <rPr>
            <sz val="22"/>
            <color indexed="12"/>
            <rFont val="Tahoma"/>
            <family val="2"/>
            <charset val="204"/>
          </rPr>
          <t xml:space="preserve">AV21 РЕЗУЛЬТАТ должен быть 92,16  </t>
        </r>
      </text>
    </comment>
    <comment ref="C4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12"/>
            <rFont val="Tahoma"/>
            <family val="2"/>
            <charset val="204"/>
          </rPr>
          <t xml:space="preserve">В ячейке C49 РЕЗУЛЬТАТ должен быть 0    </t>
        </r>
      </text>
    </comment>
    <comment ref="D4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12"/>
            <rFont val="Tahoma"/>
            <family val="2"/>
            <charset val="204"/>
          </rPr>
          <t xml:space="preserve">В ячейке D49 РЕЗУЛЬТАТ должен быть 1    </t>
        </r>
      </text>
    </comment>
    <comment ref="AU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G9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12"/>
            <rFont val="Tahoma"/>
            <family val="2"/>
            <charset val="204"/>
          </rPr>
          <t xml:space="preserve">В ячейке G94 РЕЗУЛЬТАТ должен быть 27.
</t>
        </r>
        <r>
          <rPr>
            <sz val="22"/>
            <color indexed="10"/>
            <rFont val="Tahoma"/>
            <family val="2"/>
            <charset val="204"/>
          </rPr>
          <t>А если удалить из ячейки С21 дату приёма – то в этом случае в ячейке G94 РЕЗУЛЬТАТ должен быть 27. 
Хотя в диапазоне ячеек B14:B48 будет 
28 сотрудников</t>
        </r>
        <r>
          <rPr>
            <sz val="22"/>
            <color indexed="12"/>
            <rFont val="Tahoma"/>
            <family val="2"/>
            <charset val="204"/>
          </rPr>
          <t xml:space="preserve">      </t>
        </r>
      </text>
    </comment>
    <comment ref="AV9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Если будут Больничные первых 5-ти дней, то этот результат будет неправильный. Так как здесь входят и больничные первых 5-ти дней а надо без больничных первых 5-ти дней.</t>
        </r>
        <r>
          <rPr>
            <sz val="12"/>
            <color indexed="12"/>
            <rFont val="Tahoma"/>
            <family val="2"/>
            <charset val="204"/>
          </rPr>
          <t xml:space="preserve">
Если есть больничные соц страху ФССзТВП, а больничных первых 5-ти дней нет то РЕЗУЛЬТАТ будет правильный.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<sst xmlns="http://schemas.openxmlformats.org/spreadsheetml/2006/main" count="807" uniqueCount="288">
  <si>
    <t xml:space="preserve">Розрахунково-платіжна відомість № «_____» за </t>
  </si>
  <si>
    <t>Август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</si>
  <si>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</si>
  <si>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</si>
  <si>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 xml:space="preserve">. </t>
    </r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</si>
  <si>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</si>
  <si>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</si>
  <si>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r>
      <t xml:space="preserve">А в місяці 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</si>
  <si>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t>Норма тривалості робочого часу: дні / години</t>
  </si>
  <si>
    <t>8,41 % з мінімальной зарплати Інвалід</t>
  </si>
  <si>
    <t xml:space="preserve">               Дата</t>
  </si>
  <si>
    <t xml:space="preserve">             Термін</t>
  </si>
  <si>
    <t>Календа-</t>
  </si>
  <si>
    <r>
      <rPr>
        <b/>
        <sz val="11"/>
        <color theme="1"/>
        <rFont val="Calibri"/>
        <family val="2"/>
        <charset val="204"/>
        <scheme val="minor"/>
      </rPr>
      <t xml:space="preserve">Відпрацьовано </t>
    </r>
    <r>
      <rPr>
        <sz val="11"/>
        <color theme="1"/>
        <rFont val="Calibri"/>
        <family val="2"/>
        <charset val="204"/>
        <scheme val="minor"/>
      </rPr>
      <t>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</si>
  <si>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>НАРАХОВАНО:</t>
    </r>
    <r>
      <rPr>
        <sz val="11"/>
        <color rgb="FF0000CC"/>
        <rFont val="Calibri"/>
        <family val="2"/>
        <charset val="204"/>
        <scheme val="minor"/>
      </rPr>
      <t xml:space="preserve"> Заробітна плата на об’єктах, Відпустка, Розрахункові, Лікарніні, гривень </t>
    </r>
  </si>
  <si>
    <t>663 бух.рах.</t>
  </si>
  <si>
    <t xml:space="preserve"> 661 бух.рах.</t>
  </si>
  <si>
    <t xml:space="preserve">Нараху - </t>
  </si>
  <si>
    <t>УТРИМАНО</t>
  </si>
  <si>
    <t xml:space="preserve">     До видачі без  утриманих</t>
  </si>
  <si>
    <t xml:space="preserve">Аліменти, </t>
  </si>
  <si>
    <t xml:space="preserve"> ДО ВИДАЧІ ПІСЛЯ</t>
  </si>
  <si>
    <t>Прий-</t>
  </si>
  <si>
    <t>Звіль-</t>
  </si>
  <si>
    <t>Відпуска</t>
  </si>
  <si>
    <t>Лікар-</t>
  </si>
  <si>
    <t>рні дні</t>
  </si>
  <si>
    <t>Всього</t>
  </si>
  <si>
    <t>вання</t>
  </si>
  <si>
    <t xml:space="preserve">         аліментів, Постанов</t>
  </si>
  <si>
    <t>Постанови</t>
  </si>
  <si>
    <t xml:space="preserve"> утриманих алімен-</t>
  </si>
  <si>
    <t>няття</t>
  </si>
  <si>
    <t>ненння</t>
  </si>
  <si>
    <t>няні</t>
  </si>
  <si>
    <t>перебу-</t>
  </si>
  <si>
    <t>Дні</t>
  </si>
  <si>
    <t>Го-</t>
  </si>
  <si>
    <t>ІТП</t>
  </si>
  <si>
    <t>Охоро-</t>
  </si>
  <si>
    <t>Охорона</t>
  </si>
  <si>
    <t>Ремонт</t>
  </si>
  <si>
    <t>Подоро-</t>
  </si>
  <si>
    <t>Наряд –</t>
  </si>
  <si>
    <t>Установка-</t>
  </si>
  <si>
    <t>Влашту-</t>
  </si>
  <si>
    <t>Ямковий</t>
  </si>
  <si>
    <t>Разом</t>
  </si>
  <si>
    <t>Відпустка</t>
  </si>
  <si>
    <t>Розра-</t>
  </si>
  <si>
    <t>ВСЬОГО</t>
  </si>
  <si>
    <t>Лікарняні</t>
  </si>
  <si>
    <t>РАЗОМ</t>
  </si>
  <si>
    <t>на ФОП</t>
  </si>
  <si>
    <t>ПДФО: Податок з доходів</t>
  </si>
  <si>
    <r>
      <t xml:space="preserve">Військовий збір </t>
    </r>
    <r>
      <rPr>
        <u/>
        <sz val="5"/>
        <color theme="10"/>
        <rFont val="Calibri"/>
        <family val="2"/>
        <charset val="204"/>
      </rPr>
      <t>653 бух. рах.</t>
    </r>
  </si>
  <si>
    <t xml:space="preserve">            Всього утримано</t>
  </si>
  <si>
    <t xml:space="preserve"> Зарп-</t>
  </si>
  <si>
    <t xml:space="preserve">РАЗОМ </t>
  </si>
  <si>
    <t xml:space="preserve">       тів, Постанов</t>
  </si>
  <si>
    <t xml:space="preserve">№  </t>
  </si>
  <si>
    <t xml:space="preserve">Прізвище </t>
  </si>
  <si>
    <t>штатних:</t>
  </si>
  <si>
    <t>штатних</t>
  </si>
  <si>
    <t>вання в</t>
  </si>
  <si>
    <t>ди</t>
  </si>
  <si>
    <t>на тери-</t>
  </si>
  <si>
    <t>АБЗ</t>
  </si>
  <si>
    <t>Автога-</t>
  </si>
  <si>
    <t>жні</t>
  </si>
  <si>
    <t>завдання</t>
  </si>
  <si>
    <t>бордюр-</t>
  </si>
  <si>
    <t>ремонт</t>
  </si>
  <si>
    <t>зарплата</t>
  </si>
  <si>
    <t>хункові</t>
  </si>
  <si>
    <t>Зарплата</t>
  </si>
  <si>
    <t>Перші</t>
  </si>
  <si>
    <t>ФССзТВП</t>
  </si>
  <si>
    <t>Зарплата+</t>
  </si>
  <si>
    <t>651 бух. рах.</t>
  </si>
  <si>
    <r>
      <t xml:space="preserve"> фізичних осіб </t>
    </r>
    <r>
      <rPr>
        <u/>
        <sz val="5"/>
        <color theme="10"/>
        <rFont val="Calibri"/>
        <family val="2"/>
        <charset val="204"/>
      </rPr>
      <t>6411 бух. рах.</t>
    </r>
  </si>
  <si>
    <t>із заро-</t>
  </si>
  <si>
    <t>із лікар-</t>
  </si>
  <si>
    <t>лата + лі-</t>
  </si>
  <si>
    <t>ФСС з ТВП</t>
  </si>
  <si>
    <t xml:space="preserve"> Зарплата</t>
  </si>
  <si>
    <t>за</t>
  </si>
  <si>
    <t>ім’я по батькові</t>
  </si>
  <si>
    <t>в цьому</t>
  </si>
  <si>
    <t>з якого</t>
  </si>
  <si>
    <t>трудових</t>
  </si>
  <si>
    <t>ни</t>
  </si>
  <si>
    <t>торії</t>
  </si>
  <si>
    <t xml:space="preserve">Ремонт </t>
  </si>
  <si>
    <t>раж</t>
  </si>
  <si>
    <t>листи</t>
  </si>
  <si>
    <t>Механі –</t>
  </si>
  <si>
    <t>ного</t>
  </si>
  <si>
    <t>асф-ного</t>
  </si>
  <si>
    <t>а/бето-</t>
  </si>
  <si>
    <t>вирівню-</t>
  </si>
  <si>
    <t xml:space="preserve"> + Відпус-</t>
  </si>
  <si>
    <t>5-ть ка-</t>
  </si>
  <si>
    <t>Фонд</t>
  </si>
  <si>
    <t xml:space="preserve"> + Відп.+Розр.</t>
  </si>
  <si>
    <t>Єдиний</t>
  </si>
  <si>
    <t>бітної</t>
  </si>
  <si>
    <t>няних</t>
  </si>
  <si>
    <t xml:space="preserve">карняні </t>
  </si>
  <si>
    <t xml:space="preserve"> + лікар-</t>
  </si>
  <si>
    <t>пор.</t>
  </si>
  <si>
    <t>місяці.</t>
  </si>
  <si>
    <t>по яке</t>
  </si>
  <si>
    <t>відноси-</t>
  </si>
  <si>
    <t>бази</t>
  </si>
  <si>
    <t>водії</t>
  </si>
  <si>
    <t>затори</t>
  </si>
  <si>
    <t>каміння,</t>
  </si>
  <si>
    <t>покриття</t>
  </si>
  <si>
    <t>нного</t>
  </si>
  <si>
    <t>ючого ша-</t>
  </si>
  <si>
    <t>тка + Роз-</t>
  </si>
  <si>
    <t>лендар-</t>
  </si>
  <si>
    <t xml:space="preserve">Соціаль-го </t>
  </si>
  <si>
    <t>5-ть кал.</t>
  </si>
  <si>
    <t xml:space="preserve"> + Лікар-</t>
  </si>
  <si>
    <t>Розрахун-</t>
  </si>
  <si>
    <t>соціаль-</t>
  </si>
  <si>
    <t>плати +</t>
  </si>
  <si>
    <t xml:space="preserve">перші </t>
  </si>
  <si>
    <t xml:space="preserve">няні </t>
  </si>
  <si>
    <t>По дого-</t>
  </si>
  <si>
    <t>число</t>
  </si>
  <si>
    <t xml:space="preserve">нах на </t>
  </si>
  <si>
    <t>Виг-ння</t>
  </si>
  <si>
    <t>влаш-ння</t>
  </si>
  <si>
    <t>Кам’ян-</t>
  </si>
  <si>
    <t>ру вул.</t>
  </si>
  <si>
    <t>рахун-</t>
  </si>
  <si>
    <t>них днів</t>
  </si>
  <si>
    <t>Страх-ня</t>
  </si>
  <si>
    <t>днів</t>
  </si>
  <si>
    <t>няні Пер-</t>
  </si>
  <si>
    <t>кові</t>
  </si>
  <si>
    <t>ний</t>
  </si>
  <si>
    <t>лікарня-</t>
  </si>
  <si>
    <t>5-ть днів</t>
  </si>
  <si>
    <t>ворам:</t>
  </si>
  <si>
    <t>підпри-</t>
  </si>
  <si>
    <t>асф-тону</t>
  </si>
  <si>
    <t>асфальт</t>
  </si>
  <si>
    <t>ський</t>
  </si>
  <si>
    <t>м. Кам’я-</t>
  </si>
  <si>
    <t>Г. Майда-</t>
  </si>
  <si>
    <t>(підпри-</t>
  </si>
  <si>
    <t>з Тимчас.</t>
  </si>
  <si>
    <t xml:space="preserve">ші 5-ть </t>
  </si>
  <si>
    <t>внесок</t>
  </si>
  <si>
    <t>ні перші</t>
  </si>
  <si>
    <t>без</t>
  </si>
  <si>
    <t>ємстві</t>
  </si>
  <si>
    <t>вул.Г.Ма-</t>
  </si>
  <si>
    <t>Держ-</t>
  </si>
  <si>
    <t>нка ХПП</t>
  </si>
  <si>
    <t>ну м. Ка-</t>
  </si>
  <si>
    <t>ємство)</t>
  </si>
  <si>
    <t>Втрати</t>
  </si>
  <si>
    <t xml:space="preserve">«+»  </t>
  </si>
  <si>
    <t>календа-</t>
  </si>
  <si>
    <t>під-тво +</t>
  </si>
  <si>
    <t>Інв. 8,41 %</t>
  </si>
  <si>
    <t xml:space="preserve"> +</t>
  </si>
  <si>
    <t>числа</t>
  </si>
  <si>
    <t>йдану</t>
  </si>
  <si>
    <t>лісгосп</t>
  </si>
  <si>
    <t>м’янка</t>
  </si>
  <si>
    <t>Прац-сті</t>
  </si>
  <si>
    <t>рних днів</t>
  </si>
  <si>
    <t xml:space="preserve"> + ФССзТВП</t>
  </si>
  <si>
    <t>13 авг - 19 авг</t>
  </si>
  <si>
    <t>13 авг - 17 авг</t>
  </si>
  <si>
    <t>13 авг - 22 авг</t>
  </si>
  <si>
    <t>20 авг - 27 авг</t>
  </si>
  <si>
    <t>30 июл - 3 авг</t>
  </si>
  <si>
    <t>6 авг - 31 авг</t>
  </si>
  <si>
    <t>I. ШТАТНІ ↑ →</t>
  </si>
  <si>
    <t>Х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</si>
  <si>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</si>
  <si>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Рябошапка Юрій Володимирович</t>
  </si>
  <si>
    <t>Музиченко Анатолій Миколайович</t>
  </si>
  <si>
    <t>Пономаренко Володимир Анатолійович (Карта)</t>
  </si>
  <si>
    <t>I I. ПО ДОГОВОРУ ЦПХ ↑ →</t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</si>
  <si>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</si>
  <si>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I V. ВСЬОГО ШТАТНІ + ПО ДОГОВОРАМ</t>
  </si>
  <si>
    <r>
      <t xml:space="preserve">Перевірка по діагоналі </t>
    </r>
    <r>
      <rPr>
        <sz val="11"/>
        <color theme="1"/>
        <rFont val="Calibri"/>
        <family val="2"/>
        <charset val="204"/>
      </rPr>
      <t>→</t>
    </r>
  </si>
  <si>
    <r>
      <rPr>
        <sz val="11"/>
        <color rgb="FF0000CC"/>
        <rFont val="Calibri"/>
        <family val="2"/>
        <charset val="204"/>
      </rPr>
      <t>←</t>
    </r>
    <r>
      <rPr>
        <sz val="11"/>
        <color rgb="FF0000CC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</si>
  <si>
    <t>Зведено для відрахувань єдиний соціальний внесок (ЄСВ) з Фонду Оплати Праці та Лікарняних за</t>
  </si>
  <si>
    <t>Для звіту з праці:</t>
  </si>
  <si>
    <t>Код рядка</t>
  </si>
  <si>
    <t>Кількість</t>
  </si>
  <si>
    <t xml:space="preserve">База, </t>
  </si>
  <si>
    <t xml:space="preserve">Сума з </t>
  </si>
  <si>
    <t xml:space="preserve">Кількість штатних працівників на </t>
  </si>
  <si>
    <r>
      <t xml:space="preserve">Фонд оплати праці усіх працівників, тис. грн. </t>
    </r>
    <r>
      <rPr>
        <i/>
        <sz val="11"/>
        <color theme="1"/>
        <rFont val="Calibri"/>
        <family val="2"/>
        <charset val="204"/>
        <scheme val="minor"/>
      </rPr>
      <t>(з одним десятковим знаком)</t>
    </r>
  </si>
  <si>
    <t>№ за</t>
  </si>
  <si>
    <t>№ за порядком та найменування</t>
  </si>
  <si>
    <t>Сума</t>
  </si>
  <si>
    <t>якої утри-</t>
  </si>
  <si>
    <t>Ставка,</t>
  </si>
  <si>
    <t>утримано</t>
  </si>
  <si>
    <t>Прийнято за звітній місяць, осіб</t>
  </si>
  <si>
    <t>Сума податку з доходів фізичних осіб, що відрахована з фонду оплати праці усіх</t>
  </si>
  <si>
    <t>грн.</t>
  </si>
  <si>
    <t>мується</t>
  </si>
  <si>
    <t>%</t>
  </si>
  <si>
    <t>Звільнено за звітній місяць, осіб</t>
  </si>
  <si>
    <r>
      <t xml:space="preserve">працівників (крім тимчасової непрацездатності), тис грн.  </t>
    </r>
    <r>
      <rPr>
        <i/>
        <sz val="8"/>
        <color theme="1"/>
        <rFont val="Calibri"/>
        <family val="2"/>
        <charset val="204"/>
        <scheme val="minor"/>
      </rPr>
      <t>(з одним десятковим знаком)</t>
    </r>
  </si>
  <si>
    <r>
      <t xml:space="preserve">1. З Фонду оплати праці звичайних </t>
    </r>
    <r>
      <rPr>
        <b/>
        <sz val="11"/>
        <color rgb="FF0033CC"/>
        <rFont val="Calibri"/>
        <family val="2"/>
        <charset val="204"/>
        <scheme val="minor"/>
      </rPr>
      <t>штатних</t>
    </r>
    <r>
      <rPr>
        <sz val="11"/>
        <color theme="1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33CC"/>
        <rFont val="Calibri"/>
        <family val="2"/>
        <charset val="204"/>
        <scheme val="minor"/>
      </rPr>
      <t>не інвалідів:</t>
    </r>
  </si>
  <si>
    <t>Прави-</t>
  </si>
  <si>
    <r>
      <t xml:space="preserve">Середньооблікова кількість штатних працівників, осіб </t>
    </r>
    <r>
      <rPr>
        <i/>
        <sz val="11"/>
        <color theme="1"/>
        <rFont val="Calibri"/>
        <family val="2"/>
        <charset val="204"/>
        <scheme val="minor"/>
      </rPr>
      <t>(у цілих числах)</t>
    </r>
  </si>
  <si>
    <t>1. 1.</t>
  </si>
  <si>
    <t>льно</t>
  </si>
  <si>
    <t xml:space="preserve">Кількість відпрацьованого робочого часу штатними працівниками, люд. Год (у </t>
  </si>
  <si>
    <t>Та в яких зарплата менше мінімальної які працювали менше місяця</t>
  </si>
  <si>
    <t>Кількість календарних днів  у</t>
  </si>
  <si>
    <t>цілих числах)</t>
  </si>
  <si>
    <t>1. 2.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</si>
  <si>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</si>
  <si>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Фонд оплати праці штатних працівників, тис. грн. (з одним десятковим знаком)</t>
  </si>
  <si>
    <t>1. 3.</t>
  </si>
  <si>
    <t>1. 3. РАЗОМ звичайні штатні працівники не інваліди:</t>
  </si>
  <si>
    <t>Середня заробітна плата штатного працівника</t>
  </si>
  <si>
    <r>
      <t xml:space="preserve">2. </t>
    </r>
    <r>
      <rPr>
        <b/>
        <sz val="11"/>
        <color rgb="FFFF0000"/>
        <rFont val="Calibri"/>
        <family val="2"/>
        <charset val="204"/>
        <scheme val="minor"/>
      </rPr>
      <t>Штатні Єдиний Соціальний внесок інваліди:</t>
    </r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</si>
  <si>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працівників по договорам</t>
    </r>
  </si>
  <si>
    <t>2. 1.</t>
  </si>
  <si>
    <t>Середня заробітна плата працівників по договорам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</si>
  <si>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</t>
    </r>
    <r>
      <rPr>
        <sz val="11"/>
        <color rgb="FF0000CC"/>
        <rFont val="Calibri"/>
        <family val="2"/>
        <charset val="204"/>
        <scheme val="minor"/>
      </rPr>
      <t xml:space="preserve"> (штатних  + договорам)</t>
    </r>
  </si>
  <si>
    <t>2. 2.</t>
  </si>
  <si>
    <r>
      <t xml:space="preserve">Кількість календарних днів розділити на днів у місяці </t>
    </r>
    <r>
      <rPr>
        <sz val="11"/>
        <color theme="1"/>
        <rFont val="Calibri"/>
        <family val="2"/>
        <charset val="204"/>
      </rPr>
      <t>↑</t>
    </r>
    <r>
      <rPr>
        <sz val="11"/>
        <color theme="1"/>
        <rFont val="Calibri"/>
        <family val="2"/>
        <charset val="204"/>
        <scheme val="minor"/>
      </rPr>
      <t xml:space="preserve">, або сума </t>
    </r>
    <r>
      <rPr>
        <sz val="11"/>
        <color theme="1"/>
        <rFont val="Calibri"/>
        <family val="2"/>
        <charset val="204"/>
      </rPr>
      <t>→</t>
    </r>
  </si>
  <si>
    <t>2. 3.</t>
  </si>
  <si>
    <t>2.3. РАЗОМ Інваліди</t>
  </si>
  <si>
    <t xml:space="preserve">Середня заробітна плата всих працівників </t>
  </si>
  <si>
    <t xml:space="preserve">Разом штатні </t>
  </si>
  <si>
    <r>
      <rPr>
        <sz val="11"/>
        <color rgb="FF0000CC"/>
        <rFont val="Calibri"/>
        <family val="2"/>
        <charset val="204"/>
      </rPr>
      <t>↓</t>
    </r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</t>
    </r>
    <r>
      <rPr>
        <sz val="11"/>
        <color rgb="FF0000CC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00CC"/>
        <rFont val="Calibri"/>
        <family val="2"/>
        <charset val="204"/>
        <scheme val="minor"/>
      </rPr>
      <t>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</si>
  <si>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4. Працівники по договорам ЦПХ</t>
  </si>
  <si>
    <r>
      <t xml:space="preserve">Люд-год.= Відпрацьовано людино - годин + (8 годин х </t>
    </r>
    <r>
      <rPr>
        <b/>
        <sz val="11"/>
        <color rgb="FF0000CC"/>
        <rFont val="Calibri"/>
        <family val="2"/>
        <charset val="204"/>
        <scheme val="minor"/>
      </rPr>
      <t xml:space="preserve">дні відпустки </t>
    </r>
    <r>
      <rPr>
        <b/>
        <sz val="11"/>
        <color rgb="FF0000CC"/>
        <rFont val="Calibri"/>
        <family val="2"/>
        <charset val="204"/>
      </rPr>
      <t>→</t>
    </r>
    <r>
      <rPr>
        <sz val="11"/>
        <color rgb="FF0000CC"/>
        <rFont val="Calibri"/>
        <family val="2"/>
        <charset val="204"/>
        <scheme val="minor"/>
      </rPr>
      <t>)</t>
    </r>
  </si>
  <si>
    <t>5. Працівники по договорам із Центру зайнятості</t>
  </si>
  <si>
    <t>Середня заробітна плата штатних прац-ів в еквіваленті повної зайнятості</t>
  </si>
  <si>
    <t>6. Разом ЄСВ з Фонду Оплати Праці: штатні + по договорам  ЦПХ + із Центру зайнятості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</si>
  <si>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 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</si>
  <si>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7. Лікарняні:</t>
  </si>
  <si>
    <t>Середня заробітна плата всих прац-ків в еквіваленті повної зайнятості</t>
  </si>
  <si>
    <t xml:space="preserve">7.1. </t>
  </si>
  <si>
    <t>7.1. Лікарняні не інваліди перші 5 -ть днів + ФССзТВП (Соціальний Страх)</t>
  </si>
  <si>
    <t>7. 2.</t>
  </si>
  <si>
    <t>7.2. Лікарняні інвалідів перші 5 -ть днів + ФССзТВП (Соціальний Страх)</t>
  </si>
  <si>
    <t>7. 3.</t>
  </si>
  <si>
    <t>7.3. Разом лікарняні</t>
  </si>
  <si>
    <t>8. Всього Фонд оплати праці + Лікарняні</t>
  </si>
  <si>
    <r>
      <t xml:space="preserve">Иванов Иван Иванович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</si>
  <si>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</si>
  <si>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</si>
  <si>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</si>
  <si>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</si>
  <si>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</si>
  <si>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</si>
  <si>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</si>
  <si>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Синичкин Михайло Трохимович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</si>
  <si>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Курочкин Володимир Анатолійович (Пільга 150%)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</si>
  <si>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t>Козлов Вадим Григорович</t>
  </si>
  <si>
    <r>
      <t xml:space="preserve">Соловьёв Микола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</si>
  <si>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Володимир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</si>
  <si>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Зуев Іван Андрійович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</si>
  <si>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Кабанов Петро Миколайович</t>
  </si>
  <si>
    <r>
      <t xml:space="preserve">Кузнецов Іван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</si>
  <si>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Соколов Сергій Адольфович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</si>
  <si>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Попов Богдан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</si>
  <si>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Лебедев Віталій Володимирович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</si>
  <si>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Новиков Володимир Вікторович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</si>
  <si>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r>
      <t xml:space="preserve">МорозовІгор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</si>
  <si>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Волков Антон Валерійович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</si>
  <si>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Зайцев Василь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</si>
  <si>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Павлов Анатолій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</si>
  <si>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Семёнов Валентин Григорович</t>
    </r>
    <r>
      <rPr>
        <sz val="11"/>
        <color theme="0"/>
        <rFont val="Calibri"/>
        <family val="2"/>
        <charset val="204"/>
        <scheme val="minor"/>
      </rPr>
      <t xml:space="preserve">  (Карта)</t>
    </r>
  </si>
  <si>
    <r>
      <t xml:space="preserve">Голубев Микола Миколайович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</si>
  <si>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Виноградов Дмитро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</si>
  <si>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Богданов Василь Васильович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</si>
  <si>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Щеглов Олександр Вікторович Совместитель</t>
  </si>
</sst>
</file>

<file path=xl/styles.xml><?xml version="1.0" encoding="utf-8"?>
<styleSheet xmlns="http://schemas.openxmlformats.org/spreadsheetml/2006/main">
  <numFmts count="7">
    <numFmt numFmtId="164" formatCode="0.0%"/>
    <numFmt numFmtId="165" formatCode="[$-419]d\ mmm\ yy;@"/>
    <numFmt numFmtId="166" formatCode="[$-F400]h:mm:ss\ AM/PM"/>
    <numFmt numFmtId="167" formatCode="[$-419]d\ mmm;@"/>
    <numFmt numFmtId="168" formatCode="mmmm\ yyyy"/>
    <numFmt numFmtId="169" formatCode="#,##0.0"/>
    <numFmt numFmtId="170" formatCode="0.00000"/>
  </numFmts>
  <fonts count="6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sz val="11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u/>
      <sz val="5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rgb="FF0000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rgb="FFFF0000"/>
      <name val="Monotype Corsiva"/>
      <family val="4"/>
      <charset val="204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rgb="FFFF0000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"/>
      <name val="Arial Cyr"/>
      <charset val="204"/>
    </font>
    <font>
      <b/>
      <sz val="12"/>
      <color rgb="FF000099"/>
      <name val="Arial Cyr"/>
      <charset val="204"/>
    </font>
    <font>
      <sz val="12"/>
      <color rgb="FF0033CC"/>
      <name val="Arial Cyr"/>
      <charset val="204"/>
    </font>
    <font>
      <b/>
      <sz val="13"/>
      <color rgb="FF0033CC"/>
      <name val="Arial Cyr"/>
      <charset val="204"/>
    </font>
    <font>
      <sz val="12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11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7"/>
      <name val="Tahoma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u/>
      <sz val="11"/>
      <name val="Calibri"/>
      <family val="2"/>
      <charset val="204"/>
    </font>
    <font>
      <sz val="22"/>
      <color indexed="12"/>
      <name val="Tahoma"/>
      <family val="2"/>
      <charset val="204"/>
    </font>
    <font>
      <sz val="22"/>
      <color indexed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56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33CC"/>
      </bottom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</cellStyleXfs>
  <cellXfs count="396">
    <xf numFmtId="0" fontId="0" fillId="0" borderId="0" xfId="0"/>
    <xf numFmtId="0" fontId="4" fillId="0" borderId="0" xfId="0" applyFont="1" applyProtection="1"/>
    <xf numFmtId="0" fontId="0" fillId="0" borderId="0" xfId="0" applyProtection="1"/>
    <xf numFmtId="9" fontId="0" fillId="0" borderId="0" xfId="0" applyNumberFormat="1" applyProtection="1"/>
    <xf numFmtId="0" fontId="5" fillId="0" borderId="0" xfId="0" applyFont="1" applyProtection="1"/>
    <xf numFmtId="49" fontId="6" fillId="2" borderId="0" xfId="0" applyNumberFormat="1" applyFont="1" applyFill="1" applyAlignment="1" applyProtection="1">
      <alignment horizontal="left"/>
      <protection locked="0"/>
    </xf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4" fontId="7" fillId="3" borderId="4" xfId="1" applyNumberFormat="1" applyFill="1" applyBorder="1" applyAlignment="1" applyProtection="1">
      <alignment horizontal="left"/>
    </xf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4" fontId="0" fillId="0" borderId="0" xfId="0" applyNumberFormat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" fillId="0" borderId="0" xfId="0" applyFont="1" applyProtection="1"/>
    <xf numFmtId="0" fontId="0" fillId="3" borderId="0" xfId="0" applyFill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</xf>
    <xf numFmtId="0" fontId="0" fillId="3" borderId="4" xfId="0" applyFill="1" applyBorder="1" applyAlignment="1" applyProtection="1">
      <alignment horizontal="left"/>
    </xf>
    <xf numFmtId="0" fontId="0" fillId="0" borderId="0" xfId="0" applyBorder="1" applyProtection="1"/>
    <xf numFmtId="0" fontId="0" fillId="0" borderId="6" xfId="0" applyBorder="1" applyProtection="1"/>
    <xf numFmtId="0" fontId="9" fillId="0" borderId="7" xfId="0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2" fillId="0" borderId="8" xfId="0" applyFont="1" applyBorder="1" applyAlignment="1" applyProtection="1">
      <alignment horizontal="center"/>
    </xf>
    <xf numFmtId="0" fontId="0" fillId="0" borderId="12" xfId="0" applyBorder="1" applyProtection="1"/>
    <xf numFmtId="0" fontId="13" fillId="0" borderId="9" xfId="0" applyFont="1" applyBorder="1" applyProtection="1"/>
    <xf numFmtId="0" fontId="13" fillId="0" borderId="12" xfId="0" applyFont="1" applyBorder="1" applyProtection="1"/>
    <xf numFmtId="0" fontId="15" fillId="0" borderId="12" xfId="0" applyFont="1" applyBorder="1" applyAlignment="1" applyProtection="1">
      <alignment horizontal="center"/>
    </xf>
    <xf numFmtId="0" fontId="7" fillId="0" borderId="8" xfId="1" applyBorder="1" applyAlignment="1" applyProtection="1">
      <alignment horizontal="center"/>
    </xf>
    <xf numFmtId="0" fontId="0" fillId="0" borderId="9" xfId="0" applyFill="1" applyBorder="1" applyProtection="1"/>
    <xf numFmtId="0" fontId="2" fillId="0" borderId="12" xfId="0" applyFont="1" applyBorder="1" applyProtection="1"/>
    <xf numFmtId="0" fontId="14" fillId="0" borderId="13" xfId="0" applyFont="1" applyBorder="1" applyAlignment="1" applyProtection="1">
      <alignment horizontal="left"/>
    </xf>
    <xf numFmtId="0" fontId="13" fillId="0" borderId="11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14" fillId="0" borderId="11" xfId="0" applyFont="1" applyBorder="1" applyProtection="1"/>
    <xf numFmtId="0" fontId="13" fillId="0" borderId="11" xfId="0" applyFont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7" fillId="0" borderId="18" xfId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3" fillId="0" borderId="19" xfId="0" applyFont="1" applyFill="1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7" fillId="0" borderId="17" xfId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0" xfId="0" applyBorder="1" applyProtection="1"/>
    <xf numFmtId="0" fontId="14" fillId="0" borderId="21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0" fillId="0" borderId="22" xfId="0" applyBorder="1" applyProtection="1"/>
    <xf numFmtId="0" fontId="0" fillId="0" borderId="23" xfId="0" applyBorder="1" applyProtection="1"/>
    <xf numFmtId="0" fontId="7" fillId="0" borderId="24" xfId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4" fillId="0" borderId="24" xfId="0" applyFont="1" applyBorder="1" applyAlignment="1" applyProtection="1">
      <alignment horizontal="center"/>
    </xf>
    <xf numFmtId="0" fontId="14" fillId="0" borderId="12" xfId="0" applyFont="1" applyBorder="1" applyProtection="1"/>
    <xf numFmtId="0" fontId="13" fillId="0" borderId="18" xfId="0" applyFont="1" applyBorder="1" applyProtection="1"/>
    <xf numFmtId="0" fontId="14" fillId="0" borderId="8" xfId="0" applyFont="1" applyBorder="1" applyAlignment="1" applyProtection="1">
      <alignment horizontal="center"/>
    </xf>
    <xf numFmtId="0" fontId="7" fillId="0" borderId="11" xfId="1" applyBorder="1" applyAlignment="1" applyProtection="1"/>
    <xf numFmtId="0" fontId="0" fillId="0" borderId="18" xfId="0" applyBorder="1" applyProtection="1"/>
    <xf numFmtId="0" fontId="7" fillId="0" borderId="9" xfId="1" applyBorder="1" applyAlignment="1" applyProtection="1"/>
    <xf numFmtId="10" fontId="7" fillId="4" borderId="10" xfId="1" applyNumberFormat="1" applyFill="1" applyBorder="1" applyAlignment="1" applyProtection="1">
      <alignment horizontal="center"/>
    </xf>
    <xf numFmtId="0" fontId="2" fillId="0" borderId="9" xfId="0" applyFont="1" applyBorder="1" applyProtection="1"/>
    <xf numFmtId="0" fontId="13" fillId="0" borderId="17" xfId="0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left"/>
    </xf>
    <xf numFmtId="0" fontId="14" fillId="0" borderId="6" xfId="0" applyFont="1" applyFill="1" applyBorder="1" applyAlignment="1" applyProtection="1">
      <alignment horizontal="center"/>
    </xf>
    <xf numFmtId="0" fontId="18" fillId="0" borderId="17" xfId="0" applyFont="1" applyBorder="1" applyAlignment="1" applyProtection="1">
      <alignment horizontal="center"/>
    </xf>
    <xf numFmtId="0" fontId="13" fillId="0" borderId="18" xfId="0" applyFont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/>
    </xf>
    <xf numFmtId="0" fontId="7" fillId="0" borderId="6" xfId="1" applyBorder="1" applyAlignment="1" applyProtection="1"/>
    <xf numFmtId="164" fontId="7" fillId="4" borderId="24" xfId="1" applyNumberFormat="1" applyFill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3" fillId="0" borderId="17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8" fillId="0" borderId="22" xfId="0" applyFont="1" applyBorder="1" applyAlignment="1" applyProtection="1">
      <alignment horizontal="left"/>
    </xf>
    <xf numFmtId="0" fontId="1" fillId="0" borderId="9" xfId="0" applyFont="1" applyBorder="1" applyProtection="1"/>
    <xf numFmtId="0" fontId="4" fillId="0" borderId="24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9" fontId="13" fillId="3" borderId="17" xfId="0" applyNumberFormat="1" applyFont="1" applyFill="1" applyBorder="1" applyAlignment="1" applyProtection="1">
      <alignment horizontal="center"/>
    </xf>
    <xf numFmtId="0" fontId="1" fillId="0" borderId="12" xfId="0" applyFont="1" applyBorder="1" applyProtection="1"/>
    <xf numFmtId="0" fontId="0" fillId="0" borderId="17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1" fillId="0" borderId="17" xfId="0" applyFont="1" applyBorder="1" applyProtection="1"/>
    <xf numFmtId="0" fontId="18" fillId="0" borderId="17" xfId="0" applyFont="1" applyBorder="1" applyProtection="1"/>
    <xf numFmtId="0" fontId="8" fillId="0" borderId="17" xfId="0" applyFont="1" applyBorder="1" applyAlignment="1" applyProtection="1">
      <alignment horizontal="center"/>
    </xf>
    <xf numFmtId="9" fontId="8" fillId="0" borderId="17" xfId="0" applyNumberFormat="1" applyFont="1" applyFill="1" applyBorder="1" applyAlignment="1" applyProtection="1">
      <alignment horizontal="left"/>
    </xf>
    <xf numFmtId="0" fontId="13" fillId="0" borderId="0" xfId="0" applyFont="1" applyAlignment="1">
      <alignment horizontal="center"/>
    </xf>
    <xf numFmtId="0" fontId="7" fillId="4" borderId="17" xfId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8" fillId="0" borderId="17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28" xfId="0" applyBorder="1" applyProtection="1"/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0" fontId="15" fillId="0" borderId="28" xfId="0" applyFont="1" applyBorder="1" applyAlignment="1" applyProtection="1">
      <alignment horizontal="center"/>
    </xf>
    <xf numFmtId="0" fontId="13" fillId="0" borderId="28" xfId="0" applyFont="1" applyBorder="1" applyAlignment="1">
      <alignment horizontal="center"/>
    </xf>
    <xf numFmtId="0" fontId="13" fillId="0" borderId="31" xfId="0" applyFont="1" applyBorder="1" applyAlignment="1" applyProtection="1">
      <alignment horizontal="center"/>
    </xf>
    <xf numFmtId="9" fontId="7" fillId="2" borderId="28" xfId="1" applyNumberFormat="1" applyFill="1" applyBorder="1" applyAlignment="1" applyProtection="1">
      <alignment horizontal="center"/>
    </xf>
    <xf numFmtId="0" fontId="13" fillId="0" borderId="28" xfId="0" applyFont="1" applyBorder="1" applyProtection="1"/>
    <xf numFmtId="0" fontId="13" fillId="0" borderId="30" xfId="0" applyFont="1" applyBorder="1" applyAlignment="1" applyProtection="1">
      <alignment horizontal="center"/>
    </xf>
    <xf numFmtId="0" fontId="13" fillId="0" borderId="32" xfId="0" applyFont="1" applyBorder="1" applyAlignment="1" applyProtection="1">
      <alignment horizontal="center"/>
    </xf>
    <xf numFmtId="164" fontId="13" fillId="2" borderId="28" xfId="0" applyNumberFormat="1" applyFont="1" applyFill="1" applyBorder="1" applyAlignment="1" applyProtection="1">
      <alignment horizontal="center"/>
    </xf>
    <xf numFmtId="0" fontId="14" fillId="0" borderId="30" xfId="0" applyFont="1" applyBorder="1" applyAlignment="1" applyProtection="1">
      <alignment horizontal="center"/>
    </xf>
    <xf numFmtId="0" fontId="14" fillId="0" borderId="32" xfId="0" applyFont="1" applyBorder="1" applyAlignment="1" applyProtection="1">
      <alignment horizontal="center"/>
    </xf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19" xfId="0" applyFill="1" applyBorder="1" applyProtection="1"/>
    <xf numFmtId="0" fontId="4" fillId="3" borderId="26" xfId="0" applyFont="1" applyFill="1" applyBorder="1" applyProtection="1">
      <protection locked="0"/>
    </xf>
    <xf numFmtId="167" fontId="0" fillId="3" borderId="26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</xf>
    <xf numFmtId="4" fontId="13" fillId="3" borderId="19" xfId="0" applyNumberFormat="1" applyFont="1" applyFill="1" applyBorder="1" applyAlignment="1" applyProtection="1">
      <alignment horizontal="center"/>
      <protection locked="0"/>
    </xf>
    <xf numFmtId="4" fontId="13" fillId="0" borderId="19" xfId="0" applyNumberFormat="1" applyFont="1" applyBorder="1" applyAlignment="1" applyProtection="1">
      <alignment horizontal="center"/>
    </xf>
    <xf numFmtId="4" fontId="13" fillId="4" borderId="19" xfId="0" applyNumberFormat="1" applyFont="1" applyFill="1" applyBorder="1" applyAlignment="1" applyProtection="1">
      <alignment horizontal="center"/>
      <protection locked="0"/>
    </xf>
    <xf numFmtId="4" fontId="13" fillId="0" borderId="19" xfId="0" applyNumberFormat="1" applyFont="1" applyFill="1" applyBorder="1" applyAlignment="1" applyProtection="1">
      <alignment horizontal="center"/>
    </xf>
    <xf numFmtId="4" fontId="14" fillId="0" borderId="19" xfId="0" applyNumberFormat="1" applyFont="1" applyBorder="1" applyAlignment="1" applyProtection="1">
      <alignment horizontal="center"/>
    </xf>
    <xf numFmtId="4" fontId="23" fillId="5" borderId="19" xfId="0" applyNumberFormat="1" applyFont="1" applyFill="1" applyBorder="1" applyAlignment="1" applyProtection="1">
      <alignment horizontal="center"/>
    </xf>
    <xf numFmtId="4" fontId="24" fillId="0" borderId="19" xfId="0" applyNumberFormat="1" applyFont="1" applyBorder="1" applyAlignment="1" applyProtection="1">
      <alignment horizontal="center"/>
    </xf>
    <xf numFmtId="4" fontId="25" fillId="0" borderId="19" xfId="0" applyNumberFormat="1" applyFont="1" applyBorder="1" applyAlignment="1" applyProtection="1">
      <alignment horizontal="center"/>
    </xf>
    <xf numFmtId="4" fontId="4" fillId="0" borderId="19" xfId="0" applyNumberFormat="1" applyFont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36" xfId="0" applyBorder="1" applyProtection="1"/>
    <xf numFmtId="4" fontId="13" fillId="3" borderId="26" xfId="0" applyNumberFormat="1" applyFont="1" applyFill="1" applyBorder="1" applyAlignment="1" applyProtection="1">
      <alignment horizontal="center"/>
      <protection locked="0"/>
    </xf>
    <xf numFmtId="4" fontId="13" fillId="4" borderId="26" xfId="0" applyNumberFormat="1" applyFont="1" applyFill="1" applyBorder="1" applyAlignment="1" applyProtection="1">
      <alignment horizontal="center"/>
      <protection locked="0"/>
    </xf>
    <xf numFmtId="4" fontId="4" fillId="0" borderId="26" xfId="0" applyNumberFormat="1" applyFont="1" applyBorder="1" applyAlignment="1" applyProtection="1">
      <alignment horizontal="center"/>
    </xf>
    <xf numFmtId="4" fontId="4" fillId="4" borderId="26" xfId="0" applyNumberFormat="1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25" fillId="0" borderId="19" xfId="0" applyFont="1" applyBorder="1" applyAlignment="1" applyProtection="1">
      <alignment horizontal="center"/>
    </xf>
    <xf numFmtId="4" fontId="8" fillId="0" borderId="19" xfId="0" applyNumberFormat="1" applyFont="1" applyBorder="1" applyAlignment="1" applyProtection="1">
      <alignment horizontal="center"/>
    </xf>
    <xf numFmtId="4" fontId="1" fillId="4" borderId="26" xfId="0" applyNumberFormat="1" applyFont="1" applyFill="1" applyBorder="1" applyAlignment="1" applyProtection="1">
      <alignment horizontal="center"/>
      <protection locked="0"/>
    </xf>
    <xf numFmtId="4" fontId="26" fillId="0" borderId="19" xfId="0" applyNumberFormat="1" applyFont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</xf>
    <xf numFmtId="0" fontId="27" fillId="0" borderId="12" xfId="0" applyFont="1" applyBorder="1" applyProtection="1"/>
    <xf numFmtId="0" fontId="1" fillId="0" borderId="36" xfId="0" applyFont="1" applyBorder="1" applyProtection="1"/>
    <xf numFmtId="0" fontId="0" fillId="3" borderId="19" xfId="0" applyFill="1" applyBorder="1" applyProtection="1">
      <protection locked="0"/>
    </xf>
    <xf numFmtId="4" fontId="24" fillId="2" borderId="26" xfId="0" applyNumberFormat="1" applyFont="1" applyFill="1" applyBorder="1" applyAlignment="1" applyProtection="1">
      <alignment horizontal="center"/>
    </xf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4" fontId="8" fillId="4" borderId="26" xfId="0" applyNumberFormat="1" applyFont="1" applyFill="1" applyBorder="1" applyAlignment="1" applyProtection="1">
      <alignment horizontal="center"/>
      <protection locked="0"/>
    </xf>
    <xf numFmtId="4" fontId="8" fillId="0" borderId="26" xfId="0" applyNumberFormat="1" applyFont="1" applyBorder="1" applyAlignment="1" applyProtection="1">
      <alignment horizontal="center"/>
    </xf>
    <xf numFmtId="0" fontId="0" fillId="0" borderId="7" xfId="0" applyFont="1" applyFill="1" applyBorder="1" applyProtection="1"/>
    <xf numFmtId="0" fontId="4" fillId="3" borderId="26" xfId="0" applyFont="1" applyFill="1" applyBorder="1" applyAlignment="1" applyProtection="1">
      <alignment horizontal="center"/>
      <protection locked="0"/>
    </xf>
    <xf numFmtId="4" fontId="4" fillId="4" borderId="26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Protection="1"/>
    <xf numFmtId="0" fontId="4" fillId="0" borderId="36" xfId="0" applyFont="1" applyBorder="1" applyProtection="1"/>
    <xf numFmtId="4" fontId="8" fillId="0" borderId="26" xfId="0" applyNumberFormat="1" applyFont="1" applyFill="1" applyBorder="1" applyAlignment="1" applyProtection="1">
      <alignment horizontal="center"/>
    </xf>
    <xf numFmtId="0" fontId="27" fillId="0" borderId="36" xfId="0" applyFont="1" applyBorder="1" applyProtection="1"/>
    <xf numFmtId="0" fontId="0" fillId="0" borderId="26" xfId="0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4" fontId="13" fillId="0" borderId="26" xfId="0" applyNumberFormat="1" applyFont="1" applyBorder="1" applyAlignment="1" applyProtection="1">
      <alignment horizontal="center"/>
    </xf>
    <xf numFmtId="4" fontId="14" fillId="0" borderId="26" xfId="0" applyNumberFormat="1" applyFont="1" applyBorder="1" applyAlignment="1" applyProtection="1">
      <alignment horizontal="center"/>
    </xf>
    <xf numFmtId="4" fontId="25" fillId="0" borderId="26" xfId="0" applyNumberFormat="1" applyFont="1" applyBorder="1" applyAlignment="1" applyProtection="1">
      <alignment horizontal="center"/>
    </xf>
    <xf numFmtId="0" fontId="0" fillId="0" borderId="37" xfId="0" applyBorder="1"/>
    <xf numFmtId="0" fontId="7" fillId="0" borderId="37" xfId="1" applyBorder="1" applyAlignment="1" applyProtection="1"/>
    <xf numFmtId="1" fontId="26" fillId="0" borderId="38" xfId="0" applyNumberFormat="1" applyFont="1" applyBorder="1" applyAlignment="1" applyProtection="1">
      <alignment horizontal="center"/>
    </xf>
    <xf numFmtId="0" fontId="26" fillId="0" borderId="37" xfId="0" applyFont="1" applyBorder="1" applyAlignment="1" applyProtection="1">
      <alignment horizontal="center"/>
    </xf>
    <xf numFmtId="4" fontId="14" fillId="0" borderId="37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center"/>
    </xf>
    <xf numFmtId="4" fontId="25" fillId="0" borderId="37" xfId="0" applyNumberFormat="1" applyFont="1" applyBorder="1" applyAlignment="1" applyProtection="1">
      <alignment horizontal="center"/>
    </xf>
    <xf numFmtId="4" fontId="14" fillId="0" borderId="39" xfId="0" applyNumberFormat="1" applyFont="1" applyBorder="1" applyAlignment="1" applyProtection="1">
      <alignment horizontal="left"/>
    </xf>
    <xf numFmtId="0" fontId="0" fillId="0" borderId="40" xfId="0" applyBorder="1" applyProtection="1"/>
    <xf numFmtId="0" fontId="0" fillId="0" borderId="41" xfId="0" applyBorder="1" applyProtection="1"/>
    <xf numFmtId="167" fontId="0" fillId="3" borderId="19" xfId="0" applyNumberFormat="1" applyFill="1" applyBorder="1" applyAlignment="1" applyProtection="1">
      <alignment horizontal="center"/>
      <protection locked="0"/>
    </xf>
    <xf numFmtId="4" fontId="13" fillId="5" borderId="19" xfId="0" applyNumberFormat="1" applyFont="1" applyFill="1" applyBorder="1" applyAlignment="1" applyProtection="1">
      <alignment horizontal="center"/>
    </xf>
    <xf numFmtId="4" fontId="14" fillId="5" borderId="19" xfId="0" applyNumberFormat="1" applyFont="1" applyFill="1" applyBorder="1" applyAlignment="1" applyProtection="1">
      <alignment horizontal="center"/>
    </xf>
    <xf numFmtId="4" fontId="30" fillId="5" borderId="26" xfId="2" applyNumberFormat="1" applyFont="1" applyFill="1" applyBorder="1" applyAlignment="1" applyProtection="1">
      <alignment horizontal="center"/>
    </xf>
    <xf numFmtId="0" fontId="0" fillId="0" borderId="42" xfId="0" applyBorder="1" applyProtection="1"/>
    <xf numFmtId="4" fontId="13" fillId="5" borderId="26" xfId="0" applyNumberFormat="1" applyFont="1" applyFill="1" applyBorder="1" applyAlignment="1" applyProtection="1">
      <alignment horizontal="center"/>
    </xf>
    <xf numFmtId="4" fontId="14" fillId="5" borderId="26" xfId="0" applyNumberFormat="1" applyFont="1" applyFill="1" applyBorder="1" applyAlignment="1" applyProtection="1">
      <alignment horizontal="center"/>
    </xf>
    <xf numFmtId="4" fontId="24" fillId="0" borderId="26" xfId="0" applyNumberFormat="1" applyFont="1" applyBorder="1" applyAlignment="1" applyProtection="1">
      <alignment horizontal="center"/>
    </xf>
    <xf numFmtId="0" fontId="7" fillId="0" borderId="37" xfId="1" applyFill="1" applyBorder="1" applyAlignment="1" applyProtection="1">
      <alignment horizontal="right"/>
    </xf>
    <xf numFmtId="167" fontId="26" fillId="0" borderId="37" xfId="0" applyNumberFormat="1" applyFont="1" applyBorder="1" applyAlignment="1" applyProtection="1">
      <alignment horizontal="center"/>
    </xf>
    <xf numFmtId="4" fontId="31" fillId="5" borderId="37" xfId="2" applyNumberFormat="1" applyFont="1" applyFill="1" applyBorder="1" applyAlignment="1" applyProtection="1">
      <alignment horizontal="center"/>
    </xf>
    <xf numFmtId="0" fontId="14" fillId="0" borderId="39" xfId="0" applyFont="1" applyBorder="1" applyProtection="1"/>
    <xf numFmtId="4" fontId="30" fillId="5" borderId="19" xfId="2" applyNumberFormat="1" applyFont="1" applyFill="1" applyBorder="1" applyAlignment="1" applyProtection="1">
      <alignment horizontal="center"/>
    </xf>
    <xf numFmtId="0" fontId="0" fillId="0" borderId="26" xfId="0" applyFill="1" applyBorder="1" applyProtection="1"/>
    <xf numFmtId="0" fontId="26" fillId="0" borderId="26" xfId="0" applyFont="1" applyFill="1" applyBorder="1" applyAlignment="1" applyProtection="1">
      <alignment horizontal="right"/>
    </xf>
    <xf numFmtId="0" fontId="26" fillId="0" borderId="26" xfId="0" applyFont="1" applyBorder="1" applyProtection="1"/>
    <xf numFmtId="0" fontId="26" fillId="0" borderId="26" xfId="0" applyFont="1" applyBorder="1" applyAlignment="1" applyProtection="1">
      <alignment horizontal="center"/>
    </xf>
    <xf numFmtId="0" fontId="14" fillId="0" borderId="9" xfId="0" applyFont="1" applyBorder="1" applyProtection="1"/>
    <xf numFmtId="0" fontId="14" fillId="0" borderId="26" xfId="0" applyFont="1" applyFill="1" applyBorder="1" applyAlignment="1" applyProtection="1">
      <alignment horizontal="right"/>
    </xf>
    <xf numFmtId="0" fontId="14" fillId="0" borderId="26" xfId="0" applyFont="1" applyBorder="1" applyProtection="1"/>
    <xf numFmtId="1" fontId="14" fillId="0" borderId="26" xfId="0" applyNumberFormat="1" applyFont="1" applyBorder="1" applyAlignment="1" applyProtection="1">
      <alignment horizontal="center"/>
    </xf>
    <xf numFmtId="3" fontId="14" fillId="0" borderId="26" xfId="0" applyNumberFormat="1" applyFont="1" applyBorder="1" applyAlignment="1" applyProtection="1">
      <alignment horizontal="center"/>
    </xf>
    <xf numFmtId="0" fontId="14" fillId="0" borderId="2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4" fontId="34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14" fillId="0" borderId="0" xfId="0" applyNumberFormat="1" applyFont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36" fillId="0" borderId="0" xfId="0" applyFont="1" applyBorder="1" applyProtection="1"/>
    <xf numFmtId="168" fontId="36" fillId="0" borderId="0" xfId="0" applyNumberFormat="1" applyFont="1" applyProtection="1"/>
    <xf numFmtId="0" fontId="36" fillId="0" borderId="0" xfId="0" applyFont="1"/>
    <xf numFmtId="0" fontId="0" fillId="0" borderId="1" xfId="0" applyBorder="1" applyProtection="1"/>
    <xf numFmtId="0" fontId="8" fillId="0" borderId="2" xfId="0" applyFont="1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8" fillId="0" borderId="43" xfId="0" applyFont="1" applyBorder="1"/>
    <xf numFmtId="0" fontId="13" fillId="0" borderId="43" xfId="0" applyFont="1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8" fillId="0" borderId="44" xfId="0" applyFont="1" applyBorder="1" applyAlignment="1" applyProtection="1">
      <alignment horizontal="center"/>
    </xf>
    <xf numFmtId="0" fontId="13" fillId="0" borderId="26" xfId="0" applyFont="1" applyBorder="1" applyProtection="1"/>
    <xf numFmtId="167" fontId="0" fillId="0" borderId="12" xfId="0" applyNumberFormat="1" applyFont="1" applyFill="1" applyBorder="1" applyAlignment="1" applyProtection="1">
      <alignment horizontal="left"/>
    </xf>
    <xf numFmtId="0" fontId="8" fillId="0" borderId="4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1" fontId="0" fillId="0" borderId="26" xfId="0" applyNumberFormat="1" applyBorder="1" applyAlignment="1" applyProtection="1">
      <alignment horizontal="center"/>
    </xf>
    <xf numFmtId="0" fontId="0" fillId="0" borderId="43" xfId="0" applyBorder="1" applyProtection="1"/>
    <xf numFmtId="0" fontId="8" fillId="0" borderId="46" xfId="0" applyFont="1" applyBorder="1" applyAlignment="1" applyProtection="1">
      <alignment horizontal="center"/>
    </xf>
    <xf numFmtId="0" fontId="13" fillId="0" borderId="46" xfId="0" applyFont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8" fillId="0" borderId="47" xfId="0" applyFont="1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169" fontId="1" fillId="0" borderId="4" xfId="0" applyNumberFormat="1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0" fillId="0" borderId="7" xfId="0" applyBorder="1" applyProtection="1"/>
    <xf numFmtId="0" fontId="0" fillId="0" borderId="19" xfId="0" applyBorder="1" applyAlignment="1" applyProtection="1">
      <alignment horizontal="center"/>
    </xf>
    <xf numFmtId="0" fontId="8" fillId="0" borderId="24" xfId="0" applyFont="1" applyFill="1" applyBorder="1" applyAlignment="1" applyProtection="1">
      <alignment horizontal="center"/>
    </xf>
    <xf numFmtId="1" fontId="13" fillId="0" borderId="26" xfId="0" applyNumberFormat="1" applyFont="1" applyBorder="1" applyAlignment="1" applyProtection="1">
      <alignment horizontal="center"/>
    </xf>
    <xf numFmtId="16" fontId="8" fillId="0" borderId="8" xfId="0" applyNumberFormat="1" applyFont="1" applyBorder="1" applyAlignment="1" applyProtection="1">
      <alignment horizontal="center"/>
    </xf>
    <xf numFmtId="0" fontId="39" fillId="0" borderId="13" xfId="0" applyFont="1" applyBorder="1" applyProtection="1"/>
    <xf numFmtId="0" fontId="0" fillId="0" borderId="11" xfId="0" applyFill="1" applyBorder="1" applyProtection="1"/>
    <xf numFmtId="0" fontId="0" fillId="2" borderId="11" xfId="0" applyFill="1" applyBorder="1" applyProtection="1"/>
    <xf numFmtId="9" fontId="0" fillId="4" borderId="19" xfId="0" applyNumberFormat="1" applyFill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0" fontId="4" fillId="0" borderId="26" xfId="0" applyFont="1" applyBorder="1" applyProtection="1"/>
    <xf numFmtId="168" fontId="0" fillId="0" borderId="12" xfId="0" applyNumberFormat="1" applyFont="1" applyBorder="1" applyAlignment="1" applyProtection="1">
      <alignment horizontal="left"/>
    </xf>
    <xf numFmtId="0" fontId="0" fillId="0" borderId="50" xfId="0" applyBorder="1" applyAlignment="1" applyProtection="1">
      <alignment horizontal="center"/>
    </xf>
    <xf numFmtId="3" fontId="8" fillId="0" borderId="50" xfId="0" applyNumberFormat="1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0" fontId="0" fillId="0" borderId="12" xfId="0" applyFill="1" applyBorder="1" applyProtection="1"/>
    <xf numFmtId="0" fontId="0" fillId="2" borderId="12" xfId="0" applyFill="1" applyBorder="1" applyProtection="1"/>
    <xf numFmtId="4" fontId="13" fillId="4" borderId="26" xfId="0" applyNumberFormat="1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center"/>
    </xf>
    <xf numFmtId="0" fontId="26" fillId="0" borderId="7" xfId="0" applyFont="1" applyBorder="1" applyProtection="1"/>
    <xf numFmtId="4" fontId="26" fillId="0" borderId="26" xfId="0" applyNumberFormat="1" applyFont="1" applyBorder="1" applyProtection="1"/>
    <xf numFmtId="4" fontId="1" fillId="5" borderId="26" xfId="0" applyNumberFormat="1" applyFont="1" applyFill="1" applyBorder="1" applyAlignment="1" applyProtection="1">
      <alignment horizontal="center"/>
    </xf>
    <xf numFmtId="4" fontId="26" fillId="0" borderId="26" xfId="0" applyNumberFormat="1" applyFont="1" applyBorder="1" applyAlignment="1" applyProtection="1">
      <alignment horizontal="center"/>
    </xf>
    <xf numFmtId="0" fontId="13" fillId="0" borderId="37" xfId="0" applyFont="1" applyBorder="1" applyProtection="1"/>
    <xf numFmtId="0" fontId="13" fillId="0" borderId="39" xfId="0" applyFont="1" applyBorder="1" applyProtection="1"/>
    <xf numFmtId="0" fontId="0" fillId="0" borderId="51" xfId="0" applyBorder="1" applyProtection="1"/>
    <xf numFmtId="0" fontId="1" fillId="0" borderId="8" xfId="0" applyFont="1" applyBorder="1" applyAlignment="1" applyProtection="1">
      <alignment horizontal="center"/>
    </xf>
    <xf numFmtId="0" fontId="1" fillId="0" borderId="5" xfId="0" applyFont="1" applyBorder="1" applyProtection="1"/>
    <xf numFmtId="4" fontId="14" fillId="0" borderId="8" xfId="0" applyNumberFormat="1" applyFont="1" applyBorder="1" applyAlignment="1" applyProtection="1">
      <alignment horizontal="center"/>
    </xf>
    <xf numFmtId="4" fontId="2" fillId="0" borderId="8" xfId="0" applyNumberFormat="1" applyFont="1" applyBorder="1" applyAlignment="1" applyProtection="1">
      <alignment horizontal="center"/>
    </xf>
    <xf numFmtId="0" fontId="13" fillId="0" borderId="19" xfId="0" applyFont="1" applyBorder="1" applyProtection="1"/>
    <xf numFmtId="0" fontId="13" fillId="0" borderId="7" xfId="0" applyFont="1" applyBorder="1" applyProtection="1"/>
    <xf numFmtId="1" fontId="13" fillId="0" borderId="19" xfId="0" applyNumberFormat="1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40" fillId="0" borderId="14" xfId="0" applyFont="1" applyBorder="1" applyProtection="1"/>
    <xf numFmtId="0" fontId="0" fillId="2" borderId="15" xfId="0" applyFill="1" applyBorder="1" applyProtection="1"/>
    <xf numFmtId="0" fontId="0" fillId="0" borderId="15" xfId="0" applyFill="1" applyBorder="1" applyProtection="1"/>
    <xf numFmtId="4" fontId="13" fillId="0" borderId="37" xfId="0" applyNumberFormat="1" applyFont="1" applyBorder="1" applyAlignment="1" applyProtection="1">
      <alignment horizontal="center"/>
    </xf>
    <xf numFmtId="0" fontId="1" fillId="0" borderId="48" xfId="0" applyFont="1" applyBorder="1" applyProtection="1"/>
    <xf numFmtId="4" fontId="1" fillId="6" borderId="50" xfId="0" applyNumberFormat="1" applyFont="1" applyFill="1" applyBorder="1" applyAlignment="1" applyProtection="1">
      <alignment horizontal="center"/>
    </xf>
    <xf numFmtId="4" fontId="1" fillId="0" borderId="50" xfId="0" applyNumberFormat="1" applyFont="1" applyBorder="1" applyAlignment="1" applyProtection="1">
      <alignment horizontal="center"/>
    </xf>
    <xf numFmtId="10" fontId="1" fillId="4" borderId="50" xfId="0" applyNumberFormat="1" applyFont="1" applyFill="1" applyBorder="1" applyAlignment="1" applyProtection="1">
      <alignment horizontal="center"/>
    </xf>
    <xf numFmtId="4" fontId="1" fillId="0" borderId="52" xfId="0" applyNumberFormat="1" applyFont="1" applyBorder="1" applyAlignment="1" applyProtection="1">
      <alignment horizontal="center"/>
    </xf>
    <xf numFmtId="1" fontId="13" fillId="0" borderId="17" xfId="0" applyNumberFormat="1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7" xfId="0" applyFont="1" applyBorder="1" applyProtection="1"/>
    <xf numFmtId="0" fontId="0" fillId="0" borderId="6" xfId="0" applyFill="1" applyBorder="1" applyProtection="1"/>
    <xf numFmtId="0" fontId="0" fillId="2" borderId="6" xfId="0" applyFill="1" applyBorder="1" applyProtection="1"/>
    <xf numFmtId="4" fontId="1" fillId="6" borderId="19" xfId="0" applyNumberFormat="1" applyFont="1" applyFill="1" applyBorder="1" applyAlignment="1" applyProtection="1">
      <alignment horizontal="center"/>
    </xf>
    <xf numFmtId="4" fontId="1" fillId="0" borderId="19" xfId="0" applyNumberFormat="1" applyFont="1" applyBorder="1" applyAlignment="1" applyProtection="1">
      <alignment horizontal="center"/>
    </xf>
    <xf numFmtId="10" fontId="1" fillId="0" borderId="19" xfId="0" applyNumberFormat="1" applyFont="1" applyBorder="1" applyAlignment="1" applyProtection="1">
      <alignment horizontal="center"/>
    </xf>
    <xf numFmtId="4" fontId="1" fillId="0" borderId="24" xfId="0" applyNumberFormat="1" applyFont="1" applyBorder="1" applyAlignment="1" applyProtection="1">
      <alignment horizontal="center"/>
    </xf>
    <xf numFmtId="1" fontId="0" fillId="0" borderId="19" xfId="0" applyNumberFormat="1" applyBorder="1" applyAlignment="1" applyProtection="1">
      <alignment horizontal="center"/>
    </xf>
    <xf numFmtId="0" fontId="34" fillId="0" borderId="37" xfId="0" applyFont="1" applyBorder="1" applyAlignment="1" applyProtection="1">
      <alignment horizontal="center"/>
    </xf>
    <xf numFmtId="0" fontId="34" fillId="0" borderId="39" xfId="0" applyFont="1" applyBorder="1" applyProtection="1"/>
    <xf numFmtId="0" fontId="13" fillId="0" borderId="40" xfId="0" applyFont="1" applyBorder="1" applyProtection="1"/>
    <xf numFmtId="0" fontId="13" fillId="0" borderId="51" xfId="0" applyFont="1" applyBorder="1" applyProtection="1"/>
    <xf numFmtId="4" fontId="34" fillId="0" borderId="37" xfId="0" applyNumberFormat="1" applyFont="1" applyBorder="1" applyAlignment="1" applyProtection="1">
      <alignment horizontal="center"/>
    </xf>
    <xf numFmtId="0" fontId="26" fillId="0" borderId="19" xfId="0" applyFont="1" applyBorder="1" applyAlignment="1" applyProtection="1">
      <alignment horizontal="center"/>
    </xf>
    <xf numFmtId="0" fontId="14" fillId="0" borderId="7" xfId="0" applyFont="1" applyBorder="1" applyProtection="1"/>
    <xf numFmtId="0" fontId="13" fillId="0" borderId="6" xfId="0" applyFont="1" applyBorder="1" applyProtection="1"/>
    <xf numFmtId="0" fontId="13" fillId="0" borderId="20" xfId="0" applyFont="1" applyBorder="1" applyProtection="1"/>
    <xf numFmtId="0" fontId="13" fillId="0" borderId="53" xfId="0" applyFont="1" applyBorder="1" applyProtection="1"/>
    <xf numFmtId="0" fontId="0" fillId="0" borderId="54" xfId="0" applyBorder="1" applyProtection="1"/>
    <xf numFmtId="2" fontId="13" fillId="0" borderId="55" xfId="0" applyNumberFormat="1" applyFont="1" applyBorder="1" applyAlignment="1" applyProtection="1">
      <alignment horizontal="center"/>
    </xf>
    <xf numFmtId="4" fontId="0" fillId="0" borderId="9" xfId="0" applyNumberFormat="1" applyBorder="1" applyProtection="1"/>
    <xf numFmtId="4" fontId="13" fillId="2" borderId="26" xfId="0" applyNumberFormat="1" applyFont="1" applyFill="1" applyBorder="1" applyAlignment="1" applyProtection="1">
      <alignment horizontal="center"/>
    </xf>
    <xf numFmtId="9" fontId="0" fillId="0" borderId="19" xfId="0" applyNumberFormat="1" applyFill="1" applyBorder="1" applyAlignment="1" applyProtection="1">
      <alignment horizontal="center"/>
    </xf>
    <xf numFmtId="1" fontId="8" fillId="0" borderId="26" xfId="0" applyNumberFormat="1" applyFont="1" applyFill="1" applyBorder="1" applyAlignment="1" applyProtection="1">
      <alignment horizontal="center"/>
    </xf>
    <xf numFmtId="170" fontId="0" fillId="0" borderId="9" xfId="0" applyNumberFormat="1" applyBorder="1" applyProtection="1"/>
    <xf numFmtId="4" fontId="8" fillId="2" borderId="26" xfId="0" applyNumberFormat="1" applyFont="1" applyFill="1" applyBorder="1" applyAlignment="1" applyProtection="1">
      <alignment horizontal="center"/>
    </xf>
    <xf numFmtId="4" fontId="1" fillId="0" borderId="26" xfId="0" applyNumberFormat="1" applyFont="1" applyBorder="1" applyAlignment="1" applyProtection="1">
      <alignment horizontal="center"/>
    </xf>
    <xf numFmtId="0" fontId="14" fillId="0" borderId="40" xfId="0" applyFont="1" applyBorder="1" applyProtection="1"/>
    <xf numFmtId="0" fontId="14" fillId="0" borderId="51" xfId="0" applyFont="1" applyBorder="1" applyProtection="1"/>
    <xf numFmtId="0" fontId="14" fillId="0" borderId="37" xfId="0" applyFont="1" applyBorder="1" applyAlignment="1" applyProtection="1">
      <alignment horizontal="center"/>
    </xf>
    <xf numFmtId="2" fontId="13" fillId="0" borderId="19" xfId="0" applyNumberFormat="1" applyFont="1" applyBorder="1" applyAlignment="1" applyProtection="1">
      <alignment horizontal="center"/>
    </xf>
    <xf numFmtId="0" fontId="2" fillId="0" borderId="7" xfId="0" applyFont="1" applyBorder="1" applyProtection="1"/>
    <xf numFmtId="4" fontId="0" fillId="0" borderId="55" xfId="0" applyNumberFormat="1" applyBorder="1" applyAlignment="1" applyProtection="1">
      <alignment horizontal="center"/>
    </xf>
    <xf numFmtId="4" fontId="1" fillId="2" borderId="26" xfId="0" applyNumberFormat="1" applyFont="1" applyFill="1" applyBorder="1" applyAlignment="1" applyProtection="1">
      <alignment horizontal="center"/>
    </xf>
    <xf numFmtId="10" fontId="4" fillId="0" borderId="26" xfId="0" applyNumberFormat="1" applyFont="1" applyBorder="1" applyAlignment="1" applyProtection="1">
      <alignment horizontal="center"/>
    </xf>
    <xf numFmtId="0" fontId="1" fillId="0" borderId="10" xfId="0" applyFont="1" applyBorder="1" applyProtection="1"/>
    <xf numFmtId="10" fontId="1" fillId="0" borderId="26" xfId="0" applyNumberFormat="1" applyFont="1" applyBorder="1" applyAlignment="1" applyProtection="1">
      <alignment horizontal="center"/>
    </xf>
    <xf numFmtId="4" fontId="1" fillId="0" borderId="37" xfId="0" applyNumberFormat="1" applyFont="1" applyBorder="1" applyAlignment="1" applyProtection="1">
      <alignment horizontal="center"/>
    </xf>
    <xf numFmtId="0" fontId="14" fillId="0" borderId="6" xfId="0" applyFont="1" applyBorder="1" applyProtection="1"/>
    <xf numFmtId="0" fontId="14" fillId="0" borderId="19" xfId="0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0" fontId="43" fillId="0" borderId="0" xfId="2" applyFont="1" applyFill="1" applyBorder="1" applyAlignment="1" applyProtection="1">
      <alignment horizontal="center"/>
    </xf>
    <xf numFmtId="0" fontId="30" fillId="0" borderId="0" xfId="2" applyFont="1" applyFill="1" applyBorder="1" applyAlignment="1" applyProtection="1">
      <alignment horizontal="center"/>
    </xf>
    <xf numFmtId="0" fontId="43" fillId="0" borderId="0" xfId="2" applyFont="1" applyFill="1" applyBorder="1" applyProtection="1"/>
    <xf numFmtId="0" fontId="47" fillId="0" borderId="0" xfId="2" applyFont="1" applyFill="1" applyBorder="1" applyAlignment="1" applyProtection="1">
      <alignment horizontal="center"/>
    </xf>
    <xf numFmtId="0" fontId="47" fillId="0" borderId="0" xfId="2" applyFont="1" applyFill="1" applyBorder="1" applyAlignment="1" applyProtection="1">
      <alignment horizontal="left"/>
    </xf>
    <xf numFmtId="4" fontId="23" fillId="0" borderId="0" xfId="2" applyNumberFormat="1" applyFont="1" applyFill="1" applyBorder="1" applyAlignment="1" applyProtection="1">
      <alignment horizontal="center"/>
    </xf>
    <xf numFmtId="0" fontId="43" fillId="0" borderId="0" xfId="2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168" fontId="41" fillId="0" borderId="0" xfId="2" applyNumberFormat="1" applyFont="1" applyFill="1" applyBorder="1" applyAlignment="1" applyProtection="1">
      <alignment horizontal="center"/>
    </xf>
    <xf numFmtId="0" fontId="46" fillId="0" borderId="0" xfId="2" applyFont="1" applyFill="1" applyBorder="1" applyProtection="1"/>
    <xf numFmtId="0" fontId="29" fillId="0" borderId="0" xfId="2" applyFill="1" applyBorder="1" applyProtection="1"/>
    <xf numFmtId="0" fontId="41" fillId="0" borderId="0" xfId="2" applyFont="1" applyFill="1" applyBorder="1" applyProtection="1"/>
    <xf numFmtId="0" fontId="42" fillId="0" borderId="0" xfId="2" applyFont="1" applyFill="1" applyBorder="1" applyProtection="1"/>
    <xf numFmtId="0" fontId="41" fillId="0" borderId="0" xfId="2" applyFont="1" applyFill="1" applyBorder="1" applyAlignment="1" applyProtection="1"/>
    <xf numFmtId="0" fontId="30" fillId="0" borderId="0" xfId="2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44" fillId="0" borderId="0" xfId="2" applyFont="1" applyFill="1" applyBorder="1" applyAlignment="1" applyProtection="1">
      <alignment horizontal="center"/>
    </xf>
    <xf numFmtId="0" fontId="44" fillId="0" borderId="0" xfId="2" applyFont="1" applyFill="1" applyBorder="1" applyProtection="1"/>
    <xf numFmtId="0" fontId="30" fillId="0" borderId="0" xfId="2" applyFont="1" applyFill="1" applyBorder="1" applyProtection="1"/>
    <xf numFmtId="4" fontId="30" fillId="0" borderId="0" xfId="2" applyNumberFormat="1" applyFont="1" applyFill="1" applyBorder="1" applyAlignment="1" applyProtection="1">
      <alignment horizontal="center"/>
    </xf>
    <xf numFmtId="10" fontId="30" fillId="0" borderId="0" xfId="2" applyNumberFormat="1" applyFont="1" applyFill="1" applyBorder="1" applyAlignment="1" applyProtection="1">
      <alignment horizontal="center"/>
    </xf>
    <xf numFmtId="0" fontId="59" fillId="0" borderId="0" xfId="2" applyFont="1" applyFill="1" applyBorder="1" applyAlignment="1" applyProtection="1">
      <alignment horizontal="center"/>
    </xf>
    <xf numFmtId="0" fontId="60" fillId="0" borderId="0" xfId="2" applyFont="1" applyFill="1" applyBorder="1" applyProtection="1"/>
    <xf numFmtId="0" fontId="60" fillId="0" borderId="0" xfId="2" applyFont="1" applyFill="1" applyBorder="1" applyAlignment="1" applyProtection="1">
      <alignment horizontal="center"/>
    </xf>
    <xf numFmtId="169" fontId="43" fillId="0" borderId="0" xfId="2" applyNumberFormat="1" applyFont="1" applyFill="1" applyBorder="1" applyProtection="1"/>
    <xf numFmtId="0" fontId="61" fillId="0" borderId="0" xfId="1" applyFont="1" applyFill="1" applyBorder="1" applyAlignment="1" applyProtection="1"/>
    <xf numFmtId="0" fontId="24" fillId="0" borderId="0" xfId="0" applyFont="1" applyFill="1" applyBorder="1" applyProtection="1"/>
    <xf numFmtId="0" fontId="4" fillId="2" borderId="19" xfId="0" applyFont="1" applyFill="1" applyBorder="1" applyProtection="1">
      <protection locked="0"/>
    </xf>
    <xf numFmtId="0" fontId="14" fillId="0" borderId="22" xfId="0" applyFont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65" fontId="19" fillId="0" borderId="0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  <protection locked="0"/>
    </xf>
    <xf numFmtId="20" fontId="0" fillId="0" borderId="0" xfId="0" applyNumberFormat="1" applyFill="1" applyBorder="1" applyProtection="1"/>
    <xf numFmtId="165" fontId="20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/>
    <xf numFmtId="166" fontId="8" fillId="0" borderId="0" xfId="0" applyNumberFormat="1" applyFont="1" applyFill="1" applyBorder="1" applyAlignment="1" applyProtection="1">
      <alignment horizontal="center"/>
    </xf>
    <xf numFmtId="165" fontId="22" fillId="0" borderId="0" xfId="0" applyNumberFormat="1" applyFont="1" applyFill="1" applyBorder="1" applyAlignment="1" applyProtection="1">
      <alignment horizontal="center"/>
      <protection locked="0"/>
    </xf>
    <xf numFmtId="166" fontId="20" fillId="0" borderId="0" xfId="0" applyNumberFormat="1" applyFont="1" applyFill="1" applyBorder="1" applyAlignment="1" applyProtection="1">
      <alignment horizontal="center"/>
      <protection locked="0"/>
    </xf>
    <xf numFmtId="1" fontId="26" fillId="2" borderId="37" xfId="0" applyNumberFormat="1" applyFont="1" applyFill="1" applyBorder="1" applyAlignment="1" applyProtection="1">
      <alignment horizontal="center"/>
    </xf>
    <xf numFmtId="0" fontId="13" fillId="2" borderId="26" xfId="0" applyFont="1" applyFill="1" applyBorder="1" applyAlignment="1" applyProtection="1">
      <alignment horizontal="center"/>
      <protection locked="0"/>
    </xf>
    <xf numFmtId="4" fontId="60" fillId="0" borderId="0" xfId="2" applyNumberFormat="1" applyFont="1" applyFill="1" applyBorder="1" applyAlignment="1" applyProtection="1">
      <alignment horizontal="center"/>
    </xf>
    <xf numFmtId="0" fontId="60" fillId="0" borderId="0" xfId="2" applyFont="1" applyFill="1" applyBorder="1" applyAlignment="1" applyProtection="1">
      <alignment horizontal="center"/>
    </xf>
    <xf numFmtId="4" fontId="43" fillId="0" borderId="0" xfId="2" applyNumberFormat="1" applyFont="1" applyFill="1" applyBorder="1" applyAlignment="1" applyProtection="1">
      <alignment horizontal="center"/>
    </xf>
    <xf numFmtId="10" fontId="43" fillId="0" borderId="0" xfId="2" applyNumberFormat="1" applyFont="1" applyFill="1" applyBorder="1" applyAlignment="1" applyProtection="1">
      <alignment horizontal="center"/>
    </xf>
    <xf numFmtId="4" fontId="43" fillId="0" borderId="0" xfId="3" applyNumberFormat="1" applyFont="1" applyFill="1" applyBorder="1" applyAlignment="1" applyProtection="1">
      <alignment horizontal="center"/>
    </xf>
    <xf numFmtId="4" fontId="59" fillId="0" borderId="0" xfId="2" applyNumberFormat="1" applyFont="1" applyFill="1" applyBorder="1" applyAlignment="1" applyProtection="1">
      <alignment horizontal="center"/>
    </xf>
    <xf numFmtId="164" fontId="43" fillId="0" borderId="0" xfId="2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/>
    <xf numFmtId="4" fontId="41" fillId="0" borderId="0" xfId="2" applyNumberFormat="1" applyFont="1" applyFill="1" applyBorder="1" applyAlignment="1" applyProtection="1">
      <alignment horizontal="center"/>
    </xf>
    <xf numFmtId="0" fontId="44" fillId="0" borderId="0" xfId="2" applyFont="1" applyFill="1" applyBorder="1" applyAlignment="1" applyProtection="1">
      <alignment horizontal="center"/>
    </xf>
    <xf numFmtId="4" fontId="45" fillId="0" borderId="0" xfId="2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1">
    <dxf>
      <font>
        <b/>
        <i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а тривалості робочого часу"/>
      <sheetName val="Трудові ресурси Рух прийн. звіл"/>
      <sheetName val="ПСП Подат. Соц. Пільга на дітей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й Лист 2017 БЕЗ ЛІКарн Драган"/>
      <sheetName val="Май Лист 2017 БЕЗ ЛІКарн"/>
      <sheetName val="Август 2018 шаблон З ЛІКАРНЯН"/>
      <sheetName val="Июль 2018 БЕЗ ЛІКарняних"/>
      <sheetName val="Июнь 2018 шаблон З ЛІКАРНЯНИМИ"/>
      <sheetName val="Май Драган 2018 шаблон З ЛІ+Всі"/>
      <sheetName val="Май Драган 2018 шаблон З ЛІКАР"/>
      <sheetName val="Апрель 2018 шаблон З ЛІКАР"/>
      <sheetName val="Март Лист 2018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N21">
            <v>2470</v>
          </cell>
          <cell r="R21">
            <v>881</v>
          </cell>
          <cell r="S21">
            <v>1321.5</v>
          </cell>
        </row>
        <row r="24">
          <cell r="F24">
            <v>0.22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BZ141"/>
  <sheetViews>
    <sheetView tabSelected="1" zoomScaleNormal="100" workbookViewId="0">
      <pane xSplit="2" ySplit="7" topLeftCell="C41" activePane="bottomRight" state="frozen"/>
      <selection activeCell="AU107" sqref="AU107"/>
      <selection pane="topRight" activeCell="AU107" sqref="AU107"/>
      <selection pane="bottomLeft" activeCell="AU107" sqref="AU107"/>
      <selection pane="bottomRight" activeCell="D49" sqref="D49"/>
    </sheetView>
  </sheetViews>
  <sheetFormatPr defaultRowHeight="15"/>
  <cols>
    <col min="1" max="1" width="6" style="348" customWidth="1"/>
    <col min="2" max="2" width="42.42578125" style="348" customWidth="1"/>
    <col min="3" max="3" width="9.28515625" style="348" customWidth="1"/>
    <col min="4" max="4" width="9.140625" style="348" customWidth="1"/>
    <col min="5" max="7" width="9.140625" style="348"/>
    <col min="8" max="20" width="4" style="348" customWidth="1"/>
    <col min="21" max="21" width="5" style="348" bestFit="1" customWidth="1"/>
    <col min="22" max="26" width="9.140625" style="348"/>
    <col min="27" max="27" width="9.28515625" style="348" bestFit="1" customWidth="1"/>
    <col min="28" max="29" width="9.140625" style="348"/>
    <col min="30" max="30" width="9.28515625" style="348" bestFit="1" customWidth="1"/>
    <col min="31" max="46" width="9.140625" style="348"/>
    <col min="47" max="47" width="10.140625" style="348" customWidth="1"/>
    <col min="48" max="48" width="9.140625" style="348" customWidth="1"/>
    <col min="49" max="56" width="9.140625" style="348"/>
    <col min="57" max="57" width="10.28515625" style="348" customWidth="1"/>
    <col min="58" max="58" width="9.140625" style="348"/>
    <col min="59" max="59" width="10" style="348" customWidth="1"/>
    <col min="60" max="60" width="9.140625" style="348" customWidth="1"/>
    <col min="61" max="61" width="10" style="348" customWidth="1"/>
    <col min="62" max="62" width="10.42578125" style="348" customWidth="1"/>
    <col min="63" max="16384" width="9.140625" style="348"/>
  </cols>
  <sheetData>
    <row r="1" spans="1:78" s="2" customFormat="1" ht="18.75">
      <c r="A1" s="1"/>
      <c r="G1" s="3"/>
      <c r="H1"/>
      <c r="I1"/>
      <c r="J1"/>
      <c r="K1"/>
      <c r="L1"/>
      <c r="M1"/>
      <c r="N1"/>
      <c r="O1"/>
      <c r="P1"/>
      <c r="Q1"/>
      <c r="R1"/>
      <c r="S1"/>
      <c r="V1" s="4" t="s">
        <v>0</v>
      </c>
      <c r="AB1" s="5" t="s">
        <v>1</v>
      </c>
      <c r="AL1" s="6" t="s">
        <v>2</v>
      </c>
      <c r="AM1" s="7"/>
      <c r="AN1" s="7"/>
      <c r="AO1" s="8"/>
      <c r="AP1" s="9">
        <v>3723</v>
      </c>
      <c r="AU1" s="10" t="s">
        <v>3</v>
      </c>
      <c r="BD1" s="11">
        <f>[1]Законодавство!N21</f>
        <v>2470</v>
      </c>
      <c r="BE1" s="12" t="s">
        <v>4</v>
      </c>
    </row>
    <row r="2" spans="1:78" s="2" customFormat="1">
      <c r="A2" s="1"/>
      <c r="Y2" s="13"/>
      <c r="AL2" s="6" t="s">
        <v>5</v>
      </c>
      <c r="AM2" s="7"/>
      <c r="AN2" s="7"/>
      <c r="AO2" s="8"/>
      <c r="AP2" s="14">
        <f>AP1*AU13</f>
        <v>819.06000000000006</v>
      </c>
      <c r="AU2" s="10" t="s">
        <v>6</v>
      </c>
      <c r="BD2" s="11">
        <f>[1]Законодавство!R21</f>
        <v>881</v>
      </c>
      <c r="BE2" s="12" t="s">
        <v>7</v>
      </c>
    </row>
    <row r="3" spans="1:78" s="2" customFormat="1">
      <c r="A3" s="15"/>
      <c r="F3" s="10" t="s">
        <v>8</v>
      </c>
      <c r="T3" s="16">
        <v>22</v>
      </c>
      <c r="U3" s="16">
        <v>175</v>
      </c>
      <c r="AB3" s="17"/>
      <c r="AL3" s="6" t="s">
        <v>9</v>
      </c>
      <c r="AM3" s="7"/>
      <c r="AN3" s="7"/>
      <c r="AO3" s="8"/>
      <c r="AP3" s="18">
        <f>AP1*8.41%</f>
        <v>313.10430000000002</v>
      </c>
      <c r="AS3" s="19"/>
      <c r="AT3" s="20"/>
      <c r="AU3" s="10" t="s">
        <v>262</v>
      </c>
      <c r="BD3" s="11">
        <f>[1]Законодавство!S21</f>
        <v>1321.5</v>
      </c>
      <c r="BE3" s="21"/>
      <c r="BK3" s="19"/>
      <c r="BL3" s="19"/>
    </row>
    <row r="4" spans="1:78" s="2" customFormat="1">
      <c r="A4" s="22"/>
      <c r="B4" s="22"/>
      <c r="C4" s="23" t="s">
        <v>10</v>
      </c>
      <c r="D4" s="24"/>
      <c r="E4" s="25" t="s">
        <v>11</v>
      </c>
      <c r="F4" s="25"/>
      <c r="G4" s="26" t="s">
        <v>12</v>
      </c>
      <c r="H4" s="25" t="s">
        <v>13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7"/>
      <c r="U4" s="27"/>
      <c r="V4" s="28" t="s">
        <v>14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0"/>
      <c r="AM4" s="20"/>
      <c r="AN4" s="20"/>
      <c r="AO4" s="20"/>
      <c r="AP4" s="20"/>
      <c r="AQ4" s="30" t="s">
        <v>15</v>
      </c>
      <c r="AR4" s="27"/>
      <c r="AS4" s="30" t="s">
        <v>16</v>
      </c>
      <c r="AU4" s="31" t="s">
        <v>17</v>
      </c>
      <c r="AV4" s="32"/>
      <c r="AW4" s="27"/>
      <c r="AX4" s="27"/>
      <c r="AY4" s="27"/>
      <c r="AZ4" s="33" t="s">
        <v>18</v>
      </c>
      <c r="BA4" s="27"/>
      <c r="BB4" s="27"/>
      <c r="BC4" s="27"/>
      <c r="BD4" s="27"/>
      <c r="BE4" s="34" t="s">
        <v>19</v>
      </c>
      <c r="BF4" s="35"/>
      <c r="BG4" s="25"/>
      <c r="BH4" s="36" t="s">
        <v>20</v>
      </c>
      <c r="BI4" s="37" t="s">
        <v>21</v>
      </c>
      <c r="BJ4" s="38"/>
      <c r="BK4" s="39"/>
      <c r="BL4" s="40"/>
      <c r="BM4" s="41"/>
      <c r="BO4" s="340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</row>
    <row r="5" spans="1:78" s="2" customFormat="1">
      <c r="A5" s="42"/>
      <c r="B5" s="42"/>
      <c r="C5" s="43" t="s">
        <v>22</v>
      </c>
      <c r="D5" s="31" t="s">
        <v>23</v>
      </c>
      <c r="E5" s="44" t="s">
        <v>24</v>
      </c>
      <c r="F5" s="45" t="s">
        <v>25</v>
      </c>
      <c r="G5" s="46" t="s">
        <v>26</v>
      </c>
      <c r="H5" s="47"/>
      <c r="I5" s="48">
        <v>1</v>
      </c>
      <c r="J5" s="47"/>
      <c r="K5" s="48">
        <v>2</v>
      </c>
      <c r="L5" s="47"/>
      <c r="M5" s="48">
        <v>3</v>
      </c>
      <c r="N5" s="47"/>
      <c r="O5" s="48">
        <v>4</v>
      </c>
      <c r="P5" s="47"/>
      <c r="Q5" s="48">
        <v>5</v>
      </c>
      <c r="R5" s="47"/>
      <c r="S5" s="48">
        <v>6</v>
      </c>
      <c r="T5" s="33" t="s">
        <v>27</v>
      </c>
      <c r="U5" s="24"/>
      <c r="V5" s="49">
        <v>1</v>
      </c>
      <c r="W5" s="50">
        <f>IF(W6&lt;&gt;"",$V$5+1,"")</f>
        <v>2</v>
      </c>
      <c r="X5" s="50">
        <f>IF(X6&lt;&gt;"",$V$5+2,"")</f>
        <v>3</v>
      </c>
      <c r="Y5" s="50">
        <f>IF(Y6&lt;&gt;"",$V$5+3,"")</f>
        <v>4</v>
      </c>
      <c r="Z5" s="50">
        <f>IF(Z6&lt;&gt;"",$V$5+4,"")</f>
        <v>5</v>
      </c>
      <c r="AA5" s="50">
        <f>IF(AA6&lt;&gt;"",$V$5+5,"")</f>
        <v>6</v>
      </c>
      <c r="AB5" s="50">
        <f>IF(AB6&lt;&gt;"",$V$5+6,"")</f>
        <v>7</v>
      </c>
      <c r="AC5" s="50">
        <f>IF(AC6&lt;&gt;"",$V$5+7,"")</f>
        <v>8</v>
      </c>
      <c r="AD5" s="50">
        <f>IF(AD6&lt;&gt;"",$V$5+8,"")</f>
        <v>9</v>
      </c>
      <c r="AE5" s="50">
        <f>IF(AE6&lt;&gt;"",$V$5+9,"")</f>
        <v>10</v>
      </c>
      <c r="AF5" s="50" t="str">
        <f>IF(AF6&lt;&gt;"",$V$5+10,"")</f>
        <v/>
      </c>
      <c r="AG5" s="50" t="str">
        <f>IF(AG6&lt;&gt;"",$V$5+11,"")</f>
        <v/>
      </c>
      <c r="AH5" s="50" t="str">
        <f>IF(AH6&lt;&gt;"",$V$5+12,"")</f>
        <v/>
      </c>
      <c r="AI5" s="50" t="str">
        <f>IF(AI6&lt;&gt;"",$V$5+13,"")</f>
        <v/>
      </c>
      <c r="AJ5" s="50" t="str">
        <f>IF(AJ6&lt;&gt;"",$V$5+14,"")</f>
        <v/>
      </c>
      <c r="AK5" s="50" t="str">
        <f>IF(AK6&lt;&gt;"",$V$5+15,"")</f>
        <v/>
      </c>
      <c r="AL5" s="51">
        <f>IF(AL6&lt;&gt;"",COUNT(V5:AK5)+1,"")</f>
        <v>11</v>
      </c>
      <c r="AM5" s="49">
        <f t="shared" ref="AM5:AT5" si="0">AL5+1</f>
        <v>12</v>
      </c>
      <c r="AN5" s="49">
        <f t="shared" si="0"/>
        <v>13</v>
      </c>
      <c r="AO5" s="52">
        <f t="shared" si="0"/>
        <v>14</v>
      </c>
      <c r="AP5" s="49">
        <f t="shared" si="0"/>
        <v>15</v>
      </c>
      <c r="AQ5" s="49">
        <f t="shared" si="0"/>
        <v>16</v>
      </c>
      <c r="AR5" s="49">
        <f t="shared" si="0"/>
        <v>17</v>
      </c>
      <c r="AS5" s="53">
        <f t="shared" si="0"/>
        <v>18</v>
      </c>
      <c r="AT5" s="54">
        <f t="shared" si="0"/>
        <v>19</v>
      </c>
      <c r="AU5" s="55" t="s">
        <v>28</v>
      </c>
      <c r="AV5" s="56"/>
      <c r="AW5" s="57">
        <v>1</v>
      </c>
      <c r="AX5" s="57"/>
      <c r="AY5" s="57"/>
      <c r="AZ5" s="57">
        <v>2</v>
      </c>
      <c r="BA5" s="57"/>
      <c r="BB5" s="57"/>
      <c r="BC5" s="57">
        <v>3</v>
      </c>
      <c r="BD5" s="58"/>
      <c r="BE5" s="59" t="s">
        <v>29</v>
      </c>
      <c r="BF5" s="20"/>
      <c r="BG5" s="60"/>
      <c r="BH5" s="61" t="s">
        <v>30</v>
      </c>
      <c r="BI5" s="62" t="s">
        <v>31</v>
      </c>
      <c r="BJ5" s="63"/>
      <c r="BK5" s="64"/>
      <c r="BL5" s="19"/>
      <c r="BM5" s="65"/>
      <c r="BO5" s="340"/>
      <c r="BP5" s="340"/>
      <c r="BQ5" s="340"/>
      <c r="BR5" s="340"/>
      <c r="BS5" s="340"/>
      <c r="BT5" s="340"/>
      <c r="BU5" s="340"/>
      <c r="BV5" s="340"/>
      <c r="BW5" s="340"/>
      <c r="BX5" s="340"/>
      <c r="BY5" s="340"/>
      <c r="BZ5" s="340"/>
    </row>
    <row r="6" spans="1:78" s="2" customFormat="1">
      <c r="A6" s="42"/>
      <c r="B6" s="42"/>
      <c r="C6" s="66" t="s">
        <v>32</v>
      </c>
      <c r="D6" s="55" t="s">
        <v>33</v>
      </c>
      <c r="E6" s="67"/>
      <c r="F6" s="68" t="s">
        <v>34</v>
      </c>
      <c r="G6" s="67" t="s">
        <v>35</v>
      </c>
      <c r="H6" s="69" t="s">
        <v>36</v>
      </c>
      <c r="I6" s="67" t="s">
        <v>37</v>
      </c>
      <c r="J6" s="67" t="s">
        <v>36</v>
      </c>
      <c r="K6" s="67" t="s">
        <v>37</v>
      </c>
      <c r="L6" s="67" t="s">
        <v>36</v>
      </c>
      <c r="M6" s="67" t="s">
        <v>37</v>
      </c>
      <c r="N6" s="67" t="s">
        <v>36</v>
      </c>
      <c r="O6" s="67" t="s">
        <v>37</v>
      </c>
      <c r="P6" s="67" t="s">
        <v>36</v>
      </c>
      <c r="Q6" s="67" t="s">
        <v>37</v>
      </c>
      <c r="R6" s="70" t="s">
        <v>36</v>
      </c>
      <c r="S6" s="67" t="s">
        <v>37</v>
      </c>
      <c r="T6" s="71" t="s">
        <v>36</v>
      </c>
      <c r="U6" s="26" t="s">
        <v>37</v>
      </c>
      <c r="V6" s="72" t="s">
        <v>38</v>
      </c>
      <c r="W6" s="72" t="s">
        <v>39</v>
      </c>
      <c r="X6" s="72" t="s">
        <v>40</v>
      </c>
      <c r="Y6" s="72" t="s">
        <v>41</v>
      </c>
      <c r="Z6" s="72" t="s">
        <v>42</v>
      </c>
      <c r="AA6" s="72" t="s">
        <v>43</v>
      </c>
      <c r="AB6" s="72" t="s">
        <v>44</v>
      </c>
      <c r="AC6" s="72" t="s">
        <v>45</v>
      </c>
      <c r="AD6" s="72" t="s">
        <v>46</v>
      </c>
      <c r="AE6" s="72" t="s">
        <v>45</v>
      </c>
      <c r="AF6" s="72"/>
      <c r="AG6" s="72"/>
      <c r="AH6" s="72"/>
      <c r="AI6" s="72"/>
      <c r="AJ6" s="72"/>
      <c r="AK6" s="72"/>
      <c r="AL6" s="73" t="s">
        <v>47</v>
      </c>
      <c r="AM6" s="72" t="s">
        <v>48</v>
      </c>
      <c r="AN6" s="72" t="s">
        <v>49</v>
      </c>
      <c r="AO6" s="72" t="s">
        <v>50</v>
      </c>
      <c r="AP6" s="38"/>
      <c r="AQ6" s="74" t="s">
        <v>51</v>
      </c>
      <c r="AR6" s="75"/>
      <c r="AS6" s="72" t="s">
        <v>52</v>
      </c>
      <c r="AT6" s="76" t="s">
        <v>50</v>
      </c>
      <c r="AU6" s="46" t="s">
        <v>53</v>
      </c>
      <c r="AV6" s="77" t="s">
        <v>54</v>
      </c>
      <c r="AW6" s="25"/>
      <c r="AX6" s="78"/>
      <c r="AY6" s="79" t="s">
        <v>55</v>
      </c>
      <c r="AZ6" s="27"/>
      <c r="BA6" s="80">
        <v>1.4999999999999999E-2</v>
      </c>
      <c r="BB6" s="81" t="s">
        <v>56</v>
      </c>
      <c r="BC6" s="27"/>
      <c r="BD6" s="24"/>
      <c r="BE6" s="82" t="s">
        <v>57</v>
      </c>
      <c r="BF6" s="83" t="s">
        <v>51</v>
      </c>
      <c r="BG6" s="84" t="s">
        <v>58</v>
      </c>
      <c r="BH6" s="82"/>
      <c r="BI6" s="85" t="s">
        <v>59</v>
      </c>
      <c r="BJ6" s="86"/>
      <c r="BK6" s="64"/>
      <c r="BL6" s="19"/>
      <c r="BM6" s="65"/>
      <c r="BO6" s="340"/>
      <c r="BP6" s="340"/>
      <c r="BQ6" s="340"/>
      <c r="BR6" s="340"/>
      <c r="BS6" s="340"/>
      <c r="BT6" s="370"/>
      <c r="BU6" s="370"/>
      <c r="BV6" s="340"/>
      <c r="BW6" s="340"/>
      <c r="BX6" s="340"/>
      <c r="BY6" s="340"/>
      <c r="BZ6" s="340"/>
    </row>
    <row r="7" spans="1:78" s="2" customFormat="1" ht="15.75">
      <c r="A7" s="87" t="s">
        <v>60</v>
      </c>
      <c r="B7" s="87" t="s">
        <v>61</v>
      </c>
      <c r="C7" s="66" t="s">
        <v>62</v>
      </c>
      <c r="D7" s="66" t="s">
        <v>63</v>
      </c>
      <c r="E7" s="67"/>
      <c r="F7" s="68"/>
      <c r="G7" s="67" t="s">
        <v>64</v>
      </c>
      <c r="H7" s="67"/>
      <c r="I7" s="67" t="s">
        <v>65</v>
      </c>
      <c r="J7" s="67"/>
      <c r="K7" s="67" t="s">
        <v>65</v>
      </c>
      <c r="L7" s="67"/>
      <c r="M7" s="67" t="s">
        <v>65</v>
      </c>
      <c r="N7" s="67"/>
      <c r="O7" s="67" t="s">
        <v>65</v>
      </c>
      <c r="P7" s="67"/>
      <c r="Q7" s="67" t="s">
        <v>65</v>
      </c>
      <c r="R7" s="67"/>
      <c r="S7" s="67" t="s">
        <v>65</v>
      </c>
      <c r="T7" s="69"/>
      <c r="U7" s="46" t="s">
        <v>65</v>
      </c>
      <c r="V7" s="82"/>
      <c r="W7" s="82" t="s">
        <v>66</v>
      </c>
      <c r="X7" s="82" t="s">
        <v>67</v>
      </c>
      <c r="Y7" s="82" t="s">
        <v>68</v>
      </c>
      <c r="Z7" s="82" t="s">
        <v>69</v>
      </c>
      <c r="AA7" s="82" t="s">
        <v>70</v>
      </c>
      <c r="AB7" s="82" t="s">
        <v>71</v>
      </c>
      <c r="AC7" s="82" t="s">
        <v>28</v>
      </c>
      <c r="AD7" s="82" t="s">
        <v>72</v>
      </c>
      <c r="AE7" s="82" t="s">
        <v>28</v>
      </c>
      <c r="AF7" s="82"/>
      <c r="AG7" s="82"/>
      <c r="AH7" s="82"/>
      <c r="AI7" s="82"/>
      <c r="AJ7" s="82"/>
      <c r="AK7" s="82"/>
      <c r="AL7" s="73" t="s">
        <v>73</v>
      </c>
      <c r="AM7" s="82"/>
      <c r="AN7" s="82" t="s">
        <v>74</v>
      </c>
      <c r="AO7" s="82" t="s">
        <v>75</v>
      </c>
      <c r="AP7" s="88" t="s">
        <v>76</v>
      </c>
      <c r="AQ7" s="82" t="s">
        <v>77</v>
      </c>
      <c r="AR7" s="76" t="s">
        <v>47</v>
      </c>
      <c r="AS7" s="82" t="s">
        <v>78</v>
      </c>
      <c r="AT7" s="89" t="s">
        <v>75</v>
      </c>
      <c r="AU7" s="90" t="s">
        <v>79</v>
      </c>
      <c r="AV7" s="91" t="s">
        <v>80</v>
      </c>
      <c r="AW7" s="20"/>
      <c r="AX7" s="92">
        <v>0.18</v>
      </c>
      <c r="AY7" s="44" t="s">
        <v>81</v>
      </c>
      <c r="AZ7" s="44" t="s">
        <v>82</v>
      </c>
      <c r="BA7" s="26" t="s">
        <v>52</v>
      </c>
      <c r="BB7" s="44" t="s">
        <v>81</v>
      </c>
      <c r="BC7" s="44" t="s">
        <v>82</v>
      </c>
      <c r="BD7" s="26" t="s">
        <v>52</v>
      </c>
      <c r="BE7" s="82" t="s">
        <v>83</v>
      </c>
      <c r="BF7" s="60" t="s">
        <v>84</v>
      </c>
      <c r="BG7" s="93" t="s">
        <v>85</v>
      </c>
      <c r="BH7" s="94"/>
      <c r="BI7" s="73" t="s">
        <v>75</v>
      </c>
      <c r="BJ7" s="95" t="s">
        <v>57</v>
      </c>
      <c r="BK7" s="96" t="s">
        <v>61</v>
      </c>
      <c r="BL7" s="19"/>
      <c r="BM7" s="65"/>
      <c r="BO7" s="371"/>
      <c r="BP7" s="340"/>
      <c r="BQ7" s="340"/>
      <c r="BR7" s="340"/>
      <c r="BS7" s="340"/>
      <c r="BT7" s="372"/>
      <c r="BU7" s="373"/>
      <c r="BV7" s="340"/>
      <c r="BW7" s="374"/>
      <c r="BX7" s="340"/>
      <c r="BY7" s="340"/>
      <c r="BZ7" s="340"/>
    </row>
    <row r="8" spans="1:78" s="2" customFormat="1" ht="15.75">
      <c r="A8" s="87" t="s">
        <v>86</v>
      </c>
      <c r="B8" s="87" t="s">
        <v>87</v>
      </c>
      <c r="C8" s="98" t="s">
        <v>88</v>
      </c>
      <c r="D8" s="98" t="s">
        <v>88</v>
      </c>
      <c r="E8" s="63" t="s">
        <v>89</v>
      </c>
      <c r="F8" s="89" t="s">
        <v>89</v>
      </c>
      <c r="G8" s="67" t="s">
        <v>90</v>
      </c>
      <c r="H8" s="67"/>
      <c r="I8" s="67" t="s">
        <v>91</v>
      </c>
      <c r="J8" s="67"/>
      <c r="K8" s="67" t="s">
        <v>91</v>
      </c>
      <c r="L8" s="67"/>
      <c r="M8" s="67" t="s">
        <v>91</v>
      </c>
      <c r="N8" s="67"/>
      <c r="O8" s="67" t="s">
        <v>91</v>
      </c>
      <c r="P8" s="67"/>
      <c r="Q8" s="67" t="s">
        <v>91</v>
      </c>
      <c r="R8" s="67"/>
      <c r="S8" s="67" t="s">
        <v>91</v>
      </c>
      <c r="T8" s="69"/>
      <c r="U8" s="46" t="s">
        <v>91</v>
      </c>
      <c r="V8" s="82"/>
      <c r="W8" s="82" t="s">
        <v>92</v>
      </c>
      <c r="X8" s="82" t="s">
        <v>93</v>
      </c>
      <c r="Y8" s="82" t="s">
        <v>94</v>
      </c>
      <c r="Z8" s="82" t="s">
        <v>95</v>
      </c>
      <c r="AA8" s="82" t="s">
        <v>96</v>
      </c>
      <c r="AB8" s="82" t="s">
        <v>97</v>
      </c>
      <c r="AC8" s="82" t="s">
        <v>98</v>
      </c>
      <c r="AD8" s="82" t="s">
        <v>99</v>
      </c>
      <c r="AE8" s="82" t="s">
        <v>100</v>
      </c>
      <c r="AF8" s="82"/>
      <c r="AG8" s="82"/>
      <c r="AH8" s="82"/>
      <c r="AI8" s="82"/>
      <c r="AJ8" s="82"/>
      <c r="AK8" s="82"/>
      <c r="AL8" s="82"/>
      <c r="AM8" s="82"/>
      <c r="AN8" s="82"/>
      <c r="AO8" s="82" t="s">
        <v>101</v>
      </c>
      <c r="AP8" s="99" t="s">
        <v>102</v>
      </c>
      <c r="AQ8" s="100" t="s">
        <v>103</v>
      </c>
      <c r="AR8" s="89" t="s">
        <v>51</v>
      </c>
      <c r="AS8" s="82" t="s">
        <v>104</v>
      </c>
      <c r="AT8" s="89" t="s">
        <v>48</v>
      </c>
      <c r="AU8" s="67" t="s">
        <v>105</v>
      </c>
      <c r="AV8" s="101" t="s">
        <v>81</v>
      </c>
      <c r="AW8" s="44" t="s">
        <v>82</v>
      </c>
      <c r="AX8" s="26" t="s">
        <v>52</v>
      </c>
      <c r="AY8" s="67" t="s">
        <v>106</v>
      </c>
      <c r="AZ8" s="67" t="s">
        <v>107</v>
      </c>
      <c r="BA8" s="67"/>
      <c r="BB8" s="67" t="s">
        <v>106</v>
      </c>
      <c r="BC8" s="67" t="s">
        <v>107</v>
      </c>
      <c r="BD8" s="67"/>
      <c r="BE8" s="82" t="s">
        <v>108</v>
      </c>
      <c r="BF8" s="19"/>
      <c r="BG8" s="93" t="s">
        <v>109</v>
      </c>
      <c r="BH8" s="102">
        <v>0.25</v>
      </c>
      <c r="BI8" s="60" t="s">
        <v>109</v>
      </c>
      <c r="BJ8" s="93" t="s">
        <v>83</v>
      </c>
      <c r="BK8" s="96" t="s">
        <v>87</v>
      </c>
      <c r="BL8" s="19"/>
      <c r="BM8" s="65"/>
      <c r="BN8" s="64"/>
      <c r="BO8" s="371"/>
      <c r="BP8" s="340"/>
      <c r="BQ8" s="340"/>
      <c r="BR8" s="340"/>
      <c r="BS8" s="340"/>
      <c r="BT8" s="375"/>
      <c r="BU8" s="373"/>
      <c r="BV8" s="340"/>
      <c r="BW8" s="340"/>
      <c r="BX8" s="340"/>
      <c r="BY8" s="340"/>
      <c r="BZ8" s="340"/>
    </row>
    <row r="9" spans="1:78" s="2" customFormat="1" ht="15.75">
      <c r="A9" s="87" t="s">
        <v>110</v>
      </c>
      <c r="B9" s="42"/>
      <c r="C9" s="104" t="s">
        <v>111</v>
      </c>
      <c r="D9" s="105" t="s">
        <v>111</v>
      </c>
      <c r="E9" s="89" t="s">
        <v>112</v>
      </c>
      <c r="F9" s="89" t="s">
        <v>112</v>
      </c>
      <c r="G9" s="67" t="s">
        <v>113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9"/>
      <c r="U9" s="67"/>
      <c r="V9" s="82"/>
      <c r="W9" s="82" t="s">
        <v>114</v>
      </c>
      <c r="X9" s="82" t="s">
        <v>67</v>
      </c>
      <c r="Y9" s="82"/>
      <c r="Z9" s="82" t="s">
        <v>115</v>
      </c>
      <c r="AA9" s="82" t="s">
        <v>116</v>
      </c>
      <c r="AB9" s="82" t="s">
        <v>117</v>
      </c>
      <c r="AC9" s="82" t="s">
        <v>118</v>
      </c>
      <c r="AD9" s="82" t="s">
        <v>119</v>
      </c>
      <c r="AE9" s="82" t="s">
        <v>120</v>
      </c>
      <c r="AF9" s="82"/>
      <c r="AG9" s="82"/>
      <c r="AH9" s="82"/>
      <c r="AI9" s="82"/>
      <c r="AJ9" s="82"/>
      <c r="AK9" s="82"/>
      <c r="AL9" s="82"/>
      <c r="AM9" s="82"/>
      <c r="AN9" s="82"/>
      <c r="AO9" s="82" t="s">
        <v>121</v>
      </c>
      <c r="AP9" s="99" t="s">
        <v>122</v>
      </c>
      <c r="AQ9" s="94" t="s">
        <v>123</v>
      </c>
      <c r="AR9" s="99" t="s">
        <v>124</v>
      </c>
      <c r="AS9" s="82" t="s">
        <v>125</v>
      </c>
      <c r="AT9" s="89" t="s">
        <v>126</v>
      </c>
      <c r="AU9" s="104" t="s">
        <v>127</v>
      </c>
      <c r="AV9" s="69" t="s">
        <v>106</v>
      </c>
      <c r="AW9" s="67" t="s">
        <v>107</v>
      </c>
      <c r="AX9" s="67"/>
      <c r="AY9" s="67" t="s">
        <v>128</v>
      </c>
      <c r="AZ9" s="67" t="s">
        <v>77</v>
      </c>
      <c r="BA9" s="67"/>
      <c r="BB9" s="67" t="s">
        <v>128</v>
      </c>
      <c r="BC9" s="67" t="s">
        <v>77</v>
      </c>
      <c r="BD9" s="67"/>
      <c r="BE9" s="82" t="s">
        <v>129</v>
      </c>
      <c r="BF9" s="60"/>
      <c r="BG9" s="93" t="s">
        <v>130</v>
      </c>
      <c r="BH9" s="106"/>
      <c r="BI9" s="60" t="s">
        <v>130</v>
      </c>
      <c r="BJ9" s="93" t="s">
        <v>108</v>
      </c>
      <c r="BK9" s="64"/>
      <c r="BL9" s="19"/>
      <c r="BM9" s="65"/>
      <c r="BN9" s="369"/>
      <c r="BO9" s="376"/>
      <c r="BP9" s="340"/>
      <c r="BQ9" s="340"/>
      <c r="BR9" s="340"/>
      <c r="BS9" s="340"/>
      <c r="BT9" s="340"/>
      <c r="BU9" s="377"/>
      <c r="BV9" s="340"/>
      <c r="BW9" s="340"/>
      <c r="BX9" s="340"/>
      <c r="BY9" s="340"/>
      <c r="BZ9" s="340"/>
    </row>
    <row r="10" spans="1:78" s="2" customFormat="1" ht="15.75">
      <c r="A10" s="107"/>
      <c r="B10" s="42"/>
      <c r="C10" s="73" t="s">
        <v>131</v>
      </c>
      <c r="D10" s="73" t="s">
        <v>131</v>
      </c>
      <c r="E10" s="63" t="s">
        <v>132</v>
      </c>
      <c r="F10" s="89" t="s">
        <v>132</v>
      </c>
      <c r="G10" s="67" t="s">
        <v>133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9"/>
      <c r="U10" s="67"/>
      <c r="V10" s="82"/>
      <c r="W10" s="82"/>
      <c r="X10" s="82" t="s">
        <v>134</v>
      </c>
      <c r="Y10" s="82"/>
      <c r="Z10" s="82"/>
      <c r="AA10" s="82"/>
      <c r="AB10" s="82" t="s">
        <v>135</v>
      </c>
      <c r="AC10" s="82" t="s">
        <v>136</v>
      </c>
      <c r="AD10" s="82" t="s">
        <v>118</v>
      </c>
      <c r="AE10" s="82" t="s">
        <v>137</v>
      </c>
      <c r="AF10" s="82"/>
      <c r="AG10" s="82"/>
      <c r="AH10" s="82"/>
      <c r="AI10" s="82"/>
      <c r="AJ10" s="82"/>
      <c r="AK10" s="82"/>
      <c r="AL10" s="99"/>
      <c r="AM10" s="82"/>
      <c r="AN10" s="82"/>
      <c r="AO10" s="82" t="s">
        <v>138</v>
      </c>
      <c r="AP10" s="99" t="s">
        <v>139</v>
      </c>
      <c r="AQ10" s="82" t="s">
        <v>140</v>
      </c>
      <c r="AR10" s="99" t="s">
        <v>141</v>
      </c>
      <c r="AS10" s="82" t="s">
        <v>142</v>
      </c>
      <c r="AT10" s="89" t="s">
        <v>143</v>
      </c>
      <c r="AU10" s="67" t="s">
        <v>144</v>
      </c>
      <c r="AV10" s="69" t="s">
        <v>128</v>
      </c>
      <c r="AW10" s="67" t="s">
        <v>77</v>
      </c>
      <c r="AX10" s="67"/>
      <c r="AY10" s="67" t="s">
        <v>145</v>
      </c>
      <c r="AZ10" s="67"/>
      <c r="BA10" s="67"/>
      <c r="BB10" s="67" t="s">
        <v>145</v>
      </c>
      <c r="BC10" s="67"/>
      <c r="BD10" s="67"/>
      <c r="BE10" s="82" t="s">
        <v>146</v>
      </c>
      <c r="BF10" s="60"/>
      <c r="BG10" s="93" t="s">
        <v>129</v>
      </c>
      <c r="BH10" s="108"/>
      <c r="BI10" s="93" t="s">
        <v>129</v>
      </c>
      <c r="BJ10" s="93" t="s">
        <v>129</v>
      </c>
      <c r="BK10" s="64"/>
      <c r="BL10" s="19"/>
      <c r="BM10" s="65"/>
      <c r="BO10" s="371"/>
      <c r="BP10" s="340"/>
      <c r="BQ10" s="340"/>
      <c r="BR10" s="340"/>
      <c r="BS10" s="340"/>
      <c r="BT10" s="378"/>
      <c r="BU10" s="379"/>
      <c r="BV10" s="340"/>
      <c r="BW10" s="340"/>
      <c r="BX10" s="340"/>
      <c r="BY10" s="340"/>
      <c r="BZ10" s="340"/>
    </row>
    <row r="11" spans="1:78" s="2" customFormat="1" ht="15.75">
      <c r="A11" s="107"/>
      <c r="B11" s="42"/>
      <c r="C11" s="73" t="s">
        <v>147</v>
      </c>
      <c r="D11" s="73" t="s">
        <v>147</v>
      </c>
      <c r="E11" s="67"/>
      <c r="F11" s="68"/>
      <c r="G11" s="67" t="s">
        <v>148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9"/>
      <c r="U11" s="67"/>
      <c r="V11" s="82"/>
      <c r="W11" s="82"/>
      <c r="X11" s="82" t="s">
        <v>149</v>
      </c>
      <c r="Y11" s="82"/>
      <c r="Z11" s="82"/>
      <c r="AA11" s="82"/>
      <c r="AB11" s="82" t="s">
        <v>150</v>
      </c>
      <c r="AC11" s="82" t="s">
        <v>151</v>
      </c>
      <c r="AD11" s="82" t="s">
        <v>152</v>
      </c>
      <c r="AE11" s="82" t="s">
        <v>153</v>
      </c>
      <c r="AF11" s="82"/>
      <c r="AG11" s="82"/>
      <c r="AH11" s="82"/>
      <c r="AI11" s="82"/>
      <c r="AJ11" s="82"/>
      <c r="AK11" s="82"/>
      <c r="AL11" s="99"/>
      <c r="AM11" s="82"/>
      <c r="AN11" s="82"/>
      <c r="AO11" s="82" t="s">
        <v>143</v>
      </c>
      <c r="AP11" s="99" t="s">
        <v>154</v>
      </c>
      <c r="AQ11" s="82" t="s">
        <v>155</v>
      </c>
      <c r="AR11" s="99" t="s">
        <v>139</v>
      </c>
      <c r="AS11" s="82" t="s">
        <v>156</v>
      </c>
      <c r="AT11" s="89" t="s">
        <v>51</v>
      </c>
      <c r="AU11" s="67" t="s">
        <v>157</v>
      </c>
      <c r="AV11" s="69" t="s">
        <v>145</v>
      </c>
      <c r="AW11" s="67"/>
      <c r="AX11" s="67"/>
      <c r="AY11" s="67" t="s">
        <v>158</v>
      </c>
      <c r="AZ11" s="67"/>
      <c r="BA11" s="67"/>
      <c r="BB11" s="67" t="s">
        <v>158</v>
      </c>
      <c r="BC11" s="67"/>
      <c r="BD11" s="67"/>
      <c r="BE11" s="89" t="s">
        <v>159</v>
      </c>
      <c r="BF11" s="19"/>
      <c r="BG11" s="93" t="s">
        <v>146</v>
      </c>
      <c r="BH11" s="109"/>
      <c r="BI11" s="93" t="s">
        <v>146</v>
      </c>
      <c r="BJ11" s="93" t="s">
        <v>146</v>
      </c>
      <c r="BK11" s="64"/>
      <c r="BL11" s="19"/>
      <c r="BM11" s="65"/>
      <c r="BO11" s="371"/>
      <c r="BP11" s="340"/>
      <c r="BQ11" s="340"/>
      <c r="BR11" s="340"/>
      <c r="BS11" s="340"/>
      <c r="BT11" s="378"/>
      <c r="BU11" s="379"/>
      <c r="BV11" s="340"/>
      <c r="BW11" s="340"/>
      <c r="BX11" s="340"/>
      <c r="BY11" s="340"/>
      <c r="BZ11" s="340"/>
    </row>
    <row r="12" spans="1:78" s="2" customFormat="1">
      <c r="A12" s="42"/>
      <c r="B12" s="42"/>
      <c r="C12" s="69" t="s">
        <v>89</v>
      </c>
      <c r="D12" s="69" t="s">
        <v>112</v>
      </c>
      <c r="E12" s="67"/>
      <c r="F12" s="68"/>
      <c r="G12" s="104" t="s">
        <v>160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9"/>
      <c r="U12" s="67"/>
      <c r="V12" s="82"/>
      <c r="W12" s="82"/>
      <c r="X12" s="82"/>
      <c r="Y12" s="82"/>
      <c r="Z12" s="82"/>
      <c r="AA12" s="82"/>
      <c r="AB12" s="82" t="s">
        <v>161</v>
      </c>
      <c r="AC12" s="82" t="s">
        <v>162</v>
      </c>
      <c r="AD12" s="82" t="s">
        <v>163</v>
      </c>
      <c r="AE12" s="82" t="s">
        <v>164</v>
      </c>
      <c r="AF12" s="82"/>
      <c r="AG12" s="82"/>
      <c r="AH12" s="82"/>
      <c r="AI12" s="82"/>
      <c r="AJ12" s="82"/>
      <c r="AK12" s="82"/>
      <c r="AL12" s="99"/>
      <c r="AM12" s="82"/>
      <c r="AN12" s="82"/>
      <c r="AO12" s="82"/>
      <c r="AP12" s="99" t="s">
        <v>165</v>
      </c>
      <c r="AQ12" s="82" t="s">
        <v>166</v>
      </c>
      <c r="AR12" s="110" t="s">
        <v>167</v>
      </c>
      <c r="AS12" s="82" t="s">
        <v>168</v>
      </c>
      <c r="AT12" s="82" t="s">
        <v>169</v>
      </c>
      <c r="AU12" s="111" t="s">
        <v>170</v>
      </c>
      <c r="AV12" s="69" t="s">
        <v>158</v>
      </c>
      <c r="AW12" s="67"/>
      <c r="AX12" s="67"/>
      <c r="AY12" s="67" t="s">
        <v>146</v>
      </c>
      <c r="AZ12" s="67"/>
      <c r="BA12" s="67"/>
      <c r="BB12" s="67" t="s">
        <v>146</v>
      </c>
      <c r="BC12" s="67"/>
      <c r="BD12" s="67"/>
      <c r="BE12" s="89" t="s">
        <v>77</v>
      </c>
      <c r="BF12" s="19"/>
      <c r="BG12" s="112" t="s">
        <v>171</v>
      </c>
      <c r="BH12" s="113"/>
      <c r="BI12" s="112" t="s">
        <v>171</v>
      </c>
      <c r="BJ12" s="112" t="s">
        <v>159</v>
      </c>
      <c r="BK12" s="64"/>
      <c r="BL12" s="19"/>
      <c r="BM12" s="65"/>
      <c r="BO12" s="376"/>
      <c r="BP12" s="340"/>
      <c r="BQ12" s="340"/>
      <c r="BR12" s="340"/>
      <c r="BS12" s="340"/>
      <c r="BT12" s="340"/>
      <c r="BU12" s="377"/>
      <c r="BV12" s="340"/>
      <c r="BW12" s="340"/>
      <c r="BX12" s="340"/>
      <c r="BY12" s="340"/>
      <c r="BZ12" s="340"/>
    </row>
    <row r="13" spans="1:78" s="2" customFormat="1" ht="15.75" thickBot="1">
      <c r="A13" s="116"/>
      <c r="B13" s="116"/>
      <c r="C13" s="117" t="s">
        <v>172</v>
      </c>
      <c r="D13" s="118" t="s">
        <v>132</v>
      </c>
      <c r="E13" s="117"/>
      <c r="F13" s="119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8"/>
      <c r="U13" s="117"/>
      <c r="V13" s="120"/>
      <c r="W13" s="120"/>
      <c r="X13" s="120"/>
      <c r="Y13" s="120"/>
      <c r="Z13" s="120"/>
      <c r="AA13" s="120"/>
      <c r="AB13" s="120" t="s">
        <v>173</v>
      </c>
      <c r="AC13" s="120" t="s">
        <v>174</v>
      </c>
      <c r="AD13" s="120"/>
      <c r="AE13" s="120" t="s">
        <v>175</v>
      </c>
      <c r="AF13" s="120"/>
      <c r="AG13" s="120"/>
      <c r="AH13" s="120"/>
      <c r="AI13" s="120"/>
      <c r="AJ13" s="120"/>
      <c r="AK13" s="120"/>
      <c r="AL13" s="121"/>
      <c r="AM13" s="120"/>
      <c r="AN13" s="120"/>
      <c r="AO13" s="122" t="s">
        <v>16</v>
      </c>
      <c r="AP13" s="121"/>
      <c r="AQ13" s="120" t="s">
        <v>176</v>
      </c>
      <c r="AR13" s="123" t="s">
        <v>77</v>
      </c>
      <c r="AS13" s="124" t="s">
        <v>177</v>
      </c>
      <c r="AT13" s="120" t="s">
        <v>178</v>
      </c>
      <c r="AU13" s="125">
        <f>[1]Законодавство!F24</f>
        <v>0.22</v>
      </c>
      <c r="AV13" s="118" t="s">
        <v>146</v>
      </c>
      <c r="AW13" s="117"/>
      <c r="AX13" s="117"/>
      <c r="AY13" s="117"/>
      <c r="AZ13" s="117"/>
      <c r="BA13" s="117"/>
      <c r="BB13" s="117"/>
      <c r="BC13" s="117"/>
      <c r="BD13" s="117"/>
      <c r="BE13" s="126"/>
      <c r="BF13" s="127"/>
      <c r="BG13" s="128" t="s">
        <v>77</v>
      </c>
      <c r="BH13" s="129">
        <v>0.33300000000000002</v>
      </c>
      <c r="BI13" s="130" t="s">
        <v>77</v>
      </c>
      <c r="BJ13" s="131" t="s">
        <v>77</v>
      </c>
      <c r="BK13" s="132"/>
      <c r="BL13" s="133"/>
      <c r="BM13" s="134"/>
      <c r="BO13" s="340"/>
      <c r="BP13" s="340"/>
      <c r="BQ13" s="340"/>
      <c r="BR13" s="340"/>
      <c r="BS13" s="340"/>
      <c r="BT13" s="340"/>
      <c r="BU13" s="340"/>
      <c r="BV13" s="340"/>
      <c r="BW13" s="340"/>
      <c r="BX13" s="340"/>
      <c r="BY13" s="340"/>
      <c r="BZ13" s="340"/>
    </row>
    <row r="14" spans="1:78" s="2" customFormat="1" ht="15.75">
      <c r="A14" s="135">
        <f>IF(B14&lt;&gt;"",1,"")</f>
        <v>1</v>
      </c>
      <c r="B14" s="136" t="s">
        <v>259</v>
      </c>
      <c r="C14" s="137"/>
      <c r="D14" s="137"/>
      <c r="E14" s="138"/>
      <c r="F14" s="138"/>
      <c r="G14" s="139">
        <f t="shared" ref="G14:G48" si="1">IF(B14="","",IF(D14="",G$99,DAY(D14))-IF(C14="",0,DAY(C14)-1))</f>
        <v>31</v>
      </c>
      <c r="H14" s="138">
        <v>17</v>
      </c>
      <c r="I14" s="140">
        <v>135</v>
      </c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1">
        <f>SUM(H14,J14,L14,N14,P14,R14)</f>
        <v>17</v>
      </c>
      <c r="U14" s="141">
        <f>SUM(I14,K14,M14,O14,Q14,S14)</f>
        <v>135</v>
      </c>
      <c r="V14" s="142">
        <v>7097</v>
      </c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3">
        <f>SUM(V14:AK14)</f>
        <v>7097</v>
      </c>
      <c r="AM14" s="144"/>
      <c r="AN14" s="144"/>
      <c r="AO14" s="145">
        <f>SUM(AL14:AN14)</f>
        <v>7097</v>
      </c>
      <c r="AP14" s="144"/>
      <c r="AQ14" s="144"/>
      <c r="AR14" s="146">
        <f>SUM(AP14:AQ14)</f>
        <v>0</v>
      </c>
      <c r="AS14" s="143">
        <f t="shared" ref="AS14:AS48" si="2">SUM(AO14,AP14)</f>
        <v>7097</v>
      </c>
      <c r="AT14" s="146">
        <f t="shared" ref="AT14:AT48" si="3">SUM(AL14,AM14,AN14,AR14)</f>
        <v>7097</v>
      </c>
      <c r="AU14" s="147">
        <f>ROUND(IF(AND(AT14&gt;=3723,G14&lt;=$G$99),IFERROR(IF(FIND("Інвалид",B14,1)&gt;0,AT14*0.0841,""),AT14*0.22),IF(AND(AT14&lt;3723,G14=$G$99),IFERROR(IF(FIND("Інвалид",B14,1)&gt;0,AT14*0.0841,""),819.06),IF(AND(G14&lt;$G$99,AT14&lt;3723),IFERROR(IF(FIND("Інвалид",B14,1)&gt;0,AT14*0.0841,""),AT14*0.22)))),2)</f>
        <v>596.86</v>
      </c>
      <c r="AV14" s="148">
        <f>ROUND(MAX(0,18%*(AS14-IFERROR(IF(FIND("Пільга 150%",B14,1)&gt;0,1321.5,""),881)*(AT14&lt;=2470)*ISBLANK(D14))),2)</f>
        <v>1277.46</v>
      </c>
      <c r="AW14" s="148">
        <f>ROUND(MAX(0,18%*(AQ14-881*(AT14&lt;=2470))),2)</f>
        <v>0</v>
      </c>
      <c r="AX14" s="149">
        <f>SUM(AV14:AW14)</f>
        <v>1277.46</v>
      </c>
      <c r="AY14" s="150">
        <f>ROUND(AS14*$BA$6,2)</f>
        <v>106.46</v>
      </c>
      <c r="AZ14" s="150">
        <f t="shared" ref="AZ14:AZ48" si="4">ROUND(AQ14*$BA$6,2)</f>
        <v>0</v>
      </c>
      <c r="BA14" s="149">
        <f>SUM(AY14:AZ14)</f>
        <v>106.46</v>
      </c>
      <c r="BB14" s="150">
        <f>SUM(AV14,AY14)</f>
        <v>1383.92</v>
      </c>
      <c r="BC14" s="150">
        <f>SUM(AW14,AZ14)</f>
        <v>0</v>
      </c>
      <c r="BD14" s="149">
        <f>SUM(BB14:BC14)</f>
        <v>1383.92</v>
      </c>
      <c r="BE14" s="143">
        <f t="shared" ref="BE14:BE48" si="5">AS14-BB14</f>
        <v>5713.08</v>
      </c>
      <c r="BF14" s="143">
        <f t="shared" ref="BF14:BF48" si="6">AQ14-BC14</f>
        <v>0</v>
      </c>
      <c r="BG14" s="143">
        <f>SUM(BE14:BF14)</f>
        <v>5713.08</v>
      </c>
      <c r="BH14" s="150"/>
      <c r="BI14" s="143">
        <f>BG14-BH14</f>
        <v>5713.08</v>
      </c>
      <c r="BJ14" s="146">
        <f>BE14-BH14</f>
        <v>5713.08</v>
      </c>
      <c r="BK14" s="151" t="str">
        <f>IFERROR(IF(B14="","",LEFTB(B14,SEARCH("|",SUBSTITUTE(B14," ","|",3))-1)),B14)</f>
        <v>Иванов Иван Иванович</v>
      </c>
      <c r="BL14" s="20"/>
      <c r="BM14" s="152"/>
      <c r="BO14" s="371"/>
      <c r="BP14" s="340"/>
      <c r="BQ14" s="340"/>
      <c r="BR14" s="340"/>
      <c r="BS14" s="340"/>
      <c r="BT14" s="340"/>
      <c r="BU14" s="340"/>
      <c r="BV14" s="340"/>
      <c r="BW14" s="340"/>
      <c r="BX14" s="340"/>
      <c r="BY14" s="340"/>
      <c r="BZ14" s="340"/>
    </row>
    <row r="15" spans="1:78" s="2" customFormat="1" ht="15.75">
      <c r="A15" s="135">
        <f>IF(B15&lt;&gt;"",A14+1,"")</f>
        <v>2</v>
      </c>
      <c r="B15" s="167" t="s">
        <v>260</v>
      </c>
      <c r="C15" s="137"/>
      <c r="D15" s="137"/>
      <c r="E15" s="138" t="s">
        <v>179</v>
      </c>
      <c r="F15" s="138"/>
      <c r="G15" s="139">
        <f t="shared" si="1"/>
        <v>31</v>
      </c>
      <c r="H15" s="138">
        <v>17</v>
      </c>
      <c r="I15" s="138">
        <v>135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41">
        <f t="shared" ref="T15:U48" si="7">SUM(H15,J15,L15,N15,P15,R15)</f>
        <v>17</v>
      </c>
      <c r="U15" s="141">
        <f t="shared" si="7"/>
        <v>135</v>
      </c>
      <c r="V15" s="153">
        <v>6943</v>
      </c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43">
        <f t="shared" ref="AL15:AL48" si="8">SUM(V15:AK15)</f>
        <v>6943</v>
      </c>
      <c r="AM15" s="154">
        <v>1137.22</v>
      </c>
      <c r="AN15" s="154"/>
      <c r="AO15" s="143">
        <f t="shared" ref="AO15:AO48" si="9">SUM(AL15:AN15)</f>
        <v>8080.22</v>
      </c>
      <c r="AP15" s="154"/>
      <c r="AQ15" s="154"/>
      <c r="AR15" s="146">
        <f t="shared" ref="AR15:AR48" si="10">SUM(AP15:AQ15)</f>
        <v>0</v>
      </c>
      <c r="AS15" s="143">
        <f t="shared" si="2"/>
        <v>8080.22</v>
      </c>
      <c r="AT15" s="146">
        <f t="shared" si="3"/>
        <v>8080.22</v>
      </c>
      <c r="AU15" s="147">
        <f t="shared" ref="AU15:AU48" si="11">ROUND(IF(AND(AT15&gt;=3723,G15&lt;=$G$99),IFERROR(IF(FIND("Інвалид",B15,1)&gt;0,AT15*0.0841,""),AT15*0.22),IF(AND(AT15&lt;3723,G15=$G$99),IFERROR(IF(FIND("Інвалид",B15,1)&gt;0,AT15*0.0841,""),819.06),IF(AND(G15&lt;$G$99,AT15&lt;3723),IFERROR(IF(FIND("Інвалид",B15,1)&gt;0,AT15*0.0841,""),AT15*0.22)))),2)</f>
        <v>1777.65</v>
      </c>
      <c r="AV15" s="148">
        <f t="shared" ref="AV15:AV48" si="12">ROUND(MAX(0,18%*(AS15-IFERROR(IF(FIND("Пільга 150%",B15,1)&gt;0,1321.5,""),881)*(AT15&lt;=2470)*ISBLANK(D15))),2)</f>
        <v>1454.44</v>
      </c>
      <c r="AW15" s="148">
        <f t="shared" ref="AW15:AW48" si="13">ROUND(MAX(0,18%*(AQ15-881*(AT15&lt;=2470))),2)</f>
        <v>0</v>
      </c>
      <c r="AX15" s="149">
        <f t="shared" ref="AX15:AX48" si="14">SUM(AV15:AW15)</f>
        <v>1454.44</v>
      </c>
      <c r="AY15" s="150">
        <f t="shared" ref="AY15:AY48" si="15">ROUND(AS15*$BA$6,2)</f>
        <v>121.2</v>
      </c>
      <c r="AZ15" s="150">
        <f t="shared" si="4"/>
        <v>0</v>
      </c>
      <c r="BA15" s="149">
        <f t="shared" ref="BA15:BA48" si="16">SUM(AY15:AZ15)</f>
        <v>121.2</v>
      </c>
      <c r="BB15" s="150">
        <f t="shared" ref="BB15:BC48" si="17">SUM(AV15,AY15)</f>
        <v>1575.64</v>
      </c>
      <c r="BC15" s="150">
        <f t="shared" si="17"/>
        <v>0</v>
      </c>
      <c r="BD15" s="149">
        <f t="shared" ref="BD15:BD48" si="18">SUM(BB15:BC15)</f>
        <v>1575.64</v>
      </c>
      <c r="BE15" s="143">
        <f t="shared" si="5"/>
        <v>6504.58</v>
      </c>
      <c r="BF15" s="143">
        <f t="shared" si="6"/>
        <v>0</v>
      </c>
      <c r="BG15" s="143">
        <f t="shared" ref="BG15:BG48" si="19">SUM(BE15:BF15)</f>
        <v>6504.58</v>
      </c>
      <c r="BH15" s="155"/>
      <c r="BI15" s="143">
        <f t="shared" ref="BI15:BI48" si="20">BG15-BH15</f>
        <v>6504.58</v>
      </c>
      <c r="BJ15" s="146">
        <f t="shared" ref="BJ15:BJ48" si="21">BE15-BH15</f>
        <v>6504.58</v>
      </c>
      <c r="BK15" s="151" t="str">
        <f t="shared" ref="BK15:BK48" si="22">IFERROR(IF(B15="","",LEFTB(B15,SEARCH("|",SUBSTITUTE(B15," ","|",3))-1)),B15)</f>
        <v>Петров Пётр Петрович</v>
      </c>
      <c r="BL15" s="27"/>
      <c r="BM15" s="152"/>
    </row>
    <row r="16" spans="1:78" s="2" customFormat="1" ht="15.75">
      <c r="A16" s="135">
        <f t="shared" ref="A16:A48" si="23">IF(B16&lt;&gt;"",A15+1,"")</f>
        <v>3</v>
      </c>
      <c r="B16" s="167" t="s">
        <v>261</v>
      </c>
      <c r="C16" s="137"/>
      <c r="D16" s="137"/>
      <c r="E16" s="138" t="s">
        <v>180</v>
      </c>
      <c r="F16" s="138"/>
      <c r="G16" s="139">
        <f t="shared" si="1"/>
        <v>31</v>
      </c>
      <c r="H16" s="138">
        <v>17</v>
      </c>
      <c r="I16" s="138">
        <v>135</v>
      </c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41">
        <f t="shared" si="7"/>
        <v>17</v>
      </c>
      <c r="U16" s="141">
        <f t="shared" si="7"/>
        <v>135</v>
      </c>
      <c r="V16" s="153">
        <v>6326</v>
      </c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43">
        <f t="shared" si="8"/>
        <v>6326</v>
      </c>
      <c r="AM16" s="154">
        <v>778.8</v>
      </c>
      <c r="AN16" s="154"/>
      <c r="AO16" s="143">
        <f t="shared" si="9"/>
        <v>7104.8</v>
      </c>
      <c r="AP16" s="154"/>
      <c r="AQ16" s="154"/>
      <c r="AR16" s="146">
        <f t="shared" si="10"/>
        <v>0</v>
      </c>
      <c r="AS16" s="143">
        <f t="shared" si="2"/>
        <v>7104.8</v>
      </c>
      <c r="AT16" s="146">
        <f t="shared" si="3"/>
        <v>7104.8</v>
      </c>
      <c r="AU16" s="147">
        <f t="shared" si="11"/>
        <v>1563.06</v>
      </c>
      <c r="AV16" s="148">
        <f t="shared" si="12"/>
        <v>1278.8599999999999</v>
      </c>
      <c r="AW16" s="148">
        <f t="shared" si="13"/>
        <v>0</v>
      </c>
      <c r="AX16" s="149">
        <f t="shared" si="14"/>
        <v>1278.8599999999999</v>
      </c>
      <c r="AY16" s="150">
        <f t="shared" si="15"/>
        <v>106.57</v>
      </c>
      <c r="AZ16" s="150">
        <f t="shared" si="4"/>
        <v>0</v>
      </c>
      <c r="BA16" s="149">
        <f t="shared" si="16"/>
        <v>106.57</v>
      </c>
      <c r="BB16" s="150">
        <f t="shared" si="17"/>
        <v>1385.4299999999998</v>
      </c>
      <c r="BC16" s="150">
        <f t="shared" si="17"/>
        <v>0</v>
      </c>
      <c r="BD16" s="149">
        <f t="shared" si="18"/>
        <v>1385.4299999999998</v>
      </c>
      <c r="BE16" s="143">
        <f t="shared" si="5"/>
        <v>5719.3700000000008</v>
      </c>
      <c r="BF16" s="143">
        <f t="shared" si="6"/>
        <v>0</v>
      </c>
      <c r="BG16" s="143">
        <f t="shared" si="19"/>
        <v>5719.3700000000008</v>
      </c>
      <c r="BH16" s="155"/>
      <c r="BI16" s="143">
        <f t="shared" si="20"/>
        <v>5719.3700000000008</v>
      </c>
      <c r="BJ16" s="146">
        <f t="shared" si="21"/>
        <v>5719.3700000000008</v>
      </c>
      <c r="BK16" s="151" t="str">
        <f t="shared" si="22"/>
        <v xml:space="preserve">Иваненко Илья </v>
      </c>
      <c r="BL16" s="27"/>
      <c r="BM16" s="152"/>
    </row>
    <row r="17" spans="1:67" s="2" customFormat="1" ht="15.75">
      <c r="A17" s="135">
        <f t="shared" si="23"/>
        <v>4</v>
      </c>
      <c r="B17" s="167" t="s">
        <v>263</v>
      </c>
      <c r="C17" s="137"/>
      <c r="D17" s="137"/>
      <c r="E17" s="138"/>
      <c r="F17" s="138"/>
      <c r="G17" s="139">
        <f t="shared" si="1"/>
        <v>31</v>
      </c>
      <c r="H17" s="138">
        <v>17</v>
      </c>
      <c r="I17" s="138">
        <v>135</v>
      </c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41">
        <f t="shared" si="7"/>
        <v>17</v>
      </c>
      <c r="U17" s="141">
        <f t="shared" si="7"/>
        <v>135</v>
      </c>
      <c r="V17" s="153">
        <v>4629</v>
      </c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43">
        <f t="shared" si="8"/>
        <v>4629</v>
      </c>
      <c r="AM17" s="154"/>
      <c r="AN17" s="154"/>
      <c r="AO17" s="143">
        <f t="shared" si="9"/>
        <v>4629</v>
      </c>
      <c r="AP17" s="154"/>
      <c r="AQ17" s="154"/>
      <c r="AR17" s="146">
        <f t="shared" si="10"/>
        <v>0</v>
      </c>
      <c r="AS17" s="143">
        <f t="shared" si="2"/>
        <v>4629</v>
      </c>
      <c r="AT17" s="146">
        <f t="shared" si="3"/>
        <v>4629</v>
      </c>
      <c r="AU17" s="147">
        <f t="shared" si="11"/>
        <v>1018.38</v>
      </c>
      <c r="AV17" s="148">
        <f t="shared" si="12"/>
        <v>833.22</v>
      </c>
      <c r="AW17" s="148">
        <f t="shared" si="13"/>
        <v>0</v>
      </c>
      <c r="AX17" s="149">
        <f t="shared" si="14"/>
        <v>833.22</v>
      </c>
      <c r="AY17" s="150">
        <f t="shared" si="15"/>
        <v>69.44</v>
      </c>
      <c r="AZ17" s="150">
        <f t="shared" si="4"/>
        <v>0</v>
      </c>
      <c r="BA17" s="149">
        <f t="shared" si="16"/>
        <v>69.44</v>
      </c>
      <c r="BB17" s="150">
        <f t="shared" si="17"/>
        <v>902.66000000000008</v>
      </c>
      <c r="BC17" s="150">
        <f t="shared" si="17"/>
        <v>0</v>
      </c>
      <c r="BD17" s="149">
        <f t="shared" si="18"/>
        <v>902.66000000000008</v>
      </c>
      <c r="BE17" s="143">
        <f t="shared" si="5"/>
        <v>3726.34</v>
      </c>
      <c r="BF17" s="143">
        <f t="shared" si="6"/>
        <v>0</v>
      </c>
      <c r="BG17" s="143">
        <f t="shared" si="19"/>
        <v>3726.34</v>
      </c>
      <c r="BH17" s="156">
        <f>ROUND(BG17*$BH$8,2)</f>
        <v>931.59</v>
      </c>
      <c r="BI17" s="143">
        <f>BG17-BH17</f>
        <v>2794.75</v>
      </c>
      <c r="BJ17" s="146">
        <f>BE17-BH17</f>
        <v>2794.75</v>
      </c>
      <c r="BK17" s="151" t="str">
        <f t="shared" si="22"/>
        <v>Петренко Павел Павлович</v>
      </c>
      <c r="BL17" s="27"/>
      <c r="BM17" s="152"/>
    </row>
    <row r="18" spans="1:67" s="2" customFormat="1" ht="15.75">
      <c r="A18" s="135">
        <f t="shared" si="23"/>
        <v>5</v>
      </c>
      <c r="B18" s="165" t="s">
        <v>264</v>
      </c>
      <c r="C18" s="137"/>
      <c r="D18" s="137"/>
      <c r="E18" s="138" t="s">
        <v>179</v>
      </c>
      <c r="F18" s="138"/>
      <c r="G18" s="157">
        <f t="shared" si="1"/>
        <v>31</v>
      </c>
      <c r="H18" s="138">
        <v>17</v>
      </c>
      <c r="I18" s="138">
        <v>135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58">
        <f t="shared" si="7"/>
        <v>17</v>
      </c>
      <c r="U18" s="158">
        <f t="shared" si="7"/>
        <v>135</v>
      </c>
      <c r="V18" s="153">
        <v>6249</v>
      </c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43">
        <f t="shared" si="8"/>
        <v>6249</v>
      </c>
      <c r="AM18" s="154">
        <v>1111.18</v>
      </c>
      <c r="AN18" s="154"/>
      <c r="AO18" s="159">
        <f t="shared" si="9"/>
        <v>7360.18</v>
      </c>
      <c r="AP18" s="160"/>
      <c r="AQ18" s="160"/>
      <c r="AR18" s="161">
        <f t="shared" si="10"/>
        <v>0</v>
      </c>
      <c r="AS18" s="159">
        <f t="shared" si="2"/>
        <v>7360.18</v>
      </c>
      <c r="AT18" s="161">
        <f t="shared" si="3"/>
        <v>7360.18</v>
      </c>
      <c r="AU18" s="147">
        <f t="shared" si="11"/>
        <v>1619.24</v>
      </c>
      <c r="AV18" s="148">
        <f t="shared" si="12"/>
        <v>1324.83</v>
      </c>
      <c r="AW18" s="148">
        <f t="shared" si="13"/>
        <v>0</v>
      </c>
      <c r="AX18" s="149">
        <f t="shared" si="14"/>
        <v>1324.83</v>
      </c>
      <c r="AY18" s="150">
        <f t="shared" si="15"/>
        <v>110.4</v>
      </c>
      <c r="AZ18" s="150">
        <f t="shared" si="4"/>
        <v>0</v>
      </c>
      <c r="BA18" s="149">
        <f t="shared" si="16"/>
        <v>110.4</v>
      </c>
      <c r="BB18" s="150">
        <f t="shared" si="17"/>
        <v>1435.23</v>
      </c>
      <c r="BC18" s="150">
        <f t="shared" si="17"/>
        <v>0</v>
      </c>
      <c r="BD18" s="149">
        <f t="shared" si="18"/>
        <v>1435.23</v>
      </c>
      <c r="BE18" s="159">
        <f t="shared" si="5"/>
        <v>5924.9500000000007</v>
      </c>
      <c r="BF18" s="159">
        <f t="shared" si="6"/>
        <v>0</v>
      </c>
      <c r="BG18" s="159">
        <f t="shared" si="19"/>
        <v>5924.9500000000007</v>
      </c>
      <c r="BH18" s="162"/>
      <c r="BI18" s="143">
        <f>BG18-BH18</f>
        <v>5924.9500000000007</v>
      </c>
      <c r="BJ18" s="146">
        <f>BE18-BH18</f>
        <v>5924.9500000000007</v>
      </c>
      <c r="BK18" s="151" t="str">
        <f t="shared" si="22"/>
        <v>Сергиенко Валерий Николаевич</v>
      </c>
      <c r="BL18" s="163"/>
      <c r="BM18" s="164"/>
    </row>
    <row r="19" spans="1:67" s="2" customFormat="1" ht="15.75">
      <c r="A19" s="135">
        <f t="shared" si="23"/>
        <v>6</v>
      </c>
      <c r="B19" s="167" t="s">
        <v>265</v>
      </c>
      <c r="C19" s="137"/>
      <c r="D19" s="137"/>
      <c r="E19" s="138" t="s">
        <v>180</v>
      </c>
      <c r="F19" s="138"/>
      <c r="G19" s="139">
        <f t="shared" si="1"/>
        <v>31</v>
      </c>
      <c r="H19" s="138">
        <v>17</v>
      </c>
      <c r="I19" s="138">
        <v>135</v>
      </c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58">
        <f t="shared" si="7"/>
        <v>17</v>
      </c>
      <c r="U19" s="158">
        <f t="shared" si="7"/>
        <v>135</v>
      </c>
      <c r="V19" s="153">
        <v>6326</v>
      </c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43">
        <f t="shared" si="8"/>
        <v>6326</v>
      </c>
      <c r="AM19" s="154">
        <v>766.3</v>
      </c>
      <c r="AN19" s="154"/>
      <c r="AO19" s="143">
        <f t="shared" si="9"/>
        <v>7092.3</v>
      </c>
      <c r="AP19" s="154"/>
      <c r="AQ19" s="154"/>
      <c r="AR19" s="146">
        <f t="shared" si="10"/>
        <v>0</v>
      </c>
      <c r="AS19" s="143">
        <f t="shared" si="2"/>
        <v>7092.3</v>
      </c>
      <c r="AT19" s="146">
        <f t="shared" si="3"/>
        <v>7092.3</v>
      </c>
      <c r="AU19" s="147">
        <f t="shared" si="11"/>
        <v>1560.31</v>
      </c>
      <c r="AV19" s="148">
        <f t="shared" si="12"/>
        <v>1276.6099999999999</v>
      </c>
      <c r="AW19" s="148">
        <f t="shared" si="13"/>
        <v>0</v>
      </c>
      <c r="AX19" s="149">
        <f t="shared" si="14"/>
        <v>1276.6099999999999</v>
      </c>
      <c r="AY19" s="150">
        <f t="shared" si="15"/>
        <v>106.38</v>
      </c>
      <c r="AZ19" s="150">
        <f t="shared" si="4"/>
        <v>0</v>
      </c>
      <c r="BA19" s="149">
        <f t="shared" si="16"/>
        <v>106.38</v>
      </c>
      <c r="BB19" s="150">
        <f t="shared" si="17"/>
        <v>1382.9899999999998</v>
      </c>
      <c r="BC19" s="150">
        <f t="shared" si="17"/>
        <v>0</v>
      </c>
      <c r="BD19" s="149">
        <f t="shared" si="18"/>
        <v>1382.9899999999998</v>
      </c>
      <c r="BE19" s="143">
        <f t="shared" si="5"/>
        <v>5709.31</v>
      </c>
      <c r="BF19" s="143">
        <f t="shared" si="6"/>
        <v>0</v>
      </c>
      <c r="BG19" s="143">
        <f t="shared" si="19"/>
        <v>5709.31</v>
      </c>
      <c r="BH19" s="162"/>
      <c r="BI19" s="143">
        <f>BG19-BH19</f>
        <v>5709.31</v>
      </c>
      <c r="BJ19" s="146">
        <f>BE19-BH19</f>
        <v>5709.31</v>
      </c>
      <c r="BK19" s="151" t="str">
        <f t="shared" si="22"/>
        <v>Травкин Сергей Петрович</v>
      </c>
      <c r="BL19" s="27"/>
      <c r="BM19" s="152"/>
      <c r="BO19" s="15"/>
    </row>
    <row r="20" spans="1:67" s="2" customFormat="1" ht="15.75">
      <c r="A20" s="135">
        <f t="shared" si="23"/>
        <v>7</v>
      </c>
      <c r="B20" s="167" t="s">
        <v>266</v>
      </c>
      <c r="C20" s="137"/>
      <c r="D20" s="137"/>
      <c r="E20" s="138"/>
      <c r="F20" s="138"/>
      <c r="G20" s="139">
        <f t="shared" si="1"/>
        <v>31</v>
      </c>
      <c r="H20" s="138">
        <v>17</v>
      </c>
      <c r="I20" s="138">
        <v>135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58">
        <f t="shared" si="7"/>
        <v>17</v>
      </c>
      <c r="U20" s="158">
        <f t="shared" si="7"/>
        <v>135</v>
      </c>
      <c r="V20" s="153">
        <v>5400</v>
      </c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43">
        <f t="shared" si="8"/>
        <v>5400</v>
      </c>
      <c r="AM20" s="154"/>
      <c r="AN20" s="154"/>
      <c r="AO20" s="143">
        <f t="shared" si="9"/>
        <v>5400</v>
      </c>
      <c r="AP20" s="154"/>
      <c r="AQ20" s="154"/>
      <c r="AR20" s="146">
        <f t="shared" si="10"/>
        <v>0</v>
      </c>
      <c r="AS20" s="143">
        <f t="shared" si="2"/>
        <v>5400</v>
      </c>
      <c r="AT20" s="146">
        <f t="shared" si="3"/>
        <v>5400</v>
      </c>
      <c r="AU20" s="147">
        <f t="shared" si="11"/>
        <v>1188</v>
      </c>
      <c r="AV20" s="148">
        <f t="shared" si="12"/>
        <v>972</v>
      </c>
      <c r="AW20" s="148">
        <f t="shared" si="13"/>
        <v>0</v>
      </c>
      <c r="AX20" s="149">
        <f t="shared" si="14"/>
        <v>972</v>
      </c>
      <c r="AY20" s="150">
        <f t="shared" si="15"/>
        <v>81</v>
      </c>
      <c r="AZ20" s="150">
        <f t="shared" si="4"/>
        <v>0</v>
      </c>
      <c r="BA20" s="149">
        <f t="shared" si="16"/>
        <v>81</v>
      </c>
      <c r="BB20" s="150">
        <f t="shared" si="17"/>
        <v>1053</v>
      </c>
      <c r="BC20" s="150">
        <f t="shared" si="17"/>
        <v>0</v>
      </c>
      <c r="BD20" s="149">
        <f t="shared" si="18"/>
        <v>1053</v>
      </c>
      <c r="BE20" s="143">
        <f t="shared" si="5"/>
        <v>4347</v>
      </c>
      <c r="BF20" s="143">
        <f t="shared" si="6"/>
        <v>0</v>
      </c>
      <c r="BG20" s="143">
        <f t="shared" si="19"/>
        <v>4347</v>
      </c>
      <c r="BH20" s="155"/>
      <c r="BI20" s="143">
        <f t="shared" si="20"/>
        <v>4347</v>
      </c>
      <c r="BJ20" s="146">
        <f t="shared" si="21"/>
        <v>4347</v>
      </c>
      <c r="BK20" s="151" t="str">
        <f t="shared" si="22"/>
        <v>Пономарёв Олег Олегович</v>
      </c>
      <c r="BL20" s="27"/>
      <c r="BM20" s="152"/>
      <c r="BO20" s="15"/>
    </row>
    <row r="21" spans="1:67" s="2" customFormat="1" ht="15.75">
      <c r="A21" s="135">
        <f t="shared" si="23"/>
        <v>8</v>
      </c>
      <c r="B21" s="368" t="s">
        <v>287</v>
      </c>
      <c r="C21" s="137">
        <v>43340</v>
      </c>
      <c r="D21" s="137"/>
      <c r="E21" s="138"/>
      <c r="F21" s="138"/>
      <c r="G21" s="139">
        <f t="shared" si="1"/>
        <v>4</v>
      </c>
      <c r="H21" s="138">
        <v>2</v>
      </c>
      <c r="I21" s="138">
        <v>16</v>
      </c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58">
        <f t="shared" si="7"/>
        <v>2</v>
      </c>
      <c r="U21" s="158">
        <f t="shared" si="7"/>
        <v>16</v>
      </c>
      <c r="V21" s="153">
        <v>512</v>
      </c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43">
        <f t="shared" si="8"/>
        <v>512</v>
      </c>
      <c r="AM21" s="154"/>
      <c r="AN21" s="154"/>
      <c r="AO21" s="143">
        <f t="shared" si="9"/>
        <v>512</v>
      </c>
      <c r="AP21" s="154"/>
      <c r="AQ21" s="154"/>
      <c r="AR21" s="146">
        <f t="shared" si="10"/>
        <v>0</v>
      </c>
      <c r="AS21" s="143">
        <f t="shared" si="2"/>
        <v>512</v>
      </c>
      <c r="AT21" s="146">
        <f t="shared" si="3"/>
        <v>512</v>
      </c>
      <c r="AU21" s="147">
        <f t="shared" si="11"/>
        <v>112.64</v>
      </c>
      <c r="AV21" s="166">
        <f t="shared" ref="AV21" si="24">ROUND(AT21*18%,2)</f>
        <v>92.16</v>
      </c>
      <c r="AW21" s="148">
        <f t="shared" si="13"/>
        <v>0</v>
      </c>
      <c r="AX21" s="149">
        <f t="shared" si="14"/>
        <v>92.16</v>
      </c>
      <c r="AY21" s="150">
        <f t="shared" si="15"/>
        <v>7.68</v>
      </c>
      <c r="AZ21" s="150">
        <f t="shared" si="4"/>
        <v>0</v>
      </c>
      <c r="BA21" s="149">
        <f t="shared" si="16"/>
        <v>7.68</v>
      </c>
      <c r="BB21" s="150">
        <f t="shared" si="17"/>
        <v>99.84</v>
      </c>
      <c r="BC21" s="150">
        <f t="shared" si="17"/>
        <v>0</v>
      </c>
      <c r="BD21" s="149">
        <f t="shared" si="18"/>
        <v>99.84</v>
      </c>
      <c r="BE21" s="143">
        <f t="shared" si="5"/>
        <v>412.15999999999997</v>
      </c>
      <c r="BF21" s="143">
        <f t="shared" si="6"/>
        <v>0</v>
      </c>
      <c r="BG21" s="143">
        <f t="shared" si="19"/>
        <v>412.15999999999997</v>
      </c>
      <c r="BH21" s="155"/>
      <c r="BI21" s="143">
        <f t="shared" si="20"/>
        <v>412.15999999999997</v>
      </c>
      <c r="BJ21" s="146">
        <f t="shared" si="21"/>
        <v>412.15999999999997</v>
      </c>
      <c r="BK21" s="151" t="str">
        <f t="shared" si="22"/>
        <v>Щеглов Олександр Вікторович</v>
      </c>
      <c r="BL21" s="27"/>
      <c r="BM21" s="152"/>
      <c r="BO21" s="15"/>
    </row>
    <row r="22" spans="1:67" s="2" customFormat="1" ht="15.75">
      <c r="A22" s="135">
        <f t="shared" si="23"/>
        <v>9</v>
      </c>
      <c r="B22" s="165" t="s">
        <v>267</v>
      </c>
      <c r="C22" s="137"/>
      <c r="D22" s="137"/>
      <c r="E22" s="138"/>
      <c r="F22" s="138"/>
      <c r="G22" s="139">
        <f t="shared" si="1"/>
        <v>31</v>
      </c>
      <c r="H22" s="138">
        <v>12.5</v>
      </c>
      <c r="I22" s="138">
        <v>100</v>
      </c>
      <c r="J22" s="138">
        <v>6.5</v>
      </c>
      <c r="K22" s="138">
        <v>53.5</v>
      </c>
      <c r="L22" s="138">
        <v>2.5</v>
      </c>
      <c r="M22" s="138">
        <v>21.5</v>
      </c>
      <c r="N22" s="138"/>
      <c r="O22" s="138"/>
      <c r="P22" s="138"/>
      <c r="Q22" s="138"/>
      <c r="R22" s="138"/>
      <c r="S22" s="138"/>
      <c r="T22" s="158">
        <f t="shared" si="7"/>
        <v>21.5</v>
      </c>
      <c r="U22" s="158">
        <f t="shared" si="7"/>
        <v>175</v>
      </c>
      <c r="V22" s="153"/>
      <c r="W22" s="153">
        <v>2500</v>
      </c>
      <c r="X22" s="153"/>
      <c r="Y22" s="153">
        <v>1241</v>
      </c>
      <c r="Z22" s="153">
        <v>1013</v>
      </c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43">
        <f t="shared" si="8"/>
        <v>4754</v>
      </c>
      <c r="AM22" s="154"/>
      <c r="AN22" s="154"/>
      <c r="AO22" s="143">
        <f t="shared" si="9"/>
        <v>4754</v>
      </c>
      <c r="AP22" s="154"/>
      <c r="AQ22" s="154"/>
      <c r="AR22" s="146">
        <f t="shared" si="10"/>
        <v>0</v>
      </c>
      <c r="AS22" s="143">
        <f t="shared" si="2"/>
        <v>4754</v>
      </c>
      <c r="AT22" s="146">
        <f t="shared" si="3"/>
        <v>4754</v>
      </c>
      <c r="AU22" s="147">
        <f t="shared" si="11"/>
        <v>1045.8800000000001</v>
      </c>
      <c r="AV22" s="148">
        <f t="shared" si="12"/>
        <v>855.72</v>
      </c>
      <c r="AW22" s="148">
        <f t="shared" si="13"/>
        <v>0</v>
      </c>
      <c r="AX22" s="149">
        <f t="shared" si="14"/>
        <v>855.72</v>
      </c>
      <c r="AY22" s="150">
        <f t="shared" si="15"/>
        <v>71.31</v>
      </c>
      <c r="AZ22" s="150">
        <f t="shared" si="4"/>
        <v>0</v>
      </c>
      <c r="BA22" s="149">
        <f t="shared" si="16"/>
        <v>71.31</v>
      </c>
      <c r="BB22" s="150">
        <f t="shared" si="17"/>
        <v>927.03</v>
      </c>
      <c r="BC22" s="150">
        <f t="shared" si="17"/>
        <v>0</v>
      </c>
      <c r="BD22" s="149">
        <f t="shared" si="18"/>
        <v>927.03</v>
      </c>
      <c r="BE22" s="143">
        <f t="shared" si="5"/>
        <v>3826.9700000000003</v>
      </c>
      <c r="BF22" s="143">
        <f t="shared" si="6"/>
        <v>0</v>
      </c>
      <c r="BG22" s="143">
        <f t="shared" si="19"/>
        <v>3826.9700000000003</v>
      </c>
      <c r="BH22" s="155"/>
      <c r="BI22" s="143">
        <f t="shared" si="20"/>
        <v>3826.9700000000003</v>
      </c>
      <c r="BJ22" s="146">
        <f t="shared" si="21"/>
        <v>3826.9700000000003</v>
      </c>
      <c r="BK22" s="151" t="str">
        <f t="shared" si="22"/>
        <v>Синичкин Михайло Трохимович</v>
      </c>
      <c r="BL22" s="27"/>
      <c r="BM22" s="152"/>
    </row>
    <row r="23" spans="1:67" s="2" customFormat="1" ht="15.75">
      <c r="A23" s="135">
        <f t="shared" si="23"/>
        <v>10</v>
      </c>
      <c r="B23" s="167" t="s">
        <v>268</v>
      </c>
      <c r="C23" s="137"/>
      <c r="D23" s="137"/>
      <c r="E23" s="138"/>
      <c r="F23" s="138"/>
      <c r="G23" s="139">
        <f t="shared" si="1"/>
        <v>31</v>
      </c>
      <c r="H23" s="138">
        <v>13.5</v>
      </c>
      <c r="I23" s="138">
        <v>106</v>
      </c>
      <c r="J23" s="138">
        <v>3.5</v>
      </c>
      <c r="K23" s="138">
        <v>26</v>
      </c>
      <c r="L23" s="138"/>
      <c r="M23" s="138"/>
      <c r="N23" s="138"/>
      <c r="O23" s="138"/>
      <c r="P23" s="138"/>
      <c r="Q23" s="138"/>
      <c r="R23" s="138"/>
      <c r="S23" s="138"/>
      <c r="T23" s="158">
        <f t="shared" si="7"/>
        <v>17</v>
      </c>
      <c r="U23" s="158">
        <f t="shared" si="7"/>
        <v>132</v>
      </c>
      <c r="V23" s="153"/>
      <c r="W23" s="153"/>
      <c r="X23" s="153"/>
      <c r="Y23" s="153">
        <v>2459</v>
      </c>
      <c r="Z23" s="153">
        <v>1278</v>
      </c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43">
        <f t="shared" si="8"/>
        <v>3737</v>
      </c>
      <c r="AM23" s="154"/>
      <c r="AN23" s="154"/>
      <c r="AO23" s="143">
        <f t="shared" si="9"/>
        <v>3737</v>
      </c>
      <c r="AP23" s="154"/>
      <c r="AQ23" s="154"/>
      <c r="AR23" s="146">
        <f t="shared" si="10"/>
        <v>0</v>
      </c>
      <c r="AS23" s="143">
        <f t="shared" si="2"/>
        <v>3737</v>
      </c>
      <c r="AT23" s="146">
        <f t="shared" si="3"/>
        <v>3737</v>
      </c>
      <c r="AU23" s="147">
        <f t="shared" si="11"/>
        <v>822.14</v>
      </c>
      <c r="AV23" s="148">
        <f t="shared" si="12"/>
        <v>672.66</v>
      </c>
      <c r="AW23" s="148">
        <f t="shared" si="13"/>
        <v>0</v>
      </c>
      <c r="AX23" s="149">
        <f t="shared" si="14"/>
        <v>672.66</v>
      </c>
      <c r="AY23" s="150">
        <f t="shared" si="15"/>
        <v>56.06</v>
      </c>
      <c r="AZ23" s="150">
        <f t="shared" si="4"/>
        <v>0</v>
      </c>
      <c r="BA23" s="149">
        <f t="shared" si="16"/>
        <v>56.06</v>
      </c>
      <c r="BB23" s="150">
        <f t="shared" si="17"/>
        <v>728.72</v>
      </c>
      <c r="BC23" s="150">
        <f t="shared" si="17"/>
        <v>0</v>
      </c>
      <c r="BD23" s="149">
        <f t="shared" si="18"/>
        <v>728.72</v>
      </c>
      <c r="BE23" s="143">
        <f t="shared" si="5"/>
        <v>3008.2799999999997</v>
      </c>
      <c r="BF23" s="143">
        <f t="shared" si="6"/>
        <v>0</v>
      </c>
      <c r="BG23" s="143">
        <f t="shared" si="19"/>
        <v>3008.2799999999997</v>
      </c>
      <c r="BH23" s="162"/>
      <c r="BI23" s="143">
        <f>BG23-BH23</f>
        <v>3008.2799999999997</v>
      </c>
      <c r="BJ23" s="146">
        <f>BE23-BH23</f>
        <v>3008.2799999999997</v>
      </c>
      <c r="BK23" s="151" t="str">
        <f t="shared" si="22"/>
        <v>Курочкин Володимир Анатолійович</v>
      </c>
      <c r="BL23" s="27"/>
      <c r="BM23" s="152"/>
    </row>
    <row r="24" spans="1:67" s="2" customFormat="1" ht="15.75">
      <c r="A24" s="135">
        <f t="shared" si="23"/>
        <v>11</v>
      </c>
      <c r="B24" s="167" t="s">
        <v>269</v>
      </c>
      <c r="C24" s="137"/>
      <c r="D24" s="137"/>
      <c r="E24" s="138"/>
      <c r="F24" s="168"/>
      <c r="G24" s="139">
        <f t="shared" si="1"/>
        <v>31</v>
      </c>
      <c r="H24" s="138">
        <v>8.5</v>
      </c>
      <c r="I24" s="138">
        <v>68</v>
      </c>
      <c r="J24" s="138">
        <v>7</v>
      </c>
      <c r="K24" s="138">
        <v>55</v>
      </c>
      <c r="L24" s="138">
        <v>1</v>
      </c>
      <c r="M24" s="138">
        <v>8</v>
      </c>
      <c r="N24" s="138"/>
      <c r="O24" s="138"/>
      <c r="P24" s="138"/>
      <c r="Q24" s="138"/>
      <c r="R24" s="138"/>
      <c r="S24" s="138"/>
      <c r="T24" s="158">
        <f t="shared" si="7"/>
        <v>16.5</v>
      </c>
      <c r="U24" s="158">
        <f t="shared" si="7"/>
        <v>131</v>
      </c>
      <c r="V24" s="153"/>
      <c r="W24" s="153"/>
      <c r="X24" s="153"/>
      <c r="Y24" s="153">
        <v>1206</v>
      </c>
      <c r="Z24" s="153"/>
      <c r="AA24" s="153"/>
      <c r="AB24" s="153">
        <v>2800</v>
      </c>
      <c r="AC24" s="153">
        <v>135</v>
      </c>
      <c r="AD24" s="153"/>
      <c r="AE24" s="153"/>
      <c r="AF24" s="153"/>
      <c r="AG24" s="153"/>
      <c r="AH24" s="153"/>
      <c r="AI24" s="153"/>
      <c r="AJ24" s="153"/>
      <c r="AK24" s="153"/>
      <c r="AL24" s="143">
        <f t="shared" si="8"/>
        <v>4141</v>
      </c>
      <c r="AM24" s="154"/>
      <c r="AN24" s="154"/>
      <c r="AO24" s="143">
        <f t="shared" si="9"/>
        <v>4141</v>
      </c>
      <c r="AP24" s="154"/>
      <c r="AQ24" s="154"/>
      <c r="AR24" s="146">
        <f t="shared" si="10"/>
        <v>0</v>
      </c>
      <c r="AS24" s="143">
        <f t="shared" si="2"/>
        <v>4141</v>
      </c>
      <c r="AT24" s="146">
        <f t="shared" si="3"/>
        <v>4141</v>
      </c>
      <c r="AU24" s="147">
        <f t="shared" si="11"/>
        <v>911.02</v>
      </c>
      <c r="AV24" s="148">
        <f t="shared" si="12"/>
        <v>745.38</v>
      </c>
      <c r="AW24" s="148">
        <f t="shared" si="13"/>
        <v>0</v>
      </c>
      <c r="AX24" s="149">
        <f t="shared" si="14"/>
        <v>745.38</v>
      </c>
      <c r="AY24" s="150">
        <f t="shared" si="15"/>
        <v>62.12</v>
      </c>
      <c r="AZ24" s="150">
        <f t="shared" si="4"/>
        <v>0</v>
      </c>
      <c r="BA24" s="149">
        <f t="shared" si="16"/>
        <v>62.12</v>
      </c>
      <c r="BB24" s="150">
        <f t="shared" si="17"/>
        <v>807.5</v>
      </c>
      <c r="BC24" s="150">
        <f t="shared" si="17"/>
        <v>0</v>
      </c>
      <c r="BD24" s="149">
        <f t="shared" si="18"/>
        <v>807.5</v>
      </c>
      <c r="BE24" s="143">
        <f t="shared" si="5"/>
        <v>3333.5</v>
      </c>
      <c r="BF24" s="143">
        <f t="shared" si="6"/>
        <v>0</v>
      </c>
      <c r="BG24" s="143">
        <f t="shared" si="19"/>
        <v>3333.5</v>
      </c>
      <c r="BH24" s="162"/>
      <c r="BI24" s="143">
        <f>BG24-BH24</f>
        <v>3333.5</v>
      </c>
      <c r="BJ24" s="146">
        <f>BE24-BH24</f>
        <v>3333.5</v>
      </c>
      <c r="BK24" s="151" t="str">
        <f t="shared" si="22"/>
        <v>Козлов Вадим Григорович</v>
      </c>
      <c r="BL24" s="27"/>
      <c r="BM24" s="152"/>
      <c r="BO24" s="15"/>
    </row>
    <row r="25" spans="1:67" s="2" customFormat="1" ht="15.75">
      <c r="A25" s="135">
        <f t="shared" si="23"/>
        <v>12</v>
      </c>
      <c r="B25" s="167" t="s">
        <v>270</v>
      </c>
      <c r="C25" s="137"/>
      <c r="D25" s="137"/>
      <c r="E25" s="138"/>
      <c r="F25" s="138"/>
      <c r="G25" s="139">
        <f t="shared" si="1"/>
        <v>31</v>
      </c>
      <c r="H25" s="138">
        <v>11</v>
      </c>
      <c r="I25" s="138">
        <v>87.5</v>
      </c>
      <c r="J25" s="138">
        <v>4</v>
      </c>
      <c r="K25" s="138">
        <v>32.5</v>
      </c>
      <c r="L25" s="138"/>
      <c r="M25" s="138"/>
      <c r="N25" s="138"/>
      <c r="O25" s="138"/>
      <c r="P25" s="138"/>
      <c r="Q25" s="138"/>
      <c r="R25" s="138"/>
      <c r="S25" s="138"/>
      <c r="T25" s="158">
        <f t="shared" si="7"/>
        <v>15</v>
      </c>
      <c r="U25" s="158">
        <f t="shared" si="7"/>
        <v>120</v>
      </c>
      <c r="V25" s="153"/>
      <c r="W25" s="153"/>
      <c r="X25" s="153"/>
      <c r="Y25" s="153">
        <v>2030</v>
      </c>
      <c r="Z25" s="153">
        <v>1715</v>
      </c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43">
        <f t="shared" si="8"/>
        <v>3745</v>
      </c>
      <c r="AM25" s="154"/>
      <c r="AN25" s="154"/>
      <c r="AO25" s="143">
        <f t="shared" si="9"/>
        <v>3745</v>
      </c>
      <c r="AP25" s="154"/>
      <c r="AQ25" s="154"/>
      <c r="AR25" s="146">
        <f t="shared" si="10"/>
        <v>0</v>
      </c>
      <c r="AS25" s="143">
        <f t="shared" si="2"/>
        <v>3745</v>
      </c>
      <c r="AT25" s="146">
        <f t="shared" si="3"/>
        <v>3745</v>
      </c>
      <c r="AU25" s="147">
        <f t="shared" si="11"/>
        <v>823.9</v>
      </c>
      <c r="AV25" s="148">
        <f t="shared" si="12"/>
        <v>674.1</v>
      </c>
      <c r="AW25" s="148">
        <f t="shared" si="13"/>
        <v>0</v>
      </c>
      <c r="AX25" s="149">
        <f t="shared" si="14"/>
        <v>674.1</v>
      </c>
      <c r="AY25" s="150">
        <f t="shared" si="15"/>
        <v>56.18</v>
      </c>
      <c r="AZ25" s="150">
        <f t="shared" si="4"/>
        <v>0</v>
      </c>
      <c r="BA25" s="149">
        <f t="shared" si="16"/>
        <v>56.18</v>
      </c>
      <c r="BB25" s="150">
        <f t="shared" si="17"/>
        <v>730.28</v>
      </c>
      <c r="BC25" s="150">
        <f t="shared" si="17"/>
        <v>0</v>
      </c>
      <c r="BD25" s="149">
        <f t="shared" si="18"/>
        <v>730.28</v>
      </c>
      <c r="BE25" s="143">
        <f t="shared" si="5"/>
        <v>3014.7200000000003</v>
      </c>
      <c r="BF25" s="143">
        <f t="shared" si="6"/>
        <v>0</v>
      </c>
      <c r="BG25" s="143">
        <f t="shared" si="19"/>
        <v>3014.7200000000003</v>
      </c>
      <c r="BH25" s="162"/>
      <c r="BI25" s="143">
        <f>BG25-BH25</f>
        <v>3014.7200000000003</v>
      </c>
      <c r="BJ25" s="146">
        <f>BE25-BH25</f>
        <v>3014.7200000000003</v>
      </c>
      <c r="BK25" s="151" t="str">
        <f t="shared" si="22"/>
        <v>Соловьёв Микола Васильович</v>
      </c>
      <c r="BL25" s="27"/>
      <c r="BM25" s="152"/>
    </row>
    <row r="26" spans="1:67" s="2" customFormat="1" ht="15.75">
      <c r="A26" s="135">
        <f t="shared" si="23"/>
        <v>13</v>
      </c>
      <c r="B26" s="136" t="s">
        <v>271</v>
      </c>
      <c r="C26" s="137"/>
      <c r="D26" s="137"/>
      <c r="E26" s="138" t="s">
        <v>180</v>
      </c>
      <c r="F26" s="138"/>
      <c r="G26" s="157">
        <f t="shared" si="1"/>
        <v>31</v>
      </c>
      <c r="H26" s="138">
        <v>5.5</v>
      </c>
      <c r="I26" s="169">
        <v>43</v>
      </c>
      <c r="J26" s="169">
        <v>2.5</v>
      </c>
      <c r="K26" s="169">
        <v>21</v>
      </c>
      <c r="L26" s="169">
        <v>6</v>
      </c>
      <c r="M26" s="169">
        <v>48</v>
      </c>
      <c r="N26" s="169">
        <v>1</v>
      </c>
      <c r="O26" s="169">
        <v>8</v>
      </c>
      <c r="P26" s="169"/>
      <c r="Q26" s="169"/>
      <c r="R26" s="169"/>
      <c r="S26" s="169"/>
      <c r="T26" s="158">
        <f t="shared" si="7"/>
        <v>15</v>
      </c>
      <c r="U26" s="158">
        <f t="shared" si="7"/>
        <v>120</v>
      </c>
      <c r="V26" s="153"/>
      <c r="W26" s="153"/>
      <c r="X26" s="153"/>
      <c r="Y26" s="153">
        <v>998</v>
      </c>
      <c r="Z26" s="153">
        <v>1086</v>
      </c>
      <c r="AA26" s="153"/>
      <c r="AB26" s="153">
        <v>2800</v>
      </c>
      <c r="AC26" s="153">
        <v>135</v>
      </c>
      <c r="AD26" s="153"/>
      <c r="AE26" s="153"/>
      <c r="AF26" s="153"/>
      <c r="AG26" s="153"/>
      <c r="AH26" s="153"/>
      <c r="AI26" s="153"/>
      <c r="AJ26" s="153"/>
      <c r="AK26" s="153"/>
      <c r="AL26" s="143">
        <f t="shared" si="8"/>
        <v>5019</v>
      </c>
      <c r="AM26" s="154">
        <v>793.85</v>
      </c>
      <c r="AN26" s="154"/>
      <c r="AO26" s="159">
        <f t="shared" si="9"/>
        <v>5812.85</v>
      </c>
      <c r="AP26" s="170"/>
      <c r="AQ26" s="170"/>
      <c r="AR26" s="161">
        <f t="shared" si="10"/>
        <v>0</v>
      </c>
      <c r="AS26" s="159">
        <f t="shared" si="2"/>
        <v>5812.85</v>
      </c>
      <c r="AT26" s="161">
        <f t="shared" si="3"/>
        <v>5812.85</v>
      </c>
      <c r="AU26" s="147">
        <f t="shared" si="11"/>
        <v>1278.83</v>
      </c>
      <c r="AV26" s="148">
        <f t="shared" si="12"/>
        <v>1046.31</v>
      </c>
      <c r="AW26" s="148">
        <f t="shared" si="13"/>
        <v>0</v>
      </c>
      <c r="AX26" s="149">
        <f t="shared" si="14"/>
        <v>1046.31</v>
      </c>
      <c r="AY26" s="150">
        <f t="shared" si="15"/>
        <v>87.19</v>
      </c>
      <c r="AZ26" s="150">
        <f t="shared" si="4"/>
        <v>0</v>
      </c>
      <c r="BA26" s="149">
        <f t="shared" si="16"/>
        <v>87.19</v>
      </c>
      <c r="BB26" s="150">
        <f t="shared" si="17"/>
        <v>1133.5</v>
      </c>
      <c r="BC26" s="150">
        <f t="shared" si="17"/>
        <v>0</v>
      </c>
      <c r="BD26" s="149">
        <f t="shared" si="18"/>
        <v>1133.5</v>
      </c>
      <c r="BE26" s="159">
        <f t="shared" si="5"/>
        <v>4679.3500000000004</v>
      </c>
      <c r="BF26" s="159">
        <f t="shared" si="6"/>
        <v>0</v>
      </c>
      <c r="BG26" s="159">
        <f t="shared" si="19"/>
        <v>4679.3500000000004</v>
      </c>
      <c r="BH26" s="171"/>
      <c r="BI26" s="159">
        <f t="shared" si="20"/>
        <v>4679.3500000000004</v>
      </c>
      <c r="BJ26" s="161">
        <f t="shared" si="21"/>
        <v>4679.3500000000004</v>
      </c>
      <c r="BK26" s="172" t="str">
        <f t="shared" si="22"/>
        <v>Цветков Володимир Іванович</v>
      </c>
      <c r="BL26" s="103"/>
      <c r="BM26" s="164"/>
      <c r="BO26" s="15"/>
    </row>
    <row r="27" spans="1:67" s="2" customFormat="1" ht="15.75">
      <c r="A27" s="135">
        <f t="shared" si="23"/>
        <v>14</v>
      </c>
      <c r="B27" s="136" t="s">
        <v>272</v>
      </c>
      <c r="C27" s="137"/>
      <c r="D27" s="137"/>
      <c r="E27" s="138"/>
      <c r="F27" s="138"/>
      <c r="G27" s="157">
        <f t="shared" si="1"/>
        <v>31</v>
      </c>
      <c r="H27" s="138">
        <v>12.5</v>
      </c>
      <c r="I27" s="173">
        <v>100</v>
      </c>
      <c r="J27" s="173">
        <v>3.5</v>
      </c>
      <c r="K27" s="173">
        <v>28</v>
      </c>
      <c r="L27" s="173"/>
      <c r="M27" s="173"/>
      <c r="N27" s="173"/>
      <c r="O27" s="173"/>
      <c r="P27" s="173"/>
      <c r="Q27" s="173"/>
      <c r="R27" s="173"/>
      <c r="S27" s="173"/>
      <c r="T27" s="158">
        <f t="shared" si="7"/>
        <v>16</v>
      </c>
      <c r="U27" s="158">
        <f t="shared" si="7"/>
        <v>128</v>
      </c>
      <c r="V27" s="153"/>
      <c r="W27" s="153">
        <v>2500</v>
      </c>
      <c r="X27" s="153"/>
      <c r="Y27" s="153">
        <v>650</v>
      </c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43">
        <f t="shared" si="8"/>
        <v>3150</v>
      </c>
      <c r="AM27" s="154"/>
      <c r="AN27" s="154"/>
      <c r="AO27" s="143">
        <f t="shared" si="9"/>
        <v>3150</v>
      </c>
      <c r="AP27" s="174"/>
      <c r="AQ27" s="174"/>
      <c r="AR27" s="146">
        <f t="shared" si="10"/>
        <v>0</v>
      </c>
      <c r="AS27" s="159">
        <f t="shared" si="2"/>
        <v>3150</v>
      </c>
      <c r="AT27" s="146">
        <f t="shared" si="3"/>
        <v>3150</v>
      </c>
      <c r="AU27" s="147">
        <f t="shared" si="11"/>
        <v>264.92</v>
      </c>
      <c r="AV27" s="148">
        <f t="shared" si="12"/>
        <v>567</v>
      </c>
      <c r="AW27" s="148">
        <f t="shared" si="13"/>
        <v>0</v>
      </c>
      <c r="AX27" s="149">
        <f t="shared" si="14"/>
        <v>567</v>
      </c>
      <c r="AY27" s="150">
        <f t="shared" si="15"/>
        <v>47.25</v>
      </c>
      <c r="AZ27" s="150">
        <f t="shared" si="4"/>
        <v>0</v>
      </c>
      <c r="BA27" s="149">
        <f t="shared" si="16"/>
        <v>47.25</v>
      </c>
      <c r="BB27" s="150">
        <f t="shared" si="17"/>
        <v>614.25</v>
      </c>
      <c r="BC27" s="150">
        <f t="shared" si="17"/>
        <v>0</v>
      </c>
      <c r="BD27" s="149">
        <f t="shared" si="18"/>
        <v>614.25</v>
      </c>
      <c r="BE27" s="159">
        <f t="shared" si="5"/>
        <v>2535.75</v>
      </c>
      <c r="BF27" s="159">
        <f t="shared" si="6"/>
        <v>0</v>
      </c>
      <c r="BG27" s="159">
        <f t="shared" si="19"/>
        <v>2535.75</v>
      </c>
      <c r="BH27" s="171"/>
      <c r="BI27" s="159">
        <f t="shared" si="20"/>
        <v>2535.75</v>
      </c>
      <c r="BJ27" s="161">
        <f t="shared" si="21"/>
        <v>2535.75</v>
      </c>
      <c r="BK27" s="151" t="str">
        <f t="shared" si="22"/>
        <v>Зуев Іван Андрійович</v>
      </c>
      <c r="BL27" s="175"/>
      <c r="BM27" s="176"/>
    </row>
    <row r="28" spans="1:67" s="2" customFormat="1" ht="15.75">
      <c r="A28" s="135">
        <f t="shared" si="23"/>
        <v>15</v>
      </c>
      <c r="B28" s="136" t="s">
        <v>273</v>
      </c>
      <c r="C28" s="137"/>
      <c r="D28" s="137">
        <v>43313</v>
      </c>
      <c r="E28" s="138"/>
      <c r="F28" s="138"/>
      <c r="G28" s="157">
        <f t="shared" si="1"/>
        <v>1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58">
        <f t="shared" si="7"/>
        <v>0</v>
      </c>
      <c r="U28" s="158">
        <f t="shared" si="7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43">
        <f t="shared" si="8"/>
        <v>0</v>
      </c>
      <c r="AM28" s="154"/>
      <c r="AN28" s="154">
        <v>245.7</v>
      </c>
      <c r="AO28" s="159">
        <f t="shared" si="9"/>
        <v>245.7</v>
      </c>
      <c r="AP28" s="170"/>
      <c r="AQ28" s="170"/>
      <c r="AR28" s="161">
        <f t="shared" si="10"/>
        <v>0</v>
      </c>
      <c r="AS28" s="159">
        <f t="shared" si="2"/>
        <v>245.7</v>
      </c>
      <c r="AT28" s="161">
        <f t="shared" si="3"/>
        <v>245.7</v>
      </c>
      <c r="AU28" s="147">
        <f t="shared" si="11"/>
        <v>54.05</v>
      </c>
      <c r="AV28" s="148">
        <f t="shared" si="12"/>
        <v>44.23</v>
      </c>
      <c r="AW28" s="148">
        <f t="shared" si="13"/>
        <v>0</v>
      </c>
      <c r="AX28" s="149">
        <f t="shared" si="14"/>
        <v>44.23</v>
      </c>
      <c r="AY28" s="150">
        <f t="shared" si="15"/>
        <v>3.69</v>
      </c>
      <c r="AZ28" s="150">
        <f t="shared" si="4"/>
        <v>0</v>
      </c>
      <c r="BA28" s="149">
        <f t="shared" si="16"/>
        <v>3.69</v>
      </c>
      <c r="BB28" s="150">
        <f t="shared" si="17"/>
        <v>47.919999999999995</v>
      </c>
      <c r="BC28" s="150">
        <f t="shared" si="17"/>
        <v>0</v>
      </c>
      <c r="BD28" s="149">
        <f t="shared" si="18"/>
        <v>47.919999999999995</v>
      </c>
      <c r="BE28" s="159">
        <f t="shared" si="5"/>
        <v>197.78</v>
      </c>
      <c r="BF28" s="159">
        <f t="shared" si="6"/>
        <v>0</v>
      </c>
      <c r="BG28" s="159">
        <f t="shared" si="19"/>
        <v>197.78</v>
      </c>
      <c r="BH28" s="177"/>
      <c r="BI28" s="159">
        <f t="shared" si="20"/>
        <v>197.78</v>
      </c>
      <c r="BJ28" s="161">
        <f t="shared" si="21"/>
        <v>197.78</v>
      </c>
      <c r="BK28" s="172" t="str">
        <f t="shared" si="22"/>
        <v>Кабанов Петро Миколайович</v>
      </c>
      <c r="BL28" s="103"/>
      <c r="BM28" s="178"/>
    </row>
    <row r="29" spans="1:67" s="2" customFormat="1" ht="15.75">
      <c r="A29" s="135">
        <f t="shared" si="23"/>
        <v>16</v>
      </c>
      <c r="B29" s="136" t="s">
        <v>274</v>
      </c>
      <c r="C29" s="137"/>
      <c r="D29" s="137"/>
      <c r="E29" s="138"/>
      <c r="F29" s="138"/>
      <c r="G29" s="139">
        <f t="shared" si="1"/>
        <v>31</v>
      </c>
      <c r="H29" s="138">
        <v>2</v>
      </c>
      <c r="I29" s="173">
        <v>16</v>
      </c>
      <c r="J29" s="173">
        <v>17.5</v>
      </c>
      <c r="K29" s="173">
        <v>139</v>
      </c>
      <c r="L29" s="173"/>
      <c r="M29" s="173"/>
      <c r="N29" s="173"/>
      <c r="O29" s="173"/>
      <c r="P29" s="173"/>
      <c r="Q29" s="173"/>
      <c r="R29" s="173"/>
      <c r="S29" s="173"/>
      <c r="T29" s="158">
        <f t="shared" si="7"/>
        <v>19.5</v>
      </c>
      <c r="U29" s="158">
        <f t="shared" si="7"/>
        <v>155</v>
      </c>
      <c r="V29" s="153"/>
      <c r="W29" s="153"/>
      <c r="X29" s="153"/>
      <c r="Y29" s="153">
        <v>371</v>
      </c>
      <c r="Z29" s="153"/>
      <c r="AA29" s="153">
        <v>5292</v>
      </c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43">
        <f t="shared" si="8"/>
        <v>5663</v>
      </c>
      <c r="AM29" s="174"/>
      <c r="AN29" s="174"/>
      <c r="AO29" s="143">
        <f t="shared" si="9"/>
        <v>5663</v>
      </c>
      <c r="AP29" s="160"/>
      <c r="AQ29" s="160"/>
      <c r="AR29" s="161">
        <f t="shared" si="10"/>
        <v>0</v>
      </c>
      <c r="AS29" s="159">
        <f t="shared" si="2"/>
        <v>5663</v>
      </c>
      <c r="AT29" s="146">
        <f t="shared" si="3"/>
        <v>5663</v>
      </c>
      <c r="AU29" s="147">
        <f t="shared" si="11"/>
        <v>1245.8599999999999</v>
      </c>
      <c r="AV29" s="148">
        <f t="shared" si="12"/>
        <v>1019.34</v>
      </c>
      <c r="AW29" s="148">
        <f t="shared" si="13"/>
        <v>0</v>
      </c>
      <c r="AX29" s="149">
        <f t="shared" si="14"/>
        <v>1019.34</v>
      </c>
      <c r="AY29" s="150">
        <f t="shared" si="15"/>
        <v>84.95</v>
      </c>
      <c r="AZ29" s="150">
        <f t="shared" si="4"/>
        <v>0</v>
      </c>
      <c r="BA29" s="149">
        <f t="shared" si="16"/>
        <v>84.95</v>
      </c>
      <c r="BB29" s="150">
        <f t="shared" si="17"/>
        <v>1104.29</v>
      </c>
      <c r="BC29" s="150">
        <f t="shared" si="17"/>
        <v>0</v>
      </c>
      <c r="BD29" s="149">
        <f t="shared" si="18"/>
        <v>1104.29</v>
      </c>
      <c r="BE29" s="159">
        <f t="shared" si="5"/>
        <v>4558.71</v>
      </c>
      <c r="BF29" s="159">
        <f t="shared" si="6"/>
        <v>0</v>
      </c>
      <c r="BG29" s="159">
        <f t="shared" si="19"/>
        <v>4558.71</v>
      </c>
      <c r="BH29" s="171"/>
      <c r="BI29" s="159">
        <f t="shared" si="20"/>
        <v>4558.71</v>
      </c>
      <c r="BJ29" s="146">
        <f t="shared" si="21"/>
        <v>4558.71</v>
      </c>
      <c r="BK29" s="151" t="str">
        <f t="shared" si="22"/>
        <v>Кузнецов Іван Іванович</v>
      </c>
      <c r="BL29" s="27"/>
      <c r="BM29" s="152"/>
    </row>
    <row r="30" spans="1:67" s="2" customFormat="1" ht="15.75">
      <c r="A30" s="135">
        <f t="shared" si="23"/>
        <v>17</v>
      </c>
      <c r="B30" s="136" t="s">
        <v>275</v>
      </c>
      <c r="C30" s="137"/>
      <c r="D30" s="137"/>
      <c r="E30" s="138"/>
      <c r="F30" s="138" t="s">
        <v>181</v>
      </c>
      <c r="G30" s="139">
        <f t="shared" si="1"/>
        <v>31</v>
      </c>
      <c r="H30" s="138">
        <v>1</v>
      </c>
      <c r="I30" s="138">
        <v>8</v>
      </c>
      <c r="J30" s="138">
        <v>13</v>
      </c>
      <c r="K30" s="138">
        <v>103</v>
      </c>
      <c r="L30" s="138"/>
      <c r="M30" s="138"/>
      <c r="N30" s="138"/>
      <c r="O30" s="138"/>
      <c r="P30" s="138"/>
      <c r="Q30" s="138"/>
      <c r="R30" s="138"/>
      <c r="S30" s="138"/>
      <c r="T30" s="141">
        <f t="shared" si="7"/>
        <v>14</v>
      </c>
      <c r="U30" s="141">
        <f t="shared" si="7"/>
        <v>111</v>
      </c>
      <c r="V30" s="153"/>
      <c r="W30" s="153"/>
      <c r="X30" s="153"/>
      <c r="Y30" s="153">
        <v>186</v>
      </c>
      <c r="Z30" s="153"/>
      <c r="AA30" s="153"/>
      <c r="AB30" s="153">
        <v>6100</v>
      </c>
      <c r="AC30" s="153"/>
      <c r="AD30" s="153"/>
      <c r="AE30" s="153"/>
      <c r="AF30" s="153"/>
      <c r="AG30" s="153"/>
      <c r="AH30" s="153"/>
      <c r="AI30" s="153"/>
      <c r="AJ30" s="153"/>
      <c r="AK30" s="153"/>
      <c r="AL30" s="143">
        <f t="shared" si="8"/>
        <v>6286</v>
      </c>
      <c r="AM30" s="154"/>
      <c r="AN30" s="154"/>
      <c r="AO30" s="143">
        <f t="shared" si="9"/>
        <v>6286</v>
      </c>
      <c r="AP30" s="154">
        <v>656.95</v>
      </c>
      <c r="AQ30" s="154">
        <v>656.95</v>
      </c>
      <c r="AR30" s="146">
        <f t="shared" si="10"/>
        <v>1313.9</v>
      </c>
      <c r="AS30" s="143">
        <f t="shared" si="2"/>
        <v>6942.95</v>
      </c>
      <c r="AT30" s="146">
        <f t="shared" si="3"/>
        <v>7599.9</v>
      </c>
      <c r="AU30" s="147">
        <f t="shared" si="11"/>
        <v>639.15</v>
      </c>
      <c r="AV30" s="148">
        <f t="shared" si="12"/>
        <v>1249.73</v>
      </c>
      <c r="AW30" s="148">
        <f t="shared" si="13"/>
        <v>118.25</v>
      </c>
      <c r="AX30" s="149">
        <f t="shared" si="14"/>
        <v>1367.98</v>
      </c>
      <c r="AY30" s="150">
        <f t="shared" si="15"/>
        <v>104.14</v>
      </c>
      <c r="AZ30" s="150">
        <f t="shared" si="4"/>
        <v>9.85</v>
      </c>
      <c r="BA30" s="149">
        <f t="shared" si="16"/>
        <v>113.99</v>
      </c>
      <c r="BB30" s="150">
        <f t="shared" si="17"/>
        <v>1353.8700000000001</v>
      </c>
      <c r="BC30" s="150">
        <f t="shared" si="17"/>
        <v>128.1</v>
      </c>
      <c r="BD30" s="149">
        <f t="shared" si="18"/>
        <v>1481.97</v>
      </c>
      <c r="BE30" s="143">
        <f t="shared" si="5"/>
        <v>5589.08</v>
      </c>
      <c r="BF30" s="143">
        <f t="shared" si="6"/>
        <v>528.85</v>
      </c>
      <c r="BG30" s="143">
        <f t="shared" si="19"/>
        <v>6117.93</v>
      </c>
      <c r="BH30" s="162"/>
      <c r="BI30" s="143">
        <f t="shared" si="20"/>
        <v>6117.93</v>
      </c>
      <c r="BJ30" s="146">
        <f t="shared" si="21"/>
        <v>5589.08</v>
      </c>
      <c r="BK30" s="151" t="str">
        <f t="shared" si="22"/>
        <v>Соколов Сергій Адольфович</v>
      </c>
      <c r="BL30" s="27"/>
      <c r="BM30" s="152"/>
    </row>
    <row r="31" spans="1:67" s="2" customFormat="1" ht="15.75">
      <c r="A31" s="135">
        <f t="shared" si="23"/>
        <v>18</v>
      </c>
      <c r="B31" s="167" t="s">
        <v>276</v>
      </c>
      <c r="C31" s="137"/>
      <c r="D31" s="137"/>
      <c r="E31" s="138"/>
      <c r="F31" s="138" t="s">
        <v>182</v>
      </c>
      <c r="G31" s="139">
        <f t="shared" si="1"/>
        <v>31</v>
      </c>
      <c r="H31" s="138">
        <v>12</v>
      </c>
      <c r="I31" s="138">
        <v>96</v>
      </c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41">
        <f t="shared" si="7"/>
        <v>12</v>
      </c>
      <c r="U31" s="141">
        <f t="shared" si="7"/>
        <v>96</v>
      </c>
      <c r="V31" s="153"/>
      <c r="W31" s="153"/>
      <c r="X31" s="153"/>
      <c r="Y31" s="153"/>
      <c r="Z31" s="153"/>
      <c r="AA31" s="153"/>
      <c r="AB31" s="153">
        <v>3400</v>
      </c>
      <c r="AC31" s="153"/>
      <c r="AD31" s="153"/>
      <c r="AE31" s="153"/>
      <c r="AF31" s="153"/>
      <c r="AG31" s="153"/>
      <c r="AH31" s="153"/>
      <c r="AI31" s="153"/>
      <c r="AJ31" s="153"/>
      <c r="AK31" s="153"/>
      <c r="AL31" s="143">
        <f t="shared" si="8"/>
        <v>3400</v>
      </c>
      <c r="AM31" s="154"/>
      <c r="AN31" s="154"/>
      <c r="AO31" s="143">
        <f t="shared" si="9"/>
        <v>3400</v>
      </c>
      <c r="AP31" s="154">
        <v>778.75</v>
      </c>
      <c r="AQ31" s="154">
        <v>467.25</v>
      </c>
      <c r="AR31" s="146">
        <f t="shared" si="10"/>
        <v>1246</v>
      </c>
      <c r="AS31" s="143">
        <f t="shared" si="2"/>
        <v>4178.75</v>
      </c>
      <c r="AT31" s="146">
        <f t="shared" si="3"/>
        <v>4646</v>
      </c>
      <c r="AU31" s="147">
        <f t="shared" si="11"/>
        <v>1022.12</v>
      </c>
      <c r="AV31" s="148">
        <f t="shared" si="12"/>
        <v>752.18</v>
      </c>
      <c r="AW31" s="148">
        <f t="shared" si="13"/>
        <v>84.11</v>
      </c>
      <c r="AX31" s="149">
        <f t="shared" si="14"/>
        <v>836.29</v>
      </c>
      <c r="AY31" s="150">
        <f t="shared" si="15"/>
        <v>62.68</v>
      </c>
      <c r="AZ31" s="150">
        <f t="shared" si="4"/>
        <v>7.01</v>
      </c>
      <c r="BA31" s="149">
        <f t="shared" si="16"/>
        <v>69.69</v>
      </c>
      <c r="BB31" s="150">
        <f t="shared" si="17"/>
        <v>814.8599999999999</v>
      </c>
      <c r="BC31" s="150">
        <f t="shared" si="17"/>
        <v>91.12</v>
      </c>
      <c r="BD31" s="149">
        <f t="shared" si="18"/>
        <v>905.9799999999999</v>
      </c>
      <c r="BE31" s="143">
        <f t="shared" si="5"/>
        <v>3363.8900000000003</v>
      </c>
      <c r="BF31" s="143">
        <f t="shared" si="6"/>
        <v>376.13</v>
      </c>
      <c r="BG31" s="143">
        <f t="shared" si="19"/>
        <v>3740.0200000000004</v>
      </c>
      <c r="BH31" s="162"/>
      <c r="BI31" s="143">
        <f t="shared" si="20"/>
        <v>3740.0200000000004</v>
      </c>
      <c r="BJ31" s="146">
        <f t="shared" si="21"/>
        <v>3363.8900000000003</v>
      </c>
      <c r="BK31" s="151" t="str">
        <f t="shared" si="22"/>
        <v>Попов Богдан Іванович</v>
      </c>
      <c r="BL31" s="27"/>
      <c r="BM31" s="152"/>
    </row>
    <row r="32" spans="1:67" s="2" customFormat="1" ht="15.75">
      <c r="A32" s="135">
        <f t="shared" si="23"/>
        <v>19</v>
      </c>
      <c r="B32" s="165" t="s">
        <v>277</v>
      </c>
      <c r="C32" s="137"/>
      <c r="D32" s="137"/>
      <c r="E32" s="138"/>
      <c r="F32" s="138"/>
      <c r="G32" s="139">
        <f t="shared" si="1"/>
        <v>31</v>
      </c>
      <c r="H32" s="138">
        <v>15</v>
      </c>
      <c r="I32" s="138">
        <v>119</v>
      </c>
      <c r="J32" s="138">
        <v>1</v>
      </c>
      <c r="K32" s="138">
        <v>8</v>
      </c>
      <c r="L32" s="138"/>
      <c r="M32" s="138"/>
      <c r="N32" s="138"/>
      <c r="O32" s="138"/>
      <c r="P32" s="138"/>
      <c r="Q32" s="138"/>
      <c r="R32" s="138"/>
      <c r="S32" s="138"/>
      <c r="T32" s="141">
        <f t="shared" si="7"/>
        <v>16</v>
      </c>
      <c r="U32" s="141">
        <f t="shared" si="7"/>
        <v>127</v>
      </c>
      <c r="V32" s="153"/>
      <c r="W32" s="153"/>
      <c r="X32" s="153"/>
      <c r="Y32" s="153"/>
      <c r="Z32" s="153"/>
      <c r="AA32" s="153"/>
      <c r="AB32" s="153">
        <v>6200</v>
      </c>
      <c r="AC32" s="153">
        <v>180</v>
      </c>
      <c r="AD32" s="153"/>
      <c r="AE32" s="153"/>
      <c r="AF32" s="153"/>
      <c r="AG32" s="153"/>
      <c r="AH32" s="153"/>
      <c r="AI32" s="153"/>
      <c r="AJ32" s="153"/>
      <c r="AK32" s="153"/>
      <c r="AL32" s="143">
        <f t="shared" si="8"/>
        <v>6380</v>
      </c>
      <c r="AM32" s="154"/>
      <c r="AN32" s="154"/>
      <c r="AO32" s="143">
        <f t="shared" si="9"/>
        <v>6380</v>
      </c>
      <c r="AP32" s="154"/>
      <c r="AQ32" s="154"/>
      <c r="AR32" s="146">
        <f t="shared" si="10"/>
        <v>0</v>
      </c>
      <c r="AS32" s="143">
        <f t="shared" si="2"/>
        <v>6380</v>
      </c>
      <c r="AT32" s="146">
        <f t="shared" si="3"/>
        <v>6380</v>
      </c>
      <c r="AU32" s="147">
        <f t="shared" si="11"/>
        <v>1403.6</v>
      </c>
      <c r="AV32" s="148">
        <f t="shared" si="12"/>
        <v>1148.4000000000001</v>
      </c>
      <c r="AW32" s="148">
        <f t="shared" si="13"/>
        <v>0</v>
      </c>
      <c r="AX32" s="149">
        <f t="shared" si="14"/>
        <v>1148.4000000000001</v>
      </c>
      <c r="AY32" s="150">
        <f t="shared" si="15"/>
        <v>95.7</v>
      </c>
      <c r="AZ32" s="150">
        <f t="shared" si="4"/>
        <v>0</v>
      </c>
      <c r="BA32" s="149">
        <f t="shared" si="16"/>
        <v>95.7</v>
      </c>
      <c r="BB32" s="150">
        <f t="shared" si="17"/>
        <v>1244.1000000000001</v>
      </c>
      <c r="BC32" s="150">
        <f t="shared" si="17"/>
        <v>0</v>
      </c>
      <c r="BD32" s="149">
        <f t="shared" si="18"/>
        <v>1244.1000000000001</v>
      </c>
      <c r="BE32" s="143">
        <f t="shared" si="5"/>
        <v>5135.8999999999996</v>
      </c>
      <c r="BF32" s="143">
        <f t="shared" si="6"/>
        <v>0</v>
      </c>
      <c r="BG32" s="143">
        <f t="shared" si="19"/>
        <v>5135.8999999999996</v>
      </c>
      <c r="BH32" s="162"/>
      <c r="BI32" s="143">
        <f t="shared" si="20"/>
        <v>5135.8999999999996</v>
      </c>
      <c r="BJ32" s="146">
        <f t="shared" si="21"/>
        <v>5135.8999999999996</v>
      </c>
      <c r="BK32" s="151" t="str">
        <f t="shared" si="22"/>
        <v>Лебедев Віталій Володимирович</v>
      </c>
      <c r="BL32" s="27"/>
      <c r="BM32" s="152"/>
    </row>
    <row r="33" spans="1:65" s="2" customFormat="1" ht="15.75">
      <c r="A33" s="135">
        <f t="shared" si="23"/>
        <v>20</v>
      </c>
      <c r="B33" s="167" t="s">
        <v>278</v>
      </c>
      <c r="C33" s="137"/>
      <c r="D33" s="137"/>
      <c r="E33" s="138"/>
      <c r="F33" s="138"/>
      <c r="G33" s="179">
        <f t="shared" si="1"/>
        <v>31</v>
      </c>
      <c r="H33" s="138">
        <v>16</v>
      </c>
      <c r="I33" s="138">
        <v>127</v>
      </c>
      <c r="J33" s="138">
        <v>1</v>
      </c>
      <c r="K33" s="138">
        <v>8</v>
      </c>
      <c r="L33" s="138"/>
      <c r="M33" s="138"/>
      <c r="N33" s="138"/>
      <c r="O33" s="138"/>
      <c r="P33" s="138"/>
      <c r="Q33" s="138"/>
      <c r="R33" s="138"/>
      <c r="S33" s="138"/>
      <c r="T33" s="180">
        <f t="shared" si="7"/>
        <v>17</v>
      </c>
      <c r="U33" s="180">
        <f t="shared" si="7"/>
        <v>135</v>
      </c>
      <c r="V33" s="153"/>
      <c r="W33" s="153"/>
      <c r="X33" s="153"/>
      <c r="Y33" s="153"/>
      <c r="Z33" s="153"/>
      <c r="AA33" s="153"/>
      <c r="AB33" s="153">
        <v>5000</v>
      </c>
      <c r="AC33" s="153">
        <v>120</v>
      </c>
      <c r="AD33" s="153"/>
      <c r="AE33" s="153"/>
      <c r="AF33" s="153"/>
      <c r="AG33" s="153"/>
      <c r="AH33" s="153"/>
      <c r="AI33" s="153"/>
      <c r="AJ33" s="153"/>
      <c r="AK33" s="153"/>
      <c r="AL33" s="181">
        <f t="shared" si="8"/>
        <v>5120</v>
      </c>
      <c r="AM33" s="154"/>
      <c r="AN33" s="154"/>
      <c r="AO33" s="143">
        <f t="shared" si="9"/>
        <v>5120</v>
      </c>
      <c r="AP33" s="154"/>
      <c r="AQ33" s="154"/>
      <c r="AR33" s="182">
        <f t="shared" si="10"/>
        <v>0</v>
      </c>
      <c r="AS33" s="181">
        <f t="shared" si="2"/>
        <v>5120</v>
      </c>
      <c r="AT33" s="146">
        <f t="shared" si="3"/>
        <v>5120</v>
      </c>
      <c r="AU33" s="147">
        <f t="shared" si="11"/>
        <v>1126.4000000000001</v>
      </c>
      <c r="AV33" s="148">
        <f t="shared" si="12"/>
        <v>921.6</v>
      </c>
      <c r="AW33" s="148">
        <f t="shared" si="13"/>
        <v>0</v>
      </c>
      <c r="AX33" s="183">
        <f t="shared" si="14"/>
        <v>921.6</v>
      </c>
      <c r="AY33" s="155">
        <f t="shared" si="15"/>
        <v>76.8</v>
      </c>
      <c r="AZ33" s="155">
        <f t="shared" si="4"/>
        <v>0</v>
      </c>
      <c r="BA33" s="183">
        <f t="shared" si="16"/>
        <v>76.8</v>
      </c>
      <c r="BB33" s="155">
        <f t="shared" si="17"/>
        <v>998.4</v>
      </c>
      <c r="BC33" s="155">
        <f t="shared" si="17"/>
        <v>0</v>
      </c>
      <c r="BD33" s="183">
        <f t="shared" si="18"/>
        <v>998.4</v>
      </c>
      <c r="BE33" s="181">
        <f t="shared" si="5"/>
        <v>4121.6000000000004</v>
      </c>
      <c r="BF33" s="181">
        <f t="shared" si="6"/>
        <v>0</v>
      </c>
      <c r="BG33" s="181">
        <f t="shared" si="19"/>
        <v>4121.6000000000004</v>
      </c>
      <c r="BH33" s="156">
        <f>ROUND(BG33*$BH$13,2)</f>
        <v>1372.49</v>
      </c>
      <c r="BI33" s="181">
        <f t="shared" si="20"/>
        <v>2749.1100000000006</v>
      </c>
      <c r="BJ33" s="182">
        <f t="shared" si="21"/>
        <v>2749.1100000000006</v>
      </c>
      <c r="BK33" s="151" t="str">
        <f t="shared" si="22"/>
        <v>Новиков Володимир Вікторович</v>
      </c>
      <c r="BL33" s="27"/>
      <c r="BM33" s="152"/>
    </row>
    <row r="34" spans="1:65" s="2" customFormat="1" ht="15.75">
      <c r="A34" s="135">
        <f t="shared" si="23"/>
        <v>21</v>
      </c>
      <c r="B34" s="167" t="s">
        <v>279</v>
      </c>
      <c r="C34" s="137"/>
      <c r="D34" s="137"/>
      <c r="E34" s="138"/>
      <c r="F34" s="138" t="s">
        <v>183</v>
      </c>
      <c r="G34" s="139">
        <f t="shared" si="1"/>
        <v>31</v>
      </c>
      <c r="H34" s="138">
        <v>13</v>
      </c>
      <c r="I34" s="138">
        <v>103</v>
      </c>
      <c r="J34" s="138">
        <v>1</v>
      </c>
      <c r="K34" s="138">
        <v>8</v>
      </c>
      <c r="L34" s="138"/>
      <c r="M34" s="138"/>
      <c r="N34" s="138"/>
      <c r="O34" s="138"/>
      <c r="P34" s="138"/>
      <c r="Q34" s="138"/>
      <c r="R34" s="138"/>
      <c r="S34" s="138"/>
      <c r="T34" s="141">
        <f t="shared" si="7"/>
        <v>14</v>
      </c>
      <c r="U34" s="141">
        <f t="shared" si="7"/>
        <v>111</v>
      </c>
      <c r="V34" s="153"/>
      <c r="W34" s="153"/>
      <c r="X34" s="153"/>
      <c r="Y34" s="153"/>
      <c r="Z34" s="153"/>
      <c r="AA34" s="153"/>
      <c r="AB34" s="153">
        <v>5200</v>
      </c>
      <c r="AC34" s="153">
        <v>120</v>
      </c>
      <c r="AD34" s="153"/>
      <c r="AE34" s="153"/>
      <c r="AF34" s="153"/>
      <c r="AG34" s="153"/>
      <c r="AH34" s="153"/>
      <c r="AI34" s="153"/>
      <c r="AJ34" s="153"/>
      <c r="AK34" s="153"/>
      <c r="AL34" s="143">
        <f t="shared" si="8"/>
        <v>5320</v>
      </c>
      <c r="AM34" s="154"/>
      <c r="AN34" s="154"/>
      <c r="AO34" s="143">
        <f t="shared" si="9"/>
        <v>5320</v>
      </c>
      <c r="AP34" s="154">
        <v>1143.5999999999999</v>
      </c>
      <c r="AQ34" s="154"/>
      <c r="AR34" s="182">
        <f t="shared" si="10"/>
        <v>1143.5999999999999</v>
      </c>
      <c r="AS34" s="143">
        <f t="shared" si="2"/>
        <v>6463.6</v>
      </c>
      <c r="AT34" s="146">
        <f t="shared" si="3"/>
        <v>6463.6</v>
      </c>
      <c r="AU34" s="147">
        <f t="shared" si="11"/>
        <v>1421.99</v>
      </c>
      <c r="AV34" s="148">
        <f t="shared" si="12"/>
        <v>1163.45</v>
      </c>
      <c r="AW34" s="148">
        <f t="shared" si="13"/>
        <v>0</v>
      </c>
      <c r="AX34" s="183">
        <f t="shared" si="14"/>
        <v>1163.45</v>
      </c>
      <c r="AY34" s="155">
        <f t="shared" si="15"/>
        <v>96.95</v>
      </c>
      <c r="AZ34" s="155">
        <f t="shared" si="4"/>
        <v>0</v>
      </c>
      <c r="BA34" s="183">
        <f t="shared" si="16"/>
        <v>96.95</v>
      </c>
      <c r="BB34" s="150">
        <f t="shared" si="17"/>
        <v>1260.4000000000001</v>
      </c>
      <c r="BC34" s="150">
        <f t="shared" si="17"/>
        <v>0</v>
      </c>
      <c r="BD34" s="149">
        <f t="shared" si="18"/>
        <v>1260.4000000000001</v>
      </c>
      <c r="BE34" s="143">
        <f t="shared" si="5"/>
        <v>5203.2000000000007</v>
      </c>
      <c r="BF34" s="143">
        <f t="shared" si="6"/>
        <v>0</v>
      </c>
      <c r="BG34" s="143">
        <f t="shared" si="19"/>
        <v>5203.2000000000007</v>
      </c>
      <c r="BH34" s="155"/>
      <c r="BI34" s="143">
        <f t="shared" si="20"/>
        <v>5203.2000000000007</v>
      </c>
      <c r="BJ34" s="146">
        <f t="shared" si="21"/>
        <v>5203.2000000000007</v>
      </c>
      <c r="BK34" s="151" t="str">
        <f t="shared" si="22"/>
        <v>МорозовІгор Олександрович (Карта)</v>
      </c>
      <c r="BL34" s="27"/>
      <c r="BM34" s="152"/>
    </row>
    <row r="35" spans="1:65" s="2" customFormat="1" ht="15.75">
      <c r="A35" s="135">
        <f t="shared" si="23"/>
        <v>22</v>
      </c>
      <c r="B35" s="136" t="s">
        <v>280</v>
      </c>
      <c r="C35" s="137"/>
      <c r="D35" s="137"/>
      <c r="E35" s="138"/>
      <c r="F35" s="138"/>
      <c r="G35" s="139">
        <f t="shared" si="1"/>
        <v>31</v>
      </c>
      <c r="H35" s="138">
        <v>16</v>
      </c>
      <c r="I35" s="138">
        <v>127</v>
      </c>
      <c r="J35" s="138">
        <v>1</v>
      </c>
      <c r="K35" s="138">
        <v>8</v>
      </c>
      <c r="L35" s="138"/>
      <c r="M35" s="138"/>
      <c r="N35" s="138"/>
      <c r="O35" s="138"/>
      <c r="P35" s="138"/>
      <c r="Q35" s="138"/>
      <c r="R35" s="138"/>
      <c r="S35" s="138"/>
      <c r="T35" s="141">
        <f t="shared" si="7"/>
        <v>17</v>
      </c>
      <c r="U35" s="141">
        <f t="shared" si="7"/>
        <v>135</v>
      </c>
      <c r="V35" s="153"/>
      <c r="W35" s="153"/>
      <c r="X35" s="153"/>
      <c r="Y35" s="153"/>
      <c r="Z35" s="153"/>
      <c r="AA35" s="153"/>
      <c r="AB35" s="153">
        <v>5300</v>
      </c>
      <c r="AC35" s="153">
        <v>120</v>
      </c>
      <c r="AD35" s="153"/>
      <c r="AE35" s="153"/>
      <c r="AF35" s="153"/>
      <c r="AG35" s="153"/>
      <c r="AH35" s="153"/>
      <c r="AI35" s="153"/>
      <c r="AJ35" s="153"/>
      <c r="AK35" s="153"/>
      <c r="AL35" s="143">
        <f t="shared" si="8"/>
        <v>5420</v>
      </c>
      <c r="AM35" s="154"/>
      <c r="AN35" s="154"/>
      <c r="AO35" s="143">
        <f t="shared" si="9"/>
        <v>5420</v>
      </c>
      <c r="AP35" s="154"/>
      <c r="AQ35" s="154"/>
      <c r="AR35" s="182">
        <f t="shared" si="10"/>
        <v>0</v>
      </c>
      <c r="AS35" s="143">
        <f t="shared" si="2"/>
        <v>5420</v>
      </c>
      <c r="AT35" s="146">
        <f t="shared" si="3"/>
        <v>5420</v>
      </c>
      <c r="AU35" s="147">
        <f t="shared" si="11"/>
        <v>1192.4000000000001</v>
      </c>
      <c r="AV35" s="148">
        <f t="shared" si="12"/>
        <v>975.6</v>
      </c>
      <c r="AW35" s="148">
        <f t="shared" si="13"/>
        <v>0</v>
      </c>
      <c r="AX35" s="183">
        <f t="shared" si="14"/>
        <v>975.6</v>
      </c>
      <c r="AY35" s="150">
        <f t="shared" si="15"/>
        <v>81.3</v>
      </c>
      <c r="AZ35" s="150">
        <f t="shared" si="4"/>
        <v>0</v>
      </c>
      <c r="BA35" s="149">
        <f t="shared" si="16"/>
        <v>81.3</v>
      </c>
      <c r="BB35" s="150">
        <f t="shared" si="17"/>
        <v>1056.9000000000001</v>
      </c>
      <c r="BC35" s="150">
        <f t="shared" si="17"/>
        <v>0</v>
      </c>
      <c r="BD35" s="149">
        <f t="shared" si="18"/>
        <v>1056.9000000000001</v>
      </c>
      <c r="BE35" s="143">
        <f t="shared" si="5"/>
        <v>4363.1000000000004</v>
      </c>
      <c r="BF35" s="143">
        <f t="shared" si="6"/>
        <v>0</v>
      </c>
      <c r="BG35" s="143">
        <f t="shared" si="19"/>
        <v>4363.1000000000004</v>
      </c>
      <c r="BH35" s="155"/>
      <c r="BI35" s="143">
        <f t="shared" si="20"/>
        <v>4363.1000000000004</v>
      </c>
      <c r="BJ35" s="146">
        <f t="shared" si="21"/>
        <v>4363.1000000000004</v>
      </c>
      <c r="BK35" s="151" t="str">
        <f t="shared" si="22"/>
        <v>Волков Антон Валерійович</v>
      </c>
      <c r="BL35" s="27"/>
      <c r="BM35" s="152"/>
    </row>
    <row r="36" spans="1:65" s="2" customFormat="1" ht="15.75">
      <c r="A36" s="135">
        <f t="shared" si="23"/>
        <v>23</v>
      </c>
      <c r="B36" s="167" t="s">
        <v>281</v>
      </c>
      <c r="C36" s="137"/>
      <c r="D36" s="137"/>
      <c r="E36" s="138"/>
      <c r="F36" s="138"/>
      <c r="G36" s="139">
        <f t="shared" si="1"/>
        <v>31</v>
      </c>
      <c r="H36" s="138">
        <v>16</v>
      </c>
      <c r="I36" s="138">
        <v>127</v>
      </c>
      <c r="J36" s="138">
        <v>1</v>
      </c>
      <c r="K36" s="138">
        <v>8</v>
      </c>
      <c r="L36" s="138"/>
      <c r="M36" s="138"/>
      <c r="N36" s="138"/>
      <c r="O36" s="138"/>
      <c r="P36" s="138"/>
      <c r="Q36" s="138"/>
      <c r="R36" s="138"/>
      <c r="S36" s="138"/>
      <c r="T36" s="141">
        <f t="shared" si="7"/>
        <v>17</v>
      </c>
      <c r="U36" s="141">
        <f t="shared" si="7"/>
        <v>135</v>
      </c>
      <c r="V36" s="153"/>
      <c r="W36" s="153"/>
      <c r="X36" s="153"/>
      <c r="Y36" s="153"/>
      <c r="Z36" s="153"/>
      <c r="AA36" s="153"/>
      <c r="AB36" s="153">
        <v>4000</v>
      </c>
      <c r="AC36" s="153">
        <v>120</v>
      </c>
      <c r="AD36" s="153"/>
      <c r="AE36" s="153"/>
      <c r="AF36" s="153"/>
      <c r="AG36" s="153"/>
      <c r="AH36" s="153"/>
      <c r="AI36" s="153"/>
      <c r="AJ36" s="153"/>
      <c r="AK36" s="153"/>
      <c r="AL36" s="143">
        <f t="shared" si="8"/>
        <v>4120</v>
      </c>
      <c r="AM36" s="154"/>
      <c r="AN36" s="154"/>
      <c r="AO36" s="143">
        <f t="shared" si="9"/>
        <v>4120</v>
      </c>
      <c r="AP36" s="154"/>
      <c r="AQ36" s="154"/>
      <c r="AR36" s="146">
        <f t="shared" si="10"/>
        <v>0</v>
      </c>
      <c r="AS36" s="143">
        <f t="shared" si="2"/>
        <v>4120</v>
      </c>
      <c r="AT36" s="146">
        <f t="shared" si="3"/>
        <v>4120</v>
      </c>
      <c r="AU36" s="147">
        <f t="shared" si="11"/>
        <v>906.4</v>
      </c>
      <c r="AV36" s="148">
        <f t="shared" si="12"/>
        <v>741.6</v>
      </c>
      <c r="AW36" s="148">
        <f t="shared" si="13"/>
        <v>0</v>
      </c>
      <c r="AX36" s="149">
        <f t="shared" si="14"/>
        <v>741.6</v>
      </c>
      <c r="AY36" s="150">
        <f t="shared" si="15"/>
        <v>61.8</v>
      </c>
      <c r="AZ36" s="150">
        <f t="shared" si="4"/>
        <v>0</v>
      </c>
      <c r="BA36" s="149">
        <f t="shared" si="16"/>
        <v>61.8</v>
      </c>
      <c r="BB36" s="150">
        <f t="shared" si="17"/>
        <v>803.4</v>
      </c>
      <c r="BC36" s="150">
        <f t="shared" si="17"/>
        <v>0</v>
      </c>
      <c r="BD36" s="149">
        <f t="shared" si="18"/>
        <v>803.4</v>
      </c>
      <c r="BE36" s="143">
        <f t="shared" si="5"/>
        <v>3316.6</v>
      </c>
      <c r="BF36" s="143">
        <f t="shared" si="6"/>
        <v>0</v>
      </c>
      <c r="BG36" s="143">
        <f t="shared" si="19"/>
        <v>3316.6</v>
      </c>
      <c r="BH36" s="155"/>
      <c r="BI36" s="143">
        <f t="shared" si="20"/>
        <v>3316.6</v>
      </c>
      <c r="BJ36" s="146">
        <f t="shared" si="21"/>
        <v>3316.6</v>
      </c>
      <c r="BK36" s="151" t="str">
        <f t="shared" si="22"/>
        <v>Зайцев Василь Васильович</v>
      </c>
      <c r="BL36" s="27"/>
      <c r="BM36" s="152"/>
    </row>
    <row r="37" spans="1:65" s="2" customFormat="1" ht="15.75">
      <c r="A37" s="135">
        <f t="shared" si="23"/>
        <v>24</v>
      </c>
      <c r="B37" s="167" t="s">
        <v>282</v>
      </c>
      <c r="C37" s="137"/>
      <c r="D37" s="137"/>
      <c r="E37" s="138"/>
      <c r="F37" s="138"/>
      <c r="G37" s="139">
        <f t="shared" si="1"/>
        <v>31</v>
      </c>
      <c r="H37" s="138">
        <v>16</v>
      </c>
      <c r="I37" s="138">
        <v>127</v>
      </c>
      <c r="J37" s="138">
        <v>1</v>
      </c>
      <c r="K37" s="138">
        <v>8</v>
      </c>
      <c r="L37" s="138"/>
      <c r="M37" s="138"/>
      <c r="N37" s="138"/>
      <c r="O37" s="138"/>
      <c r="P37" s="138"/>
      <c r="Q37" s="138"/>
      <c r="R37" s="138"/>
      <c r="S37" s="138"/>
      <c r="T37" s="141">
        <f t="shared" si="7"/>
        <v>17</v>
      </c>
      <c r="U37" s="141">
        <f t="shared" si="7"/>
        <v>135</v>
      </c>
      <c r="V37" s="153"/>
      <c r="W37" s="153"/>
      <c r="X37" s="153"/>
      <c r="Y37" s="153"/>
      <c r="Z37" s="153"/>
      <c r="AA37" s="153"/>
      <c r="AB37" s="153">
        <v>5100</v>
      </c>
      <c r="AC37" s="153">
        <v>120</v>
      </c>
      <c r="AD37" s="153"/>
      <c r="AE37" s="153"/>
      <c r="AF37" s="153"/>
      <c r="AG37" s="153"/>
      <c r="AH37" s="153"/>
      <c r="AI37" s="153"/>
      <c r="AJ37" s="153"/>
      <c r="AK37" s="153"/>
      <c r="AL37" s="143">
        <f t="shared" si="8"/>
        <v>5220</v>
      </c>
      <c r="AM37" s="154"/>
      <c r="AN37" s="154"/>
      <c r="AO37" s="143">
        <f t="shared" si="9"/>
        <v>5220</v>
      </c>
      <c r="AP37" s="154"/>
      <c r="AQ37" s="154"/>
      <c r="AR37" s="146">
        <f t="shared" si="10"/>
        <v>0</v>
      </c>
      <c r="AS37" s="143">
        <f t="shared" si="2"/>
        <v>5220</v>
      </c>
      <c r="AT37" s="146">
        <f t="shared" si="3"/>
        <v>5220</v>
      </c>
      <c r="AU37" s="147">
        <f t="shared" si="11"/>
        <v>1148.4000000000001</v>
      </c>
      <c r="AV37" s="148">
        <f t="shared" si="12"/>
        <v>939.6</v>
      </c>
      <c r="AW37" s="148">
        <f t="shared" si="13"/>
        <v>0</v>
      </c>
      <c r="AX37" s="149">
        <f t="shared" si="14"/>
        <v>939.6</v>
      </c>
      <c r="AY37" s="150">
        <f t="shared" si="15"/>
        <v>78.3</v>
      </c>
      <c r="AZ37" s="150">
        <f t="shared" si="4"/>
        <v>0</v>
      </c>
      <c r="BA37" s="149">
        <f t="shared" si="16"/>
        <v>78.3</v>
      </c>
      <c r="BB37" s="150">
        <f t="shared" si="17"/>
        <v>1017.9</v>
      </c>
      <c r="BC37" s="150">
        <f t="shared" si="17"/>
        <v>0</v>
      </c>
      <c r="BD37" s="149">
        <f t="shared" si="18"/>
        <v>1017.9</v>
      </c>
      <c r="BE37" s="143">
        <f t="shared" si="5"/>
        <v>4202.1000000000004</v>
      </c>
      <c r="BF37" s="143">
        <f t="shared" si="6"/>
        <v>0</v>
      </c>
      <c r="BG37" s="143">
        <f t="shared" si="19"/>
        <v>4202.1000000000004</v>
      </c>
      <c r="BH37" s="155"/>
      <c r="BI37" s="143">
        <f t="shared" si="20"/>
        <v>4202.1000000000004</v>
      </c>
      <c r="BJ37" s="146">
        <f t="shared" si="21"/>
        <v>4202.1000000000004</v>
      </c>
      <c r="BK37" s="151" t="str">
        <f t="shared" si="22"/>
        <v>Павлов Анатолій Васильович</v>
      </c>
      <c r="BL37" s="27"/>
      <c r="BM37" s="152"/>
    </row>
    <row r="38" spans="1:65" s="2" customFormat="1" ht="15.75">
      <c r="A38" s="135">
        <f t="shared" si="23"/>
        <v>25</v>
      </c>
      <c r="B38" s="167" t="s">
        <v>283</v>
      </c>
      <c r="C38" s="137"/>
      <c r="D38" s="137"/>
      <c r="E38" s="138"/>
      <c r="F38" s="138"/>
      <c r="G38" s="139">
        <f t="shared" si="1"/>
        <v>31</v>
      </c>
      <c r="H38" s="138">
        <v>17</v>
      </c>
      <c r="I38" s="138">
        <v>131</v>
      </c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41">
        <f t="shared" si="7"/>
        <v>17</v>
      </c>
      <c r="U38" s="141">
        <f t="shared" si="7"/>
        <v>131</v>
      </c>
      <c r="V38" s="153"/>
      <c r="W38" s="153"/>
      <c r="X38" s="153">
        <v>8636</v>
      </c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43">
        <f t="shared" si="8"/>
        <v>8636</v>
      </c>
      <c r="AM38" s="154"/>
      <c r="AN38" s="154"/>
      <c r="AO38" s="143">
        <f t="shared" si="9"/>
        <v>8636</v>
      </c>
      <c r="AP38" s="154"/>
      <c r="AQ38" s="154"/>
      <c r="AR38" s="146">
        <f t="shared" si="10"/>
        <v>0</v>
      </c>
      <c r="AS38" s="143">
        <f t="shared" si="2"/>
        <v>8636</v>
      </c>
      <c r="AT38" s="146">
        <f t="shared" si="3"/>
        <v>8636</v>
      </c>
      <c r="AU38" s="147">
        <f t="shared" si="11"/>
        <v>1899.92</v>
      </c>
      <c r="AV38" s="148">
        <f t="shared" si="12"/>
        <v>1554.48</v>
      </c>
      <c r="AW38" s="148">
        <f t="shared" si="13"/>
        <v>0</v>
      </c>
      <c r="AX38" s="149">
        <f t="shared" si="14"/>
        <v>1554.48</v>
      </c>
      <c r="AY38" s="150">
        <f t="shared" si="15"/>
        <v>129.54</v>
      </c>
      <c r="AZ38" s="150">
        <f t="shared" si="4"/>
        <v>0</v>
      </c>
      <c r="BA38" s="149">
        <f t="shared" si="16"/>
        <v>129.54</v>
      </c>
      <c r="BB38" s="150">
        <f t="shared" si="17"/>
        <v>1684.02</v>
      </c>
      <c r="BC38" s="150">
        <f t="shared" si="17"/>
        <v>0</v>
      </c>
      <c r="BD38" s="149">
        <f t="shared" si="18"/>
        <v>1684.02</v>
      </c>
      <c r="BE38" s="143">
        <f t="shared" si="5"/>
        <v>6951.98</v>
      </c>
      <c r="BF38" s="143">
        <f t="shared" si="6"/>
        <v>0</v>
      </c>
      <c r="BG38" s="143">
        <f t="shared" si="19"/>
        <v>6951.98</v>
      </c>
      <c r="BH38" s="155"/>
      <c r="BI38" s="143">
        <f t="shared" si="20"/>
        <v>6951.98</v>
      </c>
      <c r="BJ38" s="146">
        <f t="shared" si="21"/>
        <v>6951.98</v>
      </c>
      <c r="BK38" s="151" t="str">
        <f t="shared" si="22"/>
        <v>Семёнов Валентин Григорович</v>
      </c>
      <c r="BL38" s="27"/>
      <c r="BM38" s="152"/>
    </row>
    <row r="39" spans="1:65" s="2" customFormat="1" ht="15.75">
      <c r="A39" s="135">
        <f t="shared" si="23"/>
        <v>26</v>
      </c>
      <c r="B39" s="167" t="s">
        <v>284</v>
      </c>
      <c r="C39" s="137"/>
      <c r="D39" s="137"/>
      <c r="E39" s="138"/>
      <c r="F39" s="138"/>
      <c r="G39" s="139">
        <f t="shared" si="1"/>
        <v>31</v>
      </c>
      <c r="H39" s="138">
        <v>17</v>
      </c>
      <c r="I39" s="138">
        <v>131</v>
      </c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41">
        <f t="shared" si="7"/>
        <v>17</v>
      </c>
      <c r="U39" s="141">
        <f t="shared" si="7"/>
        <v>131</v>
      </c>
      <c r="V39" s="153"/>
      <c r="W39" s="153"/>
      <c r="X39" s="153">
        <v>8273</v>
      </c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43">
        <f t="shared" si="8"/>
        <v>8273</v>
      </c>
      <c r="AM39" s="154"/>
      <c r="AN39" s="154"/>
      <c r="AO39" s="143">
        <f t="shared" si="9"/>
        <v>8273</v>
      </c>
      <c r="AP39" s="154"/>
      <c r="AQ39" s="154"/>
      <c r="AR39" s="146">
        <f t="shared" si="10"/>
        <v>0</v>
      </c>
      <c r="AS39" s="143">
        <f t="shared" si="2"/>
        <v>8273</v>
      </c>
      <c r="AT39" s="146">
        <f t="shared" si="3"/>
        <v>8273</v>
      </c>
      <c r="AU39" s="147">
        <f t="shared" si="11"/>
        <v>1820.06</v>
      </c>
      <c r="AV39" s="148">
        <f t="shared" si="12"/>
        <v>1489.14</v>
      </c>
      <c r="AW39" s="148">
        <f t="shared" si="13"/>
        <v>0</v>
      </c>
      <c r="AX39" s="149">
        <f t="shared" si="14"/>
        <v>1489.14</v>
      </c>
      <c r="AY39" s="150">
        <f t="shared" si="15"/>
        <v>124.1</v>
      </c>
      <c r="AZ39" s="150">
        <f t="shared" si="4"/>
        <v>0</v>
      </c>
      <c r="BA39" s="149">
        <f t="shared" si="16"/>
        <v>124.1</v>
      </c>
      <c r="BB39" s="150">
        <f t="shared" si="17"/>
        <v>1613.24</v>
      </c>
      <c r="BC39" s="150">
        <f t="shared" si="17"/>
        <v>0</v>
      </c>
      <c r="BD39" s="149">
        <f t="shared" si="18"/>
        <v>1613.24</v>
      </c>
      <c r="BE39" s="143">
        <f t="shared" si="5"/>
        <v>6659.76</v>
      </c>
      <c r="BF39" s="143">
        <f t="shared" si="6"/>
        <v>0</v>
      </c>
      <c r="BG39" s="143">
        <f t="shared" si="19"/>
        <v>6659.76</v>
      </c>
      <c r="BH39" s="155"/>
      <c r="BI39" s="143">
        <f t="shared" si="20"/>
        <v>6659.76</v>
      </c>
      <c r="BJ39" s="146">
        <f t="shared" si="21"/>
        <v>6659.76</v>
      </c>
      <c r="BK39" s="151" t="str">
        <f t="shared" si="22"/>
        <v>Голубев Микола Миколайович</v>
      </c>
      <c r="BL39" s="27"/>
      <c r="BM39" s="152"/>
    </row>
    <row r="40" spans="1:65" s="2" customFormat="1" ht="15.75">
      <c r="A40" s="135">
        <f t="shared" si="23"/>
        <v>27</v>
      </c>
      <c r="B40" s="167" t="s">
        <v>285</v>
      </c>
      <c r="C40" s="137"/>
      <c r="D40" s="137"/>
      <c r="E40" s="138"/>
      <c r="F40" s="138"/>
      <c r="G40" s="139">
        <f t="shared" si="1"/>
        <v>31</v>
      </c>
      <c r="H40" s="138">
        <v>17</v>
      </c>
      <c r="I40" s="138">
        <v>131</v>
      </c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41">
        <f t="shared" si="7"/>
        <v>17</v>
      </c>
      <c r="U40" s="141">
        <f t="shared" si="7"/>
        <v>131</v>
      </c>
      <c r="V40" s="153"/>
      <c r="W40" s="153"/>
      <c r="X40" s="153">
        <v>8273</v>
      </c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43">
        <f t="shared" si="8"/>
        <v>8273</v>
      </c>
      <c r="AM40" s="154"/>
      <c r="AN40" s="154"/>
      <c r="AO40" s="143">
        <f t="shared" si="9"/>
        <v>8273</v>
      </c>
      <c r="AP40" s="154"/>
      <c r="AQ40" s="154"/>
      <c r="AR40" s="146">
        <f t="shared" si="10"/>
        <v>0</v>
      </c>
      <c r="AS40" s="143">
        <f t="shared" si="2"/>
        <v>8273</v>
      </c>
      <c r="AT40" s="146">
        <f t="shared" si="3"/>
        <v>8273</v>
      </c>
      <c r="AU40" s="147">
        <f t="shared" si="11"/>
        <v>1820.06</v>
      </c>
      <c r="AV40" s="148">
        <f t="shared" si="12"/>
        <v>1489.14</v>
      </c>
      <c r="AW40" s="148">
        <f t="shared" si="13"/>
        <v>0</v>
      </c>
      <c r="AX40" s="149">
        <f t="shared" si="14"/>
        <v>1489.14</v>
      </c>
      <c r="AY40" s="150">
        <f t="shared" si="15"/>
        <v>124.1</v>
      </c>
      <c r="AZ40" s="150">
        <f t="shared" si="4"/>
        <v>0</v>
      </c>
      <c r="BA40" s="149">
        <f t="shared" si="16"/>
        <v>124.1</v>
      </c>
      <c r="BB40" s="150">
        <f t="shared" si="17"/>
        <v>1613.24</v>
      </c>
      <c r="BC40" s="150">
        <f t="shared" si="17"/>
        <v>0</v>
      </c>
      <c r="BD40" s="149">
        <f t="shared" si="18"/>
        <v>1613.24</v>
      </c>
      <c r="BE40" s="143">
        <f t="shared" si="5"/>
        <v>6659.76</v>
      </c>
      <c r="BF40" s="143">
        <f t="shared" si="6"/>
        <v>0</v>
      </c>
      <c r="BG40" s="143">
        <f t="shared" si="19"/>
        <v>6659.76</v>
      </c>
      <c r="BH40" s="155"/>
      <c r="BI40" s="143">
        <f t="shared" si="20"/>
        <v>6659.76</v>
      </c>
      <c r="BJ40" s="146">
        <f t="shared" si="21"/>
        <v>6659.76</v>
      </c>
      <c r="BK40" s="151" t="str">
        <f t="shared" si="22"/>
        <v>Виноградов Дмитро Олександрович</v>
      </c>
      <c r="BL40" s="27"/>
      <c r="BM40" s="152"/>
    </row>
    <row r="41" spans="1:65" s="2" customFormat="1" ht="15.75">
      <c r="A41" s="135">
        <f t="shared" si="23"/>
        <v>28</v>
      </c>
      <c r="B41" s="136" t="s">
        <v>286</v>
      </c>
      <c r="C41" s="137"/>
      <c r="D41" s="137"/>
      <c r="E41" s="138" t="s">
        <v>184</v>
      </c>
      <c r="F41" s="138"/>
      <c r="G41" s="139">
        <f t="shared" si="1"/>
        <v>31</v>
      </c>
      <c r="H41" s="138">
        <v>3</v>
      </c>
      <c r="I41" s="138">
        <v>24</v>
      </c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41">
        <f t="shared" si="7"/>
        <v>3</v>
      </c>
      <c r="U41" s="141">
        <f t="shared" si="7"/>
        <v>24</v>
      </c>
      <c r="V41" s="153"/>
      <c r="W41" s="153"/>
      <c r="X41" s="153">
        <v>742</v>
      </c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43">
        <f t="shared" si="8"/>
        <v>742</v>
      </c>
      <c r="AM41" s="154">
        <v>3624.75</v>
      </c>
      <c r="AN41" s="154"/>
      <c r="AO41" s="143">
        <f t="shared" si="9"/>
        <v>4366.75</v>
      </c>
      <c r="AP41" s="154"/>
      <c r="AQ41" s="154"/>
      <c r="AR41" s="146">
        <f t="shared" si="10"/>
        <v>0</v>
      </c>
      <c r="AS41" s="143">
        <f t="shared" si="2"/>
        <v>4366.75</v>
      </c>
      <c r="AT41" s="146">
        <f t="shared" si="3"/>
        <v>4366.75</v>
      </c>
      <c r="AU41" s="147">
        <f t="shared" si="11"/>
        <v>367.24</v>
      </c>
      <c r="AV41" s="148">
        <f t="shared" si="12"/>
        <v>786.02</v>
      </c>
      <c r="AW41" s="148">
        <f t="shared" si="13"/>
        <v>0</v>
      </c>
      <c r="AX41" s="149">
        <f t="shared" si="14"/>
        <v>786.02</v>
      </c>
      <c r="AY41" s="150">
        <f t="shared" si="15"/>
        <v>65.5</v>
      </c>
      <c r="AZ41" s="150">
        <f t="shared" si="4"/>
        <v>0</v>
      </c>
      <c r="BA41" s="149">
        <f t="shared" si="16"/>
        <v>65.5</v>
      </c>
      <c r="BB41" s="150">
        <f t="shared" si="17"/>
        <v>851.52</v>
      </c>
      <c r="BC41" s="150">
        <f t="shared" si="17"/>
        <v>0</v>
      </c>
      <c r="BD41" s="149">
        <f t="shared" si="18"/>
        <v>851.52</v>
      </c>
      <c r="BE41" s="143">
        <f t="shared" si="5"/>
        <v>3515.23</v>
      </c>
      <c r="BF41" s="143">
        <f t="shared" si="6"/>
        <v>0</v>
      </c>
      <c r="BG41" s="143">
        <f t="shared" si="19"/>
        <v>3515.23</v>
      </c>
      <c r="BH41" s="155"/>
      <c r="BI41" s="143">
        <f t="shared" si="20"/>
        <v>3515.23</v>
      </c>
      <c r="BJ41" s="146">
        <f t="shared" si="21"/>
        <v>3515.23</v>
      </c>
      <c r="BK41" s="151" t="str">
        <f t="shared" si="22"/>
        <v>Богданов Василь Васильович</v>
      </c>
      <c r="BL41" s="20"/>
      <c r="BM41" s="152"/>
    </row>
    <row r="42" spans="1:65" s="2" customFormat="1" ht="15.75">
      <c r="A42" s="135" t="str">
        <f t="shared" si="23"/>
        <v/>
      </c>
      <c r="B42" s="136"/>
      <c r="C42" s="137"/>
      <c r="D42" s="137"/>
      <c r="E42" s="138"/>
      <c r="F42" s="138"/>
      <c r="G42" s="139" t="str">
        <f t="shared" si="1"/>
        <v/>
      </c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41">
        <f t="shared" si="7"/>
        <v>0</v>
      </c>
      <c r="U42" s="141">
        <f t="shared" si="7"/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43">
        <f t="shared" si="8"/>
        <v>0</v>
      </c>
      <c r="AM42" s="154"/>
      <c r="AN42" s="154"/>
      <c r="AO42" s="143">
        <f t="shared" si="9"/>
        <v>0</v>
      </c>
      <c r="AP42" s="154"/>
      <c r="AQ42" s="154"/>
      <c r="AR42" s="146">
        <f t="shared" si="10"/>
        <v>0</v>
      </c>
      <c r="AS42" s="143">
        <f t="shared" si="2"/>
        <v>0</v>
      </c>
      <c r="AT42" s="146">
        <f t="shared" si="3"/>
        <v>0</v>
      </c>
      <c r="AU42" s="147">
        <f t="shared" si="11"/>
        <v>0</v>
      </c>
      <c r="AV42" s="148">
        <f t="shared" si="12"/>
        <v>0</v>
      </c>
      <c r="AW42" s="148">
        <f t="shared" si="13"/>
        <v>0</v>
      </c>
      <c r="AX42" s="149">
        <f t="shared" si="14"/>
        <v>0</v>
      </c>
      <c r="AY42" s="150">
        <f t="shared" si="15"/>
        <v>0</v>
      </c>
      <c r="AZ42" s="150">
        <f t="shared" si="4"/>
        <v>0</v>
      </c>
      <c r="BA42" s="149">
        <f t="shared" si="16"/>
        <v>0</v>
      </c>
      <c r="BB42" s="150">
        <f t="shared" si="17"/>
        <v>0</v>
      </c>
      <c r="BC42" s="150">
        <f t="shared" si="17"/>
        <v>0</v>
      </c>
      <c r="BD42" s="149">
        <f t="shared" si="18"/>
        <v>0</v>
      </c>
      <c r="BE42" s="143">
        <f t="shared" si="5"/>
        <v>0</v>
      </c>
      <c r="BF42" s="143">
        <f t="shared" si="6"/>
        <v>0</v>
      </c>
      <c r="BG42" s="143">
        <f t="shared" si="19"/>
        <v>0</v>
      </c>
      <c r="BH42" s="155"/>
      <c r="BI42" s="143">
        <f t="shared" si="20"/>
        <v>0</v>
      </c>
      <c r="BJ42" s="146">
        <f t="shared" si="21"/>
        <v>0</v>
      </c>
      <c r="BK42" s="151" t="str">
        <f t="shared" si="22"/>
        <v/>
      </c>
      <c r="BL42" s="27"/>
      <c r="BM42" s="152"/>
    </row>
    <row r="43" spans="1:65" s="2" customFormat="1" ht="15.75">
      <c r="A43" s="135" t="str">
        <f t="shared" si="23"/>
        <v/>
      </c>
      <c r="B43" s="167"/>
      <c r="C43" s="137"/>
      <c r="D43" s="137"/>
      <c r="E43" s="137"/>
      <c r="F43" s="137"/>
      <c r="G43" s="139" t="str">
        <f t="shared" si="1"/>
        <v/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41">
        <f t="shared" si="7"/>
        <v>0</v>
      </c>
      <c r="U43" s="141">
        <f t="shared" si="7"/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43">
        <f t="shared" si="8"/>
        <v>0</v>
      </c>
      <c r="AM43" s="154"/>
      <c r="AN43" s="154"/>
      <c r="AO43" s="143">
        <f t="shared" si="9"/>
        <v>0</v>
      </c>
      <c r="AP43" s="154"/>
      <c r="AQ43" s="154"/>
      <c r="AR43" s="146">
        <f t="shared" si="10"/>
        <v>0</v>
      </c>
      <c r="AS43" s="143">
        <f t="shared" si="2"/>
        <v>0</v>
      </c>
      <c r="AT43" s="146">
        <f t="shared" si="3"/>
        <v>0</v>
      </c>
      <c r="AU43" s="147">
        <f t="shared" si="11"/>
        <v>0</v>
      </c>
      <c r="AV43" s="148">
        <f t="shared" si="12"/>
        <v>0</v>
      </c>
      <c r="AW43" s="148">
        <f t="shared" si="13"/>
        <v>0</v>
      </c>
      <c r="AX43" s="149">
        <f t="shared" si="14"/>
        <v>0</v>
      </c>
      <c r="AY43" s="150">
        <f t="shared" si="15"/>
        <v>0</v>
      </c>
      <c r="AZ43" s="150">
        <f t="shared" si="4"/>
        <v>0</v>
      </c>
      <c r="BA43" s="149">
        <f t="shared" si="16"/>
        <v>0</v>
      </c>
      <c r="BB43" s="150">
        <f t="shared" si="17"/>
        <v>0</v>
      </c>
      <c r="BC43" s="150">
        <f t="shared" si="17"/>
        <v>0</v>
      </c>
      <c r="BD43" s="149">
        <f t="shared" si="18"/>
        <v>0</v>
      </c>
      <c r="BE43" s="143">
        <f t="shared" si="5"/>
        <v>0</v>
      </c>
      <c r="BF43" s="143">
        <f t="shared" si="6"/>
        <v>0</v>
      </c>
      <c r="BG43" s="143">
        <f t="shared" si="19"/>
        <v>0</v>
      </c>
      <c r="BH43" s="155"/>
      <c r="BI43" s="143">
        <f t="shared" si="20"/>
        <v>0</v>
      </c>
      <c r="BJ43" s="146">
        <f t="shared" si="21"/>
        <v>0</v>
      </c>
      <c r="BK43" s="151" t="str">
        <f t="shared" si="22"/>
        <v/>
      </c>
      <c r="BL43" s="27"/>
      <c r="BM43" s="152"/>
    </row>
    <row r="44" spans="1:65" s="2" customFormat="1" ht="15.75">
      <c r="A44" s="135" t="str">
        <f t="shared" si="23"/>
        <v/>
      </c>
      <c r="B44" s="167"/>
      <c r="C44" s="137"/>
      <c r="D44" s="137"/>
      <c r="E44" s="137"/>
      <c r="F44" s="137"/>
      <c r="G44" s="139" t="str">
        <f t="shared" si="1"/>
        <v/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41">
        <f t="shared" si="7"/>
        <v>0</v>
      </c>
      <c r="U44" s="141">
        <f t="shared" si="7"/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43">
        <f t="shared" si="8"/>
        <v>0</v>
      </c>
      <c r="AM44" s="154"/>
      <c r="AN44" s="154"/>
      <c r="AO44" s="143">
        <f t="shared" si="9"/>
        <v>0</v>
      </c>
      <c r="AP44" s="154"/>
      <c r="AQ44" s="154"/>
      <c r="AR44" s="146">
        <f t="shared" si="10"/>
        <v>0</v>
      </c>
      <c r="AS44" s="143">
        <f t="shared" si="2"/>
        <v>0</v>
      </c>
      <c r="AT44" s="146">
        <f t="shared" si="3"/>
        <v>0</v>
      </c>
      <c r="AU44" s="147">
        <f t="shared" si="11"/>
        <v>0</v>
      </c>
      <c r="AV44" s="148">
        <f t="shared" si="12"/>
        <v>0</v>
      </c>
      <c r="AW44" s="148">
        <f t="shared" si="13"/>
        <v>0</v>
      </c>
      <c r="AX44" s="149">
        <f t="shared" si="14"/>
        <v>0</v>
      </c>
      <c r="AY44" s="150">
        <f t="shared" si="15"/>
        <v>0</v>
      </c>
      <c r="AZ44" s="150">
        <f t="shared" si="4"/>
        <v>0</v>
      </c>
      <c r="BA44" s="149">
        <f t="shared" si="16"/>
        <v>0</v>
      </c>
      <c r="BB44" s="150">
        <f t="shared" si="17"/>
        <v>0</v>
      </c>
      <c r="BC44" s="150">
        <f t="shared" si="17"/>
        <v>0</v>
      </c>
      <c r="BD44" s="149">
        <f t="shared" si="18"/>
        <v>0</v>
      </c>
      <c r="BE44" s="143">
        <f t="shared" si="5"/>
        <v>0</v>
      </c>
      <c r="BF44" s="143">
        <f t="shared" si="6"/>
        <v>0</v>
      </c>
      <c r="BG44" s="143">
        <f t="shared" si="19"/>
        <v>0</v>
      </c>
      <c r="BH44" s="155"/>
      <c r="BI44" s="143">
        <f t="shared" si="20"/>
        <v>0</v>
      </c>
      <c r="BJ44" s="146">
        <f t="shared" si="21"/>
        <v>0</v>
      </c>
      <c r="BK44" s="151" t="str">
        <f t="shared" si="22"/>
        <v/>
      </c>
      <c r="BL44" s="27"/>
      <c r="BM44" s="152"/>
    </row>
    <row r="45" spans="1:65" s="2" customFormat="1" ht="15.75">
      <c r="A45" s="135" t="str">
        <f t="shared" si="23"/>
        <v/>
      </c>
      <c r="B45" s="136"/>
      <c r="C45" s="137"/>
      <c r="D45" s="137"/>
      <c r="E45" s="138"/>
      <c r="F45" s="138"/>
      <c r="G45" s="139" t="str">
        <f t="shared" si="1"/>
        <v/>
      </c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41">
        <f t="shared" si="7"/>
        <v>0</v>
      </c>
      <c r="U45" s="141">
        <f t="shared" si="7"/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43">
        <f t="shared" si="8"/>
        <v>0</v>
      </c>
      <c r="AM45" s="154"/>
      <c r="AN45" s="154"/>
      <c r="AO45" s="143">
        <f t="shared" si="9"/>
        <v>0</v>
      </c>
      <c r="AP45" s="154"/>
      <c r="AQ45" s="154"/>
      <c r="AR45" s="146">
        <f t="shared" si="10"/>
        <v>0</v>
      </c>
      <c r="AS45" s="143">
        <f t="shared" si="2"/>
        <v>0</v>
      </c>
      <c r="AT45" s="146">
        <f t="shared" si="3"/>
        <v>0</v>
      </c>
      <c r="AU45" s="147">
        <f t="shared" si="11"/>
        <v>0</v>
      </c>
      <c r="AV45" s="148">
        <f t="shared" si="12"/>
        <v>0</v>
      </c>
      <c r="AW45" s="148">
        <f t="shared" si="13"/>
        <v>0</v>
      </c>
      <c r="AX45" s="149">
        <f t="shared" si="14"/>
        <v>0</v>
      </c>
      <c r="AY45" s="150">
        <f t="shared" si="15"/>
        <v>0</v>
      </c>
      <c r="AZ45" s="150">
        <f t="shared" si="4"/>
        <v>0</v>
      </c>
      <c r="BA45" s="149">
        <f t="shared" si="16"/>
        <v>0</v>
      </c>
      <c r="BB45" s="150">
        <f t="shared" si="17"/>
        <v>0</v>
      </c>
      <c r="BC45" s="150">
        <f t="shared" si="17"/>
        <v>0</v>
      </c>
      <c r="BD45" s="149">
        <f t="shared" si="18"/>
        <v>0</v>
      </c>
      <c r="BE45" s="143">
        <f t="shared" si="5"/>
        <v>0</v>
      </c>
      <c r="BF45" s="143">
        <f t="shared" si="6"/>
        <v>0</v>
      </c>
      <c r="BG45" s="143">
        <f t="shared" si="19"/>
        <v>0</v>
      </c>
      <c r="BH45" s="155"/>
      <c r="BI45" s="143">
        <f t="shared" si="20"/>
        <v>0</v>
      </c>
      <c r="BJ45" s="146">
        <f t="shared" si="21"/>
        <v>0</v>
      </c>
      <c r="BK45" s="151" t="str">
        <f t="shared" si="22"/>
        <v/>
      </c>
      <c r="BL45" s="27"/>
      <c r="BM45" s="152"/>
    </row>
    <row r="46" spans="1:65" s="2" customFormat="1" ht="15.75">
      <c r="A46" s="135" t="str">
        <f t="shared" si="23"/>
        <v/>
      </c>
      <c r="B46" s="167"/>
      <c r="C46" s="137"/>
      <c r="D46" s="137"/>
      <c r="E46" s="138"/>
      <c r="F46" s="138"/>
      <c r="G46" s="139" t="str">
        <f t="shared" si="1"/>
        <v/>
      </c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41">
        <f t="shared" si="7"/>
        <v>0</v>
      </c>
      <c r="U46" s="141">
        <f t="shared" si="7"/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43">
        <f t="shared" si="8"/>
        <v>0</v>
      </c>
      <c r="AM46" s="154"/>
      <c r="AN46" s="154"/>
      <c r="AO46" s="143">
        <f t="shared" si="9"/>
        <v>0</v>
      </c>
      <c r="AP46" s="154"/>
      <c r="AQ46" s="154"/>
      <c r="AR46" s="146">
        <f t="shared" si="10"/>
        <v>0</v>
      </c>
      <c r="AS46" s="143">
        <f t="shared" si="2"/>
        <v>0</v>
      </c>
      <c r="AT46" s="146">
        <f t="shared" si="3"/>
        <v>0</v>
      </c>
      <c r="AU46" s="147">
        <f t="shared" si="11"/>
        <v>0</v>
      </c>
      <c r="AV46" s="148">
        <f t="shared" si="12"/>
        <v>0</v>
      </c>
      <c r="AW46" s="148">
        <f t="shared" si="13"/>
        <v>0</v>
      </c>
      <c r="AX46" s="149">
        <f t="shared" si="14"/>
        <v>0</v>
      </c>
      <c r="AY46" s="150">
        <f t="shared" si="15"/>
        <v>0</v>
      </c>
      <c r="AZ46" s="150">
        <f t="shared" si="4"/>
        <v>0</v>
      </c>
      <c r="BA46" s="149">
        <f t="shared" si="16"/>
        <v>0</v>
      </c>
      <c r="BB46" s="150">
        <f t="shared" si="17"/>
        <v>0</v>
      </c>
      <c r="BC46" s="150">
        <f t="shared" si="17"/>
        <v>0</v>
      </c>
      <c r="BD46" s="149">
        <f t="shared" si="18"/>
        <v>0</v>
      </c>
      <c r="BE46" s="143">
        <f t="shared" si="5"/>
        <v>0</v>
      </c>
      <c r="BF46" s="143">
        <f t="shared" si="6"/>
        <v>0</v>
      </c>
      <c r="BG46" s="143">
        <f t="shared" si="19"/>
        <v>0</v>
      </c>
      <c r="BH46" s="155"/>
      <c r="BI46" s="143">
        <f t="shared" si="20"/>
        <v>0</v>
      </c>
      <c r="BJ46" s="146">
        <f t="shared" si="21"/>
        <v>0</v>
      </c>
      <c r="BK46" s="151" t="str">
        <f t="shared" si="22"/>
        <v/>
      </c>
      <c r="BL46" s="27"/>
      <c r="BM46" s="152"/>
    </row>
    <row r="47" spans="1:65" s="2" customFormat="1" ht="15.75">
      <c r="A47" s="135" t="str">
        <f t="shared" si="23"/>
        <v/>
      </c>
      <c r="B47" s="167"/>
      <c r="C47" s="137"/>
      <c r="D47" s="137"/>
      <c r="E47" s="138"/>
      <c r="F47" s="138"/>
      <c r="G47" s="139" t="str">
        <f t="shared" si="1"/>
        <v/>
      </c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41">
        <f t="shared" si="7"/>
        <v>0</v>
      </c>
      <c r="U47" s="141">
        <f t="shared" si="7"/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43">
        <f t="shared" si="8"/>
        <v>0</v>
      </c>
      <c r="AM47" s="154"/>
      <c r="AN47" s="154"/>
      <c r="AO47" s="143">
        <f t="shared" si="9"/>
        <v>0</v>
      </c>
      <c r="AP47" s="154"/>
      <c r="AQ47" s="154"/>
      <c r="AR47" s="146">
        <f t="shared" si="10"/>
        <v>0</v>
      </c>
      <c r="AS47" s="143">
        <f t="shared" si="2"/>
        <v>0</v>
      </c>
      <c r="AT47" s="146">
        <f t="shared" si="3"/>
        <v>0</v>
      </c>
      <c r="AU47" s="147">
        <f t="shared" si="11"/>
        <v>0</v>
      </c>
      <c r="AV47" s="148">
        <f t="shared" si="12"/>
        <v>0</v>
      </c>
      <c r="AW47" s="148">
        <f t="shared" si="13"/>
        <v>0</v>
      </c>
      <c r="AX47" s="149">
        <f t="shared" si="14"/>
        <v>0</v>
      </c>
      <c r="AY47" s="150">
        <f t="shared" si="15"/>
        <v>0</v>
      </c>
      <c r="AZ47" s="150">
        <f t="shared" si="4"/>
        <v>0</v>
      </c>
      <c r="BA47" s="149">
        <f t="shared" si="16"/>
        <v>0</v>
      </c>
      <c r="BB47" s="150">
        <f t="shared" si="17"/>
        <v>0</v>
      </c>
      <c r="BC47" s="150">
        <f t="shared" si="17"/>
        <v>0</v>
      </c>
      <c r="BD47" s="149">
        <f t="shared" si="18"/>
        <v>0</v>
      </c>
      <c r="BE47" s="143">
        <f t="shared" si="5"/>
        <v>0</v>
      </c>
      <c r="BF47" s="143">
        <f t="shared" si="6"/>
        <v>0</v>
      </c>
      <c r="BG47" s="143">
        <f t="shared" si="19"/>
        <v>0</v>
      </c>
      <c r="BH47" s="155"/>
      <c r="BI47" s="143">
        <f t="shared" si="20"/>
        <v>0</v>
      </c>
      <c r="BJ47" s="146">
        <f t="shared" si="21"/>
        <v>0</v>
      </c>
      <c r="BK47" s="151" t="str">
        <f t="shared" si="22"/>
        <v/>
      </c>
      <c r="BL47" s="27"/>
      <c r="BM47" s="152"/>
    </row>
    <row r="48" spans="1:65" s="2" customFormat="1" ht="15.75">
      <c r="A48" s="135" t="str">
        <f t="shared" si="23"/>
        <v/>
      </c>
      <c r="B48" s="167"/>
      <c r="C48" s="137"/>
      <c r="D48" s="137"/>
      <c r="E48" s="137"/>
      <c r="F48" s="137"/>
      <c r="G48" s="139" t="str">
        <f t="shared" si="1"/>
        <v/>
      </c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41">
        <f t="shared" si="7"/>
        <v>0</v>
      </c>
      <c r="U48" s="180">
        <f t="shared" si="7"/>
        <v>0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43">
        <f t="shared" si="8"/>
        <v>0</v>
      </c>
      <c r="AM48" s="154"/>
      <c r="AN48" s="154"/>
      <c r="AO48" s="143">
        <f t="shared" si="9"/>
        <v>0</v>
      </c>
      <c r="AP48" s="154"/>
      <c r="AQ48" s="154"/>
      <c r="AR48" s="146">
        <f t="shared" si="10"/>
        <v>0</v>
      </c>
      <c r="AS48" s="143">
        <f t="shared" si="2"/>
        <v>0</v>
      </c>
      <c r="AT48" s="146">
        <f t="shared" si="3"/>
        <v>0</v>
      </c>
      <c r="AU48" s="147">
        <f t="shared" si="11"/>
        <v>0</v>
      </c>
      <c r="AV48" s="148">
        <f t="shared" si="12"/>
        <v>0</v>
      </c>
      <c r="AW48" s="148">
        <f t="shared" si="13"/>
        <v>0</v>
      </c>
      <c r="AX48" s="149">
        <f t="shared" si="14"/>
        <v>0</v>
      </c>
      <c r="AY48" s="150">
        <f t="shared" si="15"/>
        <v>0</v>
      </c>
      <c r="AZ48" s="150">
        <f t="shared" si="4"/>
        <v>0</v>
      </c>
      <c r="BA48" s="149">
        <f t="shared" si="16"/>
        <v>0</v>
      </c>
      <c r="BB48" s="150">
        <f t="shared" si="17"/>
        <v>0</v>
      </c>
      <c r="BC48" s="150">
        <f t="shared" si="17"/>
        <v>0</v>
      </c>
      <c r="BD48" s="149">
        <f t="shared" si="18"/>
        <v>0</v>
      </c>
      <c r="BE48" s="143">
        <f t="shared" si="5"/>
        <v>0</v>
      </c>
      <c r="BF48" s="143">
        <f t="shared" si="6"/>
        <v>0</v>
      </c>
      <c r="BG48" s="143">
        <f t="shared" si="19"/>
        <v>0</v>
      </c>
      <c r="BH48" s="155"/>
      <c r="BI48" s="143">
        <f t="shared" si="20"/>
        <v>0</v>
      </c>
      <c r="BJ48" s="146">
        <f t="shared" si="21"/>
        <v>0</v>
      </c>
      <c r="BK48" s="151" t="str">
        <f t="shared" si="22"/>
        <v/>
      </c>
      <c r="BL48" s="27"/>
      <c r="BM48" s="152"/>
    </row>
    <row r="49" spans="1:65" s="2" customFormat="1" ht="15.75" thickBot="1">
      <c r="A49" s="184">
        <f>COUNT(A14:A48)</f>
        <v>28</v>
      </c>
      <c r="B49" s="185" t="s">
        <v>185</v>
      </c>
      <c r="C49" s="380">
        <f>COUNT(C14:C48)</f>
        <v>1</v>
      </c>
      <c r="D49" s="380">
        <f>COUNT(D14:D48)</f>
        <v>1</v>
      </c>
      <c r="E49" s="186">
        <f t="array" ref="E49">SUMPRODUCT(IFERROR(1+DATEVALUE(MID(E14:E48,FIND("-",E14:E48)+1,10)&amp;"."&amp;2018)-DATEVALUE(LEFT(E14:E48,FIND("-",E14:E48)-1)&amp;"."&amp;IF(DATEVALUE(MID(E14:E48,FIND("-",E14:E48)+1,10)&amp;".1900")&gt;=DATEVALUE(LEFT(E14:E48,FIND("-",E14:E48)-1)&amp;".1900"),2018,2018-1)),0))</f>
        <v>55</v>
      </c>
      <c r="F49" s="186">
        <f t="array" ref="F49">SUMPRODUCT(IFERROR(1+DATEVALUE(MID(F14:F48,FIND("-",F14:F48)+1,10)&amp;"."&amp;2018)-DATEVALUE(LEFT(F14:F48,FIND("-",F14:F48)-1)&amp;"."&amp;IF(DATEVALUE(MID(F14:F48,FIND("-",F14:F48)+1,10)&amp;".1900")&gt;=DATEVALUE(LEFT(F14:F48,FIND("-",F14:F48)-1)&amp;".1900"),2018,2018-1)),0))</f>
        <v>23</v>
      </c>
      <c r="G49" s="187">
        <f>SUM(G14:G48)</f>
        <v>811</v>
      </c>
      <c r="H49" s="187" t="s">
        <v>186</v>
      </c>
      <c r="I49" s="187" t="s">
        <v>186</v>
      </c>
      <c r="J49" s="187" t="s">
        <v>186</v>
      </c>
      <c r="K49" s="187" t="s">
        <v>186</v>
      </c>
      <c r="L49" s="187" t="s">
        <v>186</v>
      </c>
      <c r="M49" s="187" t="s">
        <v>186</v>
      </c>
      <c r="N49" s="187" t="s">
        <v>186</v>
      </c>
      <c r="O49" s="187" t="s">
        <v>186</v>
      </c>
      <c r="P49" s="187" t="s">
        <v>186</v>
      </c>
      <c r="Q49" s="187" t="s">
        <v>186</v>
      </c>
      <c r="R49" s="187" t="s">
        <v>186</v>
      </c>
      <c r="S49" s="187" t="s">
        <v>186</v>
      </c>
      <c r="T49" s="187">
        <f>SUM(T14:T48)</f>
        <v>419.5</v>
      </c>
      <c r="U49" s="187">
        <f t="shared" ref="U49:BJ49" si="25">SUM(U14:U48)</f>
        <v>3324</v>
      </c>
      <c r="V49" s="188">
        <f t="shared" si="25"/>
        <v>43482</v>
      </c>
      <c r="W49" s="188">
        <f t="shared" si="25"/>
        <v>5000</v>
      </c>
      <c r="X49" s="188">
        <f t="shared" si="25"/>
        <v>25924</v>
      </c>
      <c r="Y49" s="188">
        <f t="shared" si="25"/>
        <v>9141</v>
      </c>
      <c r="Z49" s="188">
        <f t="shared" si="25"/>
        <v>5092</v>
      </c>
      <c r="AA49" s="188">
        <f t="shared" si="25"/>
        <v>5292</v>
      </c>
      <c r="AB49" s="188">
        <f t="shared" si="25"/>
        <v>45900</v>
      </c>
      <c r="AC49" s="188">
        <f t="shared" si="25"/>
        <v>1050</v>
      </c>
      <c r="AD49" s="188">
        <f t="shared" si="25"/>
        <v>0</v>
      </c>
      <c r="AE49" s="188">
        <f t="shared" si="25"/>
        <v>0</v>
      </c>
      <c r="AF49" s="188">
        <f t="shared" si="25"/>
        <v>0</v>
      </c>
      <c r="AG49" s="188">
        <f t="shared" si="25"/>
        <v>0</v>
      </c>
      <c r="AH49" s="188">
        <f t="shared" si="25"/>
        <v>0</v>
      </c>
      <c r="AI49" s="188">
        <f t="shared" si="25"/>
        <v>0</v>
      </c>
      <c r="AJ49" s="188">
        <f t="shared" si="25"/>
        <v>0</v>
      </c>
      <c r="AK49" s="188">
        <f t="shared" si="25"/>
        <v>0</v>
      </c>
      <c r="AL49" s="188">
        <f t="shared" si="25"/>
        <v>140881</v>
      </c>
      <c r="AM49" s="188">
        <f t="shared" si="25"/>
        <v>8212.1</v>
      </c>
      <c r="AN49" s="188">
        <f t="shared" si="25"/>
        <v>245.7</v>
      </c>
      <c r="AO49" s="188">
        <f t="shared" si="25"/>
        <v>149338.79999999999</v>
      </c>
      <c r="AP49" s="188">
        <f>SUM(AP14:AP48)</f>
        <v>2579.3000000000002</v>
      </c>
      <c r="AQ49" s="188">
        <f>SUM(AQ14:AQ48)</f>
        <v>1124.2</v>
      </c>
      <c r="AR49" s="188">
        <f>SUM(AR14:AR48)</f>
        <v>3703.5</v>
      </c>
      <c r="AS49" s="188">
        <f>SUM(AS14:AS48)</f>
        <v>151918.1</v>
      </c>
      <c r="AT49" s="188">
        <f>SUM(AT14:AT48)</f>
        <v>153042.29999999999</v>
      </c>
      <c r="AU49" s="189">
        <f t="shared" si="25"/>
        <v>30650.480000000007</v>
      </c>
      <c r="AV49" s="190">
        <f t="shared" si="25"/>
        <v>27345.259999999991</v>
      </c>
      <c r="AW49" s="190">
        <f t="shared" si="25"/>
        <v>202.36</v>
      </c>
      <c r="AX49" s="190">
        <f t="shared" si="25"/>
        <v>27547.619999999992</v>
      </c>
      <c r="AY49" s="190">
        <f t="shared" si="25"/>
        <v>2278.79</v>
      </c>
      <c r="AZ49" s="190">
        <f t="shared" si="25"/>
        <v>16.86</v>
      </c>
      <c r="BA49" s="190">
        <f t="shared" si="25"/>
        <v>2295.65</v>
      </c>
      <c r="BB49" s="190">
        <f t="shared" si="25"/>
        <v>29624.05000000001</v>
      </c>
      <c r="BC49" s="190">
        <f t="shared" si="25"/>
        <v>219.22</v>
      </c>
      <c r="BD49" s="190">
        <f t="shared" si="25"/>
        <v>29843.270000000011</v>
      </c>
      <c r="BE49" s="188">
        <f t="shared" si="25"/>
        <v>122294.04999999999</v>
      </c>
      <c r="BF49" s="188">
        <f t="shared" si="25"/>
        <v>904.98</v>
      </c>
      <c r="BG49" s="188">
        <f t="shared" si="25"/>
        <v>123199.03</v>
      </c>
      <c r="BH49" s="188">
        <f t="shared" si="25"/>
        <v>2304.08</v>
      </c>
      <c r="BI49" s="188">
        <f t="shared" si="25"/>
        <v>120894.95</v>
      </c>
      <c r="BJ49" s="188">
        <f t="shared" si="25"/>
        <v>119989.96999999999</v>
      </c>
      <c r="BK49" s="191" t="s">
        <v>187</v>
      </c>
      <c r="BL49" s="192"/>
      <c r="BM49" s="193"/>
    </row>
    <row r="50" spans="1:65" s="2" customFormat="1" ht="15.75">
      <c r="A50" s="135">
        <f>IF(B50&lt;&gt;"",A49+1,"")</f>
        <v>29</v>
      </c>
      <c r="B50" s="167" t="s">
        <v>188</v>
      </c>
      <c r="C50" s="194">
        <v>43314</v>
      </c>
      <c r="D50" s="194">
        <v>43343</v>
      </c>
      <c r="E50" s="140"/>
      <c r="F50" s="140"/>
      <c r="G50" s="139">
        <f t="shared" ref="G50:G79" si="26">IF(B50="","",IF(D50="",G$99,DAY(D50))-IF(C50="",0,DAY(C50)-1))</f>
        <v>30</v>
      </c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1">
        <f t="shared" ref="T50:U88" si="27">SUM(H50,J50,L50,N50,P50,R50)</f>
        <v>0</v>
      </c>
      <c r="U50" s="141">
        <f t="shared" si="27"/>
        <v>0</v>
      </c>
      <c r="V50" s="142"/>
      <c r="W50" s="142">
        <v>2500</v>
      </c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6">
        <f t="shared" ref="AL50:AL79" si="28">SUM(V50:AK50)</f>
        <v>2500</v>
      </c>
      <c r="AM50" s="195" t="s">
        <v>186</v>
      </c>
      <c r="AN50" s="195" t="s">
        <v>186</v>
      </c>
      <c r="AO50" s="146">
        <f t="shared" ref="AO50:AO79" si="29">SUM(AL50:AN50)</f>
        <v>2500</v>
      </c>
      <c r="AP50" s="195" t="s">
        <v>186</v>
      </c>
      <c r="AQ50" s="195" t="s">
        <v>186</v>
      </c>
      <c r="AR50" s="196" t="s">
        <v>186</v>
      </c>
      <c r="AS50" s="143">
        <f t="shared" ref="AS50:AS79" si="30">SUM(AO50,AP50)</f>
        <v>2500</v>
      </c>
      <c r="AT50" s="146">
        <f t="shared" ref="AT50:AT79" si="31">SUM(AL50,AM50,AN50,AR50)</f>
        <v>2500</v>
      </c>
      <c r="AU50" s="197">
        <f t="shared" ref="AU50:AU79" si="32">ROUND(AT50*22%,2)</f>
        <v>550</v>
      </c>
      <c r="AV50" s="148">
        <f t="shared" ref="AV50:AV79" si="33">ROUND(AT50*18%,2)</f>
        <v>450</v>
      </c>
      <c r="AW50" s="150" t="s">
        <v>186</v>
      </c>
      <c r="AX50" s="149">
        <f>SUM(AV50:AW50)</f>
        <v>450</v>
      </c>
      <c r="AY50" s="150">
        <f t="shared" ref="AY50:AY79" si="34">ROUND(AT50*$BA$6,2)</f>
        <v>37.5</v>
      </c>
      <c r="AZ50" s="150" t="s">
        <v>186</v>
      </c>
      <c r="BA50" s="149">
        <f>SUM(AY50:AZ50)</f>
        <v>37.5</v>
      </c>
      <c r="BB50" s="150">
        <f>SUM(AV50,AY50)</f>
        <v>487.5</v>
      </c>
      <c r="BC50" s="150" t="s">
        <v>186</v>
      </c>
      <c r="BD50" s="149">
        <f>SUM(AX50,BA50)</f>
        <v>487.5</v>
      </c>
      <c r="BE50" s="143">
        <f t="shared" ref="BE50:BE79" si="35">AT50-BB50</f>
        <v>2012.5</v>
      </c>
      <c r="BF50" s="143" t="s">
        <v>186</v>
      </c>
      <c r="BG50" s="143">
        <f>SUM(BE50:BF50)</f>
        <v>2012.5</v>
      </c>
      <c r="BH50" s="143"/>
      <c r="BI50" s="143">
        <f t="shared" ref="BI50:BI88" si="36">BG50-BH50</f>
        <v>2012.5</v>
      </c>
      <c r="BJ50" s="146">
        <f t="shared" ref="BJ50:BJ88" si="37">BE50-BH50</f>
        <v>2012.5</v>
      </c>
      <c r="BK50" s="151" t="str">
        <f t="shared" ref="BK50:BK88" si="38">IFERROR(IF(B50="","",LEFTB(B50,SEARCH("|",SUBSTITUTE(B50," ","|",3))-1)),B50)</f>
        <v>Рябошапка Юрій Володимирович</v>
      </c>
      <c r="BL50" s="20"/>
      <c r="BM50" s="198"/>
    </row>
    <row r="51" spans="1:65" s="2" customFormat="1" ht="15.75">
      <c r="A51" s="135">
        <f t="shared" ref="A51:A79" si="39">IF(B51&lt;&gt;"",A50+1,"")</f>
        <v>30</v>
      </c>
      <c r="B51" s="167" t="s">
        <v>189</v>
      </c>
      <c r="C51" s="194">
        <v>43313</v>
      </c>
      <c r="D51" s="194">
        <v>43343</v>
      </c>
      <c r="E51" s="138"/>
      <c r="F51" s="138"/>
      <c r="G51" s="139">
        <f t="shared" si="26"/>
        <v>31</v>
      </c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41">
        <f t="shared" si="27"/>
        <v>0</v>
      </c>
      <c r="U51" s="141">
        <f t="shared" si="27"/>
        <v>0</v>
      </c>
      <c r="V51" s="153"/>
      <c r="W51" s="153"/>
      <c r="X51" s="153">
        <v>8173</v>
      </c>
      <c r="Y51" s="153"/>
      <c r="Z51" s="153"/>
      <c r="AA51" s="153"/>
      <c r="AB51" s="153"/>
      <c r="AC51" s="153"/>
      <c r="AD51" s="153"/>
      <c r="AE51" s="153">
        <v>100</v>
      </c>
      <c r="AF51" s="153"/>
      <c r="AG51" s="153"/>
      <c r="AH51" s="153"/>
      <c r="AI51" s="153"/>
      <c r="AJ51" s="153"/>
      <c r="AK51" s="153"/>
      <c r="AL51" s="146">
        <f t="shared" si="28"/>
        <v>8273</v>
      </c>
      <c r="AM51" s="199" t="s">
        <v>186</v>
      </c>
      <c r="AN51" s="199" t="s">
        <v>186</v>
      </c>
      <c r="AO51" s="146">
        <f t="shared" si="29"/>
        <v>8273</v>
      </c>
      <c r="AP51" s="199" t="s">
        <v>186</v>
      </c>
      <c r="AQ51" s="199" t="s">
        <v>186</v>
      </c>
      <c r="AR51" s="200" t="s">
        <v>186</v>
      </c>
      <c r="AS51" s="143">
        <f t="shared" si="30"/>
        <v>8273</v>
      </c>
      <c r="AT51" s="146">
        <f t="shared" si="31"/>
        <v>8273</v>
      </c>
      <c r="AU51" s="197">
        <f t="shared" si="32"/>
        <v>1820.06</v>
      </c>
      <c r="AV51" s="201">
        <f t="shared" si="33"/>
        <v>1489.14</v>
      </c>
      <c r="AW51" s="155" t="s">
        <v>186</v>
      </c>
      <c r="AX51" s="183">
        <f t="shared" ref="AX51:AX79" si="40">SUM(AV51:AW51)</f>
        <v>1489.14</v>
      </c>
      <c r="AY51" s="155">
        <f t="shared" si="34"/>
        <v>124.1</v>
      </c>
      <c r="AZ51" s="155" t="s">
        <v>186</v>
      </c>
      <c r="BA51" s="183">
        <f t="shared" ref="BA51:BA79" si="41">SUM(AY51:AZ51)</f>
        <v>124.1</v>
      </c>
      <c r="BB51" s="155">
        <f t="shared" ref="BB51:BB88" si="42">SUM(AV51,AY51)</f>
        <v>1613.24</v>
      </c>
      <c r="BC51" s="155" t="s">
        <v>186</v>
      </c>
      <c r="BD51" s="183">
        <f t="shared" ref="BD51:BD88" si="43">SUM(AX51,BA51)</f>
        <v>1613.24</v>
      </c>
      <c r="BE51" s="181">
        <f t="shared" si="35"/>
        <v>6659.76</v>
      </c>
      <c r="BF51" s="181" t="s">
        <v>186</v>
      </c>
      <c r="BG51" s="181">
        <f t="shared" ref="BG51:BG88" si="44">SUM(BE51:BF51)</f>
        <v>6659.76</v>
      </c>
      <c r="BH51" s="181"/>
      <c r="BI51" s="143">
        <f t="shared" si="36"/>
        <v>6659.76</v>
      </c>
      <c r="BJ51" s="146">
        <f t="shared" si="37"/>
        <v>6659.76</v>
      </c>
      <c r="BK51" s="151" t="str">
        <f t="shared" si="38"/>
        <v>Музиченко Анатолій Миколайович</v>
      </c>
      <c r="BL51" s="27"/>
      <c r="BM51" s="152"/>
    </row>
    <row r="52" spans="1:65" s="2" customFormat="1" ht="15.75">
      <c r="A52" s="135">
        <f t="shared" si="39"/>
        <v>31</v>
      </c>
      <c r="B52" s="167" t="s">
        <v>190</v>
      </c>
      <c r="C52" s="194">
        <v>43313</v>
      </c>
      <c r="D52" s="194">
        <v>43343</v>
      </c>
      <c r="E52" s="138"/>
      <c r="F52" s="138"/>
      <c r="G52" s="139">
        <f t="shared" si="26"/>
        <v>31</v>
      </c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41">
        <f t="shared" si="27"/>
        <v>0</v>
      </c>
      <c r="U52" s="141">
        <f t="shared" si="27"/>
        <v>0</v>
      </c>
      <c r="V52" s="153"/>
      <c r="W52" s="153"/>
      <c r="X52" s="153"/>
      <c r="Y52" s="153"/>
      <c r="Z52" s="153">
        <v>2931</v>
      </c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46">
        <f t="shared" si="28"/>
        <v>2931</v>
      </c>
      <c r="AM52" s="199" t="s">
        <v>186</v>
      </c>
      <c r="AN52" s="199" t="s">
        <v>186</v>
      </c>
      <c r="AO52" s="146">
        <f t="shared" si="29"/>
        <v>2931</v>
      </c>
      <c r="AP52" s="199" t="s">
        <v>186</v>
      </c>
      <c r="AQ52" s="199" t="s">
        <v>186</v>
      </c>
      <c r="AR52" s="200" t="s">
        <v>186</v>
      </c>
      <c r="AS52" s="143">
        <f t="shared" si="30"/>
        <v>2931</v>
      </c>
      <c r="AT52" s="146">
        <f t="shared" si="31"/>
        <v>2931</v>
      </c>
      <c r="AU52" s="197">
        <f t="shared" si="32"/>
        <v>644.82000000000005</v>
      </c>
      <c r="AV52" s="201">
        <f t="shared" si="33"/>
        <v>527.58000000000004</v>
      </c>
      <c r="AW52" s="155" t="s">
        <v>186</v>
      </c>
      <c r="AX52" s="183">
        <f t="shared" si="40"/>
        <v>527.58000000000004</v>
      </c>
      <c r="AY52" s="155">
        <f t="shared" si="34"/>
        <v>43.97</v>
      </c>
      <c r="AZ52" s="155" t="s">
        <v>186</v>
      </c>
      <c r="BA52" s="183">
        <f t="shared" si="41"/>
        <v>43.97</v>
      </c>
      <c r="BB52" s="155">
        <f t="shared" si="42"/>
        <v>571.55000000000007</v>
      </c>
      <c r="BC52" s="155" t="s">
        <v>186</v>
      </c>
      <c r="BD52" s="183">
        <f t="shared" si="43"/>
        <v>571.55000000000007</v>
      </c>
      <c r="BE52" s="181">
        <f t="shared" si="35"/>
        <v>2359.4499999999998</v>
      </c>
      <c r="BF52" s="181" t="s">
        <v>186</v>
      </c>
      <c r="BG52" s="181">
        <f t="shared" si="44"/>
        <v>2359.4499999999998</v>
      </c>
      <c r="BH52" s="181"/>
      <c r="BI52" s="143">
        <f t="shared" si="36"/>
        <v>2359.4499999999998</v>
      </c>
      <c r="BJ52" s="146">
        <f t="shared" si="37"/>
        <v>2359.4499999999998</v>
      </c>
      <c r="BK52" s="151" t="str">
        <f t="shared" si="38"/>
        <v>Пономаренко Володимир Анатолійович</v>
      </c>
      <c r="BL52" s="27"/>
      <c r="BM52" s="152"/>
    </row>
    <row r="53" spans="1:65" s="2" customFormat="1" ht="15.75">
      <c r="A53" s="135" t="str">
        <f t="shared" si="39"/>
        <v/>
      </c>
      <c r="B53" s="136"/>
      <c r="C53" s="194"/>
      <c r="D53" s="194"/>
      <c r="E53" s="138"/>
      <c r="F53" s="138"/>
      <c r="G53" s="139" t="str">
        <f t="shared" si="26"/>
        <v/>
      </c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41">
        <f t="shared" si="27"/>
        <v>0</v>
      </c>
      <c r="U53" s="141">
        <f t="shared" si="27"/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46">
        <f t="shared" si="28"/>
        <v>0</v>
      </c>
      <c r="AM53" s="199" t="s">
        <v>186</v>
      </c>
      <c r="AN53" s="199" t="s">
        <v>186</v>
      </c>
      <c r="AO53" s="146">
        <f t="shared" si="29"/>
        <v>0</v>
      </c>
      <c r="AP53" s="199" t="s">
        <v>186</v>
      </c>
      <c r="AQ53" s="199" t="s">
        <v>186</v>
      </c>
      <c r="AR53" s="200" t="s">
        <v>186</v>
      </c>
      <c r="AS53" s="143">
        <f t="shared" si="30"/>
        <v>0</v>
      </c>
      <c r="AT53" s="146">
        <f t="shared" si="31"/>
        <v>0</v>
      </c>
      <c r="AU53" s="197">
        <f t="shared" si="32"/>
        <v>0</v>
      </c>
      <c r="AV53" s="201">
        <f t="shared" si="33"/>
        <v>0</v>
      </c>
      <c r="AW53" s="155" t="s">
        <v>186</v>
      </c>
      <c r="AX53" s="183">
        <f t="shared" si="40"/>
        <v>0</v>
      </c>
      <c r="AY53" s="155">
        <f t="shared" si="34"/>
        <v>0</v>
      </c>
      <c r="AZ53" s="155" t="s">
        <v>186</v>
      </c>
      <c r="BA53" s="183">
        <f t="shared" si="41"/>
        <v>0</v>
      </c>
      <c r="BB53" s="155">
        <f t="shared" si="42"/>
        <v>0</v>
      </c>
      <c r="BC53" s="155" t="s">
        <v>186</v>
      </c>
      <c r="BD53" s="183">
        <f t="shared" si="43"/>
        <v>0</v>
      </c>
      <c r="BE53" s="181">
        <f t="shared" si="35"/>
        <v>0</v>
      </c>
      <c r="BF53" s="181" t="s">
        <v>186</v>
      </c>
      <c r="BG53" s="181">
        <f t="shared" si="44"/>
        <v>0</v>
      </c>
      <c r="BH53" s="181"/>
      <c r="BI53" s="143">
        <f t="shared" si="36"/>
        <v>0</v>
      </c>
      <c r="BJ53" s="146">
        <f t="shared" si="37"/>
        <v>0</v>
      </c>
      <c r="BK53" s="151" t="str">
        <f t="shared" si="38"/>
        <v/>
      </c>
      <c r="BL53" s="27"/>
      <c r="BM53" s="152"/>
    </row>
    <row r="54" spans="1:65" s="2" customFormat="1" ht="15.75">
      <c r="A54" s="135" t="str">
        <f t="shared" si="39"/>
        <v/>
      </c>
      <c r="B54" s="167"/>
      <c r="C54" s="194"/>
      <c r="D54" s="194"/>
      <c r="E54" s="138"/>
      <c r="F54" s="138"/>
      <c r="G54" s="139" t="str">
        <f t="shared" si="26"/>
        <v/>
      </c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41">
        <f t="shared" si="27"/>
        <v>0</v>
      </c>
      <c r="U54" s="141">
        <f t="shared" si="27"/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46">
        <f t="shared" si="28"/>
        <v>0</v>
      </c>
      <c r="AM54" s="199" t="s">
        <v>186</v>
      </c>
      <c r="AN54" s="199" t="s">
        <v>186</v>
      </c>
      <c r="AO54" s="146">
        <f t="shared" si="29"/>
        <v>0</v>
      </c>
      <c r="AP54" s="199" t="s">
        <v>186</v>
      </c>
      <c r="AQ54" s="199" t="s">
        <v>186</v>
      </c>
      <c r="AR54" s="200" t="s">
        <v>186</v>
      </c>
      <c r="AS54" s="143">
        <f t="shared" si="30"/>
        <v>0</v>
      </c>
      <c r="AT54" s="146">
        <f t="shared" si="31"/>
        <v>0</v>
      </c>
      <c r="AU54" s="197">
        <f t="shared" si="32"/>
        <v>0</v>
      </c>
      <c r="AV54" s="201">
        <f t="shared" si="33"/>
        <v>0</v>
      </c>
      <c r="AW54" s="155" t="s">
        <v>186</v>
      </c>
      <c r="AX54" s="183">
        <f t="shared" si="40"/>
        <v>0</v>
      </c>
      <c r="AY54" s="155">
        <f t="shared" si="34"/>
        <v>0</v>
      </c>
      <c r="AZ54" s="155" t="s">
        <v>186</v>
      </c>
      <c r="BA54" s="183">
        <f t="shared" si="41"/>
        <v>0</v>
      </c>
      <c r="BB54" s="155">
        <f t="shared" si="42"/>
        <v>0</v>
      </c>
      <c r="BC54" s="155" t="s">
        <v>186</v>
      </c>
      <c r="BD54" s="183">
        <f t="shared" si="43"/>
        <v>0</v>
      </c>
      <c r="BE54" s="181">
        <f t="shared" si="35"/>
        <v>0</v>
      </c>
      <c r="BF54" s="181" t="s">
        <v>186</v>
      </c>
      <c r="BG54" s="181">
        <f t="shared" si="44"/>
        <v>0</v>
      </c>
      <c r="BH54" s="162"/>
      <c r="BI54" s="143">
        <f t="shared" si="36"/>
        <v>0</v>
      </c>
      <c r="BJ54" s="146">
        <f t="shared" si="37"/>
        <v>0</v>
      </c>
      <c r="BK54" s="151" t="str">
        <f t="shared" si="38"/>
        <v/>
      </c>
      <c r="BL54" s="27"/>
      <c r="BM54" s="152"/>
    </row>
    <row r="55" spans="1:65" s="2" customFormat="1" ht="15.75">
      <c r="A55" s="135" t="str">
        <f t="shared" si="39"/>
        <v/>
      </c>
      <c r="B55" s="136"/>
      <c r="C55" s="194"/>
      <c r="D55" s="194"/>
      <c r="E55" s="138"/>
      <c r="F55" s="138"/>
      <c r="G55" s="139" t="str">
        <f t="shared" si="26"/>
        <v/>
      </c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41">
        <f t="shared" si="27"/>
        <v>0</v>
      </c>
      <c r="U55" s="141">
        <f t="shared" si="27"/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46">
        <f t="shared" si="28"/>
        <v>0</v>
      </c>
      <c r="AM55" s="199" t="s">
        <v>186</v>
      </c>
      <c r="AN55" s="199" t="s">
        <v>186</v>
      </c>
      <c r="AO55" s="146">
        <f t="shared" si="29"/>
        <v>0</v>
      </c>
      <c r="AP55" s="199" t="s">
        <v>186</v>
      </c>
      <c r="AQ55" s="199" t="s">
        <v>186</v>
      </c>
      <c r="AR55" s="200" t="s">
        <v>186</v>
      </c>
      <c r="AS55" s="143">
        <f t="shared" si="30"/>
        <v>0</v>
      </c>
      <c r="AT55" s="146">
        <f t="shared" si="31"/>
        <v>0</v>
      </c>
      <c r="AU55" s="197">
        <f t="shared" si="32"/>
        <v>0</v>
      </c>
      <c r="AV55" s="201">
        <f t="shared" si="33"/>
        <v>0</v>
      </c>
      <c r="AW55" s="155" t="s">
        <v>186</v>
      </c>
      <c r="AX55" s="183">
        <f t="shared" si="40"/>
        <v>0</v>
      </c>
      <c r="AY55" s="155">
        <f t="shared" si="34"/>
        <v>0</v>
      </c>
      <c r="AZ55" s="155" t="s">
        <v>186</v>
      </c>
      <c r="BA55" s="183">
        <f t="shared" si="41"/>
        <v>0</v>
      </c>
      <c r="BB55" s="155">
        <f t="shared" si="42"/>
        <v>0</v>
      </c>
      <c r="BC55" s="155" t="s">
        <v>186</v>
      </c>
      <c r="BD55" s="183">
        <f t="shared" si="43"/>
        <v>0</v>
      </c>
      <c r="BE55" s="181">
        <f t="shared" si="35"/>
        <v>0</v>
      </c>
      <c r="BF55" s="181" t="s">
        <v>186</v>
      </c>
      <c r="BG55" s="181">
        <f t="shared" si="44"/>
        <v>0</v>
      </c>
      <c r="BH55" s="181"/>
      <c r="BI55" s="143">
        <f t="shared" si="36"/>
        <v>0</v>
      </c>
      <c r="BJ55" s="146">
        <f t="shared" si="37"/>
        <v>0</v>
      </c>
      <c r="BK55" s="151" t="str">
        <f t="shared" si="38"/>
        <v/>
      </c>
      <c r="BL55" s="27"/>
      <c r="BM55" s="152"/>
    </row>
    <row r="56" spans="1:65" s="2" customFormat="1" ht="15.75">
      <c r="A56" s="135" t="str">
        <f t="shared" si="39"/>
        <v/>
      </c>
      <c r="B56" s="167"/>
      <c r="C56" s="194"/>
      <c r="D56" s="194"/>
      <c r="E56" s="138"/>
      <c r="F56" s="138"/>
      <c r="G56" s="139" t="str">
        <f t="shared" si="26"/>
        <v/>
      </c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41">
        <f t="shared" si="27"/>
        <v>0</v>
      </c>
      <c r="U56" s="141">
        <f t="shared" si="27"/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46">
        <f t="shared" si="28"/>
        <v>0</v>
      </c>
      <c r="AM56" s="199" t="s">
        <v>186</v>
      </c>
      <c r="AN56" s="199" t="s">
        <v>186</v>
      </c>
      <c r="AO56" s="146">
        <f t="shared" si="29"/>
        <v>0</v>
      </c>
      <c r="AP56" s="199" t="s">
        <v>186</v>
      </c>
      <c r="AQ56" s="199" t="s">
        <v>186</v>
      </c>
      <c r="AR56" s="200" t="s">
        <v>186</v>
      </c>
      <c r="AS56" s="143">
        <f t="shared" si="30"/>
        <v>0</v>
      </c>
      <c r="AT56" s="146">
        <f t="shared" si="31"/>
        <v>0</v>
      </c>
      <c r="AU56" s="197">
        <f t="shared" si="32"/>
        <v>0</v>
      </c>
      <c r="AV56" s="201">
        <f t="shared" si="33"/>
        <v>0</v>
      </c>
      <c r="AW56" s="155" t="s">
        <v>186</v>
      </c>
      <c r="AX56" s="183">
        <f t="shared" si="40"/>
        <v>0</v>
      </c>
      <c r="AY56" s="155">
        <f t="shared" si="34"/>
        <v>0</v>
      </c>
      <c r="AZ56" s="155" t="s">
        <v>186</v>
      </c>
      <c r="BA56" s="183">
        <f t="shared" si="41"/>
        <v>0</v>
      </c>
      <c r="BB56" s="155">
        <f t="shared" si="42"/>
        <v>0</v>
      </c>
      <c r="BC56" s="155" t="s">
        <v>186</v>
      </c>
      <c r="BD56" s="183">
        <f t="shared" si="43"/>
        <v>0</v>
      </c>
      <c r="BE56" s="181">
        <f t="shared" si="35"/>
        <v>0</v>
      </c>
      <c r="BF56" s="181" t="s">
        <v>186</v>
      </c>
      <c r="BG56" s="181">
        <f t="shared" si="44"/>
        <v>0</v>
      </c>
      <c r="BH56" s="162"/>
      <c r="BI56" s="143">
        <f t="shared" si="36"/>
        <v>0</v>
      </c>
      <c r="BJ56" s="146">
        <f t="shared" si="37"/>
        <v>0</v>
      </c>
      <c r="BK56" s="151" t="str">
        <f t="shared" si="38"/>
        <v/>
      </c>
      <c r="BL56" s="27"/>
      <c r="BM56" s="152"/>
    </row>
    <row r="57" spans="1:65" s="2" customFormat="1" ht="15.75">
      <c r="A57" s="135" t="str">
        <f t="shared" si="39"/>
        <v/>
      </c>
      <c r="B57" s="167"/>
      <c r="C57" s="194"/>
      <c r="D57" s="194"/>
      <c r="E57" s="138"/>
      <c r="F57" s="138"/>
      <c r="G57" s="139" t="str">
        <f t="shared" si="26"/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41">
        <f t="shared" si="27"/>
        <v>0</v>
      </c>
      <c r="U57" s="141">
        <f t="shared" si="27"/>
        <v>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46">
        <f t="shared" si="28"/>
        <v>0</v>
      </c>
      <c r="AM57" s="199" t="s">
        <v>186</v>
      </c>
      <c r="AN57" s="199" t="s">
        <v>186</v>
      </c>
      <c r="AO57" s="146">
        <f t="shared" si="29"/>
        <v>0</v>
      </c>
      <c r="AP57" s="199" t="s">
        <v>186</v>
      </c>
      <c r="AQ57" s="199" t="s">
        <v>186</v>
      </c>
      <c r="AR57" s="200" t="s">
        <v>186</v>
      </c>
      <c r="AS57" s="143">
        <f t="shared" si="30"/>
        <v>0</v>
      </c>
      <c r="AT57" s="146">
        <f t="shared" si="31"/>
        <v>0</v>
      </c>
      <c r="AU57" s="197">
        <f t="shared" si="32"/>
        <v>0</v>
      </c>
      <c r="AV57" s="201">
        <f t="shared" si="33"/>
        <v>0</v>
      </c>
      <c r="AW57" s="155" t="s">
        <v>186</v>
      </c>
      <c r="AX57" s="183">
        <f t="shared" si="40"/>
        <v>0</v>
      </c>
      <c r="AY57" s="155">
        <f t="shared" si="34"/>
        <v>0</v>
      </c>
      <c r="AZ57" s="155" t="s">
        <v>186</v>
      </c>
      <c r="BA57" s="183">
        <f t="shared" si="41"/>
        <v>0</v>
      </c>
      <c r="BB57" s="155">
        <f t="shared" si="42"/>
        <v>0</v>
      </c>
      <c r="BC57" s="155" t="s">
        <v>186</v>
      </c>
      <c r="BD57" s="183">
        <f t="shared" si="43"/>
        <v>0</v>
      </c>
      <c r="BE57" s="181">
        <f t="shared" si="35"/>
        <v>0</v>
      </c>
      <c r="BF57" s="181" t="s">
        <v>186</v>
      </c>
      <c r="BG57" s="181">
        <f t="shared" si="44"/>
        <v>0</v>
      </c>
      <c r="BH57" s="162"/>
      <c r="BI57" s="143">
        <f t="shared" si="36"/>
        <v>0</v>
      </c>
      <c r="BJ57" s="146">
        <f t="shared" si="37"/>
        <v>0</v>
      </c>
      <c r="BK57" s="151" t="str">
        <f t="shared" si="38"/>
        <v/>
      </c>
      <c r="BL57" s="27"/>
      <c r="BM57" s="152"/>
    </row>
    <row r="58" spans="1:65" s="2" customFormat="1" ht="15.75">
      <c r="A58" s="135" t="str">
        <f t="shared" si="39"/>
        <v/>
      </c>
      <c r="B58" s="136"/>
      <c r="C58" s="194"/>
      <c r="D58" s="194"/>
      <c r="E58" s="138"/>
      <c r="F58" s="138"/>
      <c r="G58" s="139" t="str">
        <f t="shared" si="26"/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41">
        <f t="shared" si="27"/>
        <v>0</v>
      </c>
      <c r="U58" s="141">
        <f t="shared" si="27"/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46">
        <f t="shared" si="28"/>
        <v>0</v>
      </c>
      <c r="AM58" s="199" t="s">
        <v>186</v>
      </c>
      <c r="AN58" s="199" t="s">
        <v>186</v>
      </c>
      <c r="AO58" s="146">
        <f t="shared" si="29"/>
        <v>0</v>
      </c>
      <c r="AP58" s="199" t="s">
        <v>186</v>
      </c>
      <c r="AQ58" s="199" t="s">
        <v>186</v>
      </c>
      <c r="AR58" s="200" t="s">
        <v>186</v>
      </c>
      <c r="AS58" s="143">
        <f t="shared" si="30"/>
        <v>0</v>
      </c>
      <c r="AT58" s="146">
        <f t="shared" si="31"/>
        <v>0</v>
      </c>
      <c r="AU58" s="197">
        <f t="shared" si="32"/>
        <v>0</v>
      </c>
      <c r="AV58" s="201">
        <f t="shared" si="33"/>
        <v>0</v>
      </c>
      <c r="AW58" s="155" t="s">
        <v>186</v>
      </c>
      <c r="AX58" s="183">
        <f t="shared" si="40"/>
        <v>0</v>
      </c>
      <c r="AY58" s="155">
        <f t="shared" si="34"/>
        <v>0</v>
      </c>
      <c r="AZ58" s="155" t="s">
        <v>186</v>
      </c>
      <c r="BA58" s="183">
        <f t="shared" si="41"/>
        <v>0</v>
      </c>
      <c r="BB58" s="155">
        <f t="shared" si="42"/>
        <v>0</v>
      </c>
      <c r="BC58" s="155" t="s">
        <v>186</v>
      </c>
      <c r="BD58" s="183">
        <f t="shared" si="43"/>
        <v>0</v>
      </c>
      <c r="BE58" s="181">
        <f t="shared" si="35"/>
        <v>0</v>
      </c>
      <c r="BF58" s="181" t="s">
        <v>186</v>
      </c>
      <c r="BG58" s="181">
        <f t="shared" si="44"/>
        <v>0</v>
      </c>
      <c r="BH58" s="181"/>
      <c r="BI58" s="143">
        <f t="shared" si="36"/>
        <v>0</v>
      </c>
      <c r="BJ58" s="146">
        <f t="shared" si="37"/>
        <v>0</v>
      </c>
      <c r="BK58" s="151" t="str">
        <f t="shared" si="38"/>
        <v/>
      </c>
      <c r="BL58" s="27"/>
      <c r="BM58" s="152"/>
    </row>
    <row r="59" spans="1:65" s="2" customFormat="1" ht="15.75">
      <c r="A59" s="135" t="str">
        <f t="shared" si="39"/>
        <v/>
      </c>
      <c r="B59" s="167"/>
      <c r="C59" s="137"/>
      <c r="D59" s="137"/>
      <c r="E59" s="138"/>
      <c r="F59" s="138"/>
      <c r="G59" s="139" t="str">
        <f t="shared" si="26"/>
        <v/>
      </c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41">
        <f t="shared" si="27"/>
        <v>0</v>
      </c>
      <c r="U59" s="141">
        <f t="shared" si="27"/>
        <v>0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46">
        <f t="shared" si="28"/>
        <v>0</v>
      </c>
      <c r="AM59" s="199" t="s">
        <v>186</v>
      </c>
      <c r="AN59" s="199" t="s">
        <v>186</v>
      </c>
      <c r="AO59" s="146">
        <f t="shared" si="29"/>
        <v>0</v>
      </c>
      <c r="AP59" s="199" t="s">
        <v>186</v>
      </c>
      <c r="AQ59" s="199" t="s">
        <v>186</v>
      </c>
      <c r="AR59" s="200" t="s">
        <v>186</v>
      </c>
      <c r="AS59" s="143">
        <f t="shared" si="30"/>
        <v>0</v>
      </c>
      <c r="AT59" s="146">
        <f t="shared" si="31"/>
        <v>0</v>
      </c>
      <c r="AU59" s="197">
        <f t="shared" si="32"/>
        <v>0</v>
      </c>
      <c r="AV59" s="201">
        <f t="shared" si="33"/>
        <v>0</v>
      </c>
      <c r="AW59" s="155" t="s">
        <v>186</v>
      </c>
      <c r="AX59" s="183">
        <f t="shared" si="40"/>
        <v>0</v>
      </c>
      <c r="AY59" s="155">
        <f t="shared" si="34"/>
        <v>0</v>
      </c>
      <c r="AZ59" s="155" t="s">
        <v>186</v>
      </c>
      <c r="BA59" s="183">
        <f t="shared" si="41"/>
        <v>0</v>
      </c>
      <c r="BB59" s="155">
        <f t="shared" si="42"/>
        <v>0</v>
      </c>
      <c r="BC59" s="155" t="s">
        <v>186</v>
      </c>
      <c r="BD59" s="183">
        <f t="shared" si="43"/>
        <v>0</v>
      </c>
      <c r="BE59" s="181">
        <f t="shared" si="35"/>
        <v>0</v>
      </c>
      <c r="BF59" s="181" t="s">
        <v>186</v>
      </c>
      <c r="BG59" s="181">
        <f t="shared" si="44"/>
        <v>0</v>
      </c>
      <c r="BH59" s="181"/>
      <c r="BI59" s="143">
        <f t="shared" si="36"/>
        <v>0</v>
      </c>
      <c r="BJ59" s="146">
        <f t="shared" si="37"/>
        <v>0</v>
      </c>
      <c r="BK59" s="151" t="str">
        <f t="shared" si="38"/>
        <v/>
      </c>
      <c r="BL59" s="27"/>
      <c r="BM59" s="152"/>
    </row>
    <row r="60" spans="1:65" s="2" customFormat="1" ht="15.75">
      <c r="A60" s="135" t="str">
        <f t="shared" si="39"/>
        <v/>
      </c>
      <c r="B60" s="165"/>
      <c r="C60" s="137"/>
      <c r="D60" s="137"/>
      <c r="E60" s="138"/>
      <c r="F60" s="138"/>
      <c r="G60" s="139" t="str">
        <f t="shared" si="26"/>
        <v/>
      </c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41">
        <f t="shared" si="27"/>
        <v>0</v>
      </c>
      <c r="U60" s="141">
        <f t="shared" si="27"/>
        <v>0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46">
        <f t="shared" si="28"/>
        <v>0</v>
      </c>
      <c r="AM60" s="199" t="s">
        <v>186</v>
      </c>
      <c r="AN60" s="199" t="s">
        <v>186</v>
      </c>
      <c r="AO60" s="146">
        <f t="shared" si="29"/>
        <v>0</v>
      </c>
      <c r="AP60" s="199" t="s">
        <v>186</v>
      </c>
      <c r="AQ60" s="199" t="s">
        <v>186</v>
      </c>
      <c r="AR60" s="200" t="s">
        <v>186</v>
      </c>
      <c r="AS60" s="143">
        <f t="shared" si="30"/>
        <v>0</v>
      </c>
      <c r="AT60" s="146">
        <f t="shared" si="31"/>
        <v>0</v>
      </c>
      <c r="AU60" s="197">
        <f t="shared" si="32"/>
        <v>0</v>
      </c>
      <c r="AV60" s="201">
        <f t="shared" si="33"/>
        <v>0</v>
      </c>
      <c r="AW60" s="155" t="s">
        <v>186</v>
      </c>
      <c r="AX60" s="183">
        <f t="shared" si="40"/>
        <v>0</v>
      </c>
      <c r="AY60" s="155">
        <f t="shared" si="34"/>
        <v>0</v>
      </c>
      <c r="AZ60" s="155" t="s">
        <v>186</v>
      </c>
      <c r="BA60" s="183">
        <f t="shared" si="41"/>
        <v>0</v>
      </c>
      <c r="BB60" s="155">
        <f t="shared" si="42"/>
        <v>0</v>
      </c>
      <c r="BC60" s="155" t="s">
        <v>186</v>
      </c>
      <c r="BD60" s="183">
        <f t="shared" si="43"/>
        <v>0</v>
      </c>
      <c r="BE60" s="181">
        <f t="shared" si="35"/>
        <v>0</v>
      </c>
      <c r="BF60" s="181" t="s">
        <v>186</v>
      </c>
      <c r="BG60" s="181">
        <f t="shared" si="44"/>
        <v>0</v>
      </c>
      <c r="BH60" s="181"/>
      <c r="BI60" s="143">
        <f t="shared" si="36"/>
        <v>0</v>
      </c>
      <c r="BJ60" s="146">
        <f t="shared" si="37"/>
        <v>0</v>
      </c>
      <c r="BK60" s="151" t="str">
        <f t="shared" si="38"/>
        <v/>
      </c>
      <c r="BL60" s="27"/>
      <c r="BM60" s="152"/>
    </row>
    <row r="61" spans="1:65" s="2" customFormat="1" ht="15.75">
      <c r="A61" s="135" t="str">
        <f t="shared" si="39"/>
        <v/>
      </c>
      <c r="B61" s="167"/>
      <c r="C61" s="137"/>
      <c r="D61" s="137"/>
      <c r="E61" s="138"/>
      <c r="F61" s="138"/>
      <c r="G61" s="139" t="str">
        <f t="shared" si="26"/>
        <v/>
      </c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41">
        <f t="shared" si="27"/>
        <v>0</v>
      </c>
      <c r="U61" s="141">
        <f t="shared" si="27"/>
        <v>0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46">
        <f t="shared" si="28"/>
        <v>0</v>
      </c>
      <c r="AM61" s="199" t="s">
        <v>186</v>
      </c>
      <c r="AN61" s="199" t="s">
        <v>186</v>
      </c>
      <c r="AO61" s="146">
        <f t="shared" si="29"/>
        <v>0</v>
      </c>
      <c r="AP61" s="199" t="s">
        <v>186</v>
      </c>
      <c r="AQ61" s="199" t="s">
        <v>186</v>
      </c>
      <c r="AR61" s="200" t="s">
        <v>186</v>
      </c>
      <c r="AS61" s="143">
        <f t="shared" si="30"/>
        <v>0</v>
      </c>
      <c r="AT61" s="146">
        <f t="shared" si="31"/>
        <v>0</v>
      </c>
      <c r="AU61" s="197">
        <f t="shared" si="32"/>
        <v>0</v>
      </c>
      <c r="AV61" s="201">
        <f t="shared" si="33"/>
        <v>0</v>
      </c>
      <c r="AW61" s="155" t="s">
        <v>186</v>
      </c>
      <c r="AX61" s="183">
        <f t="shared" si="40"/>
        <v>0</v>
      </c>
      <c r="AY61" s="155">
        <f t="shared" si="34"/>
        <v>0</v>
      </c>
      <c r="AZ61" s="155" t="s">
        <v>186</v>
      </c>
      <c r="BA61" s="183">
        <f t="shared" si="41"/>
        <v>0</v>
      </c>
      <c r="BB61" s="155">
        <f t="shared" si="42"/>
        <v>0</v>
      </c>
      <c r="BC61" s="155" t="s">
        <v>186</v>
      </c>
      <c r="BD61" s="183">
        <f t="shared" si="43"/>
        <v>0</v>
      </c>
      <c r="BE61" s="181">
        <f t="shared" si="35"/>
        <v>0</v>
      </c>
      <c r="BF61" s="181" t="s">
        <v>186</v>
      </c>
      <c r="BG61" s="181">
        <f t="shared" si="44"/>
        <v>0</v>
      </c>
      <c r="BH61" s="162"/>
      <c r="BI61" s="143">
        <f t="shared" si="36"/>
        <v>0</v>
      </c>
      <c r="BJ61" s="146">
        <f t="shared" si="37"/>
        <v>0</v>
      </c>
      <c r="BK61" s="151" t="str">
        <f t="shared" si="38"/>
        <v/>
      </c>
      <c r="BL61" s="27"/>
      <c r="BM61" s="152"/>
    </row>
    <row r="62" spans="1:65" s="2" customFormat="1" ht="15.75">
      <c r="A62" s="135" t="str">
        <f t="shared" si="39"/>
        <v/>
      </c>
      <c r="B62" s="167"/>
      <c r="C62" s="137"/>
      <c r="D62" s="137"/>
      <c r="E62" s="138"/>
      <c r="F62" s="138"/>
      <c r="G62" s="139" t="str">
        <f>IF(B62="","",IF(D62="",G$99,DAY(D62))-IF(C62="",0,DAY(C62)-1))</f>
        <v/>
      </c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41">
        <f t="shared" si="27"/>
        <v>0</v>
      </c>
      <c r="U62" s="141">
        <f t="shared" si="27"/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46">
        <f t="shared" si="28"/>
        <v>0</v>
      </c>
      <c r="AM62" s="199" t="s">
        <v>186</v>
      </c>
      <c r="AN62" s="199" t="s">
        <v>186</v>
      </c>
      <c r="AO62" s="146">
        <f t="shared" si="29"/>
        <v>0</v>
      </c>
      <c r="AP62" s="199" t="s">
        <v>186</v>
      </c>
      <c r="AQ62" s="199" t="s">
        <v>186</v>
      </c>
      <c r="AR62" s="200" t="s">
        <v>186</v>
      </c>
      <c r="AS62" s="143">
        <f t="shared" si="30"/>
        <v>0</v>
      </c>
      <c r="AT62" s="146">
        <f t="shared" si="31"/>
        <v>0</v>
      </c>
      <c r="AU62" s="197">
        <f t="shared" si="32"/>
        <v>0</v>
      </c>
      <c r="AV62" s="201">
        <f t="shared" si="33"/>
        <v>0</v>
      </c>
      <c r="AW62" s="155" t="s">
        <v>186</v>
      </c>
      <c r="AX62" s="183">
        <f t="shared" si="40"/>
        <v>0</v>
      </c>
      <c r="AY62" s="155">
        <f t="shared" si="34"/>
        <v>0</v>
      </c>
      <c r="AZ62" s="155" t="s">
        <v>186</v>
      </c>
      <c r="BA62" s="183">
        <f t="shared" si="41"/>
        <v>0</v>
      </c>
      <c r="BB62" s="155">
        <f t="shared" si="42"/>
        <v>0</v>
      </c>
      <c r="BC62" s="155" t="s">
        <v>186</v>
      </c>
      <c r="BD62" s="183">
        <f t="shared" si="43"/>
        <v>0</v>
      </c>
      <c r="BE62" s="181">
        <f t="shared" si="35"/>
        <v>0</v>
      </c>
      <c r="BF62" s="181" t="s">
        <v>186</v>
      </c>
      <c r="BG62" s="181">
        <f t="shared" si="44"/>
        <v>0</v>
      </c>
      <c r="BH62" s="181"/>
      <c r="BI62" s="143">
        <f t="shared" si="36"/>
        <v>0</v>
      </c>
      <c r="BJ62" s="146">
        <f t="shared" si="37"/>
        <v>0</v>
      </c>
      <c r="BK62" s="151" t="str">
        <f t="shared" si="38"/>
        <v/>
      </c>
      <c r="BL62" s="27"/>
      <c r="BM62" s="152"/>
    </row>
    <row r="63" spans="1:65" s="2" customFormat="1" ht="15.75">
      <c r="A63" s="135" t="str">
        <f t="shared" si="39"/>
        <v/>
      </c>
      <c r="B63" s="167"/>
      <c r="C63" s="137"/>
      <c r="D63" s="137"/>
      <c r="E63" s="138"/>
      <c r="F63" s="138"/>
      <c r="G63" s="139" t="str">
        <f t="shared" si="26"/>
        <v/>
      </c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41">
        <f t="shared" si="27"/>
        <v>0</v>
      </c>
      <c r="U63" s="141">
        <f t="shared" si="27"/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46">
        <f t="shared" si="28"/>
        <v>0</v>
      </c>
      <c r="AM63" s="199" t="s">
        <v>186</v>
      </c>
      <c r="AN63" s="199" t="s">
        <v>186</v>
      </c>
      <c r="AO63" s="146">
        <f t="shared" si="29"/>
        <v>0</v>
      </c>
      <c r="AP63" s="199" t="s">
        <v>186</v>
      </c>
      <c r="AQ63" s="199" t="s">
        <v>186</v>
      </c>
      <c r="AR63" s="200" t="s">
        <v>186</v>
      </c>
      <c r="AS63" s="143">
        <f t="shared" si="30"/>
        <v>0</v>
      </c>
      <c r="AT63" s="146">
        <f t="shared" si="31"/>
        <v>0</v>
      </c>
      <c r="AU63" s="197">
        <f t="shared" si="32"/>
        <v>0</v>
      </c>
      <c r="AV63" s="201">
        <f t="shared" si="33"/>
        <v>0</v>
      </c>
      <c r="AW63" s="155" t="s">
        <v>186</v>
      </c>
      <c r="AX63" s="183">
        <f t="shared" si="40"/>
        <v>0</v>
      </c>
      <c r="AY63" s="155">
        <f t="shared" si="34"/>
        <v>0</v>
      </c>
      <c r="AZ63" s="155" t="s">
        <v>186</v>
      </c>
      <c r="BA63" s="183">
        <f t="shared" si="41"/>
        <v>0</v>
      </c>
      <c r="BB63" s="155">
        <f t="shared" si="42"/>
        <v>0</v>
      </c>
      <c r="BC63" s="155" t="s">
        <v>186</v>
      </c>
      <c r="BD63" s="183">
        <f t="shared" si="43"/>
        <v>0</v>
      </c>
      <c r="BE63" s="181">
        <f t="shared" si="35"/>
        <v>0</v>
      </c>
      <c r="BF63" s="181" t="s">
        <v>186</v>
      </c>
      <c r="BG63" s="181">
        <f t="shared" si="44"/>
        <v>0</v>
      </c>
      <c r="BH63" s="181"/>
      <c r="BI63" s="143">
        <f t="shared" si="36"/>
        <v>0</v>
      </c>
      <c r="BJ63" s="146">
        <f t="shared" si="37"/>
        <v>0</v>
      </c>
      <c r="BK63" s="151" t="str">
        <f t="shared" si="38"/>
        <v/>
      </c>
      <c r="BL63" s="27"/>
      <c r="BM63" s="152"/>
    </row>
    <row r="64" spans="1:65" s="2" customFormat="1" ht="15.75">
      <c r="A64" s="135" t="str">
        <f t="shared" si="39"/>
        <v/>
      </c>
      <c r="B64" s="136"/>
      <c r="C64" s="137"/>
      <c r="D64" s="137"/>
      <c r="E64" s="138"/>
      <c r="F64" s="138"/>
      <c r="G64" s="139" t="str">
        <f t="shared" si="26"/>
        <v/>
      </c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41">
        <f t="shared" si="27"/>
        <v>0</v>
      </c>
      <c r="U64" s="141">
        <f t="shared" si="27"/>
        <v>0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46">
        <f t="shared" si="28"/>
        <v>0</v>
      </c>
      <c r="AM64" s="199" t="s">
        <v>186</v>
      </c>
      <c r="AN64" s="199" t="s">
        <v>186</v>
      </c>
      <c r="AO64" s="146">
        <f t="shared" si="29"/>
        <v>0</v>
      </c>
      <c r="AP64" s="199" t="s">
        <v>186</v>
      </c>
      <c r="AQ64" s="199" t="s">
        <v>186</v>
      </c>
      <c r="AR64" s="200" t="s">
        <v>186</v>
      </c>
      <c r="AS64" s="143">
        <f t="shared" si="30"/>
        <v>0</v>
      </c>
      <c r="AT64" s="146">
        <f t="shared" si="31"/>
        <v>0</v>
      </c>
      <c r="AU64" s="197">
        <f t="shared" si="32"/>
        <v>0</v>
      </c>
      <c r="AV64" s="201">
        <f t="shared" si="33"/>
        <v>0</v>
      </c>
      <c r="AW64" s="155" t="s">
        <v>186</v>
      </c>
      <c r="AX64" s="183">
        <f t="shared" si="40"/>
        <v>0</v>
      </c>
      <c r="AY64" s="155">
        <f t="shared" si="34"/>
        <v>0</v>
      </c>
      <c r="AZ64" s="155" t="s">
        <v>186</v>
      </c>
      <c r="BA64" s="183">
        <f t="shared" si="41"/>
        <v>0</v>
      </c>
      <c r="BB64" s="155">
        <f t="shared" si="42"/>
        <v>0</v>
      </c>
      <c r="BC64" s="155" t="s">
        <v>186</v>
      </c>
      <c r="BD64" s="183">
        <f t="shared" si="43"/>
        <v>0</v>
      </c>
      <c r="BE64" s="181">
        <f t="shared" si="35"/>
        <v>0</v>
      </c>
      <c r="BF64" s="181" t="s">
        <v>186</v>
      </c>
      <c r="BG64" s="181">
        <f t="shared" si="44"/>
        <v>0</v>
      </c>
      <c r="BH64" s="181"/>
      <c r="BI64" s="143">
        <f t="shared" si="36"/>
        <v>0</v>
      </c>
      <c r="BJ64" s="146">
        <f t="shared" si="37"/>
        <v>0</v>
      </c>
      <c r="BK64" s="151" t="str">
        <f t="shared" si="38"/>
        <v/>
      </c>
      <c r="BL64" s="27"/>
      <c r="BM64" s="152"/>
    </row>
    <row r="65" spans="1:65" s="2" customFormat="1" ht="15.75">
      <c r="A65" s="135" t="str">
        <f t="shared" si="39"/>
        <v/>
      </c>
      <c r="B65" s="167"/>
      <c r="C65" s="137"/>
      <c r="D65" s="137"/>
      <c r="E65" s="138"/>
      <c r="F65" s="138"/>
      <c r="G65" s="139" t="str">
        <f t="shared" si="26"/>
        <v/>
      </c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41">
        <f t="shared" si="27"/>
        <v>0</v>
      </c>
      <c r="U65" s="141">
        <f t="shared" si="27"/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46">
        <f t="shared" si="28"/>
        <v>0</v>
      </c>
      <c r="AM65" s="199" t="s">
        <v>186</v>
      </c>
      <c r="AN65" s="199" t="s">
        <v>186</v>
      </c>
      <c r="AO65" s="146">
        <f t="shared" si="29"/>
        <v>0</v>
      </c>
      <c r="AP65" s="199" t="s">
        <v>186</v>
      </c>
      <c r="AQ65" s="199" t="s">
        <v>186</v>
      </c>
      <c r="AR65" s="200" t="s">
        <v>186</v>
      </c>
      <c r="AS65" s="143">
        <f t="shared" si="30"/>
        <v>0</v>
      </c>
      <c r="AT65" s="146">
        <f t="shared" si="31"/>
        <v>0</v>
      </c>
      <c r="AU65" s="197">
        <f t="shared" si="32"/>
        <v>0</v>
      </c>
      <c r="AV65" s="201">
        <f t="shared" si="33"/>
        <v>0</v>
      </c>
      <c r="AW65" s="155" t="s">
        <v>186</v>
      </c>
      <c r="AX65" s="183">
        <f t="shared" si="40"/>
        <v>0</v>
      </c>
      <c r="AY65" s="155">
        <f t="shared" si="34"/>
        <v>0</v>
      </c>
      <c r="AZ65" s="155" t="s">
        <v>186</v>
      </c>
      <c r="BA65" s="183">
        <f t="shared" si="41"/>
        <v>0</v>
      </c>
      <c r="BB65" s="155">
        <f t="shared" si="42"/>
        <v>0</v>
      </c>
      <c r="BC65" s="155" t="s">
        <v>186</v>
      </c>
      <c r="BD65" s="183">
        <f t="shared" si="43"/>
        <v>0</v>
      </c>
      <c r="BE65" s="181">
        <f t="shared" si="35"/>
        <v>0</v>
      </c>
      <c r="BF65" s="181" t="s">
        <v>186</v>
      </c>
      <c r="BG65" s="181">
        <f t="shared" si="44"/>
        <v>0</v>
      </c>
      <c r="BH65" s="181"/>
      <c r="BI65" s="143">
        <f t="shared" si="36"/>
        <v>0</v>
      </c>
      <c r="BJ65" s="146">
        <f t="shared" si="37"/>
        <v>0</v>
      </c>
      <c r="BK65" s="151" t="str">
        <f t="shared" si="38"/>
        <v/>
      </c>
      <c r="BL65" s="27"/>
      <c r="BM65" s="152"/>
    </row>
    <row r="66" spans="1:65" s="2" customFormat="1" ht="15.75">
      <c r="A66" s="135" t="str">
        <f t="shared" si="39"/>
        <v/>
      </c>
      <c r="B66" s="167"/>
      <c r="C66" s="137"/>
      <c r="D66" s="137"/>
      <c r="E66" s="138"/>
      <c r="F66" s="138"/>
      <c r="G66" s="139" t="str">
        <f t="shared" si="26"/>
        <v/>
      </c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41">
        <f t="shared" si="27"/>
        <v>0</v>
      </c>
      <c r="U66" s="141">
        <f t="shared" si="27"/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46">
        <f t="shared" si="28"/>
        <v>0</v>
      </c>
      <c r="AM66" s="199" t="s">
        <v>186</v>
      </c>
      <c r="AN66" s="199" t="s">
        <v>186</v>
      </c>
      <c r="AO66" s="146">
        <f t="shared" si="29"/>
        <v>0</v>
      </c>
      <c r="AP66" s="199" t="s">
        <v>186</v>
      </c>
      <c r="AQ66" s="199" t="s">
        <v>186</v>
      </c>
      <c r="AR66" s="200" t="s">
        <v>186</v>
      </c>
      <c r="AS66" s="143">
        <f t="shared" si="30"/>
        <v>0</v>
      </c>
      <c r="AT66" s="146">
        <f t="shared" si="31"/>
        <v>0</v>
      </c>
      <c r="AU66" s="197">
        <f t="shared" si="32"/>
        <v>0</v>
      </c>
      <c r="AV66" s="201">
        <f t="shared" si="33"/>
        <v>0</v>
      </c>
      <c r="AW66" s="155" t="s">
        <v>186</v>
      </c>
      <c r="AX66" s="183">
        <f t="shared" si="40"/>
        <v>0</v>
      </c>
      <c r="AY66" s="155">
        <f t="shared" si="34"/>
        <v>0</v>
      </c>
      <c r="AZ66" s="155" t="s">
        <v>186</v>
      </c>
      <c r="BA66" s="183">
        <f t="shared" si="41"/>
        <v>0</v>
      </c>
      <c r="BB66" s="155">
        <f t="shared" si="42"/>
        <v>0</v>
      </c>
      <c r="BC66" s="155" t="s">
        <v>186</v>
      </c>
      <c r="BD66" s="183">
        <f t="shared" si="43"/>
        <v>0</v>
      </c>
      <c r="BE66" s="181">
        <f t="shared" si="35"/>
        <v>0</v>
      </c>
      <c r="BF66" s="181" t="s">
        <v>186</v>
      </c>
      <c r="BG66" s="181">
        <f t="shared" si="44"/>
        <v>0</v>
      </c>
      <c r="BH66" s="162"/>
      <c r="BI66" s="143">
        <f t="shared" si="36"/>
        <v>0</v>
      </c>
      <c r="BJ66" s="146">
        <f t="shared" si="37"/>
        <v>0</v>
      </c>
      <c r="BK66" s="151" t="str">
        <f t="shared" si="38"/>
        <v/>
      </c>
      <c r="BL66" s="27"/>
      <c r="BM66" s="152"/>
    </row>
    <row r="67" spans="1:65" s="2" customFormat="1" ht="15.75">
      <c r="A67" s="135" t="str">
        <f t="shared" si="39"/>
        <v/>
      </c>
      <c r="B67" s="167"/>
      <c r="C67" s="137"/>
      <c r="D67" s="137"/>
      <c r="E67" s="138"/>
      <c r="F67" s="138"/>
      <c r="G67" s="139" t="str">
        <f t="shared" si="26"/>
        <v/>
      </c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41">
        <f t="shared" si="27"/>
        <v>0</v>
      </c>
      <c r="U67" s="141">
        <f t="shared" si="27"/>
        <v>0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46">
        <f t="shared" si="28"/>
        <v>0</v>
      </c>
      <c r="AM67" s="199" t="s">
        <v>186</v>
      </c>
      <c r="AN67" s="199" t="s">
        <v>186</v>
      </c>
      <c r="AO67" s="146">
        <f t="shared" si="29"/>
        <v>0</v>
      </c>
      <c r="AP67" s="199" t="s">
        <v>186</v>
      </c>
      <c r="AQ67" s="199" t="s">
        <v>186</v>
      </c>
      <c r="AR67" s="200" t="s">
        <v>186</v>
      </c>
      <c r="AS67" s="143">
        <f t="shared" si="30"/>
        <v>0</v>
      </c>
      <c r="AT67" s="146">
        <f t="shared" si="31"/>
        <v>0</v>
      </c>
      <c r="AU67" s="197">
        <f t="shared" si="32"/>
        <v>0</v>
      </c>
      <c r="AV67" s="201">
        <f t="shared" si="33"/>
        <v>0</v>
      </c>
      <c r="AW67" s="155" t="s">
        <v>186</v>
      </c>
      <c r="AX67" s="183">
        <f t="shared" si="40"/>
        <v>0</v>
      </c>
      <c r="AY67" s="155">
        <f t="shared" si="34"/>
        <v>0</v>
      </c>
      <c r="AZ67" s="155" t="s">
        <v>186</v>
      </c>
      <c r="BA67" s="183">
        <f t="shared" si="41"/>
        <v>0</v>
      </c>
      <c r="BB67" s="155">
        <f t="shared" si="42"/>
        <v>0</v>
      </c>
      <c r="BC67" s="155" t="s">
        <v>186</v>
      </c>
      <c r="BD67" s="183">
        <f t="shared" si="43"/>
        <v>0</v>
      </c>
      <c r="BE67" s="181">
        <f t="shared" si="35"/>
        <v>0</v>
      </c>
      <c r="BF67" s="181" t="s">
        <v>186</v>
      </c>
      <c r="BG67" s="181">
        <f t="shared" si="44"/>
        <v>0</v>
      </c>
      <c r="BH67" s="181"/>
      <c r="BI67" s="143">
        <f t="shared" si="36"/>
        <v>0</v>
      </c>
      <c r="BJ67" s="146">
        <f t="shared" si="37"/>
        <v>0</v>
      </c>
      <c r="BK67" s="151" t="str">
        <f t="shared" si="38"/>
        <v/>
      </c>
      <c r="BL67" s="27"/>
      <c r="BM67" s="152"/>
    </row>
    <row r="68" spans="1:65" s="2" customFormat="1" ht="15.75">
      <c r="A68" s="135" t="str">
        <f t="shared" si="39"/>
        <v/>
      </c>
      <c r="B68" s="167"/>
      <c r="C68" s="137"/>
      <c r="D68" s="137"/>
      <c r="E68" s="138"/>
      <c r="F68" s="138"/>
      <c r="G68" s="139" t="str">
        <f t="shared" si="26"/>
        <v/>
      </c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41">
        <f t="shared" si="27"/>
        <v>0</v>
      </c>
      <c r="U68" s="141">
        <f t="shared" si="27"/>
        <v>0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46">
        <f t="shared" si="28"/>
        <v>0</v>
      </c>
      <c r="AM68" s="199" t="s">
        <v>186</v>
      </c>
      <c r="AN68" s="199" t="s">
        <v>186</v>
      </c>
      <c r="AO68" s="146">
        <f t="shared" si="29"/>
        <v>0</v>
      </c>
      <c r="AP68" s="199" t="s">
        <v>186</v>
      </c>
      <c r="AQ68" s="199" t="s">
        <v>186</v>
      </c>
      <c r="AR68" s="200" t="s">
        <v>186</v>
      </c>
      <c r="AS68" s="143">
        <f t="shared" si="30"/>
        <v>0</v>
      </c>
      <c r="AT68" s="146">
        <f t="shared" si="31"/>
        <v>0</v>
      </c>
      <c r="AU68" s="197">
        <f t="shared" si="32"/>
        <v>0</v>
      </c>
      <c r="AV68" s="201">
        <f t="shared" si="33"/>
        <v>0</v>
      </c>
      <c r="AW68" s="155" t="s">
        <v>186</v>
      </c>
      <c r="AX68" s="183">
        <f t="shared" si="40"/>
        <v>0</v>
      </c>
      <c r="AY68" s="155">
        <f t="shared" si="34"/>
        <v>0</v>
      </c>
      <c r="AZ68" s="155" t="s">
        <v>186</v>
      </c>
      <c r="BA68" s="183">
        <f t="shared" si="41"/>
        <v>0</v>
      </c>
      <c r="BB68" s="155">
        <f t="shared" si="42"/>
        <v>0</v>
      </c>
      <c r="BC68" s="155" t="s">
        <v>186</v>
      </c>
      <c r="BD68" s="183">
        <f t="shared" si="43"/>
        <v>0</v>
      </c>
      <c r="BE68" s="181">
        <f t="shared" si="35"/>
        <v>0</v>
      </c>
      <c r="BF68" s="181" t="s">
        <v>186</v>
      </c>
      <c r="BG68" s="181">
        <f t="shared" si="44"/>
        <v>0</v>
      </c>
      <c r="BH68" s="181"/>
      <c r="BI68" s="143">
        <f t="shared" si="36"/>
        <v>0</v>
      </c>
      <c r="BJ68" s="146">
        <f t="shared" si="37"/>
        <v>0</v>
      </c>
      <c r="BK68" s="151" t="str">
        <f t="shared" si="38"/>
        <v/>
      </c>
      <c r="BL68" s="27"/>
      <c r="BM68" s="152"/>
    </row>
    <row r="69" spans="1:65" s="2" customFormat="1" ht="15.75">
      <c r="A69" s="135" t="str">
        <f t="shared" si="39"/>
        <v/>
      </c>
      <c r="B69" s="167"/>
      <c r="C69" s="137"/>
      <c r="D69" s="137"/>
      <c r="E69" s="138"/>
      <c r="F69" s="138"/>
      <c r="G69" s="139" t="str">
        <f t="shared" si="26"/>
        <v/>
      </c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41">
        <f t="shared" si="27"/>
        <v>0</v>
      </c>
      <c r="U69" s="141">
        <f t="shared" si="27"/>
        <v>0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46">
        <f t="shared" si="28"/>
        <v>0</v>
      </c>
      <c r="AM69" s="199" t="s">
        <v>186</v>
      </c>
      <c r="AN69" s="199" t="s">
        <v>186</v>
      </c>
      <c r="AO69" s="146">
        <f t="shared" si="29"/>
        <v>0</v>
      </c>
      <c r="AP69" s="199" t="s">
        <v>186</v>
      </c>
      <c r="AQ69" s="199" t="s">
        <v>186</v>
      </c>
      <c r="AR69" s="200" t="s">
        <v>186</v>
      </c>
      <c r="AS69" s="143">
        <f t="shared" si="30"/>
        <v>0</v>
      </c>
      <c r="AT69" s="146">
        <f t="shared" si="31"/>
        <v>0</v>
      </c>
      <c r="AU69" s="197">
        <f t="shared" si="32"/>
        <v>0</v>
      </c>
      <c r="AV69" s="201">
        <f t="shared" si="33"/>
        <v>0</v>
      </c>
      <c r="AW69" s="155" t="s">
        <v>186</v>
      </c>
      <c r="AX69" s="183">
        <f t="shared" si="40"/>
        <v>0</v>
      </c>
      <c r="AY69" s="155">
        <f t="shared" si="34"/>
        <v>0</v>
      </c>
      <c r="AZ69" s="155" t="s">
        <v>186</v>
      </c>
      <c r="BA69" s="183">
        <f t="shared" si="41"/>
        <v>0</v>
      </c>
      <c r="BB69" s="155">
        <f t="shared" si="42"/>
        <v>0</v>
      </c>
      <c r="BC69" s="155" t="s">
        <v>186</v>
      </c>
      <c r="BD69" s="183">
        <f t="shared" si="43"/>
        <v>0</v>
      </c>
      <c r="BE69" s="181">
        <f t="shared" si="35"/>
        <v>0</v>
      </c>
      <c r="BF69" s="181" t="s">
        <v>186</v>
      </c>
      <c r="BG69" s="181">
        <f t="shared" si="44"/>
        <v>0</v>
      </c>
      <c r="BH69" s="181"/>
      <c r="BI69" s="143">
        <f t="shared" si="36"/>
        <v>0</v>
      </c>
      <c r="BJ69" s="146">
        <f t="shared" si="37"/>
        <v>0</v>
      </c>
      <c r="BK69" s="151" t="str">
        <f t="shared" si="38"/>
        <v/>
      </c>
      <c r="BL69" s="27"/>
      <c r="BM69" s="152"/>
    </row>
    <row r="70" spans="1:65" s="2" customFormat="1" ht="15.75">
      <c r="A70" s="135" t="str">
        <f t="shared" si="39"/>
        <v/>
      </c>
      <c r="B70" s="167"/>
      <c r="C70" s="137"/>
      <c r="D70" s="137"/>
      <c r="E70" s="138"/>
      <c r="F70" s="138"/>
      <c r="G70" s="139" t="str">
        <f t="shared" si="26"/>
        <v/>
      </c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41">
        <f t="shared" si="27"/>
        <v>0</v>
      </c>
      <c r="U70" s="141">
        <f t="shared" si="27"/>
        <v>0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46">
        <f t="shared" si="28"/>
        <v>0</v>
      </c>
      <c r="AM70" s="199" t="s">
        <v>186</v>
      </c>
      <c r="AN70" s="199" t="s">
        <v>186</v>
      </c>
      <c r="AO70" s="146">
        <f t="shared" si="29"/>
        <v>0</v>
      </c>
      <c r="AP70" s="199" t="s">
        <v>186</v>
      </c>
      <c r="AQ70" s="199" t="s">
        <v>186</v>
      </c>
      <c r="AR70" s="200" t="s">
        <v>186</v>
      </c>
      <c r="AS70" s="143">
        <f t="shared" si="30"/>
        <v>0</v>
      </c>
      <c r="AT70" s="146">
        <f t="shared" si="31"/>
        <v>0</v>
      </c>
      <c r="AU70" s="197">
        <f t="shared" si="32"/>
        <v>0</v>
      </c>
      <c r="AV70" s="201">
        <f t="shared" si="33"/>
        <v>0</v>
      </c>
      <c r="AW70" s="155" t="s">
        <v>186</v>
      </c>
      <c r="AX70" s="183">
        <f t="shared" si="40"/>
        <v>0</v>
      </c>
      <c r="AY70" s="155">
        <f t="shared" si="34"/>
        <v>0</v>
      </c>
      <c r="AZ70" s="155" t="s">
        <v>186</v>
      </c>
      <c r="BA70" s="183">
        <f t="shared" si="41"/>
        <v>0</v>
      </c>
      <c r="BB70" s="155">
        <f t="shared" si="42"/>
        <v>0</v>
      </c>
      <c r="BC70" s="155" t="s">
        <v>186</v>
      </c>
      <c r="BD70" s="183">
        <f t="shared" si="43"/>
        <v>0</v>
      </c>
      <c r="BE70" s="181">
        <f t="shared" si="35"/>
        <v>0</v>
      </c>
      <c r="BF70" s="181" t="s">
        <v>186</v>
      </c>
      <c r="BG70" s="181">
        <f t="shared" si="44"/>
        <v>0</v>
      </c>
      <c r="BH70" s="181"/>
      <c r="BI70" s="143">
        <f t="shared" si="36"/>
        <v>0</v>
      </c>
      <c r="BJ70" s="146">
        <f t="shared" si="37"/>
        <v>0</v>
      </c>
      <c r="BK70" s="151" t="str">
        <f t="shared" si="38"/>
        <v/>
      </c>
      <c r="BL70" s="27"/>
      <c r="BM70" s="152"/>
    </row>
    <row r="71" spans="1:65" s="2" customFormat="1" ht="15.75">
      <c r="A71" s="135" t="str">
        <f t="shared" si="39"/>
        <v/>
      </c>
      <c r="B71" s="167"/>
      <c r="C71" s="137"/>
      <c r="D71" s="137"/>
      <c r="E71" s="138"/>
      <c r="F71" s="138"/>
      <c r="G71" s="139" t="str">
        <f t="shared" si="26"/>
        <v/>
      </c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41">
        <f t="shared" si="27"/>
        <v>0</v>
      </c>
      <c r="U71" s="141">
        <f t="shared" si="27"/>
        <v>0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46">
        <f t="shared" si="28"/>
        <v>0</v>
      </c>
      <c r="AM71" s="199" t="s">
        <v>186</v>
      </c>
      <c r="AN71" s="199" t="s">
        <v>186</v>
      </c>
      <c r="AO71" s="146">
        <f t="shared" si="29"/>
        <v>0</v>
      </c>
      <c r="AP71" s="199" t="s">
        <v>186</v>
      </c>
      <c r="AQ71" s="199" t="s">
        <v>186</v>
      </c>
      <c r="AR71" s="200" t="s">
        <v>186</v>
      </c>
      <c r="AS71" s="143">
        <f t="shared" si="30"/>
        <v>0</v>
      </c>
      <c r="AT71" s="146">
        <f t="shared" si="31"/>
        <v>0</v>
      </c>
      <c r="AU71" s="197">
        <f t="shared" si="32"/>
        <v>0</v>
      </c>
      <c r="AV71" s="201">
        <f t="shared" si="33"/>
        <v>0</v>
      </c>
      <c r="AW71" s="155" t="s">
        <v>186</v>
      </c>
      <c r="AX71" s="183">
        <f t="shared" si="40"/>
        <v>0</v>
      </c>
      <c r="AY71" s="155">
        <f t="shared" si="34"/>
        <v>0</v>
      </c>
      <c r="AZ71" s="155" t="s">
        <v>186</v>
      </c>
      <c r="BA71" s="183">
        <f t="shared" si="41"/>
        <v>0</v>
      </c>
      <c r="BB71" s="155">
        <f t="shared" si="42"/>
        <v>0</v>
      </c>
      <c r="BC71" s="155" t="s">
        <v>186</v>
      </c>
      <c r="BD71" s="183">
        <f t="shared" si="43"/>
        <v>0</v>
      </c>
      <c r="BE71" s="181">
        <f t="shared" si="35"/>
        <v>0</v>
      </c>
      <c r="BF71" s="181" t="s">
        <v>186</v>
      </c>
      <c r="BG71" s="181">
        <f t="shared" si="44"/>
        <v>0</v>
      </c>
      <c r="BH71" s="181"/>
      <c r="BI71" s="143">
        <f t="shared" si="36"/>
        <v>0</v>
      </c>
      <c r="BJ71" s="146">
        <f t="shared" si="37"/>
        <v>0</v>
      </c>
      <c r="BK71" s="151" t="str">
        <f t="shared" si="38"/>
        <v/>
      </c>
      <c r="BL71" s="27"/>
      <c r="BM71" s="152"/>
    </row>
    <row r="72" spans="1:65" s="2" customFormat="1" ht="15.75">
      <c r="A72" s="135" t="str">
        <f t="shared" si="39"/>
        <v/>
      </c>
      <c r="B72" s="167"/>
      <c r="C72" s="137"/>
      <c r="D72" s="137"/>
      <c r="E72" s="138"/>
      <c r="F72" s="138"/>
      <c r="G72" s="139" t="str">
        <f t="shared" si="26"/>
        <v/>
      </c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41">
        <f t="shared" si="27"/>
        <v>0</v>
      </c>
      <c r="U72" s="141">
        <f t="shared" si="27"/>
        <v>0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46">
        <f t="shared" si="28"/>
        <v>0</v>
      </c>
      <c r="AM72" s="199" t="s">
        <v>186</v>
      </c>
      <c r="AN72" s="199" t="s">
        <v>186</v>
      </c>
      <c r="AO72" s="146">
        <f t="shared" si="29"/>
        <v>0</v>
      </c>
      <c r="AP72" s="199" t="s">
        <v>186</v>
      </c>
      <c r="AQ72" s="199" t="s">
        <v>186</v>
      </c>
      <c r="AR72" s="200" t="s">
        <v>186</v>
      </c>
      <c r="AS72" s="143">
        <f t="shared" si="30"/>
        <v>0</v>
      </c>
      <c r="AT72" s="146">
        <f t="shared" si="31"/>
        <v>0</v>
      </c>
      <c r="AU72" s="197">
        <f t="shared" si="32"/>
        <v>0</v>
      </c>
      <c r="AV72" s="201">
        <f t="shared" si="33"/>
        <v>0</v>
      </c>
      <c r="AW72" s="155" t="s">
        <v>186</v>
      </c>
      <c r="AX72" s="183">
        <f t="shared" si="40"/>
        <v>0</v>
      </c>
      <c r="AY72" s="155">
        <f t="shared" si="34"/>
        <v>0</v>
      </c>
      <c r="AZ72" s="155" t="s">
        <v>186</v>
      </c>
      <c r="BA72" s="183">
        <f t="shared" si="41"/>
        <v>0</v>
      </c>
      <c r="BB72" s="155">
        <f t="shared" si="42"/>
        <v>0</v>
      </c>
      <c r="BC72" s="155" t="s">
        <v>186</v>
      </c>
      <c r="BD72" s="183">
        <f t="shared" si="43"/>
        <v>0</v>
      </c>
      <c r="BE72" s="181">
        <f t="shared" si="35"/>
        <v>0</v>
      </c>
      <c r="BF72" s="181" t="s">
        <v>186</v>
      </c>
      <c r="BG72" s="181">
        <f t="shared" si="44"/>
        <v>0</v>
      </c>
      <c r="BH72" s="181"/>
      <c r="BI72" s="143">
        <f t="shared" si="36"/>
        <v>0</v>
      </c>
      <c r="BJ72" s="146">
        <f t="shared" si="37"/>
        <v>0</v>
      </c>
      <c r="BK72" s="151" t="str">
        <f t="shared" si="38"/>
        <v/>
      </c>
      <c r="BL72" s="27"/>
      <c r="BM72" s="152"/>
    </row>
    <row r="73" spans="1:65" s="2" customFormat="1" ht="15.75">
      <c r="A73" s="135" t="str">
        <f t="shared" si="39"/>
        <v/>
      </c>
      <c r="B73" s="167"/>
      <c r="C73" s="137"/>
      <c r="D73" s="137"/>
      <c r="E73" s="138"/>
      <c r="F73" s="138"/>
      <c r="G73" s="139" t="str">
        <f t="shared" si="26"/>
        <v/>
      </c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41">
        <f t="shared" si="27"/>
        <v>0</v>
      </c>
      <c r="U73" s="141">
        <f t="shared" si="27"/>
        <v>0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46">
        <f t="shared" si="28"/>
        <v>0</v>
      </c>
      <c r="AM73" s="199" t="s">
        <v>186</v>
      </c>
      <c r="AN73" s="199" t="s">
        <v>186</v>
      </c>
      <c r="AO73" s="146">
        <f t="shared" si="29"/>
        <v>0</v>
      </c>
      <c r="AP73" s="199" t="s">
        <v>186</v>
      </c>
      <c r="AQ73" s="199" t="s">
        <v>186</v>
      </c>
      <c r="AR73" s="200" t="s">
        <v>186</v>
      </c>
      <c r="AS73" s="143">
        <f t="shared" si="30"/>
        <v>0</v>
      </c>
      <c r="AT73" s="146">
        <f t="shared" si="31"/>
        <v>0</v>
      </c>
      <c r="AU73" s="197">
        <f t="shared" si="32"/>
        <v>0</v>
      </c>
      <c r="AV73" s="201">
        <f t="shared" si="33"/>
        <v>0</v>
      </c>
      <c r="AW73" s="155" t="s">
        <v>186</v>
      </c>
      <c r="AX73" s="183">
        <f t="shared" si="40"/>
        <v>0</v>
      </c>
      <c r="AY73" s="155">
        <f t="shared" si="34"/>
        <v>0</v>
      </c>
      <c r="AZ73" s="155" t="s">
        <v>186</v>
      </c>
      <c r="BA73" s="183">
        <f t="shared" si="41"/>
        <v>0</v>
      </c>
      <c r="BB73" s="155">
        <f t="shared" si="42"/>
        <v>0</v>
      </c>
      <c r="BC73" s="155" t="s">
        <v>186</v>
      </c>
      <c r="BD73" s="183">
        <f t="shared" si="43"/>
        <v>0</v>
      </c>
      <c r="BE73" s="181">
        <f t="shared" si="35"/>
        <v>0</v>
      </c>
      <c r="BF73" s="181" t="s">
        <v>186</v>
      </c>
      <c r="BG73" s="181">
        <f t="shared" si="44"/>
        <v>0</v>
      </c>
      <c r="BH73" s="181"/>
      <c r="BI73" s="143">
        <f t="shared" si="36"/>
        <v>0</v>
      </c>
      <c r="BJ73" s="146">
        <f t="shared" si="37"/>
        <v>0</v>
      </c>
      <c r="BK73" s="151" t="str">
        <f t="shared" si="38"/>
        <v/>
      </c>
      <c r="BL73" s="27"/>
      <c r="BM73" s="152"/>
    </row>
    <row r="74" spans="1:65" s="2" customFormat="1" ht="15.75">
      <c r="A74" s="135" t="str">
        <f t="shared" si="39"/>
        <v/>
      </c>
      <c r="B74" s="167"/>
      <c r="C74" s="137"/>
      <c r="D74" s="137"/>
      <c r="E74" s="138"/>
      <c r="F74" s="138"/>
      <c r="G74" s="139" t="str">
        <f t="shared" si="26"/>
        <v/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41">
        <f t="shared" si="27"/>
        <v>0</v>
      </c>
      <c r="U74" s="141">
        <f t="shared" si="27"/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46">
        <f t="shared" si="28"/>
        <v>0</v>
      </c>
      <c r="AM74" s="199" t="s">
        <v>186</v>
      </c>
      <c r="AN74" s="199" t="s">
        <v>186</v>
      </c>
      <c r="AO74" s="146">
        <f t="shared" si="29"/>
        <v>0</v>
      </c>
      <c r="AP74" s="199" t="s">
        <v>186</v>
      </c>
      <c r="AQ74" s="199" t="s">
        <v>186</v>
      </c>
      <c r="AR74" s="200" t="s">
        <v>186</v>
      </c>
      <c r="AS74" s="143">
        <f t="shared" si="30"/>
        <v>0</v>
      </c>
      <c r="AT74" s="146">
        <f t="shared" si="31"/>
        <v>0</v>
      </c>
      <c r="AU74" s="197">
        <f t="shared" si="32"/>
        <v>0</v>
      </c>
      <c r="AV74" s="201">
        <f t="shared" si="33"/>
        <v>0</v>
      </c>
      <c r="AW74" s="155" t="s">
        <v>186</v>
      </c>
      <c r="AX74" s="183">
        <f t="shared" si="40"/>
        <v>0</v>
      </c>
      <c r="AY74" s="155">
        <f t="shared" si="34"/>
        <v>0</v>
      </c>
      <c r="AZ74" s="155" t="s">
        <v>186</v>
      </c>
      <c r="BA74" s="183">
        <f t="shared" si="41"/>
        <v>0</v>
      </c>
      <c r="BB74" s="155">
        <f t="shared" si="42"/>
        <v>0</v>
      </c>
      <c r="BC74" s="155" t="s">
        <v>186</v>
      </c>
      <c r="BD74" s="183">
        <f t="shared" si="43"/>
        <v>0</v>
      </c>
      <c r="BE74" s="181">
        <f t="shared" si="35"/>
        <v>0</v>
      </c>
      <c r="BF74" s="181" t="s">
        <v>186</v>
      </c>
      <c r="BG74" s="181">
        <f t="shared" si="44"/>
        <v>0</v>
      </c>
      <c r="BH74" s="181"/>
      <c r="BI74" s="143">
        <f t="shared" si="36"/>
        <v>0</v>
      </c>
      <c r="BJ74" s="146">
        <f t="shared" si="37"/>
        <v>0</v>
      </c>
      <c r="BK74" s="151" t="str">
        <f t="shared" si="38"/>
        <v/>
      </c>
      <c r="BL74" s="27"/>
      <c r="BM74" s="152"/>
    </row>
    <row r="75" spans="1:65" s="2" customFormat="1" ht="15.75">
      <c r="A75" s="135" t="str">
        <f t="shared" si="39"/>
        <v/>
      </c>
      <c r="B75" s="167"/>
      <c r="C75" s="137"/>
      <c r="D75" s="137"/>
      <c r="E75" s="138"/>
      <c r="F75" s="138"/>
      <c r="G75" s="139" t="str">
        <f t="shared" si="26"/>
        <v/>
      </c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41">
        <f t="shared" si="27"/>
        <v>0</v>
      </c>
      <c r="U75" s="141">
        <f t="shared" si="27"/>
        <v>0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46">
        <f t="shared" si="28"/>
        <v>0</v>
      </c>
      <c r="AM75" s="199" t="s">
        <v>186</v>
      </c>
      <c r="AN75" s="199" t="s">
        <v>186</v>
      </c>
      <c r="AO75" s="146">
        <f t="shared" si="29"/>
        <v>0</v>
      </c>
      <c r="AP75" s="199" t="s">
        <v>186</v>
      </c>
      <c r="AQ75" s="199" t="s">
        <v>186</v>
      </c>
      <c r="AR75" s="200" t="s">
        <v>186</v>
      </c>
      <c r="AS75" s="143">
        <f t="shared" si="30"/>
        <v>0</v>
      </c>
      <c r="AT75" s="146">
        <f t="shared" si="31"/>
        <v>0</v>
      </c>
      <c r="AU75" s="197">
        <f t="shared" si="32"/>
        <v>0</v>
      </c>
      <c r="AV75" s="201">
        <f t="shared" si="33"/>
        <v>0</v>
      </c>
      <c r="AW75" s="155" t="s">
        <v>186</v>
      </c>
      <c r="AX75" s="183">
        <f t="shared" si="40"/>
        <v>0</v>
      </c>
      <c r="AY75" s="155">
        <f t="shared" si="34"/>
        <v>0</v>
      </c>
      <c r="AZ75" s="155" t="s">
        <v>186</v>
      </c>
      <c r="BA75" s="183">
        <f t="shared" si="41"/>
        <v>0</v>
      </c>
      <c r="BB75" s="155">
        <f t="shared" si="42"/>
        <v>0</v>
      </c>
      <c r="BC75" s="155" t="s">
        <v>186</v>
      </c>
      <c r="BD75" s="183">
        <f t="shared" si="43"/>
        <v>0</v>
      </c>
      <c r="BE75" s="181">
        <f t="shared" si="35"/>
        <v>0</v>
      </c>
      <c r="BF75" s="181" t="s">
        <v>186</v>
      </c>
      <c r="BG75" s="181">
        <f t="shared" si="44"/>
        <v>0</v>
      </c>
      <c r="BH75" s="181"/>
      <c r="BI75" s="143">
        <f t="shared" si="36"/>
        <v>0</v>
      </c>
      <c r="BJ75" s="146">
        <f t="shared" si="37"/>
        <v>0</v>
      </c>
      <c r="BK75" s="151" t="str">
        <f t="shared" si="38"/>
        <v/>
      </c>
      <c r="BL75" s="27"/>
      <c r="BM75" s="152"/>
    </row>
    <row r="76" spans="1:65" s="2" customFormat="1" ht="15.75">
      <c r="A76" s="135" t="str">
        <f t="shared" si="39"/>
        <v/>
      </c>
      <c r="B76" s="167"/>
      <c r="C76" s="137"/>
      <c r="D76" s="137"/>
      <c r="E76" s="138"/>
      <c r="F76" s="138"/>
      <c r="G76" s="139" t="str">
        <f t="shared" si="26"/>
        <v/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41">
        <f t="shared" si="27"/>
        <v>0</v>
      </c>
      <c r="U76" s="141">
        <f t="shared" si="27"/>
        <v>0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46">
        <f t="shared" si="28"/>
        <v>0</v>
      </c>
      <c r="AM76" s="199" t="s">
        <v>186</v>
      </c>
      <c r="AN76" s="199" t="s">
        <v>186</v>
      </c>
      <c r="AO76" s="146">
        <f t="shared" si="29"/>
        <v>0</v>
      </c>
      <c r="AP76" s="199" t="s">
        <v>186</v>
      </c>
      <c r="AQ76" s="199" t="s">
        <v>186</v>
      </c>
      <c r="AR76" s="200" t="s">
        <v>186</v>
      </c>
      <c r="AS76" s="143">
        <f t="shared" si="30"/>
        <v>0</v>
      </c>
      <c r="AT76" s="146">
        <f t="shared" si="31"/>
        <v>0</v>
      </c>
      <c r="AU76" s="197">
        <f t="shared" si="32"/>
        <v>0</v>
      </c>
      <c r="AV76" s="201">
        <f t="shared" si="33"/>
        <v>0</v>
      </c>
      <c r="AW76" s="155" t="s">
        <v>186</v>
      </c>
      <c r="AX76" s="183">
        <f t="shared" si="40"/>
        <v>0</v>
      </c>
      <c r="AY76" s="155">
        <f t="shared" si="34"/>
        <v>0</v>
      </c>
      <c r="AZ76" s="155" t="s">
        <v>186</v>
      </c>
      <c r="BA76" s="183">
        <f t="shared" si="41"/>
        <v>0</v>
      </c>
      <c r="BB76" s="155">
        <f t="shared" si="42"/>
        <v>0</v>
      </c>
      <c r="BC76" s="155" t="s">
        <v>186</v>
      </c>
      <c r="BD76" s="183">
        <f t="shared" si="43"/>
        <v>0</v>
      </c>
      <c r="BE76" s="181">
        <f t="shared" si="35"/>
        <v>0</v>
      </c>
      <c r="BF76" s="181" t="s">
        <v>186</v>
      </c>
      <c r="BG76" s="181">
        <f t="shared" si="44"/>
        <v>0</v>
      </c>
      <c r="BH76" s="181"/>
      <c r="BI76" s="143">
        <f t="shared" si="36"/>
        <v>0</v>
      </c>
      <c r="BJ76" s="146">
        <f t="shared" si="37"/>
        <v>0</v>
      </c>
      <c r="BK76" s="151" t="str">
        <f t="shared" si="38"/>
        <v/>
      </c>
      <c r="BL76" s="27"/>
      <c r="BM76" s="152"/>
    </row>
    <row r="77" spans="1:65" s="2" customFormat="1" ht="15.75">
      <c r="A77" s="135" t="str">
        <f t="shared" si="39"/>
        <v/>
      </c>
      <c r="B77" s="167"/>
      <c r="C77" s="137"/>
      <c r="D77" s="137"/>
      <c r="E77" s="138"/>
      <c r="F77" s="138"/>
      <c r="G77" s="139" t="str">
        <f t="shared" si="26"/>
        <v/>
      </c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41">
        <f t="shared" si="27"/>
        <v>0</v>
      </c>
      <c r="U77" s="141">
        <f t="shared" si="27"/>
        <v>0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46">
        <f t="shared" si="28"/>
        <v>0</v>
      </c>
      <c r="AM77" s="199" t="s">
        <v>186</v>
      </c>
      <c r="AN77" s="199" t="s">
        <v>186</v>
      </c>
      <c r="AO77" s="146">
        <f t="shared" si="29"/>
        <v>0</v>
      </c>
      <c r="AP77" s="199" t="s">
        <v>186</v>
      </c>
      <c r="AQ77" s="199" t="s">
        <v>186</v>
      </c>
      <c r="AR77" s="200" t="s">
        <v>186</v>
      </c>
      <c r="AS77" s="143">
        <f t="shared" si="30"/>
        <v>0</v>
      </c>
      <c r="AT77" s="146">
        <f t="shared" si="31"/>
        <v>0</v>
      </c>
      <c r="AU77" s="197">
        <f t="shared" si="32"/>
        <v>0</v>
      </c>
      <c r="AV77" s="201">
        <f t="shared" si="33"/>
        <v>0</v>
      </c>
      <c r="AW77" s="155" t="s">
        <v>186</v>
      </c>
      <c r="AX77" s="183">
        <f t="shared" si="40"/>
        <v>0</v>
      </c>
      <c r="AY77" s="155">
        <f t="shared" si="34"/>
        <v>0</v>
      </c>
      <c r="AZ77" s="155" t="s">
        <v>186</v>
      </c>
      <c r="BA77" s="183">
        <f t="shared" si="41"/>
        <v>0</v>
      </c>
      <c r="BB77" s="155">
        <f t="shared" si="42"/>
        <v>0</v>
      </c>
      <c r="BC77" s="155" t="s">
        <v>186</v>
      </c>
      <c r="BD77" s="183">
        <f t="shared" si="43"/>
        <v>0</v>
      </c>
      <c r="BE77" s="181">
        <f t="shared" si="35"/>
        <v>0</v>
      </c>
      <c r="BF77" s="181" t="s">
        <v>186</v>
      </c>
      <c r="BG77" s="181">
        <f t="shared" si="44"/>
        <v>0</v>
      </c>
      <c r="BH77" s="181"/>
      <c r="BI77" s="143">
        <f t="shared" si="36"/>
        <v>0</v>
      </c>
      <c r="BJ77" s="146">
        <f t="shared" si="37"/>
        <v>0</v>
      </c>
      <c r="BK77" s="151" t="str">
        <f t="shared" si="38"/>
        <v/>
      </c>
      <c r="BL77" s="27"/>
      <c r="BM77" s="152"/>
    </row>
    <row r="78" spans="1:65" s="2" customFormat="1" ht="15.75">
      <c r="A78" s="135" t="str">
        <f t="shared" si="39"/>
        <v/>
      </c>
      <c r="B78" s="167"/>
      <c r="C78" s="137"/>
      <c r="D78" s="137"/>
      <c r="E78" s="138"/>
      <c r="F78" s="138"/>
      <c r="G78" s="139" t="str">
        <f t="shared" si="26"/>
        <v/>
      </c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41">
        <f t="shared" si="27"/>
        <v>0</v>
      </c>
      <c r="U78" s="141">
        <f t="shared" si="27"/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46">
        <f t="shared" si="28"/>
        <v>0</v>
      </c>
      <c r="AM78" s="199" t="s">
        <v>186</v>
      </c>
      <c r="AN78" s="199" t="s">
        <v>186</v>
      </c>
      <c r="AO78" s="146">
        <f t="shared" si="29"/>
        <v>0</v>
      </c>
      <c r="AP78" s="199" t="s">
        <v>186</v>
      </c>
      <c r="AQ78" s="199" t="s">
        <v>186</v>
      </c>
      <c r="AR78" s="200" t="s">
        <v>186</v>
      </c>
      <c r="AS78" s="143">
        <f t="shared" si="30"/>
        <v>0</v>
      </c>
      <c r="AT78" s="146">
        <f t="shared" si="31"/>
        <v>0</v>
      </c>
      <c r="AU78" s="197">
        <f t="shared" si="32"/>
        <v>0</v>
      </c>
      <c r="AV78" s="201">
        <f t="shared" si="33"/>
        <v>0</v>
      </c>
      <c r="AW78" s="155" t="s">
        <v>186</v>
      </c>
      <c r="AX78" s="183">
        <f t="shared" si="40"/>
        <v>0</v>
      </c>
      <c r="AY78" s="155">
        <f t="shared" si="34"/>
        <v>0</v>
      </c>
      <c r="AZ78" s="155" t="s">
        <v>186</v>
      </c>
      <c r="BA78" s="183">
        <f t="shared" si="41"/>
        <v>0</v>
      </c>
      <c r="BB78" s="155">
        <f t="shared" si="42"/>
        <v>0</v>
      </c>
      <c r="BC78" s="155" t="s">
        <v>186</v>
      </c>
      <c r="BD78" s="183">
        <f t="shared" si="43"/>
        <v>0</v>
      </c>
      <c r="BE78" s="181">
        <f t="shared" si="35"/>
        <v>0</v>
      </c>
      <c r="BF78" s="181" t="s">
        <v>186</v>
      </c>
      <c r="BG78" s="181">
        <f t="shared" si="44"/>
        <v>0</v>
      </c>
      <c r="BH78" s="181"/>
      <c r="BI78" s="143">
        <f t="shared" si="36"/>
        <v>0</v>
      </c>
      <c r="BJ78" s="146">
        <f t="shared" si="37"/>
        <v>0</v>
      </c>
      <c r="BK78" s="151" t="str">
        <f t="shared" si="38"/>
        <v/>
      </c>
      <c r="BL78" s="27"/>
      <c r="BM78" s="152"/>
    </row>
    <row r="79" spans="1:65" s="2" customFormat="1" ht="15.75">
      <c r="A79" s="135" t="str">
        <f t="shared" si="39"/>
        <v/>
      </c>
      <c r="B79" s="167"/>
      <c r="C79" s="137"/>
      <c r="D79" s="137"/>
      <c r="E79" s="138"/>
      <c r="F79" s="138"/>
      <c r="G79" s="139" t="str">
        <f t="shared" si="26"/>
        <v/>
      </c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80">
        <f t="shared" si="27"/>
        <v>0</v>
      </c>
      <c r="U79" s="180">
        <f t="shared" si="27"/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82">
        <f t="shared" si="28"/>
        <v>0</v>
      </c>
      <c r="AM79" s="199" t="s">
        <v>186</v>
      </c>
      <c r="AN79" s="199" t="s">
        <v>186</v>
      </c>
      <c r="AO79" s="182">
        <f t="shared" si="29"/>
        <v>0</v>
      </c>
      <c r="AP79" s="199" t="s">
        <v>186</v>
      </c>
      <c r="AQ79" s="199" t="s">
        <v>186</v>
      </c>
      <c r="AR79" s="200" t="s">
        <v>186</v>
      </c>
      <c r="AS79" s="181">
        <f t="shared" si="30"/>
        <v>0</v>
      </c>
      <c r="AT79" s="146">
        <f t="shared" si="31"/>
        <v>0</v>
      </c>
      <c r="AU79" s="197">
        <f t="shared" si="32"/>
        <v>0</v>
      </c>
      <c r="AV79" s="201">
        <f t="shared" si="33"/>
        <v>0</v>
      </c>
      <c r="AW79" s="155" t="s">
        <v>186</v>
      </c>
      <c r="AX79" s="183">
        <f t="shared" si="40"/>
        <v>0</v>
      </c>
      <c r="AY79" s="155">
        <f t="shared" si="34"/>
        <v>0</v>
      </c>
      <c r="AZ79" s="155" t="s">
        <v>186</v>
      </c>
      <c r="BA79" s="183">
        <f t="shared" si="41"/>
        <v>0</v>
      </c>
      <c r="BB79" s="155">
        <f t="shared" si="42"/>
        <v>0</v>
      </c>
      <c r="BC79" s="155" t="s">
        <v>186</v>
      </c>
      <c r="BD79" s="183">
        <f t="shared" si="43"/>
        <v>0</v>
      </c>
      <c r="BE79" s="181">
        <f t="shared" si="35"/>
        <v>0</v>
      </c>
      <c r="BF79" s="181" t="s">
        <v>186</v>
      </c>
      <c r="BG79" s="181">
        <f t="shared" si="44"/>
        <v>0</v>
      </c>
      <c r="BH79" s="181"/>
      <c r="BI79" s="143">
        <f t="shared" si="36"/>
        <v>0</v>
      </c>
      <c r="BJ79" s="146">
        <f t="shared" si="37"/>
        <v>0</v>
      </c>
      <c r="BK79" s="151" t="str">
        <f t="shared" si="38"/>
        <v/>
      </c>
      <c r="BL79" s="27"/>
      <c r="BM79" s="152"/>
    </row>
    <row r="80" spans="1:65" s="2" customFormat="1" ht="15.75" thickBot="1">
      <c r="A80" s="202">
        <f>COUNT(A50:A79)</f>
        <v>3</v>
      </c>
      <c r="B80" s="185" t="s">
        <v>191</v>
      </c>
      <c r="C80" s="203"/>
      <c r="D80" s="203"/>
      <c r="E80" s="187"/>
      <c r="F80" s="187"/>
      <c r="G80" s="187">
        <f>SUM(G50:G79)</f>
        <v>92</v>
      </c>
      <c r="H80" s="187" t="s">
        <v>186</v>
      </c>
      <c r="I80" s="187" t="s">
        <v>186</v>
      </c>
      <c r="J80" s="187" t="s">
        <v>186</v>
      </c>
      <c r="K80" s="187" t="s">
        <v>186</v>
      </c>
      <c r="L80" s="187" t="s">
        <v>186</v>
      </c>
      <c r="M80" s="187" t="s">
        <v>186</v>
      </c>
      <c r="N80" s="187" t="s">
        <v>186</v>
      </c>
      <c r="O80" s="187" t="s">
        <v>186</v>
      </c>
      <c r="P80" s="187" t="s">
        <v>186</v>
      </c>
      <c r="Q80" s="187" t="s">
        <v>186</v>
      </c>
      <c r="R80" s="187" t="s">
        <v>186</v>
      </c>
      <c r="S80" s="187" t="s">
        <v>186</v>
      </c>
      <c r="T80" s="187">
        <f>SUM(T50:T79)</f>
        <v>0</v>
      </c>
      <c r="U80" s="187">
        <f>SUM(U50:U79)</f>
        <v>0</v>
      </c>
      <c r="V80" s="188">
        <f>SUM(V50:V79)</f>
        <v>0</v>
      </c>
      <c r="W80" s="188">
        <f t="shared" ref="W80:AK80" si="45">SUM(W50:W79)</f>
        <v>2500</v>
      </c>
      <c r="X80" s="188">
        <f t="shared" si="45"/>
        <v>8173</v>
      </c>
      <c r="Y80" s="188">
        <f t="shared" si="45"/>
        <v>0</v>
      </c>
      <c r="Z80" s="188">
        <f t="shared" si="45"/>
        <v>2931</v>
      </c>
      <c r="AA80" s="188">
        <f t="shared" si="45"/>
        <v>0</v>
      </c>
      <c r="AB80" s="188">
        <f t="shared" si="45"/>
        <v>0</v>
      </c>
      <c r="AC80" s="188">
        <f t="shared" si="45"/>
        <v>0</v>
      </c>
      <c r="AD80" s="188">
        <f t="shared" si="45"/>
        <v>0</v>
      </c>
      <c r="AE80" s="188">
        <f t="shared" si="45"/>
        <v>100</v>
      </c>
      <c r="AF80" s="188">
        <f t="shared" si="45"/>
        <v>0</v>
      </c>
      <c r="AG80" s="188">
        <f t="shared" si="45"/>
        <v>0</v>
      </c>
      <c r="AH80" s="188">
        <f t="shared" si="45"/>
        <v>0</v>
      </c>
      <c r="AI80" s="188">
        <f t="shared" si="45"/>
        <v>0</v>
      </c>
      <c r="AJ80" s="188">
        <f t="shared" si="45"/>
        <v>0</v>
      </c>
      <c r="AK80" s="188">
        <f t="shared" si="45"/>
        <v>0</v>
      </c>
      <c r="AL80" s="188">
        <f>SUM(AL50:AL79)</f>
        <v>13704</v>
      </c>
      <c r="AM80" s="188" t="s">
        <v>186</v>
      </c>
      <c r="AN80" s="188" t="s">
        <v>186</v>
      </c>
      <c r="AO80" s="188">
        <f>SUM(AO50:AO79)</f>
        <v>13704</v>
      </c>
      <c r="AP80" s="188" t="s">
        <v>186</v>
      </c>
      <c r="AQ80" s="188" t="s">
        <v>186</v>
      </c>
      <c r="AR80" s="188" t="s">
        <v>186</v>
      </c>
      <c r="AS80" s="188">
        <f>SUM(AS50:AS79)</f>
        <v>13704</v>
      </c>
      <c r="AT80" s="188">
        <f>SUM(AT50:AT79)</f>
        <v>13704</v>
      </c>
      <c r="AU80" s="204">
        <f t="shared" ref="AU80" si="46">SUM(AU50:AU79)</f>
        <v>3014.88</v>
      </c>
      <c r="AV80" s="190">
        <f>SUM(AV50:AV79)</f>
        <v>2466.7200000000003</v>
      </c>
      <c r="AW80" s="190" t="s">
        <v>186</v>
      </c>
      <c r="AX80" s="190">
        <f>SUM(AX50:AX79)</f>
        <v>2466.7200000000003</v>
      </c>
      <c r="AY80" s="190">
        <f>SUM(AY50:AY79)</f>
        <v>205.57</v>
      </c>
      <c r="AZ80" s="190" t="s">
        <v>186</v>
      </c>
      <c r="BA80" s="190">
        <f>SUM(BA50:BA79)</f>
        <v>205.57</v>
      </c>
      <c r="BB80" s="190">
        <f>SUM(BB50:BB79)</f>
        <v>2672.29</v>
      </c>
      <c r="BC80" s="190" t="s">
        <v>186</v>
      </c>
      <c r="BD80" s="190">
        <f>SUM(BD50:BD79)</f>
        <v>2672.29</v>
      </c>
      <c r="BE80" s="188">
        <f>SUM(BE50:BE79)</f>
        <v>11031.71</v>
      </c>
      <c r="BF80" s="188" t="s">
        <v>186</v>
      </c>
      <c r="BG80" s="188">
        <f>SUM(BG50:BG79)</f>
        <v>11031.71</v>
      </c>
      <c r="BH80" s="188">
        <f>SUM(BH50:BH79)</f>
        <v>0</v>
      </c>
      <c r="BI80" s="188">
        <f>SUM(BI50:BI79)</f>
        <v>11031.71</v>
      </c>
      <c r="BJ80" s="188">
        <f>SUM(BJ50:BJ79)</f>
        <v>11031.71</v>
      </c>
      <c r="BK80" s="205" t="str">
        <f t="shared" ref="BK80:BK90" si="47">B80</f>
        <v>I I. ПО ДОГОВОРУ ЦПХ ↑ →</v>
      </c>
      <c r="BL80" s="192"/>
      <c r="BM80" s="193"/>
    </row>
    <row r="81" spans="1:65" s="2" customFormat="1">
      <c r="A81" s="135" t="str">
        <f>IF(B81&lt;&gt;"",SUM($A$49,$A$80)+1,"")</f>
        <v/>
      </c>
      <c r="B81" s="165"/>
      <c r="C81" s="194"/>
      <c r="D81" s="194"/>
      <c r="E81" s="140"/>
      <c r="F81" s="140"/>
      <c r="G81" s="139" t="str">
        <f t="shared" ref="G81:G88" si="48">IF(B81="","",IF(D81="",G$99,DAY(D81))-IF(C81="",0,DAY(C81)-1))</f>
        <v/>
      </c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1">
        <f t="shared" si="27"/>
        <v>0</v>
      </c>
      <c r="U81" s="141">
        <f t="shared" si="27"/>
        <v>0</v>
      </c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6">
        <f t="shared" ref="AL81:AL88" si="49">SUM(V81:AK81)</f>
        <v>0</v>
      </c>
      <c r="AM81" s="143" t="s">
        <v>186</v>
      </c>
      <c r="AN81" s="143" t="s">
        <v>186</v>
      </c>
      <c r="AO81" s="143">
        <f t="shared" ref="AO81:AO88" si="50">SUM(AL81:AN81)</f>
        <v>0</v>
      </c>
      <c r="AP81" s="143" t="s">
        <v>186</v>
      </c>
      <c r="AQ81" s="143" t="s">
        <v>186</v>
      </c>
      <c r="AR81" s="146" t="s">
        <v>186</v>
      </c>
      <c r="AS81" s="143">
        <f t="shared" ref="AS81:AS88" si="51">SUM(AO81,AP81)</f>
        <v>0</v>
      </c>
      <c r="AT81" s="146">
        <f t="shared" ref="AT81:AT88" si="52">SUM(AL81,AM81,AN81,AR81)</f>
        <v>0</v>
      </c>
      <c r="AU81" s="206">
        <f t="shared" ref="AU81:AU89" si="53">ROUND(AT81*22%,2)</f>
        <v>0</v>
      </c>
      <c r="AV81" s="150">
        <f t="shared" ref="AV81:AV88" si="54">ROUND(AT81*18%,2)</f>
        <v>0</v>
      </c>
      <c r="AW81" s="150" t="s">
        <v>186</v>
      </c>
      <c r="AX81" s="149">
        <f>SUM(AV81:AW81)</f>
        <v>0</v>
      </c>
      <c r="AY81" s="150">
        <f t="shared" ref="AY81:AY88" si="55">ROUND(AT81*$BA$6,2)</f>
        <v>0</v>
      </c>
      <c r="AZ81" s="150" t="s">
        <v>186</v>
      </c>
      <c r="BA81" s="149">
        <f>SUM(AY81:AZ81)</f>
        <v>0</v>
      </c>
      <c r="BB81" s="150">
        <f t="shared" si="42"/>
        <v>0</v>
      </c>
      <c r="BC81" s="150" t="s">
        <v>186</v>
      </c>
      <c r="BD81" s="149">
        <f t="shared" si="43"/>
        <v>0</v>
      </c>
      <c r="BE81" s="143">
        <f t="shared" ref="BE81:BE88" si="56">AT81-BB81</f>
        <v>0</v>
      </c>
      <c r="BF81" s="143" t="s">
        <v>186</v>
      </c>
      <c r="BG81" s="143">
        <f t="shared" si="44"/>
        <v>0</v>
      </c>
      <c r="BH81" s="143"/>
      <c r="BI81" s="143">
        <f t="shared" si="36"/>
        <v>0</v>
      </c>
      <c r="BJ81" s="146">
        <f t="shared" si="37"/>
        <v>0</v>
      </c>
      <c r="BK81" s="151" t="str">
        <f t="shared" si="38"/>
        <v/>
      </c>
      <c r="BL81" s="20"/>
      <c r="BM81" s="152"/>
    </row>
    <row r="82" spans="1:65" s="2" customFormat="1">
      <c r="A82" s="207" t="str">
        <f>IF(B82&lt;&gt;"",SUM($A$49,$A$80)+2,"")</f>
        <v/>
      </c>
      <c r="B82" s="167"/>
      <c r="C82" s="137"/>
      <c r="D82" s="137"/>
      <c r="E82" s="138"/>
      <c r="F82" s="138"/>
      <c r="G82" s="139" t="str">
        <f t="shared" si="48"/>
        <v/>
      </c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41">
        <f t="shared" si="27"/>
        <v>0</v>
      </c>
      <c r="U82" s="141">
        <f t="shared" si="27"/>
        <v>0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46">
        <f t="shared" si="49"/>
        <v>0</v>
      </c>
      <c r="AM82" s="181" t="s">
        <v>186</v>
      </c>
      <c r="AN82" s="181" t="s">
        <v>186</v>
      </c>
      <c r="AO82" s="143">
        <f t="shared" si="50"/>
        <v>0</v>
      </c>
      <c r="AP82" s="181" t="s">
        <v>186</v>
      </c>
      <c r="AQ82" s="181" t="s">
        <v>186</v>
      </c>
      <c r="AR82" s="182" t="s">
        <v>186</v>
      </c>
      <c r="AS82" s="143">
        <f t="shared" si="51"/>
        <v>0</v>
      </c>
      <c r="AT82" s="146">
        <f t="shared" si="52"/>
        <v>0</v>
      </c>
      <c r="AU82" s="197">
        <f t="shared" si="53"/>
        <v>0</v>
      </c>
      <c r="AV82" s="155">
        <f t="shared" si="54"/>
        <v>0</v>
      </c>
      <c r="AW82" s="155" t="s">
        <v>186</v>
      </c>
      <c r="AX82" s="183">
        <f t="shared" ref="AX82:AX88" si="57">SUM(AV82:AW82)</f>
        <v>0</v>
      </c>
      <c r="AY82" s="155">
        <f t="shared" si="55"/>
        <v>0</v>
      </c>
      <c r="AZ82" s="155" t="s">
        <v>186</v>
      </c>
      <c r="BA82" s="183">
        <f t="shared" ref="BA82:BA88" si="58">SUM(AY82:AZ82)</f>
        <v>0</v>
      </c>
      <c r="BB82" s="155">
        <f t="shared" si="42"/>
        <v>0</v>
      </c>
      <c r="BC82" s="155" t="s">
        <v>186</v>
      </c>
      <c r="BD82" s="183">
        <f t="shared" si="43"/>
        <v>0</v>
      </c>
      <c r="BE82" s="181">
        <f t="shared" si="56"/>
        <v>0</v>
      </c>
      <c r="BF82" s="181" t="s">
        <v>186</v>
      </c>
      <c r="BG82" s="181">
        <f t="shared" si="44"/>
        <v>0</v>
      </c>
      <c r="BH82" s="181"/>
      <c r="BI82" s="143">
        <f t="shared" si="36"/>
        <v>0</v>
      </c>
      <c r="BJ82" s="146">
        <f t="shared" si="37"/>
        <v>0</v>
      </c>
      <c r="BK82" s="151" t="str">
        <f t="shared" si="38"/>
        <v/>
      </c>
      <c r="BL82" s="27"/>
      <c r="BM82" s="152"/>
    </row>
    <row r="83" spans="1:65" s="2" customFormat="1">
      <c r="A83" s="207" t="str">
        <f>IF(B83&lt;&gt;"",SUM($A$49,$A$80)+3,"")</f>
        <v/>
      </c>
      <c r="B83" s="167"/>
      <c r="C83" s="137"/>
      <c r="D83" s="137"/>
      <c r="E83" s="138"/>
      <c r="F83" s="138"/>
      <c r="G83" s="139" t="str">
        <f t="shared" si="48"/>
        <v/>
      </c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41">
        <f t="shared" si="27"/>
        <v>0</v>
      </c>
      <c r="U83" s="141">
        <f t="shared" si="27"/>
        <v>0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46">
        <f t="shared" si="49"/>
        <v>0</v>
      </c>
      <c r="AM83" s="181" t="s">
        <v>186</v>
      </c>
      <c r="AN83" s="181" t="s">
        <v>186</v>
      </c>
      <c r="AO83" s="143">
        <f t="shared" si="50"/>
        <v>0</v>
      </c>
      <c r="AP83" s="181" t="s">
        <v>186</v>
      </c>
      <c r="AQ83" s="181" t="s">
        <v>186</v>
      </c>
      <c r="AR83" s="182" t="s">
        <v>186</v>
      </c>
      <c r="AS83" s="143">
        <f t="shared" si="51"/>
        <v>0</v>
      </c>
      <c r="AT83" s="146">
        <f t="shared" si="52"/>
        <v>0</v>
      </c>
      <c r="AU83" s="197">
        <f t="shared" si="53"/>
        <v>0</v>
      </c>
      <c r="AV83" s="155">
        <f t="shared" si="54"/>
        <v>0</v>
      </c>
      <c r="AW83" s="155" t="s">
        <v>186</v>
      </c>
      <c r="AX83" s="183">
        <f t="shared" si="57"/>
        <v>0</v>
      </c>
      <c r="AY83" s="155">
        <f t="shared" si="55"/>
        <v>0</v>
      </c>
      <c r="AZ83" s="155" t="s">
        <v>186</v>
      </c>
      <c r="BA83" s="183">
        <f t="shared" si="58"/>
        <v>0</v>
      </c>
      <c r="BB83" s="155">
        <f t="shared" si="42"/>
        <v>0</v>
      </c>
      <c r="BC83" s="155" t="s">
        <v>186</v>
      </c>
      <c r="BD83" s="183">
        <f t="shared" si="43"/>
        <v>0</v>
      </c>
      <c r="BE83" s="181">
        <f t="shared" si="56"/>
        <v>0</v>
      </c>
      <c r="BF83" s="181" t="s">
        <v>186</v>
      </c>
      <c r="BG83" s="181">
        <f t="shared" si="44"/>
        <v>0</v>
      </c>
      <c r="BH83" s="181"/>
      <c r="BI83" s="143">
        <f t="shared" si="36"/>
        <v>0</v>
      </c>
      <c r="BJ83" s="146">
        <f t="shared" si="37"/>
        <v>0</v>
      </c>
      <c r="BK83" s="151" t="str">
        <f t="shared" si="38"/>
        <v/>
      </c>
      <c r="BL83" s="27"/>
      <c r="BM83" s="152"/>
    </row>
    <row r="84" spans="1:65" s="2" customFormat="1">
      <c r="A84" s="207" t="str">
        <f>IF(B84&lt;&gt;"",SUM($A$49,$A$80)+4,"")</f>
        <v/>
      </c>
      <c r="B84" s="167"/>
      <c r="C84" s="137"/>
      <c r="D84" s="137"/>
      <c r="E84" s="138"/>
      <c r="F84" s="138"/>
      <c r="G84" s="139" t="str">
        <f t="shared" si="48"/>
        <v/>
      </c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41">
        <f t="shared" si="27"/>
        <v>0</v>
      </c>
      <c r="U84" s="141">
        <f t="shared" si="27"/>
        <v>0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46">
        <f t="shared" si="49"/>
        <v>0</v>
      </c>
      <c r="AM84" s="181" t="s">
        <v>186</v>
      </c>
      <c r="AN84" s="181" t="s">
        <v>186</v>
      </c>
      <c r="AO84" s="143">
        <f t="shared" si="50"/>
        <v>0</v>
      </c>
      <c r="AP84" s="181" t="s">
        <v>186</v>
      </c>
      <c r="AQ84" s="181" t="s">
        <v>186</v>
      </c>
      <c r="AR84" s="182" t="s">
        <v>186</v>
      </c>
      <c r="AS84" s="143">
        <f t="shared" si="51"/>
        <v>0</v>
      </c>
      <c r="AT84" s="146">
        <f t="shared" si="52"/>
        <v>0</v>
      </c>
      <c r="AU84" s="197">
        <f t="shared" si="53"/>
        <v>0</v>
      </c>
      <c r="AV84" s="155">
        <f t="shared" si="54"/>
        <v>0</v>
      </c>
      <c r="AW84" s="155" t="s">
        <v>186</v>
      </c>
      <c r="AX84" s="183">
        <f t="shared" si="57"/>
        <v>0</v>
      </c>
      <c r="AY84" s="155">
        <f t="shared" si="55"/>
        <v>0</v>
      </c>
      <c r="AZ84" s="155" t="s">
        <v>186</v>
      </c>
      <c r="BA84" s="183">
        <f t="shared" si="58"/>
        <v>0</v>
      </c>
      <c r="BB84" s="155">
        <f t="shared" si="42"/>
        <v>0</v>
      </c>
      <c r="BC84" s="155" t="s">
        <v>186</v>
      </c>
      <c r="BD84" s="183">
        <f t="shared" si="43"/>
        <v>0</v>
      </c>
      <c r="BE84" s="181">
        <f t="shared" si="56"/>
        <v>0</v>
      </c>
      <c r="BF84" s="181" t="s">
        <v>186</v>
      </c>
      <c r="BG84" s="181">
        <f t="shared" si="44"/>
        <v>0</v>
      </c>
      <c r="BH84" s="181"/>
      <c r="BI84" s="143">
        <f t="shared" si="36"/>
        <v>0</v>
      </c>
      <c r="BJ84" s="146">
        <f t="shared" si="37"/>
        <v>0</v>
      </c>
      <c r="BK84" s="151" t="str">
        <f t="shared" si="38"/>
        <v/>
      </c>
      <c r="BL84" s="27"/>
      <c r="BM84" s="114"/>
    </row>
    <row r="85" spans="1:65" s="2" customFormat="1">
      <c r="A85" s="207" t="str">
        <f>IF(B85&lt;&gt;"",SUM($A$49,$A$80)+5,"")</f>
        <v/>
      </c>
      <c r="B85" s="167"/>
      <c r="C85" s="137"/>
      <c r="D85" s="137"/>
      <c r="E85" s="138"/>
      <c r="F85" s="138"/>
      <c r="G85" s="139" t="str">
        <f t="shared" si="48"/>
        <v/>
      </c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41">
        <f t="shared" si="27"/>
        <v>0</v>
      </c>
      <c r="U85" s="141">
        <f t="shared" si="27"/>
        <v>0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46">
        <f t="shared" si="49"/>
        <v>0</v>
      </c>
      <c r="AM85" s="181" t="s">
        <v>186</v>
      </c>
      <c r="AN85" s="181" t="s">
        <v>186</v>
      </c>
      <c r="AO85" s="143">
        <f t="shared" si="50"/>
        <v>0</v>
      </c>
      <c r="AP85" s="181" t="s">
        <v>186</v>
      </c>
      <c r="AQ85" s="181" t="s">
        <v>186</v>
      </c>
      <c r="AR85" s="182" t="s">
        <v>186</v>
      </c>
      <c r="AS85" s="143">
        <f t="shared" si="51"/>
        <v>0</v>
      </c>
      <c r="AT85" s="146">
        <f t="shared" si="52"/>
        <v>0</v>
      </c>
      <c r="AU85" s="197">
        <f t="shared" si="53"/>
        <v>0</v>
      </c>
      <c r="AV85" s="155">
        <f t="shared" si="54"/>
        <v>0</v>
      </c>
      <c r="AW85" s="155" t="s">
        <v>186</v>
      </c>
      <c r="AX85" s="183">
        <f t="shared" si="57"/>
        <v>0</v>
      </c>
      <c r="AY85" s="155">
        <f t="shared" si="55"/>
        <v>0</v>
      </c>
      <c r="AZ85" s="155" t="s">
        <v>186</v>
      </c>
      <c r="BA85" s="183">
        <f t="shared" si="58"/>
        <v>0</v>
      </c>
      <c r="BB85" s="155">
        <f t="shared" si="42"/>
        <v>0</v>
      </c>
      <c r="BC85" s="155" t="s">
        <v>186</v>
      </c>
      <c r="BD85" s="183">
        <f t="shared" si="43"/>
        <v>0</v>
      </c>
      <c r="BE85" s="181">
        <f t="shared" si="56"/>
        <v>0</v>
      </c>
      <c r="BF85" s="181" t="s">
        <v>186</v>
      </c>
      <c r="BG85" s="181">
        <f t="shared" si="44"/>
        <v>0</v>
      </c>
      <c r="BH85" s="181"/>
      <c r="BI85" s="143">
        <f t="shared" si="36"/>
        <v>0</v>
      </c>
      <c r="BJ85" s="146">
        <f t="shared" si="37"/>
        <v>0</v>
      </c>
      <c r="BK85" s="151" t="str">
        <f t="shared" si="38"/>
        <v/>
      </c>
      <c r="BL85" s="27"/>
      <c r="BM85" s="114"/>
    </row>
    <row r="86" spans="1:65" s="2" customFormat="1">
      <c r="A86" s="207" t="str">
        <f>IF(B86&lt;&gt;"",SUM($A$49,$A$80)+6,"")</f>
        <v/>
      </c>
      <c r="B86" s="167"/>
      <c r="C86" s="137"/>
      <c r="D86" s="137"/>
      <c r="E86" s="138"/>
      <c r="F86" s="138"/>
      <c r="G86" s="139" t="str">
        <f t="shared" si="48"/>
        <v/>
      </c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41">
        <f t="shared" si="27"/>
        <v>0</v>
      </c>
      <c r="U86" s="141">
        <f t="shared" si="27"/>
        <v>0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46">
        <f t="shared" si="49"/>
        <v>0</v>
      </c>
      <c r="AM86" s="181" t="s">
        <v>186</v>
      </c>
      <c r="AN86" s="181" t="s">
        <v>186</v>
      </c>
      <c r="AO86" s="143">
        <f t="shared" si="50"/>
        <v>0</v>
      </c>
      <c r="AP86" s="181" t="s">
        <v>186</v>
      </c>
      <c r="AQ86" s="181" t="s">
        <v>186</v>
      </c>
      <c r="AR86" s="182" t="s">
        <v>186</v>
      </c>
      <c r="AS86" s="143">
        <f t="shared" si="51"/>
        <v>0</v>
      </c>
      <c r="AT86" s="146">
        <f t="shared" si="52"/>
        <v>0</v>
      </c>
      <c r="AU86" s="197">
        <f t="shared" si="53"/>
        <v>0</v>
      </c>
      <c r="AV86" s="155">
        <f t="shared" si="54"/>
        <v>0</v>
      </c>
      <c r="AW86" s="155" t="s">
        <v>186</v>
      </c>
      <c r="AX86" s="183">
        <f t="shared" si="57"/>
        <v>0</v>
      </c>
      <c r="AY86" s="155">
        <f t="shared" si="55"/>
        <v>0</v>
      </c>
      <c r="AZ86" s="155" t="s">
        <v>186</v>
      </c>
      <c r="BA86" s="183">
        <f t="shared" si="58"/>
        <v>0</v>
      </c>
      <c r="BB86" s="155">
        <f t="shared" si="42"/>
        <v>0</v>
      </c>
      <c r="BC86" s="155" t="s">
        <v>186</v>
      </c>
      <c r="BD86" s="183">
        <f t="shared" si="43"/>
        <v>0</v>
      </c>
      <c r="BE86" s="181">
        <f t="shared" si="56"/>
        <v>0</v>
      </c>
      <c r="BF86" s="181" t="s">
        <v>186</v>
      </c>
      <c r="BG86" s="181">
        <f t="shared" si="44"/>
        <v>0</v>
      </c>
      <c r="BH86" s="181"/>
      <c r="BI86" s="143">
        <f t="shared" si="36"/>
        <v>0</v>
      </c>
      <c r="BJ86" s="146">
        <f t="shared" si="37"/>
        <v>0</v>
      </c>
      <c r="BK86" s="151" t="str">
        <f t="shared" si="38"/>
        <v/>
      </c>
      <c r="BL86" s="27"/>
      <c r="BM86" s="114"/>
    </row>
    <row r="87" spans="1:65" s="2" customFormat="1">
      <c r="A87" s="207" t="str">
        <f>IF(B87&lt;&gt;"",SUM($A$49,$A$80)+7,"")</f>
        <v/>
      </c>
      <c r="B87" s="167"/>
      <c r="C87" s="137"/>
      <c r="D87" s="137"/>
      <c r="E87" s="138"/>
      <c r="F87" s="138"/>
      <c r="G87" s="139" t="str">
        <f t="shared" si="48"/>
        <v/>
      </c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41">
        <f t="shared" si="27"/>
        <v>0</v>
      </c>
      <c r="U87" s="141">
        <f t="shared" si="27"/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46">
        <f t="shared" si="49"/>
        <v>0</v>
      </c>
      <c r="AM87" s="181" t="s">
        <v>186</v>
      </c>
      <c r="AN87" s="181" t="s">
        <v>186</v>
      </c>
      <c r="AO87" s="143">
        <f t="shared" si="50"/>
        <v>0</v>
      </c>
      <c r="AP87" s="181" t="s">
        <v>186</v>
      </c>
      <c r="AQ87" s="181" t="s">
        <v>186</v>
      </c>
      <c r="AR87" s="182" t="s">
        <v>186</v>
      </c>
      <c r="AS87" s="143">
        <f t="shared" si="51"/>
        <v>0</v>
      </c>
      <c r="AT87" s="146">
        <f t="shared" si="52"/>
        <v>0</v>
      </c>
      <c r="AU87" s="197">
        <f t="shared" si="53"/>
        <v>0</v>
      </c>
      <c r="AV87" s="155">
        <f t="shared" si="54"/>
        <v>0</v>
      </c>
      <c r="AW87" s="155" t="s">
        <v>186</v>
      </c>
      <c r="AX87" s="183">
        <f t="shared" si="57"/>
        <v>0</v>
      </c>
      <c r="AY87" s="155">
        <f t="shared" si="55"/>
        <v>0</v>
      </c>
      <c r="AZ87" s="155" t="s">
        <v>186</v>
      </c>
      <c r="BA87" s="183">
        <f t="shared" si="58"/>
        <v>0</v>
      </c>
      <c r="BB87" s="155">
        <f t="shared" si="42"/>
        <v>0</v>
      </c>
      <c r="BC87" s="155" t="s">
        <v>186</v>
      </c>
      <c r="BD87" s="183">
        <f t="shared" si="43"/>
        <v>0</v>
      </c>
      <c r="BE87" s="181">
        <f t="shared" si="56"/>
        <v>0</v>
      </c>
      <c r="BF87" s="181" t="s">
        <v>186</v>
      </c>
      <c r="BG87" s="181">
        <f t="shared" si="44"/>
        <v>0</v>
      </c>
      <c r="BH87" s="181"/>
      <c r="BI87" s="143">
        <f t="shared" si="36"/>
        <v>0</v>
      </c>
      <c r="BJ87" s="146">
        <f t="shared" si="37"/>
        <v>0</v>
      </c>
      <c r="BK87" s="151" t="str">
        <f t="shared" si="38"/>
        <v/>
      </c>
      <c r="BL87" s="27"/>
      <c r="BM87" s="114"/>
    </row>
    <row r="88" spans="1:65" s="2" customFormat="1">
      <c r="A88" s="207" t="str">
        <f>IF(B88&lt;&gt;"",SUM($A$49,$A$80)+8,"")</f>
        <v/>
      </c>
      <c r="B88" s="167"/>
      <c r="C88" s="137"/>
      <c r="D88" s="137"/>
      <c r="E88" s="138"/>
      <c r="F88" s="138"/>
      <c r="G88" s="139" t="str">
        <f t="shared" si="48"/>
        <v/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41">
        <f t="shared" si="27"/>
        <v>0</v>
      </c>
      <c r="U88" s="141">
        <f t="shared" si="27"/>
        <v>0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46">
        <f t="shared" si="49"/>
        <v>0</v>
      </c>
      <c r="AM88" s="181" t="s">
        <v>186</v>
      </c>
      <c r="AN88" s="181" t="s">
        <v>186</v>
      </c>
      <c r="AO88" s="143">
        <f t="shared" si="50"/>
        <v>0</v>
      </c>
      <c r="AP88" s="181" t="s">
        <v>186</v>
      </c>
      <c r="AQ88" s="181" t="s">
        <v>186</v>
      </c>
      <c r="AR88" s="182" t="s">
        <v>186</v>
      </c>
      <c r="AS88" s="143">
        <f t="shared" si="51"/>
        <v>0</v>
      </c>
      <c r="AT88" s="146">
        <f t="shared" si="52"/>
        <v>0</v>
      </c>
      <c r="AU88" s="197">
        <f t="shared" si="53"/>
        <v>0</v>
      </c>
      <c r="AV88" s="155">
        <f t="shared" si="54"/>
        <v>0</v>
      </c>
      <c r="AW88" s="155" t="s">
        <v>186</v>
      </c>
      <c r="AX88" s="183">
        <f t="shared" si="57"/>
        <v>0</v>
      </c>
      <c r="AY88" s="155">
        <f t="shared" si="55"/>
        <v>0</v>
      </c>
      <c r="AZ88" s="155" t="s">
        <v>186</v>
      </c>
      <c r="BA88" s="183">
        <f t="shared" si="58"/>
        <v>0</v>
      </c>
      <c r="BB88" s="155">
        <f t="shared" si="42"/>
        <v>0</v>
      </c>
      <c r="BC88" s="155" t="s">
        <v>186</v>
      </c>
      <c r="BD88" s="183">
        <f t="shared" si="43"/>
        <v>0</v>
      </c>
      <c r="BE88" s="181">
        <f t="shared" si="56"/>
        <v>0</v>
      </c>
      <c r="BF88" s="181" t="s">
        <v>186</v>
      </c>
      <c r="BG88" s="181">
        <f t="shared" si="44"/>
        <v>0</v>
      </c>
      <c r="BH88" s="181"/>
      <c r="BI88" s="143">
        <f t="shared" si="36"/>
        <v>0</v>
      </c>
      <c r="BJ88" s="146">
        <f t="shared" si="37"/>
        <v>0</v>
      </c>
      <c r="BK88" s="151" t="str">
        <f t="shared" si="38"/>
        <v/>
      </c>
      <c r="BL88" s="27"/>
      <c r="BM88" s="114"/>
    </row>
    <row r="89" spans="1:65" s="2" customFormat="1">
      <c r="A89" s="208">
        <f>COUNT(A81:A88)</f>
        <v>0</v>
      </c>
      <c r="B89" s="209" t="s">
        <v>192</v>
      </c>
      <c r="C89" s="209"/>
      <c r="D89" s="209"/>
      <c r="E89" s="209"/>
      <c r="F89" s="209"/>
      <c r="G89" s="210">
        <f>SUM(G81:G88)</f>
        <v>0</v>
      </c>
      <c r="H89" s="210" t="s">
        <v>186</v>
      </c>
      <c r="I89" s="210" t="s">
        <v>186</v>
      </c>
      <c r="J89" s="210" t="s">
        <v>186</v>
      </c>
      <c r="K89" s="210" t="s">
        <v>186</v>
      </c>
      <c r="L89" s="210" t="s">
        <v>186</v>
      </c>
      <c r="M89" s="210" t="s">
        <v>186</v>
      </c>
      <c r="N89" s="210" t="s">
        <v>186</v>
      </c>
      <c r="O89" s="210" t="s">
        <v>186</v>
      </c>
      <c r="P89" s="210" t="s">
        <v>186</v>
      </c>
      <c r="Q89" s="210" t="s">
        <v>186</v>
      </c>
      <c r="R89" s="210" t="s">
        <v>186</v>
      </c>
      <c r="S89" s="210" t="s">
        <v>186</v>
      </c>
      <c r="T89" s="210">
        <f>SUM(T81:T88)</f>
        <v>0</v>
      </c>
      <c r="U89" s="210">
        <f>SUM(U81:U88)</f>
        <v>0</v>
      </c>
      <c r="V89" s="182">
        <f>SUM(V81:V88)</f>
        <v>0</v>
      </c>
      <c r="W89" s="182">
        <f t="shared" ref="W89:AO89" si="59">SUM(W81:W88)</f>
        <v>0</v>
      </c>
      <c r="X89" s="182">
        <f t="shared" si="59"/>
        <v>0</v>
      </c>
      <c r="Y89" s="182">
        <f t="shared" si="59"/>
        <v>0</v>
      </c>
      <c r="Z89" s="182">
        <f t="shared" si="59"/>
        <v>0</v>
      </c>
      <c r="AA89" s="182">
        <f t="shared" si="59"/>
        <v>0</v>
      </c>
      <c r="AB89" s="182">
        <f t="shared" si="59"/>
        <v>0</v>
      </c>
      <c r="AC89" s="182">
        <f t="shared" si="59"/>
        <v>0</v>
      </c>
      <c r="AD89" s="182">
        <f t="shared" si="59"/>
        <v>0</v>
      </c>
      <c r="AE89" s="182">
        <f t="shared" si="59"/>
        <v>0</v>
      </c>
      <c r="AF89" s="182">
        <f t="shared" si="59"/>
        <v>0</v>
      </c>
      <c r="AG89" s="182">
        <f t="shared" si="59"/>
        <v>0</v>
      </c>
      <c r="AH89" s="182">
        <f t="shared" si="59"/>
        <v>0</v>
      </c>
      <c r="AI89" s="182">
        <f t="shared" si="59"/>
        <v>0</v>
      </c>
      <c r="AJ89" s="182">
        <f t="shared" si="59"/>
        <v>0</v>
      </c>
      <c r="AK89" s="182">
        <f t="shared" si="59"/>
        <v>0</v>
      </c>
      <c r="AL89" s="182">
        <f t="shared" si="59"/>
        <v>0</v>
      </c>
      <c r="AM89" s="182" t="s">
        <v>186</v>
      </c>
      <c r="AN89" s="182" t="s">
        <v>186</v>
      </c>
      <c r="AO89" s="182">
        <f t="shared" si="59"/>
        <v>0</v>
      </c>
      <c r="AP89" s="182" t="s">
        <v>186</v>
      </c>
      <c r="AQ89" s="182" t="s">
        <v>186</v>
      </c>
      <c r="AR89" s="182" t="s">
        <v>186</v>
      </c>
      <c r="AS89" s="182">
        <f>SUM(AS81:AS88)</f>
        <v>0</v>
      </c>
      <c r="AT89" s="182">
        <f>AL89</f>
        <v>0</v>
      </c>
      <c r="AU89" s="197">
        <f t="shared" si="53"/>
        <v>0</v>
      </c>
      <c r="AV89" s="183">
        <f t="shared" ref="AV89:BI89" si="60">SUM(AV81:AV88)</f>
        <v>0</v>
      </c>
      <c r="AW89" s="183" t="s">
        <v>186</v>
      </c>
      <c r="AX89" s="183">
        <f t="shared" si="60"/>
        <v>0</v>
      </c>
      <c r="AY89" s="183">
        <f t="shared" si="60"/>
        <v>0</v>
      </c>
      <c r="AZ89" s="183" t="s">
        <v>186</v>
      </c>
      <c r="BA89" s="183">
        <f t="shared" si="60"/>
        <v>0</v>
      </c>
      <c r="BB89" s="183">
        <f t="shared" si="60"/>
        <v>0</v>
      </c>
      <c r="BC89" s="183" t="s">
        <v>186</v>
      </c>
      <c r="BD89" s="183">
        <f t="shared" si="60"/>
        <v>0</v>
      </c>
      <c r="BE89" s="182">
        <f t="shared" si="60"/>
        <v>0</v>
      </c>
      <c r="BF89" s="182" t="s">
        <v>186</v>
      </c>
      <c r="BG89" s="182">
        <f t="shared" si="60"/>
        <v>0</v>
      </c>
      <c r="BH89" s="182">
        <f t="shared" si="60"/>
        <v>0</v>
      </c>
      <c r="BI89" s="182">
        <f t="shared" si="60"/>
        <v>0</v>
      </c>
      <c r="BJ89" s="182">
        <f>SUM(BJ81:BJ88)</f>
        <v>0</v>
      </c>
      <c r="BK89" s="211" t="str">
        <f t="shared" si="47"/>
        <v>I I I. ПО ДОГОВОРУ З ЦЕНТРУ ЗАЙНЯТОСТІ ↑ →</v>
      </c>
      <c r="BL89" s="27"/>
      <c r="BM89" s="114"/>
    </row>
    <row r="90" spans="1:65" s="2" customFormat="1">
      <c r="A90" s="212">
        <f>SUM(A49,A80,A89)</f>
        <v>31</v>
      </c>
      <c r="B90" s="213" t="s">
        <v>193</v>
      </c>
      <c r="C90" s="213"/>
      <c r="D90" s="213"/>
      <c r="E90" s="214">
        <f>E49</f>
        <v>55</v>
      </c>
      <c r="F90" s="214">
        <f>F49</f>
        <v>23</v>
      </c>
      <c r="G90" s="215">
        <f>SUM(G49,G80,G89)</f>
        <v>903</v>
      </c>
      <c r="H90" s="210" t="s">
        <v>186</v>
      </c>
      <c r="I90" s="210" t="s">
        <v>186</v>
      </c>
      <c r="J90" s="210" t="s">
        <v>186</v>
      </c>
      <c r="K90" s="210" t="s">
        <v>186</v>
      </c>
      <c r="L90" s="210" t="s">
        <v>186</v>
      </c>
      <c r="M90" s="210" t="s">
        <v>186</v>
      </c>
      <c r="N90" s="210" t="s">
        <v>186</v>
      </c>
      <c r="O90" s="210" t="s">
        <v>186</v>
      </c>
      <c r="P90" s="210" t="s">
        <v>186</v>
      </c>
      <c r="Q90" s="210" t="s">
        <v>186</v>
      </c>
      <c r="R90" s="210" t="s">
        <v>186</v>
      </c>
      <c r="S90" s="210" t="s">
        <v>186</v>
      </c>
      <c r="T90" s="216">
        <f t="shared" ref="T90:BJ90" si="61">SUM(T49,T80,T89)</f>
        <v>419.5</v>
      </c>
      <c r="U90" s="216">
        <f t="shared" si="61"/>
        <v>3324</v>
      </c>
      <c r="V90" s="182">
        <f t="shared" si="61"/>
        <v>43482</v>
      </c>
      <c r="W90" s="182">
        <f t="shared" si="61"/>
        <v>7500</v>
      </c>
      <c r="X90" s="182">
        <f t="shared" si="61"/>
        <v>34097</v>
      </c>
      <c r="Y90" s="182">
        <f t="shared" si="61"/>
        <v>9141</v>
      </c>
      <c r="Z90" s="182">
        <f t="shared" si="61"/>
        <v>8023</v>
      </c>
      <c r="AA90" s="182">
        <f t="shared" si="61"/>
        <v>5292</v>
      </c>
      <c r="AB90" s="182">
        <f t="shared" si="61"/>
        <v>45900</v>
      </c>
      <c r="AC90" s="182">
        <f t="shared" si="61"/>
        <v>1050</v>
      </c>
      <c r="AD90" s="182">
        <f t="shared" si="61"/>
        <v>0</v>
      </c>
      <c r="AE90" s="182">
        <f t="shared" si="61"/>
        <v>100</v>
      </c>
      <c r="AF90" s="182">
        <f t="shared" si="61"/>
        <v>0</v>
      </c>
      <c r="AG90" s="182">
        <f t="shared" si="61"/>
        <v>0</v>
      </c>
      <c r="AH90" s="182">
        <f t="shared" si="61"/>
        <v>0</v>
      </c>
      <c r="AI90" s="182">
        <f t="shared" si="61"/>
        <v>0</v>
      </c>
      <c r="AJ90" s="182">
        <f t="shared" si="61"/>
        <v>0</v>
      </c>
      <c r="AK90" s="182">
        <f t="shared" si="61"/>
        <v>0</v>
      </c>
      <c r="AL90" s="182">
        <f t="shared" si="61"/>
        <v>154585</v>
      </c>
      <c r="AM90" s="182">
        <f t="shared" si="61"/>
        <v>8212.1</v>
      </c>
      <c r="AN90" s="182">
        <f t="shared" si="61"/>
        <v>245.7</v>
      </c>
      <c r="AO90" s="182">
        <f t="shared" si="61"/>
        <v>163042.79999999999</v>
      </c>
      <c r="AP90" s="182">
        <f>SUM(AP49,AP80,AP89)</f>
        <v>2579.3000000000002</v>
      </c>
      <c r="AQ90" s="182">
        <f>SUM(AQ49,AQ80,AQ89)</f>
        <v>1124.2</v>
      </c>
      <c r="AR90" s="182">
        <f>SUM(AR49,AR80,AR89)</f>
        <v>3703.5</v>
      </c>
      <c r="AS90" s="182">
        <f>SUM(AS49,AS80,AS89)</f>
        <v>165622.1</v>
      </c>
      <c r="AT90" s="182">
        <f>SUM(AT49,AT80,AT89)</f>
        <v>166746.29999999999</v>
      </c>
      <c r="AU90" s="183">
        <f t="shared" si="61"/>
        <v>33665.360000000008</v>
      </c>
      <c r="AV90" s="183">
        <f t="shared" si="61"/>
        <v>29811.979999999992</v>
      </c>
      <c r="AW90" s="183">
        <f t="shared" si="61"/>
        <v>202.36</v>
      </c>
      <c r="AX90" s="183">
        <f t="shared" si="61"/>
        <v>30014.339999999993</v>
      </c>
      <c r="AY90" s="183">
        <f t="shared" si="61"/>
        <v>2484.36</v>
      </c>
      <c r="AZ90" s="183">
        <f>SUM(AZ49,AZ80,AZ89)</f>
        <v>16.86</v>
      </c>
      <c r="BA90" s="183">
        <f t="shared" si="61"/>
        <v>2501.2200000000003</v>
      </c>
      <c r="BB90" s="183">
        <f t="shared" si="61"/>
        <v>32296.340000000011</v>
      </c>
      <c r="BC90" s="183">
        <f t="shared" si="61"/>
        <v>219.22</v>
      </c>
      <c r="BD90" s="183">
        <f t="shared" si="61"/>
        <v>32515.560000000012</v>
      </c>
      <c r="BE90" s="182">
        <f t="shared" si="61"/>
        <v>133325.75999999998</v>
      </c>
      <c r="BF90" s="182">
        <f t="shared" si="61"/>
        <v>904.98</v>
      </c>
      <c r="BG90" s="182">
        <f t="shared" si="61"/>
        <v>134230.74</v>
      </c>
      <c r="BH90" s="182">
        <f t="shared" si="61"/>
        <v>2304.08</v>
      </c>
      <c r="BI90" s="182">
        <f t="shared" si="61"/>
        <v>131926.66</v>
      </c>
      <c r="BJ90" s="182">
        <f t="shared" si="61"/>
        <v>131021.68</v>
      </c>
      <c r="BK90" s="211" t="str">
        <f t="shared" si="47"/>
        <v>I V. ВСЬОГО ШТАТНІ + ПО ДОГОВОРАМ</v>
      </c>
      <c r="BL90" s="27"/>
      <c r="BM90" s="114"/>
    </row>
    <row r="91" spans="1:65" s="2" customFormat="1">
      <c r="AI91" s="2" t="s">
        <v>194</v>
      </c>
      <c r="AL91" s="17">
        <f>SUM(V90:AK90)</f>
        <v>154585</v>
      </c>
      <c r="AM91" s="217"/>
      <c r="AN91" s="217"/>
      <c r="AO91" s="17">
        <f>SUM(AL90:AN90)</f>
        <v>163042.80000000002</v>
      </c>
      <c r="AP91" s="217"/>
      <c r="AQ91" s="217"/>
      <c r="AR91" s="17">
        <f>SUM(AP90:AQ90)</f>
        <v>3703.5</v>
      </c>
      <c r="AS91" s="17">
        <f>SUM(AO90,AP90)</f>
        <v>165622.09999999998</v>
      </c>
      <c r="AT91" s="17">
        <f>SUM(AL90,AM90,AN90,AR90)</f>
        <v>166746.30000000002</v>
      </c>
      <c r="AU91" s="218">
        <f>ROUND(AT91*AU13,2)</f>
        <v>36684.19</v>
      </c>
      <c r="AV91" s="217"/>
      <c r="AW91" s="217"/>
      <c r="AX91" s="217"/>
      <c r="AY91" s="219">
        <f>ROUND(AS91*BA6,2)</f>
        <v>2484.33</v>
      </c>
      <c r="AZ91" s="220">
        <f>ROUND(AQ90*BA6,2)</f>
        <v>16.86</v>
      </c>
      <c r="BA91" s="218">
        <f>ROUND(AT90*BA6,2)</f>
        <v>2501.19</v>
      </c>
      <c r="BB91" s="17">
        <f>SUM(AV90,AY90)</f>
        <v>32296.339999999993</v>
      </c>
      <c r="BC91" s="17">
        <f>SUM(AW90,AZ90)</f>
        <v>219.22000000000003</v>
      </c>
      <c r="BD91" s="221">
        <f>SUM(AX90,BA90)</f>
        <v>32515.559999999994</v>
      </c>
      <c r="BE91" s="222">
        <f>AS90-AV90-AY90</f>
        <v>133325.76000000004</v>
      </c>
      <c r="BF91" s="223">
        <f>AQ90-BC90</f>
        <v>904.98</v>
      </c>
      <c r="BG91" s="222">
        <f>AT90-BD90</f>
        <v>134230.74</v>
      </c>
      <c r="BH91" s="223"/>
      <c r="BI91" s="222">
        <f>BG90-BH90</f>
        <v>131926.66</v>
      </c>
      <c r="BJ91" s="222">
        <f>BE90-BH90</f>
        <v>131021.67999999998</v>
      </c>
      <c r="BK91" s="224" t="s">
        <v>195</v>
      </c>
    </row>
    <row r="92" spans="1:65" s="2" customFormat="1" ht="15.75">
      <c r="B92" s="225" t="str">
        <f>"Рух трудових ресурсів та середня заробітна плата за  "&amp;TEXT(AB1,"ММММ")</f>
        <v>Рух трудових ресурсів та середня заробітна плата за  Август</v>
      </c>
      <c r="F92" s="226"/>
      <c r="AY92" s="227" t="s">
        <v>196</v>
      </c>
      <c r="BJ92" s="226" t="str">
        <f>TEXT(EDATE(AB1,0),"[$-F419]ММММ ГГГГ")</f>
        <v>август 2018</v>
      </c>
    </row>
    <row r="93" spans="1:65" s="2" customFormat="1">
      <c r="AM93" s="228"/>
      <c r="AN93" s="114"/>
      <c r="AO93" s="114"/>
      <c r="AP93" s="229" t="s">
        <v>197</v>
      </c>
      <c r="AQ93" s="114"/>
      <c r="AR93" s="114"/>
      <c r="AS93" s="114"/>
      <c r="AT93" s="115"/>
      <c r="AU93" s="230" t="s">
        <v>198</v>
      </c>
      <c r="AV93" s="231" t="s">
        <v>199</v>
      </c>
      <c r="AY93" s="232"/>
      <c r="AZ93" s="39"/>
      <c r="BA93" s="40"/>
      <c r="BB93" s="40"/>
      <c r="BC93" s="40"/>
      <c r="BD93" s="40"/>
      <c r="BE93" s="40"/>
      <c r="BF93" s="40"/>
      <c r="BG93" s="40"/>
      <c r="BH93" s="41"/>
      <c r="BI93" s="233" t="s">
        <v>200</v>
      </c>
      <c r="BJ93" s="233" t="s">
        <v>201</v>
      </c>
      <c r="BK93" s="234"/>
      <c r="BL93" s="235" t="s">
        <v>27</v>
      </c>
      <c r="BM93" s="234" t="s">
        <v>27</v>
      </c>
    </row>
    <row r="94" spans="1:65" s="2" customFormat="1">
      <c r="A94" s="236">
        <v>1</v>
      </c>
      <c r="B94" s="23" t="s">
        <v>202</v>
      </c>
      <c r="C94" s="27"/>
      <c r="D94" s="237" t="str">
        <f>TEXT(AB1-1,"[$-FC19]Д ММММ ГГГГ")</f>
        <v>31 июля 2018</v>
      </c>
      <c r="E94" s="27"/>
      <c r="F94" s="24"/>
      <c r="G94" s="381">
        <f>IF(B14&lt;&gt;"",COUNTBLANK(C14))+IF(B15&lt;&gt;"",COUNTBLANK(C15))+IF(B16&lt;&gt;"",COUNTBLANK(C16))+IF(B17&lt;&gt;"",COUNTBLANK(C17))+IF(B18&lt;&gt;"",COUNTBLANK(C18))+IF(B19&lt;&gt;"",COUNTBLANK(C19))+IF(B20&lt;&gt;"",COUNTBLANK(C20))+IF(B21&lt;&gt;"",COUNTBLANK(C21)+IF(B22&lt;&gt;"",COUNTBLANK(C22))+IF(B23&lt;&gt;"",COUNTBLANK(C23))+IF(B24&lt;&gt;"",COUNTBLANK(C24))+IF(B25&lt;&gt;"",COUNTBLANK(C25))+IF(B26&lt;&gt;"",COUNTBLANK(C26))+IF(B27&lt;&gt;"",COUNTBLANK(C27))+IF(B28&lt;&gt;"",COUNTBLANK(C28))+IF(B29&lt;&gt;"",COUNTBLANK(C29))+IF(B30&lt;&gt;"",COUNTBLANK(C30))+IF(B31&lt;&gt;"",COUNTBLANK(C31))+IF(B32&lt;&gt;"",COUNTBLANK(C32))+IF(B33&lt;&gt;"",COUNTBLANK(C33))+IF(B34&lt;&gt;"",COUNTBLANK(C34))+IF(B35&lt;&gt;"",COUNTBLANK(C35))+IF(B36&lt;&gt;"",COUNTBLANK(C36))+IF(B37&lt;&gt;"",COUNTBLANK(C37))+IF(B38&lt;&gt;"",COUNTBLANK(C38))+IF(B39&lt;&gt;"",COUNTBLANK(C39))+IF(B40&lt;&gt;"",COUNTBLANK(C40))+IF(B41&lt;&gt;"",COUNTBLANK(C41))+IF(B42&lt;&gt;"",COUNTBLANK(C42))+IF(B43&lt;&gt;"",COUNTBLANK(C43))+IF(B44&lt;&gt;"",COUNTBLANK(C44))+IF(B45&lt;&gt;"",COUNTBLANK(C45))+IF(B46&lt;&gt;"",COUNTBLANK(C46))+IF(B47&lt;&gt;"",COUNTBLANK(C47))+IF(B48&lt;&gt;"",COUNTBLANK(C48)))</f>
        <v>27</v>
      </c>
      <c r="AM94" s="228" t="s">
        <v>203</v>
      </c>
      <c r="AN94" s="114"/>
      <c r="AO94" s="114"/>
      <c r="AP94" s="114"/>
      <c r="AQ94" s="114"/>
      <c r="AR94" s="114"/>
      <c r="AS94" s="114"/>
      <c r="AT94" s="115"/>
      <c r="AU94" s="231">
        <v>1020</v>
      </c>
      <c r="AV94" s="238">
        <f>ROUND(AO90/1000,1)</f>
        <v>163</v>
      </c>
      <c r="AY94" s="239" t="s">
        <v>204</v>
      </c>
      <c r="AZ94" s="64" t="s">
        <v>205</v>
      </c>
      <c r="BA94" s="19"/>
      <c r="BB94" s="19"/>
      <c r="BC94" s="19"/>
      <c r="BD94" s="19"/>
      <c r="BE94" s="19"/>
      <c r="BF94" s="19"/>
      <c r="BG94" s="19"/>
      <c r="BH94" s="65"/>
      <c r="BI94" s="240" t="s">
        <v>206</v>
      </c>
      <c r="BJ94" s="240" t="s">
        <v>207</v>
      </c>
      <c r="BK94" s="241" t="s">
        <v>208</v>
      </c>
      <c r="BL94" s="242" t="s">
        <v>209</v>
      </c>
      <c r="BM94" s="241" t="s">
        <v>209</v>
      </c>
    </row>
    <row r="95" spans="1:65" s="2" customFormat="1" ht="15.75" thickBot="1">
      <c r="A95" s="236">
        <v>2</v>
      </c>
      <c r="B95" s="23" t="s">
        <v>210</v>
      </c>
      <c r="C95" s="27"/>
      <c r="D95" s="27"/>
      <c r="E95" s="27"/>
      <c r="F95" s="24"/>
      <c r="G95" s="243">
        <f>C49</f>
        <v>1</v>
      </c>
      <c r="AM95" s="39" t="s">
        <v>211</v>
      </c>
      <c r="AN95" s="40"/>
      <c r="AO95" s="40"/>
      <c r="AP95" s="40"/>
      <c r="AQ95" s="40"/>
      <c r="AR95" s="40"/>
      <c r="AS95" s="40"/>
      <c r="AT95" s="41"/>
      <c r="AU95" s="244"/>
      <c r="AV95" s="244"/>
      <c r="AY95" s="245" t="s">
        <v>110</v>
      </c>
      <c r="AZ95" s="132"/>
      <c r="BA95" s="133"/>
      <c r="BB95" s="133"/>
      <c r="BC95" s="133"/>
      <c r="BD95" s="133"/>
      <c r="BE95" s="133"/>
      <c r="BF95" s="133"/>
      <c r="BG95" s="133"/>
      <c r="BH95" s="134"/>
      <c r="BI95" s="246" t="s">
        <v>212</v>
      </c>
      <c r="BJ95" s="246" t="s">
        <v>213</v>
      </c>
      <c r="BK95" s="247" t="s">
        <v>214</v>
      </c>
      <c r="BL95" s="248" t="s">
        <v>212</v>
      </c>
      <c r="BM95" s="247" t="s">
        <v>212</v>
      </c>
    </row>
    <row r="96" spans="1:65" s="2" customFormat="1">
      <c r="A96" s="236">
        <v>3</v>
      </c>
      <c r="B96" s="23" t="s">
        <v>215</v>
      </c>
      <c r="C96" s="27"/>
      <c r="D96" s="27"/>
      <c r="E96" s="27"/>
      <c r="F96" s="24"/>
      <c r="G96" s="243">
        <f>D49</f>
        <v>1</v>
      </c>
      <c r="AM96" s="249" t="s">
        <v>216</v>
      </c>
      <c r="AN96" s="152"/>
      <c r="AO96" s="152"/>
      <c r="AP96" s="152"/>
      <c r="AQ96" s="152"/>
      <c r="AR96" s="152"/>
      <c r="AS96" s="152"/>
      <c r="AT96" s="250"/>
      <c r="AU96" s="231">
        <v>1030</v>
      </c>
      <c r="AV96" s="251">
        <f>ROUND(AV90/1000,1)</f>
        <v>29.8</v>
      </c>
      <c r="AY96" s="252">
        <v>1</v>
      </c>
      <c r="AZ96" s="253" t="s">
        <v>217</v>
      </c>
      <c r="BA96" s="20"/>
      <c r="BB96" s="20"/>
      <c r="BC96" s="20"/>
      <c r="BD96" s="20"/>
      <c r="BE96" s="20"/>
      <c r="BF96" s="20"/>
      <c r="BG96" s="20"/>
      <c r="BH96" s="58"/>
      <c r="BI96" s="254"/>
      <c r="BJ96" s="254"/>
      <c r="BK96" s="254"/>
      <c r="BL96" s="255" t="s">
        <v>218</v>
      </c>
      <c r="BM96" s="254"/>
    </row>
    <row r="97" spans="1:65" s="2" customFormat="1">
      <c r="A97" s="236">
        <v>4</v>
      </c>
      <c r="B97" s="23" t="s">
        <v>202</v>
      </c>
      <c r="C97" s="27"/>
      <c r="D97" s="237" t="str">
        <f>TEXT(EDATE($AB$1,1)+(-1),"[$-FC19]Д ММММ ГГГГ")</f>
        <v>31 августа 2018</v>
      </c>
      <c r="E97" s="27"/>
      <c r="F97" s="24"/>
      <c r="G97" s="256">
        <f>G94+G95-G96</f>
        <v>27</v>
      </c>
      <c r="AM97" s="228" t="s">
        <v>219</v>
      </c>
      <c r="AN97" s="114"/>
      <c r="AO97" s="114"/>
      <c r="AP97" s="114"/>
      <c r="AQ97" s="114"/>
      <c r="AR97" s="114"/>
      <c r="AS97" s="114"/>
      <c r="AT97" s="115"/>
      <c r="AU97" s="231">
        <v>1040</v>
      </c>
      <c r="AV97" s="238">
        <f>ROUND(G49/G99,0)</f>
        <v>26</v>
      </c>
      <c r="AY97" s="257" t="s">
        <v>220</v>
      </c>
      <c r="AZ97" s="258" t="str">
        <f>"1.1. Зарплата більше і дорівнює мінімальній "&amp;AP1&amp; " які працювали менше  або цілий місяць місяць"</f>
        <v>1.1. Зарплата більше і дорівнює мінімальній 3723 які працювали менше  або цілий місяць місяць</v>
      </c>
      <c r="BA97" s="25"/>
      <c r="BB97" s="25"/>
      <c r="BC97" s="259"/>
      <c r="BD97" s="260"/>
      <c r="BE97" s="25"/>
      <c r="BF97" s="25"/>
      <c r="BG97" s="25"/>
      <c r="BH97" s="78"/>
      <c r="BI97" s="44"/>
      <c r="BJ97" s="44"/>
      <c r="BK97" s="44"/>
      <c r="BL97" s="255" t="s">
        <v>221</v>
      </c>
      <c r="BM97" s="44"/>
    </row>
    <row r="98" spans="1:65" s="2" customFormat="1">
      <c r="AM98" s="39" t="s">
        <v>222</v>
      </c>
      <c r="AN98" s="40"/>
      <c r="AO98" s="40"/>
      <c r="AP98" s="40"/>
      <c r="AQ98" s="40"/>
      <c r="AR98" s="40"/>
      <c r="AS98" s="40"/>
      <c r="AT98" s="41"/>
      <c r="AU98" s="244"/>
      <c r="AV98" s="244"/>
      <c r="AY98" s="252"/>
      <c r="AZ98" s="253" t="s">
        <v>223</v>
      </c>
      <c r="BA98" s="20"/>
      <c r="BB98" s="20"/>
      <c r="BC98" s="20"/>
      <c r="BD98" s="20"/>
      <c r="BE98" s="20"/>
      <c r="BF98" s="20"/>
      <c r="BG98" s="20"/>
      <c r="BH98" s="58"/>
      <c r="BI98" s="143">
        <f t="array" ref="BI98">SUMPRODUCT((($AO$14:$AO$48&gt;=3723)*($G$14:$G$48&lt;=G99))*($AO$14:$AO$48)*(IFERROR(FIND("Інвалид",$B$14:$B$48,1),1)=1))+SUMPRODUCT((($AO$14:$AO$48&lt;3723)*($G$14:$G$48&lt;G99))*($AO$14:$AO$48)*(IFERROR(FIND("Інвалид",$B$14:$B$48,1),1)=1))</f>
        <v>125039.05</v>
      </c>
      <c r="BJ98" s="195">
        <f>BI98</f>
        <v>125039.05</v>
      </c>
      <c r="BK98" s="261">
        <f>$AU$13</f>
        <v>0.22</v>
      </c>
      <c r="BL98" s="262">
        <f>ROUND(BJ98*BK98,2)</f>
        <v>27508.59</v>
      </c>
      <c r="BM98" s="262">
        <f t="array" ref="BM98">SUMPRODUCT((($AO$14:$AO$48&gt;=3723)*($G$14:$G$48&lt;=G99))*($AU$14:$AU$48)*(IFERROR(FIND("Інвалид",$B$14:$B$48,1),1)=1))+SUMPRODUCT((($AO$14:$AO$48&lt;3723)*($G$14:$G$48&lt;G99))*($AU$14:$AU$48)*(IFERROR(FIND("Інвалид",$B$14:$B$48,1),1)=1))</f>
        <v>27760.190000000006</v>
      </c>
    </row>
    <row r="99" spans="1:65" s="2" customFormat="1">
      <c r="A99" s="263">
        <v>5</v>
      </c>
      <c r="B99" s="23" t="s">
        <v>224</v>
      </c>
      <c r="C99" s="27"/>
      <c r="D99" s="264" t="str">
        <f>TEXT(EDATE(AB1,0),"[$-F419]ММММ ГГГГ")</f>
        <v>август 2018</v>
      </c>
      <c r="E99" s="27"/>
      <c r="F99" s="24"/>
      <c r="G99" s="179">
        <f>DAY(EOMONTH(AB1,0))</f>
        <v>31</v>
      </c>
      <c r="AM99" s="249" t="s">
        <v>225</v>
      </c>
      <c r="AN99" s="152"/>
      <c r="AO99" s="152"/>
      <c r="AP99" s="152"/>
      <c r="AQ99" s="152"/>
      <c r="AR99" s="152"/>
      <c r="AS99" s="152"/>
      <c r="AT99" s="250"/>
      <c r="AU99" s="265">
        <v>1060</v>
      </c>
      <c r="AV99" s="266">
        <f>U49</f>
        <v>3324</v>
      </c>
      <c r="AY99" s="267" t="s">
        <v>226</v>
      </c>
      <c r="AZ99" s="23" t="str">
        <f>"1.2. В яких зарплата менше мінімальної "&amp;AP1&amp;" які працювали цілий місяць"</f>
        <v>1.2. В яких зарплата менше мінімальної 3723 які працювали цілий місяць</v>
      </c>
      <c r="BA99" s="27"/>
      <c r="BB99" s="27"/>
      <c r="BC99" s="268"/>
      <c r="BD99" s="269"/>
      <c r="BE99" s="27"/>
      <c r="BF99" s="27"/>
      <c r="BG99" s="27"/>
      <c r="BH99" s="24"/>
      <c r="BI99" s="199">
        <f t="array" ref="BI99">SUMPRODUCT((($AO$14:$AO$48&lt;3723)*($G$14:$G$48=G99))*($AO$14:$AO$48)*(IFERROR(FIND("Інвалид",$B$14:$B$48,1),1)=1))</f>
        <v>3400</v>
      </c>
      <c r="BJ99" s="270">
        <f>BI99</f>
        <v>3400</v>
      </c>
      <c r="BK99" s="261">
        <f>$AU$13</f>
        <v>0.22</v>
      </c>
      <c r="BL99" s="271">
        <f>ROUND(BJ99*BK99,2)</f>
        <v>748</v>
      </c>
      <c r="BM99" s="272">
        <f t="array" ref="BM99">SUMPRODUCT((($AO$14:$AO$48&lt;3723)*($G$14:$G$48=G99))*($AU$14:$AU$48)*(IFERROR(FIND("Інвалид",$B$14:$B$48,1),1)=1))</f>
        <v>1022.12</v>
      </c>
    </row>
    <row r="100" spans="1:65" s="2" customFormat="1">
      <c r="A100" s="236">
        <v>6</v>
      </c>
      <c r="B100" s="28" t="s">
        <v>227</v>
      </c>
      <c r="C100" s="27"/>
      <c r="D100" s="27"/>
      <c r="E100" s="27"/>
      <c r="F100" s="24"/>
      <c r="G100" s="256">
        <f>G49/G99</f>
        <v>26.161290322580644</v>
      </c>
      <c r="AM100" s="228" t="s">
        <v>228</v>
      </c>
      <c r="AN100" s="114"/>
      <c r="AO100" s="114"/>
      <c r="AP100" s="114"/>
      <c r="AQ100" s="114"/>
      <c r="AR100" s="114"/>
      <c r="AS100" s="114"/>
      <c r="AT100" s="115"/>
      <c r="AU100" s="231">
        <v>1070</v>
      </c>
      <c r="AV100" s="238">
        <f>ROUND(AO49/1000,1)</f>
        <v>149.30000000000001</v>
      </c>
      <c r="AY100" s="210" t="s">
        <v>229</v>
      </c>
      <c r="AZ100" s="273" t="s">
        <v>230</v>
      </c>
      <c r="BA100" s="27"/>
      <c r="BB100" s="27"/>
      <c r="BC100" s="27"/>
      <c r="BD100" s="27"/>
      <c r="BE100" s="27"/>
      <c r="BF100" s="27"/>
      <c r="BG100" s="27"/>
      <c r="BH100" s="24"/>
      <c r="BI100" s="274">
        <f>SUM(BI98:BI99)</f>
        <v>128439.05</v>
      </c>
      <c r="BJ100" s="275">
        <f>BI100</f>
        <v>128439.05</v>
      </c>
      <c r="BK100" s="261">
        <f>$AU$13</f>
        <v>0.22</v>
      </c>
      <c r="BL100" s="276">
        <f>ROUND(SUM(BL98:BL99),2)</f>
        <v>28256.59</v>
      </c>
      <c r="BM100" s="276">
        <f>ROUND(SUM(BM98:BM99),2)</f>
        <v>28782.31</v>
      </c>
    </row>
    <row r="101" spans="1:65" s="2" customFormat="1" ht="15.75" thickBot="1">
      <c r="A101" s="277">
        <v>7</v>
      </c>
      <c r="B101" s="278" t="s">
        <v>231</v>
      </c>
      <c r="C101" s="192"/>
      <c r="D101" s="192"/>
      <c r="E101" s="192"/>
      <c r="F101" s="279"/>
      <c r="G101" s="188">
        <f>AO49/G100</f>
        <v>5708.3881627620221</v>
      </c>
      <c r="AY101" s="280">
        <v>2</v>
      </c>
      <c r="AZ101" s="281" t="s">
        <v>232</v>
      </c>
      <c r="BI101" s="282"/>
      <c r="BJ101" s="282"/>
      <c r="BK101" s="76"/>
      <c r="BL101" s="272"/>
      <c r="BM101" s="283"/>
    </row>
    <row r="102" spans="1:65" s="2" customFormat="1">
      <c r="A102" s="284">
        <v>8</v>
      </c>
      <c r="B102" s="285" t="s">
        <v>233</v>
      </c>
      <c r="C102" s="20"/>
      <c r="D102" s="20"/>
      <c r="E102" s="20"/>
      <c r="F102" s="58"/>
      <c r="G102" s="286">
        <f>SUM(G80,G89)/G99</f>
        <v>2.967741935483871</v>
      </c>
      <c r="AY102" s="287" t="s">
        <v>234</v>
      </c>
      <c r="AZ102" s="288" t="str">
        <f>"2.1. Зарплата більше і дорівнює мінімальній "&amp;AP1&amp; " які працювали менше  або цілий місяць місяць"</f>
        <v>2.1. Зарплата більше і дорівнює мінімальній 3723 які працювали менше  або цілий місяць місяць</v>
      </c>
      <c r="BA102" s="40"/>
      <c r="BB102" s="40"/>
      <c r="BC102" s="40"/>
      <c r="BD102" s="289"/>
      <c r="BE102" s="40"/>
      <c r="BF102" s="290"/>
      <c r="BG102" s="40"/>
      <c r="BH102" s="40"/>
      <c r="BI102" s="244"/>
      <c r="BJ102" s="244"/>
      <c r="BK102" s="244"/>
      <c r="BL102" s="271"/>
      <c r="BM102" s="244"/>
    </row>
    <row r="103" spans="1:65" s="2" customFormat="1" ht="15.75" thickBot="1">
      <c r="A103" s="277">
        <v>9</v>
      </c>
      <c r="B103" s="278" t="s">
        <v>235</v>
      </c>
      <c r="C103" s="192"/>
      <c r="D103" s="192"/>
      <c r="E103" s="192"/>
      <c r="F103" s="279"/>
      <c r="G103" s="291">
        <f>IF(G102=0,0,SUM(AO80,AO89)/G102)</f>
        <v>4617.652173913043</v>
      </c>
      <c r="AY103" s="292"/>
      <c r="AZ103" s="292" t="s">
        <v>223</v>
      </c>
      <c r="BA103" s="152"/>
      <c r="BB103" s="152"/>
      <c r="BC103" s="152"/>
      <c r="BD103" s="152"/>
      <c r="BE103" s="152"/>
      <c r="BF103" s="152"/>
      <c r="BG103" s="152"/>
      <c r="BH103" s="152"/>
      <c r="BI103" s="293">
        <f t="array" ref="BI103">SUMPRODUCT((($AO$14:$AO$48&gt;=3723)*($G$14:$G$48&lt;=G99))*($AO$14:$AO$48)*(IFERROR(FIND("Інвалид",$B$14:$B$48,1),1)&gt;1))+SUMPRODUCT((($AO$14:$AO$48&lt;3723)*($G$14:$G$48&lt;G99))*($AO$14:$AO$48)*(IFERROR(FIND("Інвалид",$B$14:$B$48,1),1)&gt;1))</f>
        <v>17749.75</v>
      </c>
      <c r="BJ103" s="294">
        <f>BI103</f>
        <v>17749.75</v>
      </c>
      <c r="BK103" s="295">
        <v>8.4099999999999994E-2</v>
      </c>
      <c r="BL103" s="296">
        <f>ROUND(BJ103*BK103,2)</f>
        <v>1492.75</v>
      </c>
      <c r="BM103" s="294">
        <f>ROUND(BJ103*BK103,2)</f>
        <v>1492.75</v>
      </c>
    </row>
    <row r="104" spans="1:65" s="2" customFormat="1">
      <c r="A104" s="284">
        <v>10</v>
      </c>
      <c r="B104" s="285" t="s">
        <v>236</v>
      </c>
      <c r="C104" s="20"/>
      <c r="D104" s="20"/>
      <c r="E104" s="20"/>
      <c r="F104" s="58"/>
      <c r="G104" s="297">
        <f>G90/G99</f>
        <v>29.129032258064516</v>
      </c>
      <c r="AY104" s="298" t="s">
        <v>237</v>
      </c>
      <c r="AZ104" s="299" t="str">
        <f>"2.2. Інваліди в яких зарплата менше мінімальної  "&amp;AP1&amp;" які працювали цілий місяць"</f>
        <v>2.2. Інваліди в яких зарплата менше мінімальної  3723 які працювали цілий місяць</v>
      </c>
      <c r="BA104" s="20"/>
      <c r="BB104" s="20"/>
      <c r="BC104" s="300"/>
      <c r="BD104" s="20"/>
      <c r="BE104" s="301"/>
      <c r="BF104" s="20"/>
      <c r="BG104" s="20"/>
      <c r="BH104" s="58"/>
      <c r="BI104" s="302">
        <f t="array" ref="BI104">SUMPRODUCT((($AO$14:$AO$48&lt;3723)*($G$14:$G$48=G99))*($AO$14:$AO$48)*(IFERROR(FIND("Інвалид",$B$14:$B$48,1),1)&gt;1))</f>
        <v>3150</v>
      </c>
      <c r="BJ104" s="303">
        <f>BI104</f>
        <v>3150</v>
      </c>
      <c r="BK104" s="304">
        <f>$BK$103</f>
        <v>8.4099999999999994E-2</v>
      </c>
      <c r="BL104" s="305">
        <f>ROUND(BJ104*BK104,2)</f>
        <v>264.92</v>
      </c>
      <c r="BM104" s="303">
        <f>ROUND(BJ104*BK104,2)</f>
        <v>264.92</v>
      </c>
    </row>
    <row r="105" spans="1:65" s="2" customFormat="1" ht="15.75" thickBot="1">
      <c r="A105" s="263">
        <v>10.1</v>
      </c>
      <c r="B105" s="253" t="s">
        <v>238</v>
      </c>
      <c r="C105" s="20"/>
      <c r="D105" s="20"/>
      <c r="E105" s="20"/>
      <c r="F105" s="58"/>
      <c r="G105" s="306">
        <f>SUM(G100,G102)</f>
        <v>29.129032258064516</v>
      </c>
      <c r="AY105" s="307" t="s">
        <v>239</v>
      </c>
      <c r="AZ105" s="308" t="s">
        <v>240</v>
      </c>
      <c r="BA105" s="309"/>
      <c r="BB105" s="309"/>
      <c r="BC105" s="309"/>
      <c r="BD105" s="309"/>
      <c r="BE105" s="309"/>
      <c r="BF105" s="309"/>
      <c r="BG105" s="309"/>
      <c r="BH105" s="310"/>
      <c r="BI105" s="311">
        <f>SUM(BI103:BI104)</f>
        <v>20899.75</v>
      </c>
      <c r="BJ105" s="311" t="s">
        <v>186</v>
      </c>
      <c r="BK105" s="307" t="s">
        <v>186</v>
      </c>
      <c r="BL105" s="311">
        <f>SUM(BL103:BL104)</f>
        <v>1757.67</v>
      </c>
      <c r="BM105" s="311">
        <f>SUM(BM103:BM104)</f>
        <v>1757.67</v>
      </c>
    </row>
    <row r="106" spans="1:65" s="2" customFormat="1" ht="15.75" thickBot="1">
      <c r="A106" s="277">
        <v>11</v>
      </c>
      <c r="B106" s="278" t="s">
        <v>241</v>
      </c>
      <c r="C106" s="192"/>
      <c r="D106" s="192"/>
      <c r="E106" s="192"/>
      <c r="F106" s="279"/>
      <c r="G106" s="291">
        <f>AO90/G104</f>
        <v>5597.2611295681063</v>
      </c>
      <c r="AY106" s="312">
        <v>3</v>
      </c>
      <c r="AZ106" s="313" t="s">
        <v>242</v>
      </c>
      <c r="BA106" s="314"/>
      <c r="BB106" s="314"/>
      <c r="BC106" s="314"/>
      <c r="BD106" s="314"/>
      <c r="BE106" s="314"/>
      <c r="BF106" s="314"/>
      <c r="BG106" s="314"/>
      <c r="BH106" s="315"/>
      <c r="BI106" s="182">
        <f>SUM(BI100,BI105)</f>
        <v>149338.79999999999</v>
      </c>
      <c r="BJ106" s="182" t="s">
        <v>186</v>
      </c>
      <c r="BK106" s="216" t="s">
        <v>186</v>
      </c>
      <c r="BL106" s="276">
        <f>SUM(BL100,BL105)</f>
        <v>30014.260000000002</v>
      </c>
      <c r="BM106" s="276">
        <f>SUM(BM100,BM105)</f>
        <v>30539.980000000003</v>
      </c>
    </row>
    <row r="107" spans="1:65" s="2" customFormat="1">
      <c r="A107" s="284">
        <v>12</v>
      </c>
      <c r="B107" s="316" t="s">
        <v>243</v>
      </c>
      <c r="C107" s="317"/>
      <c r="D107" s="317"/>
      <c r="E107" s="317"/>
      <c r="F107" s="317"/>
      <c r="G107" s="318">
        <f>(U49+(G108*8))/U3</f>
        <v>21.508571428571429</v>
      </c>
      <c r="AY107" s="267">
        <v>4</v>
      </c>
      <c r="AZ107" s="319" t="s">
        <v>244</v>
      </c>
      <c r="BA107" s="27"/>
      <c r="BB107" s="27"/>
      <c r="BC107" s="27"/>
      <c r="BD107" s="27"/>
      <c r="BE107" s="27"/>
      <c r="BF107" s="27"/>
      <c r="BG107" s="27"/>
      <c r="BH107" s="24"/>
      <c r="BI107" s="320">
        <f>AO80</f>
        <v>13704</v>
      </c>
      <c r="BJ107" s="181">
        <f>BI107</f>
        <v>13704</v>
      </c>
      <c r="BK107" s="321">
        <f>$AU$13</f>
        <v>0.22</v>
      </c>
      <c r="BL107" s="272">
        <f>ROUND(BJ107*BK107,2)</f>
        <v>3014.88</v>
      </c>
      <c r="BM107" s="272">
        <f>ROUND(BJ107*BK107,2)</f>
        <v>3014.88</v>
      </c>
    </row>
    <row r="108" spans="1:65" s="2" customFormat="1">
      <c r="A108" s="263">
        <v>12.1</v>
      </c>
      <c r="B108" s="253" t="s">
        <v>245</v>
      </c>
      <c r="C108" s="20"/>
      <c r="D108" s="20"/>
      <c r="E108" s="20"/>
      <c r="F108" s="58"/>
      <c r="G108" s="322">
        <f>E90</f>
        <v>55</v>
      </c>
      <c r="AY108" s="267">
        <v>5</v>
      </c>
      <c r="AZ108" s="323" t="s">
        <v>246</v>
      </c>
      <c r="BA108" s="27"/>
      <c r="BB108" s="27"/>
      <c r="BC108" s="27"/>
      <c r="BD108" s="27"/>
      <c r="BE108" s="27"/>
      <c r="BF108" s="27"/>
      <c r="BG108" s="27"/>
      <c r="BH108" s="24"/>
      <c r="BI108" s="324">
        <f>AO89</f>
        <v>0</v>
      </c>
      <c r="BJ108" s="325">
        <f>BI108</f>
        <v>0</v>
      </c>
      <c r="BK108" s="321">
        <f>$AU$13</f>
        <v>0.22</v>
      </c>
      <c r="BL108" s="305">
        <f>ROUND(BJ108*BK108,2)</f>
        <v>0</v>
      </c>
      <c r="BM108" s="325">
        <f>ROUND(BJ108*BK108,2)</f>
        <v>0</v>
      </c>
    </row>
    <row r="109" spans="1:65" s="2" customFormat="1" ht="15.75" thickBot="1">
      <c r="A109" s="284">
        <v>13</v>
      </c>
      <c r="B109" s="28" t="s">
        <v>247</v>
      </c>
      <c r="C109" s="27"/>
      <c r="D109" s="27"/>
      <c r="E109" s="27"/>
      <c r="F109" s="24"/>
      <c r="G109" s="143">
        <f>AO49/G107</f>
        <v>6943.2226354941549</v>
      </c>
      <c r="AY109" s="187">
        <v>6</v>
      </c>
      <c r="AZ109" s="205" t="s">
        <v>248</v>
      </c>
      <c r="BA109" s="326"/>
      <c r="BB109" s="326"/>
      <c r="BC109" s="326"/>
      <c r="BD109" s="326"/>
      <c r="BE109" s="326"/>
      <c r="BF109" s="326"/>
      <c r="BG109" s="326"/>
      <c r="BH109" s="327"/>
      <c r="BI109" s="188">
        <f>SUM(BI106,BI107,BI108)</f>
        <v>163042.79999999999</v>
      </c>
      <c r="BJ109" s="291">
        <f>SUM(BJ107:BJ108)</f>
        <v>13704</v>
      </c>
      <c r="BK109" s="328" t="s">
        <v>186</v>
      </c>
      <c r="BL109" s="188">
        <f>SUM(BL106,BL107:BL108)</f>
        <v>33029.14</v>
      </c>
      <c r="BM109" s="188">
        <f>SUM(BM106,BM107:BM108)</f>
        <v>33554.86</v>
      </c>
    </row>
    <row r="110" spans="1:65" s="2" customFormat="1">
      <c r="A110" s="284">
        <v>14</v>
      </c>
      <c r="B110" s="285" t="s">
        <v>249</v>
      </c>
      <c r="C110" s="20"/>
      <c r="D110" s="20"/>
      <c r="E110" s="20"/>
      <c r="F110" s="58"/>
      <c r="G110" s="329">
        <f>(U90+(G108*8))/U3</f>
        <v>21.508571428571429</v>
      </c>
      <c r="AY110" s="252">
        <v>7</v>
      </c>
      <c r="AZ110" s="330" t="s">
        <v>250</v>
      </c>
      <c r="BA110" s="20"/>
      <c r="BB110" s="20"/>
      <c r="BC110" s="20"/>
      <c r="BD110" s="20"/>
      <c r="BE110" s="20"/>
      <c r="BF110" s="20"/>
      <c r="BG110" s="20"/>
      <c r="BH110" s="58"/>
      <c r="BI110" s="143"/>
      <c r="BJ110" s="143"/>
      <c r="BK110" s="254"/>
      <c r="BL110" s="331"/>
      <c r="BM110" s="262"/>
    </row>
    <row r="111" spans="1:65" s="2" customFormat="1">
      <c r="A111" s="236">
        <v>15</v>
      </c>
      <c r="B111" s="28" t="s">
        <v>251</v>
      </c>
      <c r="C111" s="27"/>
      <c r="D111" s="27"/>
      <c r="E111" s="27"/>
      <c r="F111" s="24"/>
      <c r="G111" s="181">
        <f>AO90/G110</f>
        <v>7580.363974495217</v>
      </c>
      <c r="AY111" s="267" t="s">
        <v>252</v>
      </c>
      <c r="AZ111" s="23" t="s">
        <v>253</v>
      </c>
      <c r="BA111" s="27"/>
      <c r="BB111" s="27"/>
      <c r="BC111" s="27"/>
      <c r="BD111" s="27"/>
      <c r="BE111" s="27"/>
      <c r="BF111" s="27"/>
      <c r="BG111" s="27"/>
      <c r="BH111" s="24"/>
      <c r="BI111" s="332">
        <f t="array" ref="BI111">SUMPRODUCT((($AR$14:$AR$48&gt;=0)*($G$14:$G$48&lt;=G99))*($AR$14:$AR$48)*(IFERROR(FIND("Інвалид",$B$14:$B$48,1),1)=1))+SUMPRODUCT((($AR$14:$AR$48&lt;0)*($G$14:$G$48&lt;G99))*($AR$14:$AR$48)*(IFERROR(FIND("Інвалид",$B$14:$B$48,1),1)=1))</f>
        <v>2389.6</v>
      </c>
      <c r="BJ111" s="155">
        <f>BI111</f>
        <v>2389.6</v>
      </c>
      <c r="BK111" s="333">
        <v>0.22</v>
      </c>
      <c r="BL111" s="262">
        <f>ROUND(BJ111*BK111,2)</f>
        <v>525.71</v>
      </c>
      <c r="BM111" s="155">
        <f>ROUND(BJ111*BK111,2)</f>
        <v>525.71</v>
      </c>
    </row>
    <row r="112" spans="1:65" s="2" customFormat="1">
      <c r="AY112" s="267" t="s">
        <v>254</v>
      </c>
      <c r="AZ112" s="97" t="s">
        <v>255</v>
      </c>
      <c r="BA112" s="103"/>
      <c r="BB112" s="103"/>
      <c r="BC112" s="103"/>
      <c r="BD112" s="103"/>
      <c r="BE112" s="103"/>
      <c r="BF112" s="103"/>
      <c r="BG112" s="103"/>
      <c r="BH112" s="334"/>
      <c r="BI112" s="332">
        <f t="array" ref="BI112">SUMPRODUCT((($AR$14:$AR$48&gt;=0)*($G$14:$G$48&lt;=G99))*($AR$14:$AR$48)*(IFERROR(FIND("Інвалид",$B$14:$B$48,1),1)&gt;1))+SUMPRODUCT((($AR$14:$AR$48&lt;0)*($G$14:$G$48&lt;G99))*($AR$14:$AR$48)*(IFERROR(FIND("Інвалид",$B$14:$B$48,1),1)&gt;1))</f>
        <v>1313.9</v>
      </c>
      <c r="BJ112" s="325">
        <f>BI112</f>
        <v>1313.9</v>
      </c>
      <c r="BK112" s="335">
        <f>$BK$103</f>
        <v>8.4099999999999994E-2</v>
      </c>
      <c r="BL112" s="305">
        <f>ROUND(BJ112*BK112,2)</f>
        <v>110.5</v>
      </c>
      <c r="BM112" s="325">
        <f>ROUND(BJ112*BK112,2)</f>
        <v>110.5</v>
      </c>
    </row>
    <row r="113" spans="1:65" s="2" customFormat="1" ht="16.5" thickBot="1">
      <c r="A113" s="351"/>
      <c r="B113" s="352"/>
      <c r="C113" s="353"/>
      <c r="D113" s="353"/>
      <c r="E113" s="351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AY113" s="187" t="s">
        <v>256</v>
      </c>
      <c r="AZ113" s="205" t="s">
        <v>257</v>
      </c>
      <c r="BA113" s="309"/>
      <c r="BB113" s="309"/>
      <c r="BC113" s="309"/>
      <c r="BD113" s="309"/>
      <c r="BE113" s="309"/>
      <c r="BF113" s="309"/>
      <c r="BG113" s="309"/>
      <c r="BH113" s="310"/>
      <c r="BI113" s="336">
        <f>SUM(BI111:BI112)</f>
        <v>3703.5</v>
      </c>
      <c r="BJ113" s="336">
        <f>SUM(BJ111:BJ112)</f>
        <v>3703.5</v>
      </c>
      <c r="BK113" s="307" t="s">
        <v>186</v>
      </c>
      <c r="BL113" s="311">
        <f>SUM(BL111:BL112)</f>
        <v>636.21</v>
      </c>
      <c r="BM113" s="311">
        <f>SUM(BM111:BM112)</f>
        <v>636.21</v>
      </c>
    </row>
    <row r="114" spans="1:65" s="2" customFormat="1" ht="15.75">
      <c r="A114" s="340"/>
      <c r="B114" s="349"/>
      <c r="C114" s="354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AY114" s="312">
        <v>8</v>
      </c>
      <c r="AZ114" s="313" t="s">
        <v>258</v>
      </c>
      <c r="BA114" s="337"/>
      <c r="BB114" s="337"/>
      <c r="BC114" s="337"/>
      <c r="BD114" s="314"/>
      <c r="BE114" s="314"/>
      <c r="BF114" s="314"/>
      <c r="BG114" s="314"/>
      <c r="BH114" s="315"/>
      <c r="BI114" s="146">
        <f>SUM(BI109,BI113)</f>
        <v>166746.29999999999</v>
      </c>
      <c r="BJ114" s="338" t="s">
        <v>186</v>
      </c>
      <c r="BK114" s="338" t="s">
        <v>186</v>
      </c>
      <c r="BL114" s="339">
        <f>SUM(BL109,BL113)</f>
        <v>33665.35</v>
      </c>
      <c r="BM114" s="339">
        <f>SUM(BM109,BM113)</f>
        <v>34191.07</v>
      </c>
    </row>
    <row r="115" spans="1:65" s="2" customFormat="1">
      <c r="A115" s="340"/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</row>
    <row r="116" spans="1:65" s="2" customFormat="1" ht="15.75">
      <c r="A116" s="355"/>
      <c r="B116" s="343"/>
      <c r="C116" s="340"/>
      <c r="D116" s="340"/>
      <c r="E116" s="340"/>
      <c r="F116" s="340"/>
      <c r="G116" s="340"/>
      <c r="H116" s="340"/>
      <c r="I116" s="340"/>
      <c r="J116" s="340"/>
      <c r="K116" s="340"/>
      <c r="L116" s="347"/>
      <c r="M116" s="340"/>
      <c r="N116" s="340"/>
      <c r="O116" s="347"/>
      <c r="P116" s="356"/>
      <c r="Q116" s="340"/>
      <c r="R116" s="340"/>
      <c r="S116" s="341"/>
      <c r="T116" s="340"/>
      <c r="U116" s="340"/>
    </row>
    <row r="117" spans="1:65" s="2" customFormat="1" ht="15.75">
      <c r="A117" s="357"/>
      <c r="B117" s="358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1"/>
      <c r="N117" s="340"/>
      <c r="O117" s="340"/>
      <c r="P117" s="340"/>
      <c r="Q117" s="340"/>
      <c r="R117" s="341"/>
      <c r="S117" s="341"/>
      <c r="T117" s="340"/>
      <c r="U117" s="340"/>
    </row>
    <row r="118" spans="1:65" s="2" customFormat="1" ht="15.75">
      <c r="A118" s="341"/>
      <c r="B118" s="359"/>
      <c r="C118" s="340"/>
      <c r="D118" s="340"/>
      <c r="E118" s="340"/>
      <c r="F118" s="340"/>
      <c r="G118" s="340"/>
      <c r="H118" s="340"/>
      <c r="I118" s="340"/>
      <c r="J118" s="340"/>
      <c r="K118" s="340"/>
      <c r="L118" s="394"/>
      <c r="M118" s="394"/>
      <c r="N118" s="394"/>
      <c r="O118" s="388"/>
      <c r="P118" s="395"/>
      <c r="Q118" s="391"/>
      <c r="R118" s="386"/>
      <c r="S118" s="391"/>
      <c r="T118" s="391"/>
      <c r="U118" s="340"/>
    </row>
    <row r="119" spans="1:65" s="2" customFormat="1" ht="15.75">
      <c r="A119" s="341"/>
      <c r="B119" s="359"/>
      <c r="C119" s="340"/>
      <c r="D119" s="340"/>
      <c r="E119" s="340"/>
      <c r="F119" s="340"/>
      <c r="G119" s="340"/>
      <c r="H119" s="340"/>
      <c r="I119" s="340"/>
      <c r="J119" s="340"/>
      <c r="K119" s="340"/>
      <c r="L119" s="394"/>
      <c r="M119" s="394"/>
      <c r="N119" s="394"/>
      <c r="O119" s="388"/>
      <c r="P119" s="395"/>
      <c r="Q119" s="391"/>
      <c r="R119" s="386"/>
      <c r="S119" s="391"/>
      <c r="T119" s="391"/>
      <c r="U119" s="340"/>
    </row>
    <row r="120" spans="1:65" s="2" customFormat="1" ht="15.75">
      <c r="A120" s="341"/>
      <c r="B120" s="343"/>
      <c r="C120" s="340"/>
      <c r="D120" s="340"/>
      <c r="E120" s="340"/>
      <c r="F120" s="340"/>
      <c r="G120" s="340"/>
      <c r="H120" s="340"/>
      <c r="I120" s="340"/>
      <c r="J120" s="340"/>
      <c r="K120" s="340"/>
      <c r="L120" s="384"/>
      <c r="M120" s="384"/>
      <c r="N120" s="384"/>
      <c r="O120" s="385"/>
      <c r="P120" s="391"/>
      <c r="Q120" s="391"/>
      <c r="R120" s="386"/>
      <c r="S120" s="391"/>
      <c r="T120" s="391"/>
      <c r="U120" s="340"/>
    </row>
    <row r="121" spans="1:65" s="2" customFormat="1" ht="16.5">
      <c r="A121" s="341"/>
      <c r="B121" s="350"/>
      <c r="C121" s="340"/>
      <c r="D121" s="340"/>
      <c r="E121" s="340"/>
      <c r="F121" s="340"/>
      <c r="G121" s="340"/>
      <c r="H121" s="340"/>
      <c r="I121" s="340"/>
      <c r="J121" s="340"/>
      <c r="K121" s="340"/>
      <c r="L121" s="392"/>
      <c r="M121" s="392"/>
      <c r="N121" s="392"/>
      <c r="O121" s="393"/>
      <c r="P121" s="393"/>
      <c r="Q121" s="393"/>
      <c r="R121" s="392"/>
      <c r="S121" s="392"/>
      <c r="T121" s="392"/>
      <c r="U121" s="340"/>
    </row>
    <row r="122" spans="1:65" ht="15.75">
      <c r="A122" s="341"/>
      <c r="B122" s="343"/>
      <c r="L122" s="384"/>
      <c r="M122" s="384"/>
      <c r="N122" s="384"/>
      <c r="O122" s="388"/>
      <c r="P122" s="388"/>
      <c r="Q122" s="388"/>
      <c r="R122" s="386"/>
      <c r="S122" s="386"/>
      <c r="T122" s="386"/>
    </row>
    <row r="123" spans="1:65" ht="15.75">
      <c r="A123" s="341"/>
      <c r="B123" s="343"/>
      <c r="L123" s="384"/>
      <c r="M123" s="384"/>
      <c r="N123" s="384"/>
      <c r="O123" s="388"/>
      <c r="P123" s="389"/>
      <c r="Q123" s="390"/>
      <c r="R123" s="386"/>
      <c r="S123" s="390"/>
      <c r="T123" s="390"/>
    </row>
    <row r="124" spans="1:65" ht="16.5">
      <c r="A124" s="362"/>
      <c r="B124" s="363"/>
      <c r="L124" s="387"/>
      <c r="M124" s="387"/>
      <c r="N124" s="387"/>
      <c r="O124" s="383"/>
      <c r="P124" s="383"/>
      <c r="Q124" s="383"/>
      <c r="R124" s="387"/>
      <c r="S124" s="387"/>
      <c r="T124" s="387"/>
    </row>
    <row r="125" spans="1:65" ht="15.75">
      <c r="A125" s="341"/>
      <c r="B125" s="343"/>
      <c r="L125" s="384"/>
      <c r="M125" s="384"/>
      <c r="N125" s="384"/>
      <c r="O125" s="388"/>
      <c r="P125" s="388"/>
      <c r="Q125" s="388"/>
      <c r="R125" s="386"/>
      <c r="S125" s="386"/>
      <c r="T125" s="386"/>
    </row>
    <row r="126" spans="1:65" ht="15.75">
      <c r="A126" s="341"/>
      <c r="B126" s="343"/>
      <c r="L126" s="384"/>
      <c r="M126" s="384"/>
      <c r="N126" s="384"/>
      <c r="O126" s="385"/>
      <c r="P126" s="385"/>
      <c r="Q126" s="385"/>
      <c r="R126" s="386"/>
      <c r="S126" s="386"/>
      <c r="T126" s="386"/>
    </row>
    <row r="127" spans="1:65" ht="15.75">
      <c r="A127" s="364"/>
      <c r="B127" s="363"/>
      <c r="L127" s="382"/>
      <c r="M127" s="382"/>
      <c r="N127" s="382"/>
      <c r="O127" s="383"/>
      <c r="P127" s="383"/>
      <c r="Q127" s="383"/>
      <c r="R127" s="382"/>
      <c r="S127" s="382"/>
      <c r="T127" s="382"/>
    </row>
    <row r="128" spans="1:65" ht="15.75">
      <c r="A128" s="364"/>
      <c r="B128" s="363"/>
      <c r="L128" s="382"/>
      <c r="M128" s="382"/>
      <c r="N128" s="382"/>
      <c r="O128" s="383"/>
      <c r="P128" s="383"/>
      <c r="Q128" s="383"/>
      <c r="R128" s="382"/>
      <c r="S128" s="382"/>
      <c r="T128" s="382"/>
    </row>
    <row r="130" spans="1:10" ht="15.75">
      <c r="A130" s="343"/>
    </row>
    <row r="131" spans="1:10" ht="15.75">
      <c r="A131" s="343"/>
      <c r="C131" s="365"/>
      <c r="D131" s="343"/>
      <c r="E131" s="363"/>
    </row>
    <row r="132" spans="1:10" ht="15.75">
      <c r="A132" s="341"/>
      <c r="C132" s="341"/>
      <c r="D132" s="341"/>
      <c r="E132" s="341"/>
      <c r="F132" s="342"/>
      <c r="G132" s="341"/>
    </row>
    <row r="133" spans="1:10" ht="15.75">
      <c r="A133" s="341"/>
      <c r="B133" s="343"/>
      <c r="C133" s="341"/>
      <c r="D133" s="341"/>
      <c r="E133" s="341"/>
      <c r="F133" s="342"/>
      <c r="G133" s="341"/>
      <c r="J133" s="366"/>
    </row>
    <row r="134" spans="1:10" ht="15.75">
      <c r="A134" s="341"/>
      <c r="B134" s="343"/>
      <c r="C134" s="341"/>
      <c r="D134" s="341"/>
      <c r="E134" s="341"/>
      <c r="G134" s="341"/>
    </row>
    <row r="135" spans="1:10" ht="15.75">
      <c r="A135" s="367"/>
      <c r="B135" s="345"/>
      <c r="C135" s="344"/>
      <c r="D135" s="346"/>
      <c r="E135" s="360"/>
      <c r="F135" s="361"/>
      <c r="G135" s="360"/>
    </row>
    <row r="136" spans="1:10" ht="15.75">
      <c r="A136" s="367"/>
      <c r="B136" s="345"/>
      <c r="C136" s="344"/>
      <c r="D136" s="346"/>
      <c r="E136" s="360"/>
      <c r="F136" s="361"/>
      <c r="G136" s="360"/>
    </row>
    <row r="137" spans="1:10" ht="15.75">
      <c r="A137" s="367"/>
      <c r="B137" s="345"/>
      <c r="C137" s="344"/>
      <c r="D137" s="346"/>
      <c r="E137" s="360"/>
      <c r="F137" s="361"/>
      <c r="G137" s="360"/>
    </row>
    <row r="138" spans="1:10" ht="15.75">
      <c r="A138" s="367"/>
      <c r="B138" s="345"/>
      <c r="C138" s="344"/>
      <c r="D138" s="346"/>
      <c r="E138" s="360"/>
      <c r="F138" s="361"/>
      <c r="G138" s="360"/>
    </row>
    <row r="139" spans="1:10" ht="15.75">
      <c r="A139" s="367"/>
      <c r="B139" s="345"/>
      <c r="C139" s="344"/>
      <c r="D139" s="346"/>
      <c r="E139" s="360"/>
      <c r="F139" s="361"/>
      <c r="G139" s="360"/>
      <c r="J139" s="366"/>
    </row>
    <row r="140" spans="1:10" ht="15.75">
      <c r="A140" s="367"/>
      <c r="B140" s="345"/>
      <c r="C140" s="344"/>
      <c r="D140" s="346"/>
      <c r="E140" s="360"/>
      <c r="F140" s="361"/>
      <c r="G140" s="360"/>
    </row>
    <row r="141" spans="1:10" ht="15.75">
      <c r="A141" s="367"/>
      <c r="B141" s="345"/>
      <c r="C141" s="344"/>
      <c r="D141" s="346"/>
      <c r="E141" s="360"/>
      <c r="F141" s="361"/>
      <c r="G141" s="360"/>
    </row>
  </sheetData>
  <mergeCells count="33">
    <mergeCell ref="L118:N118"/>
    <mergeCell ref="O118:Q118"/>
    <mergeCell ref="R118:T118"/>
    <mergeCell ref="L119:N119"/>
    <mergeCell ref="O119:Q119"/>
    <mergeCell ref="R119:T119"/>
    <mergeCell ref="L120:N120"/>
    <mergeCell ref="O120:Q120"/>
    <mergeCell ref="R120:T120"/>
    <mergeCell ref="L121:N121"/>
    <mergeCell ref="O121:Q121"/>
    <mergeCell ref="R121:T121"/>
    <mergeCell ref="L122:N122"/>
    <mergeCell ref="O122:Q122"/>
    <mergeCell ref="R122:T122"/>
    <mergeCell ref="L123:N123"/>
    <mergeCell ref="O123:Q123"/>
    <mergeCell ref="R123:T123"/>
    <mergeCell ref="L124:N124"/>
    <mergeCell ref="O124:Q124"/>
    <mergeCell ref="R124:T124"/>
    <mergeCell ref="L125:N125"/>
    <mergeCell ref="O125:Q125"/>
    <mergeCell ref="R125:T125"/>
    <mergeCell ref="L128:N128"/>
    <mergeCell ref="O128:Q128"/>
    <mergeCell ref="R128:T128"/>
    <mergeCell ref="L126:N126"/>
    <mergeCell ref="O126:Q126"/>
    <mergeCell ref="R126:T126"/>
    <mergeCell ref="L127:N127"/>
    <mergeCell ref="O127:Q127"/>
    <mergeCell ref="R127:T127"/>
  </mergeCells>
  <conditionalFormatting sqref="B14:BM48">
    <cfRule type="expression" dxfId="0" priority="1">
      <formula>SEARCH("Совместитель",$B14)</formula>
    </cfRule>
  </conditionalFormatting>
  <hyperlinks>
    <hyperlink ref="B49" location="'Февраль 2018 шаблон З ЛІКАР Чис'!A293" display="I. ШТАТНІ ↑ →"/>
    <hyperlink ref="B80" location="'Февраль 2018 шаблон З ЛІКАР Чис'!A386" display="I I. ПО ДОГОВОРУ ЦПХ ↑ →"/>
    <hyperlink ref="AU1" location="Законодавство!N21" display="Граничний розмір доходу, який дає право на отримання податкової соціальної пільги в 2018 р."/>
    <hyperlink ref="AU2" location="Законодавство!R21" display="Сума податкової соціальної пільги 100 % для осіб визначених у пп. 169.1.1 та пп. 169.1.2 ПКУ "/>
    <hyperlink ref="AU3" location="Законодавство!S21" display="Сума податкової соціальної пільги 150 % для осіб визначених у пп. 169.1.3 ПКУ: Лісовий В. А."/>
    <hyperlink ref="BD1" location="Законодавство!N21" display="Законодавство!N21"/>
    <hyperlink ref="BD2" location="Законодавство!R21" display="Законодавство!R21"/>
    <hyperlink ref="BD3" location="Законодавство!S21" display="Законодавство!S21"/>
    <hyperlink ref="AU13" location="Законодавство!F24" display="Законодавство!F24"/>
    <hyperlink ref="AX7" location="Законодавство!H24" display="Законодавство!H24"/>
    <hyperlink ref="BA6" location="Законодавство!J24" display="Законодавство!J24"/>
    <hyperlink ref="AP1" location="Законодавство!E88" display="Законодавство!E88"/>
    <hyperlink ref="AL2" location="Законодавство!F24" display="22 % з мінімальной зарплати ЄСВ"/>
    <hyperlink ref="AL3" location="Законодавство!G24" display="8,41 % з мінімальной зарплати Інвалід"/>
    <hyperlink ref="AU12" location="Законодавство!G24" display="Інв. 8,41 %"/>
    <hyperlink ref="AU4" location="Законодавство!B16" display="Нараху - "/>
    <hyperlink ref="AV6" location="Законодавство!B16" display="ПДФО: Податок з доходів"/>
    <hyperlink ref="AY6" location="Законодавство!B16" display="Військовий збір 653 бух. рах."/>
    <hyperlink ref="A80" location="'Февраль 2018 шаблон З ЛІКАР Чис'!A680" display="'Февраль 2018 шаблон З ЛІКАР Чис'!A680"/>
    <hyperlink ref="C5" location="'Трудові ресурси Рух прийн. звіл'!A1" display="Прий-"/>
    <hyperlink ref="C6" location="'Трудові ресурси Рух прийн. звіл'!A1" display="няття"/>
    <hyperlink ref="C7" location="'Трудові ресурси Рух прийн. звіл'!A1" display="штатних:"/>
    <hyperlink ref="D5" location="'Трудові ресурси Рух прийн. звіл'!A1" display="Звіль-"/>
    <hyperlink ref="D6" location="'Трудові ресурси Рух прийн. звіл'!A1" display="ненння"/>
    <hyperlink ref="D7" location="'Трудові ресурси Рух прийн. звіл'!A1" display="штатних"/>
    <hyperlink ref="F3" location="'Норма тривалості робочого часу'!A40" display="Норма тривалості робочого часу: дні / години"/>
    <hyperlink ref="AU5" location="Законодавство!B16" display="вання"/>
    <hyperlink ref="AV7" location="Законодавство!B16" display=" фізичних осіб 6411 бух. рах."/>
    <hyperlink ref="AL1" location="Законодавство!A34" display="Мінімальна зарплата з 1 січня 2018 р.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2018 шаблон З ЛІКАРНЯН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2018-09-14T06:49:23Z</dcterms:created>
  <dcterms:modified xsi:type="dcterms:W3CDTF">2018-09-14T08:00:37Z</dcterms:modified>
</cp:coreProperties>
</file>