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9D2A6BFD-D850-4C4E-B971-9DDA6CA76C9D}" xr6:coauthVersionLast="37" xr6:coauthVersionMax="37" xr10:uidLastSave="{00000000-0000-0000-0000-000000000000}"/>
  <bookViews>
    <workbookView xWindow="0" yWindow="0" windowWidth="38400" windowHeight="1158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9" i="2"/>
  <c r="K1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9" i="2"/>
  <c r="P11" i="1" a="1"/>
  <c r="P11" i="1" s="1"/>
  <c r="L9" i="1" l="1"/>
  <c r="I12" i="1" l="1"/>
  <c r="I13" i="1"/>
  <c r="I14" i="1"/>
  <c r="I15" i="1"/>
  <c r="I11" i="1"/>
  <c r="I10" i="1"/>
  <c r="L10" i="1" l="1"/>
  <c r="O10" i="1" s="1"/>
  <c r="L11" i="1"/>
  <c r="L12" i="1"/>
  <c r="O12" i="1" s="1"/>
  <c r="L13" i="1"/>
  <c r="O13" i="1" s="1"/>
  <c r="L14" i="1"/>
  <c r="O14" i="1" s="1"/>
  <c r="Q14" i="1" s="1"/>
  <c r="L15" i="1"/>
  <c r="O15" i="1" s="1"/>
  <c r="Q13" i="1" l="1"/>
  <c r="O11" i="1"/>
  <c r="Q11" i="1" s="1"/>
  <c r="E2" i="1"/>
  <c r="Q15" i="1" s="1"/>
  <c r="D7" i="1"/>
  <c r="E7" i="1" s="1"/>
  <c r="F7" i="1" s="1"/>
  <c r="O9" i="1"/>
  <c r="S11" i="1" l="1"/>
  <c r="R12" i="1"/>
  <c r="P12" i="1" s="1"/>
  <c r="S9" i="1"/>
  <c r="S10" i="1"/>
  <c r="S13" i="1"/>
  <c r="T13" i="1" s="1"/>
  <c r="S14" i="1"/>
  <c r="T14" i="1" s="1"/>
  <c r="S15" i="1"/>
  <c r="T15" i="1" s="1"/>
  <c r="S12" i="1"/>
  <c r="R14" i="1"/>
  <c r="P14" i="1" s="1"/>
  <c r="D10" i="1"/>
  <c r="R15" i="1"/>
  <c r="P15" i="1" s="1"/>
  <c r="D11" i="1"/>
  <c r="R13" i="1"/>
  <c r="P13" i="1" s="1"/>
  <c r="R11" i="1"/>
  <c r="R9" i="1"/>
  <c r="R10" i="1"/>
  <c r="P10" i="1" s="1"/>
  <c r="Q12" i="1"/>
  <c r="D9" i="1"/>
  <c r="P9" i="1"/>
  <c r="E10" i="1"/>
  <c r="E9" i="1"/>
  <c r="C9" i="1"/>
  <c r="C10" i="1"/>
  <c r="Q10" i="1" s="1"/>
  <c r="T10" i="1" s="1"/>
  <c r="E11" i="1"/>
  <c r="C11" i="1"/>
  <c r="T11" i="1" s="1"/>
  <c r="T12" i="1" l="1"/>
  <c r="Q9" i="1"/>
  <c r="T9" i="1" s="1"/>
</calcChain>
</file>

<file path=xl/sharedStrings.xml><?xml version="1.0" encoding="utf-8"?>
<sst xmlns="http://schemas.openxmlformats.org/spreadsheetml/2006/main" count="31" uniqueCount="30">
  <si>
    <t>Шаг1</t>
  </si>
  <si>
    <t>платёж1</t>
  </si>
  <si>
    <t>долг1</t>
  </si>
  <si>
    <t>платёж2</t>
  </si>
  <si>
    <t>долг2</t>
  </si>
  <si>
    <t>платёж3</t>
  </si>
  <si>
    <t>долг3</t>
  </si>
  <si>
    <t>Дата1</t>
  </si>
  <si>
    <t>Дата2</t>
  </si>
  <si>
    <t>Дата3</t>
  </si>
  <si>
    <t>долг на начало месяца</t>
  </si>
  <si>
    <t>долг после платежа</t>
  </si>
  <si>
    <t>дата платежа в заданном периоде</t>
  </si>
  <si>
    <t>Заданный период</t>
  </si>
  <si>
    <t>Шаг2</t>
  </si>
  <si>
    <t>Шаг3</t>
  </si>
  <si>
    <t>Начальный долг</t>
  </si>
  <si>
    <t>Проценты</t>
  </si>
  <si>
    <t>Ручной пересчет</t>
  </si>
  <si>
    <t xml:space="preserve"> на 31.08.2018</t>
  </si>
  <si>
    <t>1 формула</t>
  </si>
  <si>
    <t>2 формула</t>
  </si>
  <si>
    <t>3 формула</t>
  </si>
  <si>
    <t>Долг на конец периода</t>
  </si>
  <si>
    <t>Одной формулой</t>
  </si>
  <si>
    <t>клиент</t>
  </si>
  <si>
    <t>долг</t>
  </si>
  <si>
    <t>дата платежа</t>
  </si>
  <si>
    <t>платеж</t>
  </si>
  <si>
    <t>процент на текущий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</si>
</sst>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3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3" fillId="0" borderId="0" applyFont="0" applyFill="0" applyBorder="0" applyAlignment="0" applyProtection="0"/>
  </cellStyleXfs>
  <cellXfs count="55">
    <xf numFmtId="0" fontId="0" fillId="0" borderId="0" xfId="0"/>
    <xf numFmtId="2" fontId="0" fillId="0" borderId="1" xfId="0" applyNumberFormat="1" applyBorder="1" applyAlignment="1">
      <alignment horizontal="center" vertical="center"/>
    </xf>
    <xf numFmtId="0" fontId="4" fillId="4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4" fontId="2" fillId="0" borderId="5" xfId="0" applyNumberFormat="1" applyFont="1" applyFill="1" applyBorder="1"/>
    <xf numFmtId="14" fontId="2" fillId="0" borderId="6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5" fillId="6" borderId="3" xfId="3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5" fontId="4" fillId="5" borderId="1" xfId="2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4" fillId="7" borderId="1" xfId="4" applyNumberFormat="1" applyBorder="1" applyAlignment="1">
      <alignment horizontal="center" vertical="center"/>
    </xf>
    <xf numFmtId="15" fontId="4" fillId="7" borderId="1" xfId="4" applyNumberFormat="1" applyBorder="1" applyAlignment="1">
      <alignment horizontal="center" vertical="center"/>
    </xf>
    <xf numFmtId="1" fontId="4" fillId="7" borderId="1" xfId="4" applyNumberFormat="1" applyBorder="1" applyAlignment="1">
      <alignment horizontal="center" vertical="center"/>
    </xf>
    <xf numFmtId="0" fontId="4" fillId="7" borderId="1" xfId="4" applyBorder="1" applyAlignment="1">
      <alignment horizontal="center"/>
    </xf>
    <xf numFmtId="0" fontId="0" fillId="0" borderId="1" xfId="0" applyBorder="1"/>
    <xf numFmtId="0" fontId="5" fillId="6" borderId="9" xfId="3" applyBorder="1" applyAlignment="1">
      <alignment horizontal="center" vertical="center" wrapText="1"/>
    </xf>
    <xf numFmtId="0" fontId="5" fillId="6" borderId="10" xfId="3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/>
    </xf>
    <xf numFmtId="2" fontId="0" fillId="10" borderId="1" xfId="0" applyNumberFormat="1" applyFill="1" applyBorder="1"/>
    <xf numFmtId="2" fontId="0" fillId="11" borderId="1" xfId="0" applyNumberFormat="1" applyFill="1" applyBorder="1"/>
    <xf numFmtId="2" fontId="0" fillId="12" borderId="1" xfId="0" applyNumberFormat="1" applyFill="1" applyBorder="1"/>
    <xf numFmtId="14" fontId="0" fillId="0" borderId="0" xfId="0" applyNumberFormat="1" applyFill="1" applyBorder="1" applyAlignment="1">
      <alignment horizontal="center" vertical="center"/>
    </xf>
    <xf numFmtId="0" fontId="4" fillId="4" borderId="8" xfId="1" applyBorder="1" applyAlignment="1">
      <alignment horizontal="center" vertical="center" wrapText="1"/>
    </xf>
    <xf numFmtId="0" fontId="5" fillId="6" borderId="1" xfId="3" applyBorder="1" applyAlignment="1">
      <alignment horizontal="center" vertical="center" wrapText="1"/>
    </xf>
    <xf numFmtId="0" fontId="8" fillId="8" borderId="1" xfId="5" applyFont="1" applyBorder="1" applyAlignment="1">
      <alignment vertical="center"/>
    </xf>
    <xf numFmtId="0" fontId="0" fillId="0" borderId="1" xfId="0" applyNumberFormat="1" applyBorder="1"/>
    <xf numFmtId="0" fontId="9" fillId="9" borderId="1" xfId="0" applyFont="1" applyFill="1" applyBorder="1"/>
    <xf numFmtId="0" fontId="4" fillId="13" borderId="0" xfId="5" applyFill="1"/>
    <xf numFmtId="2" fontId="10" fillId="13" borderId="1" xfId="5" applyNumberFormat="1" applyFont="1" applyFill="1" applyBorder="1" applyAlignment="1">
      <alignment horizontal="center"/>
    </xf>
    <xf numFmtId="2" fontId="11" fillId="13" borderId="1" xfId="5" applyNumberFormat="1" applyFont="1" applyFill="1" applyBorder="1" applyAlignment="1">
      <alignment horizontal="center"/>
    </xf>
    <xf numFmtId="0" fontId="12" fillId="13" borderId="1" xfId="5" applyFont="1" applyFill="1" applyBorder="1" applyAlignment="1">
      <alignment horizontal="center" vertical="center" wrapText="1"/>
    </xf>
    <xf numFmtId="0" fontId="4" fillId="5" borderId="2" xfId="2" applyBorder="1" applyAlignment="1">
      <alignment horizontal="center" vertical="center"/>
    </xf>
    <xf numFmtId="14" fontId="9" fillId="9" borderId="7" xfId="0" applyNumberFormat="1" applyFont="1" applyFill="1" applyBorder="1" applyAlignment="1">
      <alignment horizontal="center"/>
    </xf>
    <xf numFmtId="14" fontId="9" fillId="9" borderId="1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15" fontId="14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5" fontId="14" fillId="0" borderId="1" xfId="4" applyNumberFormat="1" applyFont="1" applyFill="1" applyBorder="1" applyAlignment="1">
      <alignment horizontal="center" vertical="center"/>
    </xf>
    <xf numFmtId="1" fontId="14" fillId="0" borderId="1" xfId="4" applyNumberFormat="1" applyFont="1" applyFill="1" applyBorder="1" applyAlignment="1">
      <alignment horizontal="center" vertical="center"/>
    </xf>
    <xf numFmtId="15" fontId="14" fillId="0" borderId="1" xfId="2" applyNumberFormat="1" applyFont="1" applyFill="1" applyBorder="1" applyAlignment="1">
      <alignment horizontal="center" vertical="center"/>
    </xf>
    <xf numFmtId="43" fontId="14" fillId="0" borderId="1" xfId="6" applyFont="1" applyFill="1" applyBorder="1" applyAlignment="1">
      <alignment horizontal="center" vertical="center"/>
    </xf>
    <xf numFmtId="43" fontId="14" fillId="0" borderId="1" xfId="6" applyFont="1" applyFill="1" applyBorder="1"/>
    <xf numFmtId="2" fontId="14" fillId="0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</cellXfs>
  <cellStyles count="7">
    <cellStyle name="Акцент1" xfId="1" builtinId="29"/>
    <cellStyle name="Акцент2" xfId="2" builtinId="33"/>
    <cellStyle name="Акцент3" xfId="5" builtinId="37"/>
    <cellStyle name="Акцент4" xfId="4" builtinId="41"/>
    <cellStyle name="Вывод" xfId="3" builtinId="21"/>
    <cellStyle name="Обычный" xfId="0" builtinId="0"/>
    <cellStyle name="Финансовый" xfId="6" builtinId="3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571501</xdr:colOff>
      <xdr:row>9</xdr:row>
      <xdr:rowOff>226219</xdr:rowOff>
    </xdr:from>
    <xdr:to>
      <xdr:col>24</xdr:col>
      <xdr:colOff>528638</xdr:colOff>
      <xdr:row>14</xdr:row>
      <xdr:rowOff>119063</xdr:rowOff>
    </xdr:to>
    <xdr:sp macro="" textlink="">
      <xdr:nvSpPr>
        <xdr:cNvPr id="2" name="Прямоугольная выноск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585558">
          <a:off x="17323595" y="2297907"/>
          <a:ext cx="1778793" cy="1202531"/>
        </a:xfrm>
        <a:prstGeom prst="wedgeRectCallou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Здесь</a:t>
          </a:r>
          <a:r>
            <a:rPr lang="ru-RU" sz="1100" baseline="0"/>
            <a:t> я сам не пойму, так как два платежа в один день и не совсем ясно, как надо считать дни на эти остатки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T47"/>
  <sheetViews>
    <sheetView zoomScale="80" zoomScaleNormal="80" workbookViewId="0">
      <selection activeCell="Q12" sqref="Q12"/>
    </sheetView>
  </sheetViews>
  <sheetFormatPr defaultRowHeight="12.75" customHeight="1" x14ac:dyDescent="0.25"/>
  <cols>
    <col min="3" max="3" width="17.140625" customWidth="1"/>
    <col min="4" max="4" width="14.5703125" bestFit="1" customWidth="1"/>
    <col min="5" max="5" width="13.5703125" customWidth="1"/>
    <col min="6" max="6" width="12.28515625" customWidth="1"/>
    <col min="7" max="7" width="13.85546875" bestFit="1" customWidth="1"/>
    <col min="8" max="8" width="10.140625" customWidth="1"/>
    <col min="9" max="9" width="9.28515625" bestFit="1" customWidth="1"/>
    <col min="10" max="10" width="13.85546875" bestFit="1" customWidth="1"/>
    <col min="11" max="11" width="10.140625" customWidth="1"/>
    <col min="12" max="12" width="9.28515625" bestFit="1" customWidth="1"/>
    <col min="13" max="13" width="13.85546875" bestFit="1" customWidth="1"/>
    <col min="14" max="14" width="10.140625" customWidth="1"/>
    <col min="15" max="15" width="9.28515625" bestFit="1" customWidth="1"/>
    <col min="16" max="16" width="10" bestFit="1" customWidth="1"/>
    <col min="17" max="17" width="10.140625" style="33" bestFit="1" customWidth="1"/>
    <col min="18" max="18" width="16.140625" customWidth="1"/>
    <col min="19" max="19" width="14.7109375" customWidth="1"/>
    <col min="20" max="20" width="15.140625" bestFit="1" customWidth="1"/>
  </cols>
  <sheetData>
    <row r="1" spans="2:20" ht="12.75" customHeight="1" thickBot="1" x14ac:dyDescent="0.3"/>
    <row r="2" spans="2:20" ht="12.75" customHeight="1" thickBot="1" x14ac:dyDescent="0.3">
      <c r="C2" s="9" t="s">
        <v>13</v>
      </c>
      <c r="D2" s="7">
        <v>43313</v>
      </c>
      <c r="E2" s="8">
        <f>EDATE(D2,1)-1</f>
        <v>43343</v>
      </c>
    </row>
    <row r="3" spans="2:20" ht="12.75" customHeight="1" x14ac:dyDescent="0.25">
      <c r="D3" s="6"/>
    </row>
    <row r="5" spans="2:20" ht="18.75" x14ac:dyDescent="0.3">
      <c r="C5" s="23" t="s">
        <v>20</v>
      </c>
      <c r="D5" s="23" t="s">
        <v>21</v>
      </c>
      <c r="E5" s="23" t="s">
        <v>22</v>
      </c>
      <c r="P5" s="38" t="s">
        <v>19</v>
      </c>
      <c r="Q5" s="39"/>
    </row>
    <row r="6" spans="2:20" ht="47.45" customHeight="1" x14ac:dyDescent="0.25">
      <c r="C6" s="29" t="s">
        <v>10</v>
      </c>
      <c r="D6" s="21" t="s">
        <v>12</v>
      </c>
      <c r="E6" s="22" t="s">
        <v>11</v>
      </c>
      <c r="F6" s="12" t="s">
        <v>16</v>
      </c>
      <c r="G6" s="37" t="s">
        <v>0</v>
      </c>
      <c r="H6" s="37"/>
      <c r="I6" s="37"/>
      <c r="J6" s="37" t="s">
        <v>14</v>
      </c>
      <c r="K6" s="37"/>
      <c r="L6" s="37"/>
      <c r="M6" s="37" t="s">
        <v>15</v>
      </c>
      <c r="N6" s="37"/>
      <c r="O6" s="37"/>
      <c r="P6" s="30" t="s">
        <v>17</v>
      </c>
      <c r="Q6" s="36" t="s">
        <v>18</v>
      </c>
      <c r="R6" s="29" t="s">
        <v>23</v>
      </c>
      <c r="S6" s="29" t="s">
        <v>24</v>
      </c>
    </row>
    <row r="7" spans="2:20" ht="12.75" customHeight="1" x14ac:dyDescent="0.25">
      <c r="C7" s="2">
        <v>1</v>
      </c>
      <c r="D7" s="28">
        <f>C7+1</f>
        <v>2</v>
      </c>
      <c r="E7" s="2">
        <f>D7+1</f>
        <v>3</v>
      </c>
      <c r="F7" s="2">
        <f>E7+1</f>
        <v>4</v>
      </c>
      <c r="G7" s="2" t="s">
        <v>7</v>
      </c>
      <c r="H7" s="2" t="s">
        <v>1</v>
      </c>
      <c r="I7" s="2" t="s">
        <v>2</v>
      </c>
      <c r="J7" s="2" t="s">
        <v>8</v>
      </c>
      <c r="K7" s="2" t="s">
        <v>3</v>
      </c>
      <c r="L7" s="2" t="s">
        <v>4</v>
      </c>
      <c r="M7" s="2" t="s">
        <v>9</v>
      </c>
      <c r="N7" s="2" t="s">
        <v>5</v>
      </c>
      <c r="O7" s="2" t="s">
        <v>6</v>
      </c>
      <c r="P7" s="20"/>
      <c r="Q7" s="34"/>
      <c r="R7" s="31"/>
      <c r="S7" s="20"/>
    </row>
    <row r="8" spans="2:20" ht="12.75" customHeight="1" x14ac:dyDescent="0.25">
      <c r="C8" s="1"/>
      <c r="D8" s="3"/>
      <c r="E8" s="1"/>
      <c r="G8" s="3"/>
      <c r="H8" s="4"/>
      <c r="I8" s="1"/>
      <c r="J8" s="3"/>
      <c r="K8" s="4"/>
      <c r="L8" s="1"/>
      <c r="M8" s="3"/>
      <c r="N8" s="4"/>
      <c r="O8" s="1"/>
      <c r="P8" s="20"/>
      <c r="Q8" s="34"/>
      <c r="R8" s="20"/>
      <c r="S8" s="20"/>
    </row>
    <row r="9" spans="2:20" ht="18.75" x14ac:dyDescent="0.3">
      <c r="B9" s="40">
        <v>1</v>
      </c>
      <c r="C9" s="10">
        <f>INDEX(F9:O9,1,MATCH(LOOKUP(2,1/((F9:O9&lt;=$E$2)*(F9:O9&gt;=$D$2)),F9:O9),F9:O9,0)-1)</f>
        <v>1700</v>
      </c>
      <c r="D9" s="11">
        <f>LOOKUP(2,1/((F9:O9&lt;=$E$2)*(F9:O9&gt;=$D$2)),F9:O9)</f>
        <v>43340</v>
      </c>
      <c r="E9" s="10">
        <f>INDEX(F9:O9,1,MATCH(LOOKUP(2,1/((F9:O9&lt;=$E$2)*(F9:O9&gt;=$D$2)),F9:O9),F9:O9,0)+2)</f>
        <v>1500</v>
      </c>
      <c r="F9" s="1">
        <v>2000</v>
      </c>
      <c r="G9" s="3">
        <v>43208</v>
      </c>
      <c r="H9" s="4">
        <v>100</v>
      </c>
      <c r="I9" s="4">
        <v>1900</v>
      </c>
      <c r="J9" s="3">
        <v>43301</v>
      </c>
      <c r="K9" s="4">
        <v>200</v>
      </c>
      <c r="L9" s="4">
        <f>I9-K9</f>
        <v>1700</v>
      </c>
      <c r="M9" s="3">
        <v>43340</v>
      </c>
      <c r="N9" s="4">
        <v>200</v>
      </c>
      <c r="O9" s="4">
        <f>L9-N9</f>
        <v>1500</v>
      </c>
      <c r="P9" s="26">
        <f>IFERROR((F9-SUMIFS(H9:N9,G9:M9,"&lt;"&amp;$D$2,$H$7:$N$7,"платёж*"))/365*0.15*DAY(LOOKUP(2,1/((F9:O9&lt;=$E$2)*(F9:O9&gt;=$D$2)),F9:O9))+R9/365*0.15*($E$2-LOOKUP(2,1/((F9:O9&lt;=$E$2)*(F9:O9&gt;=$D$2)),F9:O9)),0)</f>
        <v>21.410958904109592</v>
      </c>
      <c r="Q9" s="35">
        <f>C9/365*0.15*DAY(D9)+E9/365*0.15*(E2-D9)</f>
        <v>21.410958904109592</v>
      </c>
      <c r="R9" s="24">
        <f>F9-SUMIFS(H9:N9,G9:M9,"&lt;="&amp;$E$2,$H$7:$N$7,"платёж*")</f>
        <v>1500</v>
      </c>
      <c r="S9" s="25">
        <f>IFERROR((F9-SUMIFS(H9:N9,G9:M9,"&lt;"&amp;$D$2,$H$7:$N$7,"платёж*"))/365*0.15*DAY(LOOKUP(2,1/((F9:O9&lt;=$E$2)*(F9:O9&gt;=$D$2)),F9:O9))+(F9-SUMIFS(H9:N9,G9:M9,"&lt;="&amp;$E$2,$H$7:$N$7,"платёж*"))/365*0.15*($E$2-LOOKUP(2,1/((F9:O9&lt;=$E$2)*(F9:O9&gt;=$D$2)),F9:O9)),0)</f>
        <v>21.410958904109592</v>
      </c>
      <c r="T9" s="32" t="str">
        <f>IF(Q9=S9,"Сходится","Не сходится")</f>
        <v>Сходится</v>
      </c>
    </row>
    <row r="10" spans="2:20" ht="18.75" x14ac:dyDescent="0.3">
      <c r="B10" s="40">
        <v>2</v>
      </c>
      <c r="C10" s="10">
        <f>INDEX(F10:O10,1,MATCH(LOOKUP(2,1/((F10:O10&lt;=$E$2)*(F10:O10&gt;=$D$2)),F10:O10),F10:O10,0)-1)</f>
        <v>800</v>
      </c>
      <c r="D10" s="11">
        <f t="shared" ref="D10:D11" si="0">LOOKUP(2,1/((F10:O10&lt;=$E$2)*(F10:O10&gt;=$D$2)),F10:O10)</f>
        <v>43330</v>
      </c>
      <c r="E10" s="10">
        <f>INDEX(F10:O10,1,MATCH(LOOKUP(2,1/((F10:O10&lt;=$E$2)*(F10:O10&gt;=$D$2)),F10:O10),F10:O10,0)+2)</f>
        <v>699</v>
      </c>
      <c r="F10" s="1">
        <v>800</v>
      </c>
      <c r="G10" s="3">
        <v>43330</v>
      </c>
      <c r="H10" s="4">
        <v>101</v>
      </c>
      <c r="I10" s="4">
        <f t="shared" ref="I10:I15" si="1">F10-H10</f>
        <v>699</v>
      </c>
      <c r="J10" s="3">
        <v>43363</v>
      </c>
      <c r="K10" s="4">
        <v>201</v>
      </c>
      <c r="L10" s="4">
        <f t="shared" ref="L10:L15" si="2">I10-K10</f>
        <v>498</v>
      </c>
      <c r="M10" s="3">
        <v>43393</v>
      </c>
      <c r="N10" s="4">
        <v>201</v>
      </c>
      <c r="O10" s="4">
        <f t="shared" ref="O10:O15" si="3">L10-N10</f>
        <v>297</v>
      </c>
      <c r="P10" s="26">
        <f t="shared" ref="P10:P15" si="4">IFERROR((F10-SUMIFS(H10:N10,G10:M10,"&lt;"&amp;$D$2,$H$7:$N$7,"платёж*"))/365*0.15*DAY(LOOKUP(2,1/((F10:O10&lt;=$E$2)*(F10:O10&gt;=$D$2)),F10:O10))+R10/365*0.15*($E$2-LOOKUP(2,1/((F10:O10&lt;=$E$2)*(F10:O10&gt;=$D$2)),F10:O10)),0)</f>
        <v>9.6521917808219175</v>
      </c>
      <c r="Q10" s="35">
        <f>C10/365*0.15*DAY(D10)+E10/365*0.15*(E2-D10)</f>
        <v>9.6521917808219175</v>
      </c>
      <c r="R10" s="24">
        <f t="shared" ref="R10:R15" si="5">F10-SUMIFS(H10:N10,G10:M10,"&lt;="&amp;$E$2,$H$7:$N$7,"платёж*")</f>
        <v>699</v>
      </c>
      <c r="S10" s="25">
        <f>IFERROR((F10-SUMIFS(H10:N10,G10:M10,"&lt;"&amp;$D$2,$H$7:$N$7,"платёж*"))/365*0.15*DAY(LOOKUP(2,1/((F10:O10&lt;=$E$2)*(F10:O10&gt;=$D$2)),F10:O10))+(F10-SUMIFS(H10:N10,G10:M10,"&lt;="&amp;$E$2,$H$7:$N$7,"платёж*"))/365*0.15*($E$2-LOOKUP(2,1/((F10:O10&lt;=$E$2)*(F10:O10&gt;=$D$2)),F10:O10)),0)</f>
        <v>9.6521917808219175</v>
      </c>
      <c r="T10" s="32" t="str">
        <f t="shared" ref="T10:T15" si="6">IF(Q10=S10,"Сходится","Не сходится")</f>
        <v>Сходится</v>
      </c>
    </row>
    <row r="11" spans="2:20" ht="18.75" x14ac:dyDescent="0.3">
      <c r="B11" s="40">
        <v>3</v>
      </c>
      <c r="C11" s="10">
        <f>INDEX(F11:O11,1,MATCH(LOOKUP(2,1/((F11:O11&lt;=$E$2)*(F11:O11&gt;=$D$2)),F11:O11),F11:O11,0)-1)</f>
        <v>1196</v>
      </c>
      <c r="D11" s="11">
        <f t="shared" si="0"/>
        <v>43341</v>
      </c>
      <c r="E11" s="10">
        <f>INDEX(F11:O11,1,MATCH(LOOKUP(2,1/((F11:O11&lt;=$E$2)*(F11:O11&gt;=$D$2)),F11:O11),F11:O11,0)+2)</f>
        <v>994</v>
      </c>
      <c r="F11" s="1">
        <v>1500</v>
      </c>
      <c r="G11" s="3">
        <v>43298</v>
      </c>
      <c r="H11" s="4">
        <v>102</v>
      </c>
      <c r="I11" s="4">
        <f t="shared" si="1"/>
        <v>1398</v>
      </c>
      <c r="J11" s="3">
        <v>43329</v>
      </c>
      <c r="K11" s="4">
        <v>202</v>
      </c>
      <c r="L11" s="4">
        <f t="shared" si="2"/>
        <v>1196</v>
      </c>
      <c r="M11" s="3">
        <v>43341</v>
      </c>
      <c r="N11" s="4">
        <v>202</v>
      </c>
      <c r="O11" s="4">
        <f>L11-N11</f>
        <v>994</v>
      </c>
      <c r="P11" s="26">
        <f t="array" ref="P11">IFERROR((F11-SUMIFS(H11:N11,G11:M11,"&lt;"&amp;$D$2,$H$7:$N$7,"платёж*"))/365*0.15*DAY(SMALL(IF((G11:O11&lt;=$E$2)*(G11:O11&gt;=$D$2)*ISNUMBER(SEARCH("дата",$G$7:$O$7)),G11:O11),1))+R11/365*0.15*($E$2-LOOKUP(2,1/((F11:O11&lt;=$E$2)*(F11:O11&gt;=$D$2)),F11:O11)),0)</f>
        <v>10.583835616438355</v>
      </c>
      <c r="Q11" s="35">
        <f>I11/365*0.15*DAY(J11)+L11/365*0.15*(M11-J11)+O11/365*0.15*2</f>
        <v>16.481917808219176</v>
      </c>
      <c r="R11" s="24">
        <f t="shared" si="5"/>
        <v>994</v>
      </c>
      <c r="S11" s="25">
        <f>IFERROR((F11-SUMIFS(H11:N11,G11:M11,"&lt;"&amp;$D$2,$H$7:$N$7,"платёж*"))/365*0.15*DAY(LOOKUP(2,1/((F11:O11&lt;=$E$2)*(F11:O11&gt;=$D$2)),F11:O11))+(F11-SUMIFS(H11:N11,G11:M11,"&lt;="&amp;$E$2,$H$7:$N$7,"платёж*"))/365*0.15*($E$2-LOOKUP(2,1/((F11:O11&lt;=$E$2)*(F11:O11&gt;=$D$2)),F11:O11)),0)</f>
        <v>17.478082191780821</v>
      </c>
      <c r="T11" s="32" t="str">
        <f t="shared" si="6"/>
        <v>Не сходится</v>
      </c>
    </row>
    <row r="12" spans="2:20" ht="18.75" x14ac:dyDescent="0.3">
      <c r="B12" s="41">
        <v>4</v>
      </c>
      <c r="C12" s="10"/>
      <c r="D12" s="11"/>
      <c r="E12" s="10"/>
      <c r="F12" s="16">
        <v>3000</v>
      </c>
      <c r="G12" s="17">
        <v>43238</v>
      </c>
      <c r="H12" s="18">
        <v>103</v>
      </c>
      <c r="I12" s="19">
        <f t="shared" si="1"/>
        <v>2897</v>
      </c>
      <c r="J12" s="17">
        <v>43264</v>
      </c>
      <c r="K12" s="18">
        <v>203</v>
      </c>
      <c r="L12" s="18">
        <f t="shared" si="2"/>
        <v>2694</v>
      </c>
      <c r="M12" s="17">
        <v>43301</v>
      </c>
      <c r="N12" s="18">
        <v>203</v>
      </c>
      <c r="O12" s="18">
        <f t="shared" si="3"/>
        <v>2491</v>
      </c>
      <c r="P12" s="26">
        <f>IFERROR((F12-SUMIFS(H12:N12,G12:M12,"&lt;"&amp;$D$2,$H$7:$N$7,"платёж*"))/365*0.15*DAY(LOOKUP(2,1/((F12:O12&lt;=$E$2)*(F12:O12&gt;=$D$2)),F12:O12))+R12/365*0.15*($E$2-LOOKUP(2,1/((F12:O12&lt;=$E$2)*(F12:O12&gt;=$D$2)),F12:O12)),0)</f>
        <v>0</v>
      </c>
      <c r="Q12" s="35">
        <f>O12/365*0.15*DAY(E2)</f>
        <v>31.734657534246569</v>
      </c>
      <c r="R12" s="24">
        <f>F12-SUMIFS(H12:N12,G12:M12,"&lt;="&amp;$E$2,$H$7:$N$7,"платёж*")</f>
        <v>2491</v>
      </c>
      <c r="S12" s="25">
        <f t="shared" ref="S12:S15" si="7">IFERROR((F12-SUMIFS(H12:N12,G12:M12,"&lt;"&amp;$D$2,$H$7:$N$7,"платёж*"))/365*0.15*DAY(LOOKUP(2,1/((F12:O12&lt;=$E$2)*(F12:O12&gt;=$D$2)),F12:O12))+(F12-SUMIFS(H12:N12,G12:M12,"&lt;="&amp;$E$2,$H$7:$N$7,"платёж*"))/365*0.15*($E$2-LOOKUP(2,1/((F12:O12&lt;=$E$2)*(F12:O12&gt;=$D$2)),F12:O12)),0)</f>
        <v>0</v>
      </c>
      <c r="T12" s="32" t="str">
        <f t="shared" si="6"/>
        <v>Не сходится</v>
      </c>
    </row>
    <row r="13" spans="2:20" ht="18.75" x14ac:dyDescent="0.3">
      <c r="B13" s="41">
        <v>5</v>
      </c>
      <c r="C13" s="10"/>
      <c r="D13" s="11"/>
      <c r="E13" s="10"/>
      <c r="F13" s="1">
        <v>3100</v>
      </c>
      <c r="G13" s="14">
        <v>43330</v>
      </c>
      <c r="H13" s="4">
        <v>104</v>
      </c>
      <c r="I13" s="15">
        <f t="shared" si="1"/>
        <v>2996</v>
      </c>
      <c r="J13" s="14">
        <v>43330</v>
      </c>
      <c r="K13" s="4">
        <v>204</v>
      </c>
      <c r="L13" s="4">
        <f t="shared" si="2"/>
        <v>2792</v>
      </c>
      <c r="M13" s="3">
        <v>43393</v>
      </c>
      <c r="N13" s="4">
        <v>204</v>
      </c>
      <c r="O13" s="4">
        <f t="shared" si="3"/>
        <v>2588</v>
      </c>
      <c r="P13" s="26">
        <f t="shared" si="4"/>
        <v>37.847671232876706</v>
      </c>
      <c r="Q13" s="35">
        <f>F13/365*0.15*18+I13/365*0.15*1+L13/365*0.15*12</f>
        <v>37.93150684931507</v>
      </c>
      <c r="R13" s="24">
        <f t="shared" si="5"/>
        <v>2792</v>
      </c>
      <c r="S13" s="25">
        <f t="shared" si="7"/>
        <v>37.847671232876706</v>
      </c>
      <c r="T13" s="32" t="str">
        <f t="shared" si="6"/>
        <v>Не сходится</v>
      </c>
    </row>
    <row r="14" spans="2:20" ht="18.75" x14ac:dyDescent="0.3">
      <c r="B14" s="40">
        <v>6</v>
      </c>
      <c r="C14" s="10"/>
      <c r="D14" s="11"/>
      <c r="E14" s="10"/>
      <c r="F14" s="1">
        <v>2050</v>
      </c>
      <c r="G14" s="3">
        <v>43208</v>
      </c>
      <c r="H14" s="4">
        <v>105</v>
      </c>
      <c r="I14" s="15">
        <f t="shared" si="1"/>
        <v>1945</v>
      </c>
      <c r="J14" s="3">
        <v>43240</v>
      </c>
      <c r="K14" s="4">
        <v>205</v>
      </c>
      <c r="L14" s="4">
        <f t="shared" si="2"/>
        <v>1740</v>
      </c>
      <c r="M14" s="3">
        <v>43271</v>
      </c>
      <c r="N14" s="4">
        <v>205</v>
      </c>
      <c r="O14" s="4">
        <f t="shared" si="3"/>
        <v>1535</v>
      </c>
      <c r="P14" s="26">
        <f t="shared" si="4"/>
        <v>0</v>
      </c>
      <c r="Q14" s="35">
        <f>O14/365*0.15*31</f>
        <v>19.555479452054794</v>
      </c>
      <c r="R14" s="24">
        <f t="shared" si="5"/>
        <v>1535</v>
      </c>
      <c r="S14" s="25">
        <f t="shared" si="7"/>
        <v>0</v>
      </c>
      <c r="T14" s="32" t="str">
        <f t="shared" si="6"/>
        <v>Не сходится</v>
      </c>
    </row>
    <row r="15" spans="2:20" ht="18.75" x14ac:dyDescent="0.3">
      <c r="B15" s="40">
        <v>7</v>
      </c>
      <c r="C15" s="10"/>
      <c r="D15" s="11"/>
      <c r="E15" s="10"/>
      <c r="F15" s="1">
        <v>1090</v>
      </c>
      <c r="G15" s="3">
        <v>43209</v>
      </c>
      <c r="H15" s="4">
        <v>106</v>
      </c>
      <c r="I15" s="15">
        <f t="shared" si="1"/>
        <v>984</v>
      </c>
      <c r="J15" s="3">
        <v>43241</v>
      </c>
      <c r="K15" s="4">
        <v>206</v>
      </c>
      <c r="L15" s="4">
        <f t="shared" si="2"/>
        <v>778</v>
      </c>
      <c r="M15" s="3">
        <v>43272</v>
      </c>
      <c r="N15" s="4">
        <v>206</v>
      </c>
      <c r="O15" s="4">
        <f t="shared" si="3"/>
        <v>572</v>
      </c>
      <c r="P15" s="26">
        <f t="shared" si="4"/>
        <v>0</v>
      </c>
      <c r="Q15" s="35">
        <f>O15/365*0.15*DAY(E2)</f>
        <v>7.2871232876712329</v>
      </c>
      <c r="R15" s="24">
        <f t="shared" si="5"/>
        <v>572</v>
      </c>
      <c r="S15" s="25">
        <f t="shared" si="7"/>
        <v>0</v>
      </c>
      <c r="T15" s="32" t="str">
        <f t="shared" si="6"/>
        <v>Не сходится</v>
      </c>
    </row>
    <row r="16" spans="2:20" ht="12.75" customHeight="1" x14ac:dyDescent="0.25">
      <c r="N16" s="5"/>
      <c r="O16" s="5"/>
    </row>
    <row r="17" spans="3:19" ht="12.75" customHeight="1" x14ac:dyDescent="0.25">
      <c r="C17" s="6"/>
      <c r="D17" s="13"/>
    </row>
    <row r="18" spans="3:19" ht="12.75" customHeight="1" x14ac:dyDescent="0.25">
      <c r="C18" s="6"/>
      <c r="N18" s="27"/>
    </row>
    <row r="19" spans="3:19" ht="12.75" customHeight="1" x14ac:dyDescent="0.25">
      <c r="C19" s="6"/>
    </row>
    <row r="20" spans="3:19" ht="12.75" customHeight="1" x14ac:dyDescent="0.25">
      <c r="C20" s="6"/>
      <c r="K20" s="5"/>
      <c r="S20" s="6">
        <v>43341</v>
      </c>
    </row>
    <row r="21" spans="3:19" ht="12.75" customHeight="1" x14ac:dyDescent="0.25">
      <c r="C21" s="6"/>
    </row>
    <row r="22" spans="3:19" ht="12.75" customHeight="1" x14ac:dyDescent="0.25">
      <c r="C22" s="6"/>
    </row>
    <row r="23" spans="3:19" ht="12.75" customHeight="1" x14ac:dyDescent="0.25">
      <c r="C23" s="6"/>
    </row>
    <row r="24" spans="3:19" ht="12.75" customHeight="1" x14ac:dyDescent="0.25">
      <c r="C24" s="6"/>
    </row>
    <row r="25" spans="3:19" ht="12.75" customHeight="1" x14ac:dyDescent="0.25">
      <c r="C25" s="6"/>
    </row>
    <row r="26" spans="3:19" ht="12.75" customHeight="1" x14ac:dyDescent="0.25">
      <c r="C26" s="6"/>
    </row>
    <row r="27" spans="3:19" ht="12.75" customHeight="1" x14ac:dyDescent="0.25">
      <c r="C27" s="6"/>
    </row>
    <row r="28" spans="3:19" ht="12.75" customHeight="1" x14ac:dyDescent="0.25">
      <c r="C28" s="6"/>
    </row>
    <row r="29" spans="3:19" ht="12.75" customHeight="1" x14ac:dyDescent="0.25">
      <c r="C29" s="6"/>
    </row>
    <row r="30" spans="3:19" ht="12.75" customHeight="1" x14ac:dyDescent="0.25">
      <c r="C30" s="6"/>
    </row>
    <row r="31" spans="3:19" ht="12.75" customHeight="1" x14ac:dyDescent="0.25">
      <c r="C31" s="6"/>
    </row>
    <row r="32" spans="3:19" ht="12.75" customHeight="1" x14ac:dyDescent="0.25">
      <c r="C32" s="6"/>
    </row>
    <row r="33" spans="3:3" ht="12.75" customHeight="1" x14ac:dyDescent="0.25">
      <c r="C33" s="6"/>
    </row>
    <row r="34" spans="3:3" ht="12.75" customHeight="1" x14ac:dyDescent="0.25">
      <c r="C34" s="6"/>
    </row>
    <row r="35" spans="3:3" ht="12.75" customHeight="1" x14ac:dyDescent="0.25">
      <c r="C35" s="6"/>
    </row>
    <row r="36" spans="3:3" ht="12.75" customHeight="1" x14ac:dyDescent="0.25">
      <c r="C36" s="6"/>
    </row>
    <row r="37" spans="3:3" ht="12.75" customHeight="1" x14ac:dyDescent="0.25">
      <c r="C37" s="6"/>
    </row>
    <row r="38" spans="3:3" ht="12.75" customHeight="1" x14ac:dyDescent="0.25">
      <c r="C38" s="6"/>
    </row>
    <row r="39" spans="3:3" ht="12.75" customHeight="1" x14ac:dyDescent="0.25">
      <c r="C39" s="6"/>
    </row>
    <row r="40" spans="3:3" ht="12.75" customHeight="1" x14ac:dyDescent="0.25">
      <c r="C40" s="6"/>
    </row>
    <row r="41" spans="3:3" ht="12.75" customHeight="1" x14ac:dyDescent="0.25">
      <c r="C41" s="6"/>
    </row>
    <row r="42" spans="3:3" ht="12.75" customHeight="1" x14ac:dyDescent="0.25">
      <c r="C42" s="6"/>
    </row>
    <row r="43" spans="3:3" ht="12.75" customHeight="1" x14ac:dyDescent="0.25">
      <c r="C43" s="6"/>
    </row>
    <row r="44" spans="3:3" ht="12.75" customHeight="1" x14ac:dyDescent="0.25">
      <c r="C44" s="6"/>
    </row>
    <row r="45" spans="3:3" ht="12.75" customHeight="1" x14ac:dyDescent="0.25">
      <c r="C45" s="6"/>
    </row>
    <row r="46" spans="3:3" ht="12.75" customHeight="1" x14ac:dyDescent="0.25">
      <c r="C46" s="6"/>
    </row>
    <row r="47" spans="3:3" ht="12.75" customHeight="1" x14ac:dyDescent="0.25">
      <c r="C47" s="6"/>
    </row>
  </sheetData>
  <mergeCells count="4">
    <mergeCell ref="G6:I6"/>
    <mergeCell ref="J6:L6"/>
    <mergeCell ref="M6:O6"/>
    <mergeCell ref="P5:Q5"/>
  </mergeCells>
  <phoneticPr fontId="3" type="noConversion"/>
  <conditionalFormatting sqref="N16:O16">
    <cfRule type="containsText" dxfId="3" priority="4" operator="containsText" text="со">
      <formula>NOT(ISERROR(SEARCH("со",N16)))</formula>
    </cfRule>
    <cfRule type="cellIs" dxfId="2" priority="9" operator="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B1:K29"/>
  <sheetViews>
    <sheetView tabSelected="1" workbookViewId="0">
      <selection activeCell="I12" sqref="I12"/>
    </sheetView>
  </sheetViews>
  <sheetFormatPr defaultRowHeight="15" x14ac:dyDescent="0.25"/>
  <cols>
    <col min="3" max="3" width="13.28515625" bestFit="1" customWidth="1"/>
    <col min="5" max="5" width="13.42578125" customWidth="1"/>
    <col min="6" max="6" width="16.7109375" style="52" customWidth="1"/>
    <col min="7" max="7" width="10.140625" bestFit="1" customWidth="1"/>
    <col min="9" max="9" width="18" bestFit="1" customWidth="1"/>
    <col min="10" max="11" width="10.140625" bestFit="1" customWidth="1"/>
  </cols>
  <sheetData>
    <row r="1" spans="2:11" ht="30.75" thickBot="1" x14ac:dyDescent="0.3">
      <c r="B1" s="53" t="s">
        <v>25</v>
      </c>
      <c r="C1" s="53" t="s">
        <v>27</v>
      </c>
      <c r="D1" s="53" t="s">
        <v>28</v>
      </c>
      <c r="E1" s="53" t="s">
        <v>26</v>
      </c>
      <c r="F1" s="54" t="s">
        <v>29</v>
      </c>
      <c r="I1" s="9" t="s">
        <v>13</v>
      </c>
      <c r="J1" s="7">
        <v>43313</v>
      </c>
      <c r="K1" s="8">
        <f>EDATE(J1,1)-1</f>
        <v>43343</v>
      </c>
    </row>
    <row r="2" spans="2:11" x14ac:dyDescent="0.25">
      <c r="B2" s="42">
        <v>1</v>
      </c>
      <c r="C2" s="43"/>
      <c r="D2" s="43"/>
      <c r="E2" s="49">
        <v>2000</v>
      </c>
      <c r="F2" s="51"/>
    </row>
    <row r="3" spans="2:11" x14ac:dyDescent="0.25">
      <c r="B3" s="42">
        <v>2</v>
      </c>
      <c r="C3" s="43"/>
      <c r="D3" s="43"/>
      <c r="E3" s="49">
        <v>800</v>
      </c>
      <c r="F3" s="51"/>
    </row>
    <row r="4" spans="2:11" x14ac:dyDescent="0.25">
      <c r="B4" s="42">
        <v>3</v>
      </c>
      <c r="C4" s="43"/>
      <c r="D4" s="43"/>
      <c r="E4" s="49">
        <v>1500</v>
      </c>
      <c r="F4" s="51"/>
    </row>
    <row r="5" spans="2:11" x14ac:dyDescent="0.25">
      <c r="B5" s="42">
        <v>4</v>
      </c>
      <c r="C5" s="43"/>
      <c r="D5" s="43"/>
      <c r="E5" s="49">
        <v>3000</v>
      </c>
      <c r="F5" s="51"/>
    </row>
    <row r="6" spans="2:11" x14ac:dyDescent="0.25">
      <c r="B6" s="42">
        <v>5</v>
      </c>
      <c r="C6" s="43"/>
      <c r="D6" s="43"/>
      <c r="E6" s="49">
        <v>3100</v>
      </c>
      <c r="F6" s="51"/>
    </row>
    <row r="7" spans="2:11" x14ac:dyDescent="0.25">
      <c r="B7" s="42">
        <v>6</v>
      </c>
      <c r="C7" s="43"/>
      <c r="D7" s="43"/>
      <c r="E7" s="49">
        <v>2050</v>
      </c>
      <c r="F7" s="51"/>
    </row>
    <row r="8" spans="2:11" x14ac:dyDescent="0.25">
      <c r="B8" s="42">
        <v>7</v>
      </c>
      <c r="C8" s="43"/>
      <c r="D8" s="43"/>
      <c r="E8" s="49">
        <v>1090</v>
      </c>
      <c r="F8" s="51"/>
    </row>
    <row r="9" spans="2:11" x14ac:dyDescent="0.25">
      <c r="B9" s="42">
        <v>1</v>
      </c>
      <c r="C9" s="44">
        <v>43208</v>
      </c>
      <c r="D9" s="45">
        <v>100</v>
      </c>
      <c r="E9" s="50">
        <f>SUMIF($B$2:$B$8,B9,$E$2:E8)-SUMIF($B$2:B9,B9,$D$2:D9)</f>
        <v>1900</v>
      </c>
      <c r="F9" s="51">
        <f>LOOKUP(,-1/($B$2:B8=B9)/($C$2:C9&lt;EOMONTH(C9,-1)+1),$E$2:E8)/365*0.15*DAY(IFERROR(LOOKUP(,-1/($B$2:B8=B9)/($C$2:C9&lt;=EOMONTH(C9,0))/($C$2:C9&gt;=EOMONTH(C9,-1)+1),$C$2:C8),C9))+IFERROR(LOOKUP(,-1/($B$2:B8=B9)/($C$2:C9&lt;=EOMONTH(C9,0))/($C$2:C9&gt;=EOMONTH(C9,-1)+1),$E$2:E8),E9)/365*0.15*(C9-IFERROR(LOOKUP(,-1/($B$2:B8=B9)/($C$2:C9&lt;=EOMONTH(C9,0))/($C$2:C9&gt;=EOMONTH(C9,-1)+1),$C$2:C8),C9))+E9/365*0.15*(EOMONTH(C9,0)-C9)</f>
        <v>24.164383561643834</v>
      </c>
      <c r="G9" s="6"/>
    </row>
    <row r="10" spans="2:11" x14ac:dyDescent="0.25">
      <c r="B10" s="42">
        <v>6</v>
      </c>
      <c r="C10" s="44">
        <v>43208</v>
      </c>
      <c r="D10" s="45">
        <v>105</v>
      </c>
      <c r="E10" s="50">
        <f>SUMIF($B$2:$B$8,B10,$E$2:E9)-SUMIF($B$2:B10,B10,$D$2:D10)</f>
        <v>1945</v>
      </c>
      <c r="F10" s="51">
        <f>LOOKUP(,-1/($B$2:B9=B10)/($C$2:C10&lt;EOMONTH(C10,-1)+1),$E$2:E9)/365*0.15*DAY(IFERROR(LOOKUP(,-1/($B$2:B9=B10)/($C$2:C10&lt;=EOMONTH(C10,0))/($C$2:C10&gt;=EOMONTH(C10,-1)+1),$C$2:C9),C10))+IFERROR(LOOKUP(,-1/($B$2:B9=B10)/($C$2:C10&lt;=EOMONTH(C10,0))/($C$2:C10&gt;=EOMONTH(C10,-1)+1),$E$2:E9),E10)/365*0.15*(C10-IFERROR(LOOKUP(,-1/($B$2:B9=B10)/($C$2:C10&lt;=EOMONTH(C10,0))/($C$2:C10&gt;=EOMONTH(C10,-1)+1),$C$2:C9),C10))+E10/365*0.15*(EOMONTH(C10,0)-C10)</f>
        <v>24.756164383561647</v>
      </c>
      <c r="G10" s="6"/>
    </row>
    <row r="11" spans="2:11" x14ac:dyDescent="0.25">
      <c r="B11" s="42">
        <v>7</v>
      </c>
      <c r="C11" s="44">
        <v>43209</v>
      </c>
      <c r="D11" s="45">
        <v>106</v>
      </c>
      <c r="E11" s="50">
        <f>SUMIF($B$2:$B$8,B11,$E$2:E10)-SUMIF($B$2:B11,B11,$D$2:D11)</f>
        <v>984</v>
      </c>
      <c r="F11" s="51">
        <f>LOOKUP(,-1/($B$2:B10=B11)/($C$2:C11&lt;EOMONTH(C11,-1)+1),$E$2:E10)/365*0.15*DAY(IFERROR(LOOKUP(,-1/($B$2:B10=B11)/($C$2:C11&lt;=EOMONTH(C11,0))/($C$2:C11&gt;=EOMONTH(C11,-1)+1),$C$2:C10),C11))+IFERROR(LOOKUP(,-1/($B$2:B10=B11)/($C$2:C11&lt;=EOMONTH(C11,0))/($C$2:C11&gt;=EOMONTH(C11,-1)+1),$E$2:E10),E11)/365*0.15*(C11-IFERROR(LOOKUP(,-1/($B$2:B10=B11)/($C$2:C11&lt;=EOMONTH(C11,0))/($C$2:C11&gt;=EOMONTH(C11,-1)+1),$C$2:C10),C11))+E11/365*0.15*(EOMONTH(C11,0)-C11)</f>
        <v>12.95917808219178</v>
      </c>
      <c r="G11" s="6"/>
    </row>
    <row r="12" spans="2:11" x14ac:dyDescent="0.25">
      <c r="B12" s="42">
        <v>4</v>
      </c>
      <c r="C12" s="46">
        <v>43238</v>
      </c>
      <c r="D12" s="47">
        <v>103</v>
      </c>
      <c r="E12" s="50">
        <f>SUMIF($B$2:$B$8,B12,$E$2:E11)-SUMIF($B$2:B12,B12,$D$2:D12)</f>
        <v>2897</v>
      </c>
      <c r="F12" s="51">
        <f>LOOKUP(,-1/($B$2:B11=B12)/($C$2:C12&lt;EOMONTH(C12,-1)+1),$E$2:E11)/365*0.15*DAY(IFERROR(LOOKUP(,-1/($B$2:B11=B12)/($C$2:C12&lt;=EOMONTH(C12,0))/($C$2:C12&gt;=EOMONTH(C12,-1)+1),$C$2:C11),C12))+IFERROR(LOOKUP(,-1/($B$2:B11=B12)/($C$2:C12&lt;=EOMONTH(C12,0))/($C$2:C12&gt;=EOMONTH(C12,-1)+1),$E$2:E11),E12)/365*0.15*(C12-IFERROR(LOOKUP(,-1/($B$2:B11=B12)/($C$2:C12&lt;=EOMONTH(C12,0))/($C$2:C12&gt;=EOMONTH(C12,-1)+1),$C$2:C11),C12))+E12/365*0.15*(EOMONTH(C12,0)-C12)</f>
        <v>37.668904109589043</v>
      </c>
      <c r="G12" s="6"/>
    </row>
    <row r="13" spans="2:11" x14ac:dyDescent="0.25">
      <c r="B13" s="42">
        <v>6</v>
      </c>
      <c r="C13" s="44">
        <v>43240</v>
      </c>
      <c r="D13" s="45">
        <v>205</v>
      </c>
      <c r="E13" s="50">
        <f>SUMIF($B$2:$B$8,B13,$E$2:E12)-SUMIF($B$2:B13,B13,$D$2:D13)</f>
        <v>1740</v>
      </c>
      <c r="F13" s="51">
        <f>LOOKUP(,-1/($B$2:B12=B13)/($C$2:C13&lt;EOMONTH(C13,-1)+1),$E$2:E12)/365*0.15*DAY(IFERROR(LOOKUP(,-1/($B$2:B12=B13)/($C$2:C13&lt;=EOMONTH(C13,0))/($C$2:C13&gt;=EOMONTH(C13,-1)+1),$C$2:C12),C13))+IFERROR(LOOKUP(,-1/($B$2:B12=B13)/($C$2:C13&lt;=EOMONTH(C13,0))/($C$2:C13&gt;=EOMONTH(C13,-1)+1),$E$2:E12),E13)/365*0.15*(C13-IFERROR(LOOKUP(,-1/($B$2:B12=B13)/($C$2:C13&lt;=EOMONTH(C13,0))/($C$2:C13&gt;=EOMONTH(C13,-1)+1),$C$2:C12),C13))+E13/365*0.15*(EOMONTH(C13,0)-C13)</f>
        <v>23.852054794520548</v>
      </c>
      <c r="G13" s="6"/>
    </row>
    <row r="14" spans="2:11" x14ac:dyDescent="0.25">
      <c r="B14" s="42">
        <v>7</v>
      </c>
      <c r="C14" s="44">
        <v>43241</v>
      </c>
      <c r="D14" s="45">
        <v>206</v>
      </c>
      <c r="E14" s="50">
        <f>SUMIF($B$2:$B$8,B14,$E$2:E13)-SUMIF($B$2:B14,B14,$D$2:D14)</f>
        <v>778</v>
      </c>
      <c r="F14" s="51">
        <f>LOOKUP(,-1/($B$2:B13=B14)/($C$2:C14&lt;EOMONTH(C14,-1)+1),$E$2:E13)/365*0.15*DAY(IFERROR(LOOKUP(,-1/($B$2:B13=B14)/($C$2:C14&lt;=EOMONTH(C14,0))/($C$2:C14&gt;=EOMONTH(C14,-1)+1),$C$2:C13),C14))+IFERROR(LOOKUP(,-1/($B$2:B13=B14)/($C$2:C14&lt;=EOMONTH(C14,0))/($C$2:C14&gt;=EOMONTH(C14,-1)+1),$E$2:E13),E14)/365*0.15*(C14-IFERROR(LOOKUP(,-1/($B$2:B13=B14)/($C$2:C14&lt;=EOMONTH(C14,0))/($C$2:C14&gt;=EOMONTH(C14,-1)+1),$C$2:C13),C14))+E14/365*0.15*(EOMONTH(C14,0)-C14)</f>
        <v>11.689315068493151</v>
      </c>
      <c r="G14" s="6"/>
    </row>
    <row r="15" spans="2:11" x14ac:dyDescent="0.25">
      <c r="B15" s="42">
        <v>4</v>
      </c>
      <c r="C15" s="46">
        <v>43264</v>
      </c>
      <c r="D15" s="47">
        <v>203</v>
      </c>
      <c r="E15" s="50">
        <f>SUMIF($B$2:$B$8,B15,$E$2:E14)-SUMIF($B$2:B15,B15,$D$2:D15)</f>
        <v>2694</v>
      </c>
      <c r="F15" s="51">
        <f>LOOKUP(,-1/($B$2:B14=B15)/($C$2:C15&lt;EOMONTH(C15,-1)+1),$E$2:E14)/365*0.15*DAY(IFERROR(LOOKUP(,-1/($B$2:B14=B15)/($C$2:C15&lt;=EOMONTH(C15,0))/($C$2:C15&gt;=EOMONTH(C15,-1)+1),$C$2:C14),C15))+IFERROR(LOOKUP(,-1/($B$2:B14=B15)/($C$2:C15&lt;=EOMONTH(C15,0))/($C$2:C15&gt;=EOMONTH(C15,-1)+1),$E$2:E14),E15)/365*0.15*(C15-IFERROR(LOOKUP(,-1/($B$2:B14=B15)/($C$2:C15&lt;=EOMONTH(C15,0))/($C$2:C15&gt;=EOMONTH(C15,-1)+1),$C$2:C14),C15))+E15/365*0.15*(EOMONTH(C15,0)-C15)</f>
        <v>34.298219178082192</v>
      </c>
      <c r="G15" s="6"/>
    </row>
    <row r="16" spans="2:11" x14ac:dyDescent="0.25">
      <c r="B16" s="42">
        <v>6</v>
      </c>
      <c r="C16" s="44">
        <v>43271</v>
      </c>
      <c r="D16" s="45">
        <v>205</v>
      </c>
      <c r="E16" s="50">
        <f>SUMIF($B$2:$B$8,B16,$E$2:E15)-SUMIF($B$2:B16,B16,$D$2:D16)</f>
        <v>1535</v>
      </c>
      <c r="F16" s="51">
        <f>LOOKUP(,-1/($B$2:B15=B16)/($C$2:C16&lt;EOMONTH(C16,-1)+1),$E$2:E15)/365*0.15*DAY(IFERROR(LOOKUP(,-1/($B$2:B15=B16)/($C$2:C16&lt;=EOMONTH(C16,0))/($C$2:C16&gt;=EOMONTH(C16,-1)+1),$C$2:C15),C16))+IFERROR(LOOKUP(,-1/($B$2:B15=B16)/($C$2:C16&lt;=EOMONTH(C16,0))/($C$2:C16&gt;=EOMONTH(C16,-1)+1),$E$2:E15),E16)/365*0.15*(C16-IFERROR(LOOKUP(,-1/($B$2:B15=B16)/($C$2:C16&lt;=EOMONTH(C16,0))/($C$2:C16&gt;=EOMONTH(C16,-1)+1),$C$2:C15),C16))+E16/365*0.15*(EOMONTH(C16,0)-C16)</f>
        <v>20.609589041095894</v>
      </c>
      <c r="G16" s="6"/>
    </row>
    <row r="17" spans="2:7" x14ac:dyDescent="0.25">
      <c r="B17" s="42">
        <v>7</v>
      </c>
      <c r="C17" s="44">
        <v>43272</v>
      </c>
      <c r="D17" s="45">
        <v>206</v>
      </c>
      <c r="E17" s="50">
        <f>SUMIF($B$2:$B$8,B17,$E$2:E16)-SUMIF($B$2:B17,B17,$D$2:D17)</f>
        <v>572</v>
      </c>
      <c r="F17" s="51">
        <f>LOOKUP(,-1/($B$2:B16=B17)/($C$2:C17&lt;EOMONTH(C17,-1)+1),$E$2:E16)/365*0.15*DAY(IFERROR(LOOKUP(,-1/($B$2:B16=B17)/($C$2:C17&lt;=EOMONTH(C17,0))/($C$2:C17&gt;=EOMONTH(C17,-1)+1),$C$2:C16),C17))+IFERROR(LOOKUP(,-1/($B$2:B16=B17)/($C$2:C17&lt;=EOMONTH(C17,0))/($C$2:C17&gt;=EOMONTH(C17,-1)+1),$E$2:E16),E17)/365*0.15*(C17-IFERROR(LOOKUP(,-1/($B$2:B16=B17)/($C$2:C17&lt;=EOMONTH(C17,0))/($C$2:C17&gt;=EOMONTH(C17,-1)+1),$C$2:C16),C17))+E17/365*0.15*(EOMONTH(C17,0)-C17)</f>
        <v>8.8298630136986294</v>
      </c>
      <c r="G17" s="6"/>
    </row>
    <row r="18" spans="2:7" x14ac:dyDescent="0.25">
      <c r="B18" s="42">
        <v>3</v>
      </c>
      <c r="C18" s="44">
        <v>43298</v>
      </c>
      <c r="D18" s="45">
        <v>102</v>
      </c>
      <c r="E18" s="50">
        <f>SUMIF($B$2:$B$8,B18,$E$2:E17)-SUMIF($B$2:B18,B18,$D$2:D18)</f>
        <v>1398</v>
      </c>
      <c r="F18" s="51">
        <f>LOOKUP(,-1/($B$2:B17=B18)/($C$2:C18&lt;EOMONTH(C18,-1)+1),$E$2:E17)/365*0.15*DAY(IFERROR(LOOKUP(,-1/($B$2:B17=B18)/($C$2:C18&lt;=EOMONTH(C18,0))/($C$2:C18&gt;=EOMONTH(C18,-1)+1),$C$2:C17),C18))+IFERROR(LOOKUP(,-1/($B$2:B17=B18)/($C$2:C18&lt;=EOMONTH(C18,0))/($C$2:C18&gt;=EOMONTH(C18,-1)+1),$E$2:E17),E18)/365*0.15*(C18-IFERROR(LOOKUP(,-1/($B$2:B17=B18)/($C$2:C18&lt;=EOMONTH(C18,0))/($C$2:C18&gt;=EOMONTH(C18,-1)+1),$C$2:C17),C18))+E18/365*0.15*(EOMONTH(C18,0)-C18)</f>
        <v>18.522739726027396</v>
      </c>
      <c r="G18" s="6"/>
    </row>
    <row r="19" spans="2:7" x14ac:dyDescent="0.25">
      <c r="B19" s="42">
        <v>1</v>
      </c>
      <c r="C19" s="44">
        <v>43301</v>
      </c>
      <c r="D19" s="45">
        <v>200</v>
      </c>
      <c r="E19" s="50">
        <f>SUMIF($B$2:$B$8,B19,$E$2:E18)-SUMIF($B$2:B19,B19,$D$2:D19)</f>
        <v>1700</v>
      </c>
      <c r="F19" s="51">
        <f>LOOKUP(,-1/($B$2:B18=B19)/($C$2:C19&lt;EOMONTH(C19,-1)+1),$E$2:E18)/365*0.15*DAY(IFERROR(LOOKUP(,-1/($B$2:B18=B19)/($C$2:C19&lt;=EOMONTH(C19,0))/($C$2:C19&gt;=EOMONTH(C19,-1)+1),$C$2:C18),C19))+IFERROR(LOOKUP(,-1/($B$2:B18=B19)/($C$2:C19&lt;=EOMONTH(C19,0))/($C$2:C19&gt;=EOMONTH(C19,-1)+1),$E$2:E18),E19)/365*0.15*(C19-IFERROR(LOOKUP(,-1/($B$2:B18=B19)/($C$2:C19&lt;=EOMONTH(C19,0))/($C$2:C19&gt;=EOMONTH(C19,-1)+1),$C$2:C18),C19))+E19/365*0.15*(EOMONTH(C19,0)-C19)</f>
        <v>23.301369863013697</v>
      </c>
      <c r="G19" s="6"/>
    </row>
    <row r="20" spans="2:7" x14ac:dyDescent="0.25">
      <c r="B20" s="42">
        <v>4</v>
      </c>
      <c r="C20" s="46">
        <v>43301</v>
      </c>
      <c r="D20" s="47">
        <v>203</v>
      </c>
      <c r="E20" s="50">
        <f>SUMIF($B$2:$B$8,B20,$E$2:E19)-SUMIF($B$2:B20,B20,$D$2:D20)</f>
        <v>2491</v>
      </c>
      <c r="F20" s="51">
        <f>LOOKUP(,-1/($B$2:B19=B20)/($C$2:C20&lt;EOMONTH(C20,-1)+1),$E$2:E19)/365*0.15*DAY(IFERROR(LOOKUP(,-1/($B$2:B19=B20)/($C$2:C20&lt;=EOMONTH(C20,0))/($C$2:C20&gt;=EOMONTH(C20,-1)+1),$C$2:C19),C20))+IFERROR(LOOKUP(,-1/($B$2:B19=B20)/($C$2:C20&lt;=EOMONTH(C20,0))/($C$2:C20&gt;=EOMONTH(C20,-1)+1),$E$2:E19),E20)/365*0.15*(C20-IFERROR(LOOKUP(,-1/($B$2:B19=B20)/($C$2:C20&lt;=EOMONTH(C20,0))/($C$2:C20&gt;=EOMONTH(C20,-1)+1),$C$2:C19),C20))+E20/365*0.15*(EOMONTH(C20,0)-C20)</f>
        <v>33.403150684931504</v>
      </c>
      <c r="G20" s="6"/>
    </row>
    <row r="21" spans="2:7" x14ac:dyDescent="0.25">
      <c r="B21" s="42">
        <v>3</v>
      </c>
      <c r="C21" s="44">
        <v>43329</v>
      </c>
      <c r="D21" s="45">
        <v>202</v>
      </c>
      <c r="E21" s="50">
        <f>SUMIF($B$2:$B$8,B21,$E$2:E20)-SUMIF($B$2:B21,B21,$D$2:D21)</f>
        <v>1196</v>
      </c>
      <c r="F21" s="51">
        <f>LOOKUP(,-1/($B$2:B20=B21)/($C$2:C21&lt;EOMONTH(C21,-1)+1),$E$2:E20)/365*0.15*DAY(IFERROR(LOOKUP(,-1/($B$2:B20=B21)/($C$2:C21&lt;=EOMONTH(C21,0))/($C$2:C21&gt;=EOMONTH(C21,-1)+1),$C$2:C20),C21))+IFERROR(LOOKUP(,-1/($B$2:B20=B21)/($C$2:C21&lt;=EOMONTH(C21,0))/($C$2:C21&gt;=EOMONTH(C21,-1)+1),$E$2:E20),E21)/365*0.15*(C21-IFERROR(LOOKUP(,-1/($B$2:B20=B21)/($C$2:C21&lt;=EOMONTH(C21,0))/($C$2:C21&gt;=EOMONTH(C21,-1)+1),$C$2:C20),C21))+E21/365*0.15*(EOMONTH(C21,0)-C21)</f>
        <v>16.647945205479452</v>
      </c>
      <c r="G21" s="6"/>
    </row>
    <row r="22" spans="2:7" x14ac:dyDescent="0.25">
      <c r="B22" s="42">
        <v>2</v>
      </c>
      <c r="C22" s="44">
        <v>43330</v>
      </c>
      <c r="D22" s="45">
        <v>101</v>
      </c>
      <c r="E22" s="50">
        <f>SUMIF($B$2:$B$8,B22,$E$2:E21)-SUMIF($B$2:B22,B22,$D$2:D22)</f>
        <v>699</v>
      </c>
      <c r="F22" s="51">
        <f>LOOKUP(,-1/($B$2:B21=B22)/($C$2:C22&lt;EOMONTH(C22,-1)+1),$E$2:E21)/365*0.15*DAY(IFERROR(LOOKUP(,-1/($B$2:B21=B22)/($C$2:C22&lt;=EOMONTH(C22,0))/($C$2:C22&gt;=EOMONTH(C22,-1)+1),$C$2:C21),C22))+IFERROR(LOOKUP(,-1/($B$2:B21=B22)/($C$2:C22&lt;=EOMONTH(C22,0))/($C$2:C22&gt;=EOMONTH(C22,-1)+1),$E$2:E21),E22)/365*0.15*(C22-IFERROR(LOOKUP(,-1/($B$2:B21=B22)/($C$2:C22&lt;=EOMONTH(C22,0))/($C$2:C22&gt;=EOMONTH(C22,-1)+1),$C$2:C21),C22))+E22/365*0.15*(EOMONTH(C22,0)-C22)</f>
        <v>9.6521917808219175</v>
      </c>
      <c r="G22" s="6"/>
    </row>
    <row r="23" spans="2:7" x14ac:dyDescent="0.25">
      <c r="B23" s="42">
        <v>5</v>
      </c>
      <c r="C23" s="48">
        <v>43330</v>
      </c>
      <c r="D23" s="45">
        <v>104</v>
      </c>
      <c r="E23" s="50">
        <f>SUMIF($B$2:$B$8,B23,$E$2:E22)-SUMIF($B$2:B23,B23,$D$2:D23)</f>
        <v>2996</v>
      </c>
      <c r="F23" s="51">
        <f>LOOKUP(,-1/($B$2:B22=B23)/($C$2:C23&lt;EOMONTH(C23,-1)+1),$E$2:E22)/365*0.15*DAY(IFERROR(LOOKUP(,-1/($B$2:B22=B23)/($C$2:C23&lt;=EOMONTH(C23,0))/($C$2:C23&gt;=EOMONTH(C23,-1)+1),$C$2:C22),C23))+IFERROR(LOOKUP(,-1/($B$2:B22=B23)/($C$2:C23&lt;=EOMONTH(C23,0))/($C$2:C23&gt;=EOMONTH(C23,-1)+1),$E$2:E22),E23)/365*0.15*(C23-IFERROR(LOOKUP(,-1/($B$2:B22=B23)/($C$2:C23&lt;=EOMONTH(C23,0))/($C$2:C23&gt;=EOMONTH(C23,-1)+1),$C$2:C22),C23))+E23/365*0.15*(EOMONTH(C23,0)-C23)</f>
        <v>38.937534246575339</v>
      </c>
      <c r="G23" s="6"/>
    </row>
    <row r="24" spans="2:7" x14ac:dyDescent="0.25">
      <c r="B24" s="42">
        <v>5</v>
      </c>
      <c r="C24" s="48">
        <v>43330</v>
      </c>
      <c r="D24" s="45">
        <v>204</v>
      </c>
      <c r="E24" s="50">
        <f>SUMIF($B$2:$B$8,B24,$E$2:E23)-SUMIF($B$2:B24,B24,$D$2:D24)</f>
        <v>2792</v>
      </c>
      <c r="F24" s="51">
        <f>LOOKUP(,-1/($B$2:B23=B24)/($C$2:C24&lt;EOMONTH(C24,-1)+1),$E$2:E23)/365*0.15*DAY(IFERROR(LOOKUP(,-1/($B$2:B23=B24)/($C$2:C24&lt;=EOMONTH(C24,0))/($C$2:C24&gt;=EOMONTH(C24,-1)+1),$C$2:C23),C24))+IFERROR(LOOKUP(,-1/($B$2:B23=B24)/($C$2:C24&lt;=EOMONTH(C24,0))/($C$2:C24&gt;=EOMONTH(C24,-1)+1),$E$2:E23),E24)/365*0.15*(C24-IFERROR(LOOKUP(,-1/($B$2:B23=B24)/($C$2:C24&lt;=EOMONTH(C24,0))/($C$2:C24&gt;=EOMONTH(C24,-1)+1),$C$2:C23),C24))+E24/365*0.15*(EOMONTH(C24,0)-C24)</f>
        <v>37.847671232876706</v>
      </c>
      <c r="G24" s="6"/>
    </row>
    <row r="25" spans="2:7" x14ac:dyDescent="0.25">
      <c r="B25" s="42">
        <v>1</v>
      </c>
      <c r="C25" s="44">
        <v>43340</v>
      </c>
      <c r="D25" s="45">
        <v>200</v>
      </c>
      <c r="E25" s="50">
        <f>SUMIF($B$2:$B$8,B25,$E$2:E24)-SUMIF($B$2:B25,B25,$D$2:D25)</f>
        <v>1500</v>
      </c>
      <c r="F25" s="51">
        <f>LOOKUP(,-1/($B$2:B24=B25)/($C$2:C25&lt;EOMONTH(C25,-1)+1),$E$2:E24)/365*0.15*DAY(IFERROR(LOOKUP(,-1/($B$2:B24=B25)/($C$2:C25&lt;=EOMONTH(C25,0))/($C$2:C25&gt;=EOMONTH(C25,-1)+1),$C$2:C24),C25))+IFERROR(LOOKUP(,-1/($B$2:B24=B25)/($C$2:C25&lt;=EOMONTH(C25,0))/($C$2:C25&gt;=EOMONTH(C25,-1)+1),$E$2:E24),E25)/365*0.15*(C25-IFERROR(LOOKUP(,-1/($B$2:B24=B25)/($C$2:C25&lt;=EOMONTH(C25,0))/($C$2:C25&gt;=EOMONTH(C25,-1)+1),$C$2:C24),C25))+E25/365*0.15*(EOMONTH(C25,0)-C25)</f>
        <v>21.410958904109592</v>
      </c>
      <c r="G25" s="6"/>
    </row>
    <row r="26" spans="2:7" x14ac:dyDescent="0.25">
      <c r="B26" s="42">
        <v>3</v>
      </c>
      <c r="C26" s="44">
        <v>43341</v>
      </c>
      <c r="D26" s="45">
        <v>202</v>
      </c>
      <c r="E26" s="50">
        <f>SUMIF($B$2:$B$8,B26,$E$2:E25)-SUMIF($B$2:B26,B26,$D$2:D26)</f>
        <v>994</v>
      </c>
      <c r="F26" s="51">
        <f>LOOKUP(,-1/($B$2:B25=B26)/($C$2:C26&lt;EOMONTH(C26,-1)+1),$E$2:E25)/365*0.15*DAY(IFERROR(LOOKUP(,-1/($B$2:B25=B26)/($C$2:C26&lt;=EOMONTH(C26,0))/($C$2:C26&gt;=EOMONTH(C26,-1)+1),$C$2:C25),C26))+IFERROR(LOOKUP(,-1/($B$2:B25=B26)/($C$2:C26&lt;=EOMONTH(C26,0))/($C$2:C26&gt;=EOMONTH(C26,-1)+1),$E$2:E25),E26)/365*0.15*(C26-IFERROR(LOOKUP(,-1/($B$2:B25=B26)/($C$2:C26&lt;=EOMONTH(C26,0))/($C$2:C26&gt;=EOMONTH(C26,-1)+1),$C$2:C25),C26))+E26/365*0.15*(EOMONTH(C26,0)-C26)</f>
        <v>16.481917808219176</v>
      </c>
      <c r="G26" s="6"/>
    </row>
    <row r="27" spans="2:7" x14ac:dyDescent="0.25">
      <c r="B27" s="42">
        <v>2</v>
      </c>
      <c r="C27" s="44">
        <v>43363</v>
      </c>
      <c r="D27" s="45">
        <v>201</v>
      </c>
      <c r="E27" s="50">
        <f>SUMIF($B$2:$B$8,B27,$E$2:E26)-SUMIF($B$2:B27,B27,$D$2:D27)</f>
        <v>498</v>
      </c>
      <c r="F27" s="51">
        <f>LOOKUP(,-1/($B$2:B26=B27)/($C$2:C27&lt;EOMONTH(C27,-1)+1),$E$2:E26)/365*0.15*DAY(IFERROR(LOOKUP(,-1/($B$2:B26=B27)/($C$2:C27&lt;=EOMONTH(C27,0))/($C$2:C27&gt;=EOMONTH(C27,-1)+1),$C$2:C26),C27))+IFERROR(LOOKUP(,-1/($B$2:B26=B27)/($C$2:C27&lt;=EOMONTH(C27,0))/($C$2:C27&gt;=EOMONTH(C27,-1)+1),$E$2:E26),E27)/365*0.15*(C27-IFERROR(LOOKUP(,-1/($B$2:B26=B27)/($C$2:C27&lt;=EOMONTH(C27,0))/($C$2:C27&gt;=EOMONTH(C27,-1)+1),$C$2:C26),C27))+E27/365*0.15*(EOMONTH(C27,0)-C27)</f>
        <v>7.7917808219178077</v>
      </c>
      <c r="G27" s="6"/>
    </row>
    <row r="28" spans="2:7" x14ac:dyDescent="0.25">
      <c r="B28" s="42">
        <v>2</v>
      </c>
      <c r="C28" s="44">
        <v>43393</v>
      </c>
      <c r="D28" s="45">
        <v>201</v>
      </c>
      <c r="E28" s="50">
        <f>SUMIF($B$2:$B$8,B28,$E$2:E27)-SUMIF($B$2:B28,B28,$D$2:D28)</f>
        <v>297</v>
      </c>
      <c r="F28" s="51">
        <f>LOOKUP(,-1/($B$2:B27=B28)/($C$2:C28&lt;EOMONTH(C28,-1)+1),$E$2:E27)/365*0.15*DAY(IFERROR(LOOKUP(,-1/($B$2:B27=B28)/($C$2:C28&lt;=EOMONTH(C28,0))/($C$2:C28&gt;=EOMONTH(C28,-1)+1),$C$2:C27),C28))+IFERROR(LOOKUP(,-1/($B$2:B27=B28)/($C$2:C28&lt;=EOMONTH(C28,0))/($C$2:C28&gt;=EOMONTH(C28,-1)+1),$E$2:E27),E28)/365*0.15*(C28-IFERROR(LOOKUP(,-1/($B$2:B27=B28)/($C$2:C28&lt;=EOMONTH(C28,0))/($C$2:C28&gt;=EOMONTH(C28,-1)+1),$C$2:C27),C28))+E28/365*0.15*(EOMONTH(C28,0)-C28)</f>
        <v>5.4357534246575341</v>
      </c>
      <c r="G28" s="6"/>
    </row>
    <row r="29" spans="2:7" x14ac:dyDescent="0.25">
      <c r="B29" s="42">
        <v>5</v>
      </c>
      <c r="C29" s="44">
        <v>43393</v>
      </c>
      <c r="D29" s="45">
        <v>204</v>
      </c>
      <c r="E29" s="50">
        <f>SUMIF($B$2:$B$8,B29,$E$2:E28)-SUMIF($B$2:B29,B29,$D$2:D29)</f>
        <v>2588</v>
      </c>
      <c r="F29" s="51">
        <f>LOOKUP(,-1/($B$2:B28=B29)/($C$2:C29&lt;EOMONTH(C29,-1)+1),$E$2:E28)/365*0.15*DAY(IFERROR(LOOKUP(,-1/($B$2:B28=B29)/($C$2:C29&lt;=EOMONTH(C29,0))/($C$2:C29&gt;=EOMONTH(C29,-1)+1),$C$2:C28),C29))+IFERROR(LOOKUP(,-1/($B$2:B28=B29)/($C$2:C29&lt;=EOMONTH(C29,0))/($C$2:C29&gt;=EOMONTH(C29,-1)+1),$E$2:E28),E29)/365*0.15*(C29-IFERROR(LOOKUP(,-1/($B$2:B28=B29)/($C$2:C29&lt;=EOMONTH(C29,0))/($C$2:C29&gt;=EOMONTH(C29,-1)+1),$C$2:C28),C29))+E29/365*0.15*(EOMONTH(C29,0)-C29)</f>
        <v>34.647123287671235</v>
      </c>
      <c r="G29" s="6"/>
    </row>
  </sheetData>
  <sortState ref="B9:D29">
    <sortCondition ref="C9:C29"/>
  </sortState>
  <phoneticPr fontId="3" type="noConversion"/>
  <conditionalFormatting sqref="B9:F100">
    <cfRule type="expression" dxfId="1" priority="1">
      <formula>(LOOKUP(,-1/($B$9:$B$29=$B9)/($C$9:$C$29&lt;=$K$1),ROW($C$9:$C$29))=ROW($C9))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Sukhochev Sergei</dc:creator>
  <cp:lastModifiedBy>Elena</cp:lastModifiedBy>
  <cp:lastPrinted>2018-09-24T07:01:26Z</cp:lastPrinted>
  <dcterms:created xsi:type="dcterms:W3CDTF">2018-09-24T05:49:08Z</dcterms:created>
  <dcterms:modified xsi:type="dcterms:W3CDTF">2018-09-27T18:33:47Z</dcterms:modified>
</cp:coreProperties>
</file>