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55"/>
  </bookViews>
  <sheets>
    <sheet name="данные" sheetId="1" r:id="rId1"/>
    <sheet name="матрица" sheetId="2" r:id="rId2"/>
  </sheets>
  <calcPr calcId="125725"/>
</workbook>
</file>

<file path=xl/calcChain.xml><?xml version="1.0" encoding="utf-8"?>
<calcChain xmlns="http://schemas.openxmlformats.org/spreadsheetml/2006/main">
  <c r="C8" i="2"/>
  <c r="D8"/>
  <c r="E8"/>
  <c r="F8"/>
  <c r="G8"/>
  <c r="H8"/>
  <c r="I8"/>
  <c r="J8"/>
  <c r="K8"/>
  <c r="L8"/>
  <c r="M8"/>
  <c r="B8"/>
  <c r="B13" i="1"/>
  <c r="B12"/>
  <c r="D6" i="2"/>
  <c r="M6" l="1"/>
  <c r="B28" s="1"/>
  <c r="L6"/>
  <c r="B27" s="1"/>
  <c r="K6"/>
  <c r="B26" s="1"/>
  <c r="J6"/>
  <c r="B25" s="1"/>
  <c r="I6"/>
  <c r="B24" s="1"/>
  <c r="H6"/>
  <c r="B23" s="1"/>
  <c r="G6"/>
  <c r="B22" s="1"/>
  <c r="F6"/>
  <c r="B21" s="1"/>
  <c r="E6"/>
  <c r="B20" s="1"/>
  <c r="B19"/>
  <c r="C6"/>
  <c r="B6"/>
  <c r="M5"/>
  <c r="L5"/>
  <c r="K5"/>
  <c r="J5"/>
  <c r="I5"/>
  <c r="H5"/>
  <c r="G5"/>
  <c r="F5"/>
  <c r="E5"/>
  <c r="D5"/>
  <c r="C5"/>
  <c r="B5"/>
  <c r="K12" i="1"/>
  <c r="K11"/>
  <c r="B11"/>
  <c r="E24" s="1"/>
  <c r="B10"/>
  <c r="B30" s="1"/>
  <c r="B31" l="1"/>
  <c r="N8" i="2"/>
  <c r="B16" i="1"/>
  <c r="B19" s="1"/>
  <c r="B23" s="1"/>
  <c r="E25"/>
  <c r="B18" i="2" l="1"/>
  <c r="D34" i="1"/>
  <c r="B25"/>
  <c r="B24"/>
  <c r="B32" s="1"/>
  <c r="B34" s="1"/>
  <c r="B35" l="1"/>
  <c r="N9" i="2"/>
  <c r="N10" l="1"/>
  <c r="B36" i="1"/>
  <c r="B37" l="1"/>
  <c r="N11" i="2"/>
  <c r="N12" l="1"/>
  <c r="B38" i="1"/>
  <c r="N13" i="2" l="1"/>
  <c r="B39" i="1"/>
  <c r="N14" i="2" l="1"/>
  <c r="G7"/>
  <c r="C22" s="1"/>
  <c r="E7"/>
  <c r="C20" s="1"/>
  <c r="K7"/>
  <c r="C26" s="1"/>
  <c r="D7"/>
  <c r="C19" s="1"/>
  <c r="J7"/>
  <c r="C25" s="1"/>
  <c r="I7"/>
  <c r="C24" s="1"/>
  <c r="C7"/>
  <c r="C18" s="1"/>
  <c r="H7"/>
  <c r="C23" s="1"/>
  <c r="B7"/>
  <c r="C17" s="1"/>
  <c r="M7"/>
  <c r="C28" s="1"/>
  <c r="F7"/>
  <c r="C21" s="1"/>
  <c r="L7"/>
  <c r="C27" s="1"/>
  <c r="B17" l="1"/>
  <c r="H25" i="1"/>
  <c r="A28"/>
  <c r="H24" l="1"/>
  <c r="B17"/>
  <c r="B20" s="1"/>
  <c r="H23" s="1"/>
  <c r="A27"/>
  <c r="K25" l="1"/>
  <c r="K24"/>
  <c r="S15" i="2"/>
  <c r="R15" l="1"/>
  <c r="D35" i="1"/>
  <c r="D36" l="1"/>
  <c r="Q15" i="2"/>
  <c r="P15" l="1"/>
  <c r="D37" i="1"/>
  <c r="O15" i="2" s="1"/>
</calcChain>
</file>

<file path=xl/sharedStrings.xml><?xml version="1.0" encoding="utf-8"?>
<sst xmlns="http://schemas.openxmlformats.org/spreadsheetml/2006/main" count="110" uniqueCount="71">
  <si>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</si>
  <si>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</si>
  <si>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</si>
  <si>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</si>
  <si>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</si>
  <si>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</si>
  <si>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</si>
  <si>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</si>
  <si>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</si>
  <si>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 xml:space="preserve">октябрь </t>
  </si>
  <si>
    <t>ноябрь</t>
  </si>
  <si>
    <t>декабрь</t>
  </si>
  <si>
    <t>количество отказов 1 и 2 кат.</t>
  </si>
  <si>
    <t>задержки в поездо-часах</t>
  </si>
  <si>
    <t>Rдоп</t>
  </si>
  <si>
    <t>Коэффициенты технологического запаса</t>
  </si>
  <si>
    <t>Постоянные</t>
  </si>
  <si>
    <t xml:space="preserve">Необходимые постоянные данные для расчета:
коэффициенты технологического запаса:
- a1 = 1,5 – коэффициент запаса нижней границы диапазона частот;
- a2 = 2 – коэффициент запаса верхней границы диапазона частот;
- b1 = 1,5 – коэффициент запаса нижней границы диапазона последствий;
- b2 = 2 – коэффициент запаса верхней границы диапазона последствий.
m = 6 (высота матрицы в ячейках)
n = 4 (ширина матрицы в ячейках)
µ - коэффициент размерности матрицы = 1,5 (так как матрица m:n = 1,5)
I = m/2 = 3
J = n/2 = 2
h = 15 (высота ячейки в мм)
w = 30 (ширина ячейки в мм)
Rдоп – допустимый уровень риска (принимается нами) равен количеству отказов -30%
</t>
  </si>
  <si>
    <t>Fmax</t>
  </si>
  <si>
    <t>a1</t>
  </si>
  <si>
    <t>µ</t>
  </si>
  <si>
    <t>Fmin</t>
  </si>
  <si>
    <t>a2</t>
  </si>
  <si>
    <t>I</t>
  </si>
  <si>
    <t xml:space="preserve">Определяем требуемые относительные диапазоны представляемых матрицей значений частот (A) и последствий (B) с учетом коэффициентов запаса a1, a2, b1, b2:
</t>
  </si>
  <si>
    <t>Cmax</t>
  </si>
  <si>
    <t>b1</t>
  </si>
  <si>
    <t>J</t>
  </si>
  <si>
    <t>Cmin</t>
  </si>
  <si>
    <t>b2</t>
  </si>
  <si>
    <t>m</t>
  </si>
  <si>
    <t>n</t>
  </si>
  <si>
    <t>Расчет</t>
  </si>
  <si>
    <t>h</t>
  </si>
  <si>
    <t>A</t>
  </si>
  <si>
    <t>w</t>
  </si>
  <si>
    <t>B</t>
  </si>
  <si>
    <t>Ka</t>
  </si>
  <si>
    <t>Kb</t>
  </si>
  <si>
    <t>Вариант 1 когда Ка&gt;=Кb</t>
  </si>
  <si>
    <t>Вариант 2 когда Ка=&lt;Кb</t>
  </si>
  <si>
    <t>K</t>
  </si>
  <si>
    <t>B-2</t>
  </si>
  <si>
    <t>A-3</t>
  </si>
  <si>
    <t>B2</t>
  </si>
  <si>
    <t>A3</t>
  </si>
  <si>
    <t>A2</t>
  </si>
  <si>
    <t>B1</t>
  </si>
  <si>
    <t>A1</t>
  </si>
  <si>
    <t>B0</t>
  </si>
  <si>
    <t>A0</t>
  </si>
  <si>
    <t>B-1</t>
  </si>
  <si>
    <t>A-1</t>
  </si>
  <si>
    <t>A-2</t>
  </si>
  <si>
    <t>табл.1 - 1 год наблюдения</t>
  </si>
  <si>
    <t>ручной ввод из КАСАНТ</t>
  </si>
  <si>
    <r>
      <t xml:space="preserve">частота отказов 1/год, </t>
    </r>
    <r>
      <rPr>
        <b/>
        <i/>
        <sz val="11"/>
        <color indexed="8"/>
        <rFont val="Calibri"/>
        <family val="2"/>
        <charset val="204"/>
      </rPr>
      <t>F</t>
    </r>
  </si>
  <si>
    <r>
      <t>удельные потери, поезда часов на 1 отказ,</t>
    </r>
    <r>
      <rPr>
        <b/>
        <i/>
        <sz val="11"/>
        <color indexed="8"/>
        <rFont val="Calibri"/>
        <family val="2"/>
        <charset val="204"/>
      </rPr>
      <t xml:space="preserve"> С</t>
    </r>
  </si>
  <si>
    <t xml:space="preserve">матрица риска </t>
  </si>
  <si>
    <t>октябрь</t>
  </si>
  <si>
    <t>частое</t>
  </si>
  <si>
    <t>вероятное</t>
  </si>
  <si>
    <t>случайное</t>
  </si>
  <si>
    <t>к.редкое</t>
  </si>
  <si>
    <t>редкое</t>
  </si>
  <si>
    <t>мал.вер</t>
  </si>
  <si>
    <t>нез.вел</t>
  </si>
  <si>
    <t>несущ.</t>
  </si>
  <si>
    <t>сущес.</t>
  </si>
  <si>
    <t>крити.</t>
  </si>
  <si>
    <t>По данным  "Таб. выше" определяем минимальные и максимальные значения частоты и удельного размера последствий для выборки на расширенном интервале наблюдения (взял один год на примере):
fmin = 22 (1/год);
fmax = 55 1/год;
cmin = 0,286 поездо-час;
cmax = 0,823 поездо-час.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</si>
</sst>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0" borderId="0" xfId="0" applyFont="1"/>
    <xf numFmtId="0" fontId="1" fillId="3" borderId="0" xfId="0" applyFont="1" applyFill="1" applyBorder="1" applyAlignment="1">
      <alignment wrapText="1"/>
    </xf>
    <xf numFmtId="1" fontId="1" fillId="3" borderId="0" xfId="0" applyNumberFormat="1" applyFont="1" applyFill="1" applyBorder="1"/>
    <xf numFmtId="0" fontId="0" fillId="0" borderId="0" xfId="0" applyBorder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5" fillId="3" borderId="0" xfId="0" applyFont="1" applyFill="1" applyBorder="1"/>
    <xf numFmtId="164" fontId="0" fillId="3" borderId="0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3" fillId="0" borderId="0" xfId="0" applyFont="1"/>
    <xf numFmtId="0" fontId="2" fillId="0" borderId="1" xfId="0" applyFont="1" applyBorder="1"/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/>
    <xf numFmtId="0" fontId="0" fillId="2" borderId="1" xfId="0" applyFill="1" applyBorder="1"/>
    <xf numFmtId="1" fontId="0" fillId="0" borderId="1" xfId="0" applyNumberFormat="1" applyBorder="1"/>
    <xf numFmtId="2" fontId="0" fillId="0" borderId="1" xfId="0" applyNumberFormat="1" applyBorder="1"/>
    <xf numFmtId="0" fontId="1" fillId="0" borderId="1" xfId="0" applyFont="1" applyFill="1" applyBorder="1"/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164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0" borderId="0" xfId="0" applyAlignment="1">
      <alignment horizontal="right"/>
    </xf>
    <xf numFmtId="165" fontId="0" fillId="0" borderId="0" xfId="0" applyNumberFormat="1"/>
    <xf numFmtId="0" fontId="0" fillId="6" borderId="1" xfId="0" applyFill="1" applyBorder="1"/>
    <xf numFmtId="164" fontId="0" fillId="0" borderId="0" xfId="0" applyNumberFormat="1" applyBorder="1" applyAlignment="1">
      <alignment horizontal="left"/>
    </xf>
    <xf numFmtId="165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8" fillId="0" borderId="0" xfId="0" applyNumberFormat="1" applyFont="1" applyBorder="1"/>
    <xf numFmtId="164" fontId="8" fillId="0" borderId="0" xfId="0" applyNumberFormat="1" applyFont="1" applyBorder="1" applyAlignment="1">
      <alignment horizontal="left"/>
    </xf>
    <xf numFmtId="0" fontId="0" fillId="2" borderId="0" xfId="0" applyFill="1" applyAlignment="1">
      <alignment horizontal="right"/>
    </xf>
  </cellXfs>
  <cellStyles count="1">
    <cellStyle name="Обычный" xfId="0" builtinId="0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512851891050627E-4"/>
          <c:y val="1.2448782236207448E-3"/>
          <c:w val="0.99934871481089493"/>
          <c:h val="0.998755121776379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матрица!$B$17:$B$28</c:f>
              <c:numCache>
                <c:formatCode>0.00</c:formatCode>
                <c:ptCount val="12"/>
                <c:pt idx="0">
                  <c:v>57.271355149152463</c:v>
                </c:pt>
                <c:pt idx="1">
                  <c:v>52.649358505734412</c:v>
                </c:pt>
                <c:pt idx="2">
                  <c:v>70.231722609774636</c:v>
                </c:pt>
                <c:pt idx="3">
                  <c:v>42.950083781013674</c:v>
                </c:pt>
                <c:pt idx="4">
                  <c:v>55.075024151847472</c:v>
                </c:pt>
                <c:pt idx="5">
                  <c:v>41.797642144194306</c:v>
                </c:pt>
                <c:pt idx="6">
                  <c:v>58.245026363858933</c:v>
                </c:pt>
                <c:pt idx="7">
                  <c:v>89.039082469782571</c:v>
                </c:pt>
                <c:pt idx="8">
                  <c:v>58.711872185335984</c:v>
                </c:pt>
                <c:pt idx="9">
                  <c:v>48.338193675282206</c:v>
                </c:pt>
                <c:pt idx="10">
                  <c:v>64.928370164433488</c:v>
                </c:pt>
                <c:pt idx="11">
                  <c:v>69.012065615333938</c:v>
                </c:pt>
              </c:numCache>
            </c:numRef>
          </c:xVal>
          <c:yVal>
            <c:numRef>
              <c:f>матрица!$C$17:$C$28</c:f>
              <c:numCache>
                <c:formatCode>0.00</c:formatCode>
                <c:ptCount val="12"/>
                <c:pt idx="0">
                  <c:v>16.320929680629096</c:v>
                </c:pt>
                <c:pt idx="1">
                  <c:v>39.493976190231905</c:v>
                </c:pt>
                <c:pt idx="2">
                  <c:v>31.350189643602071</c:v>
                </c:pt>
                <c:pt idx="3">
                  <c:v>41.571893273314927</c:v>
                </c:pt>
                <c:pt idx="4">
                  <c:v>49.033725166166363</c:v>
                </c:pt>
                <c:pt idx="5">
                  <c:v>46.379449606575044</c:v>
                </c:pt>
                <c:pt idx="6">
                  <c:v>25.929344561219622</c:v>
                </c:pt>
                <c:pt idx="7">
                  <c:v>10.610975743097482</c:v>
                </c:pt>
                <c:pt idx="8">
                  <c:v>22.950430120332467</c:v>
                </c:pt>
                <c:pt idx="9">
                  <c:v>36.183783379046396</c:v>
                </c:pt>
                <c:pt idx="10">
                  <c:v>41.571893273314927</c:v>
                </c:pt>
                <c:pt idx="11">
                  <c:v>51.539082469782578</c:v>
                </c:pt>
              </c:numCache>
            </c:numRef>
          </c:yVal>
        </c:ser>
        <c:axId val="143389824"/>
        <c:axId val="143391744"/>
      </c:scatterChart>
      <c:valAx>
        <c:axId val="143389824"/>
        <c:scaling>
          <c:orientation val="minMax"/>
          <c:max val="120"/>
        </c:scaling>
        <c:delete val="1"/>
        <c:axPos val="b"/>
        <c:numFmt formatCode="0.00" sourceLinked="1"/>
        <c:tickLblPos val="none"/>
        <c:crossAx val="143391744"/>
        <c:crosses val="autoZero"/>
        <c:crossBetween val="midCat"/>
        <c:majorUnit val="30"/>
      </c:valAx>
      <c:valAx>
        <c:axId val="143391744"/>
        <c:scaling>
          <c:orientation val="minMax"/>
          <c:max val="90"/>
        </c:scaling>
        <c:delete val="1"/>
        <c:axPos val="l"/>
        <c:numFmt formatCode="0.00" sourceLinked="1"/>
        <c:tickLblPos val="none"/>
        <c:crossAx val="143389824"/>
        <c:crosses val="autoZero"/>
        <c:crossBetween val="midCat"/>
        <c:majorUnit val="15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6.5118811417574777E-4"/>
          <c:y val="1.2449690157570674E-3"/>
          <c:w val="0.99934871481089493"/>
          <c:h val="0.998755121776379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9525">
                <a:noFill/>
              </a:ln>
            </c:spPr>
          </c:marker>
          <c:dLbls>
            <c:dLblPos val="t"/>
            <c:showVal val="1"/>
          </c:dLbls>
          <c:xVal>
            <c:numRef>
              <c:f>матрица!$B$17:$B$28</c:f>
              <c:numCache>
                <c:formatCode>0.00</c:formatCode>
                <c:ptCount val="12"/>
                <c:pt idx="0">
                  <c:v>57.271355149152463</c:v>
                </c:pt>
                <c:pt idx="1">
                  <c:v>52.649358505734412</c:v>
                </c:pt>
                <c:pt idx="2">
                  <c:v>70.231722609774636</c:v>
                </c:pt>
                <c:pt idx="3">
                  <c:v>42.950083781013674</c:v>
                </c:pt>
                <c:pt idx="4">
                  <c:v>55.075024151847472</c:v>
                </c:pt>
                <c:pt idx="5">
                  <c:v>41.797642144194306</c:v>
                </c:pt>
                <c:pt idx="6">
                  <c:v>58.245026363858933</c:v>
                </c:pt>
                <c:pt idx="7">
                  <c:v>89.039082469782571</c:v>
                </c:pt>
                <c:pt idx="8">
                  <c:v>58.711872185335984</c:v>
                </c:pt>
                <c:pt idx="9">
                  <c:v>48.338193675282206</c:v>
                </c:pt>
                <c:pt idx="10">
                  <c:v>64.928370164433488</c:v>
                </c:pt>
                <c:pt idx="11">
                  <c:v>69.012065615333938</c:v>
                </c:pt>
              </c:numCache>
            </c:numRef>
          </c:xVal>
          <c:yVal>
            <c:numRef>
              <c:f>матрица!$C$17:$C$28</c:f>
              <c:numCache>
                <c:formatCode>0.00</c:formatCode>
                <c:ptCount val="12"/>
                <c:pt idx="0">
                  <c:v>16.320929680629096</c:v>
                </c:pt>
                <c:pt idx="1">
                  <c:v>39.493976190231905</c:v>
                </c:pt>
                <c:pt idx="2">
                  <c:v>31.350189643602071</c:v>
                </c:pt>
                <c:pt idx="3">
                  <c:v>41.571893273314927</c:v>
                </c:pt>
                <c:pt idx="4">
                  <c:v>49.033725166166363</c:v>
                </c:pt>
                <c:pt idx="5">
                  <c:v>46.379449606575044</c:v>
                </c:pt>
                <c:pt idx="6">
                  <c:v>25.929344561219622</c:v>
                </c:pt>
                <c:pt idx="7">
                  <c:v>10.610975743097482</c:v>
                </c:pt>
                <c:pt idx="8">
                  <c:v>22.950430120332467</c:v>
                </c:pt>
                <c:pt idx="9">
                  <c:v>36.183783379046396</c:v>
                </c:pt>
                <c:pt idx="10">
                  <c:v>41.571893273314927</c:v>
                </c:pt>
                <c:pt idx="11">
                  <c:v>51.539082469782578</c:v>
                </c:pt>
              </c:numCache>
            </c:numRef>
          </c:yVal>
        </c:ser>
        <c:dLbls>
          <c:showVal val="1"/>
        </c:dLbls>
        <c:axId val="147470592"/>
        <c:axId val="147755008"/>
      </c:scatterChart>
      <c:valAx>
        <c:axId val="147470592"/>
        <c:scaling>
          <c:orientation val="minMax"/>
          <c:max val="120"/>
        </c:scaling>
        <c:delete val="1"/>
        <c:axPos val="b"/>
        <c:numFmt formatCode="0.00" sourceLinked="1"/>
        <c:tickLblPos val="none"/>
        <c:crossAx val="147755008"/>
        <c:crosses val="autoZero"/>
        <c:crossBetween val="midCat"/>
        <c:majorUnit val="30"/>
      </c:valAx>
      <c:valAx>
        <c:axId val="147755008"/>
        <c:scaling>
          <c:orientation val="minMax"/>
          <c:max val="90"/>
        </c:scaling>
        <c:delete val="1"/>
        <c:axPos val="l"/>
        <c:numFmt formatCode="0.00" sourceLinked="1"/>
        <c:tickLblPos val="none"/>
        <c:crossAx val="147470592"/>
        <c:crosses val="autoZero"/>
        <c:crossBetween val="midCat"/>
        <c:majorUnit val="15"/>
      </c:valAx>
    </c:plotArea>
    <c:plotVisOnly val="1"/>
    <c:dispBlanksAs val="gap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266700</xdr:colOff>
      <xdr:row>9</xdr:row>
      <xdr:rowOff>104775</xdr:rowOff>
    </xdr:from>
    <xdr:to>
      <xdr:col>17</xdr:col>
      <xdr:colOff>464840</xdr:colOff>
      <xdr:row>15</xdr:row>
      <xdr:rowOff>49882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3860" b="7997"/>
        <a:stretch>
          <a:fillRect/>
        </a:stretch>
      </xdr:blipFill>
      <xdr:spPr bwMode="auto">
        <a:xfrm>
          <a:off x="15621000" y="1828800"/>
          <a:ext cx="1417340" cy="1088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182218</xdr:colOff>
      <xdr:row>7</xdr:row>
      <xdr:rowOff>8282</xdr:rowOff>
    </xdr:from>
    <xdr:to>
      <xdr:col>18</xdr:col>
      <xdr:colOff>306456</xdr:colOff>
      <xdr:row>15</xdr:row>
      <xdr:rowOff>157370</xdr:rowOff>
    </xdr:to>
    <xdr:graphicFrame macro="">
      <xdr:nvGraphicFramePr>
        <xdr:cNvPr id="2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870505</xdr:colOff>
      <xdr:row>13</xdr:row>
      <xdr:rowOff>112646</xdr:rowOff>
    </xdr:from>
    <xdr:to>
      <xdr:col>17</xdr:col>
      <xdr:colOff>426971</xdr:colOff>
      <xdr:row>13</xdr:row>
      <xdr:rowOff>379346</xdr:rowOff>
    </xdr:to>
    <xdr:sp macro="" textlink="">
      <xdr:nvSpPr>
        <xdr:cNvPr id="3" name="TextBox 2"/>
        <xdr:cNvSpPr txBox="1"/>
      </xdr:nvSpPr>
      <xdr:spPr>
        <a:xfrm>
          <a:off x="13211592" y="4676363"/>
          <a:ext cx="641488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август</a:t>
          </a:r>
        </a:p>
      </xdr:txBody>
    </xdr:sp>
    <xdr:clientData/>
  </xdr:twoCellAnchor>
  <xdr:twoCellAnchor>
    <xdr:from>
      <xdr:col>20</xdr:col>
      <xdr:colOff>588064</xdr:colOff>
      <xdr:row>7</xdr:row>
      <xdr:rowOff>182218</xdr:rowOff>
    </xdr:from>
    <xdr:to>
      <xdr:col>25</xdr:col>
      <xdr:colOff>24847</xdr:colOff>
      <xdr:row>14</xdr:row>
      <xdr:rowOff>16567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</xdr:row>
      <xdr:rowOff>381000</xdr:rowOff>
    </xdr:from>
    <xdr:to>
      <xdr:col>16</xdr:col>
      <xdr:colOff>1035326</xdr:colOff>
      <xdr:row>23</xdr:row>
      <xdr:rowOff>107674</xdr:rowOff>
    </xdr:to>
    <xdr:cxnSp macro="">
      <xdr:nvCxnSpPr>
        <xdr:cNvPr id="7" name="Прямая со стрелкой 6"/>
        <xdr:cNvCxnSpPr/>
      </xdr:nvCxnSpPr>
      <xdr:spPr>
        <a:xfrm flipV="1">
          <a:off x="2161761" y="4944717"/>
          <a:ext cx="11214652" cy="201267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39"/>
  <sheetViews>
    <sheetView tabSelected="1" topLeftCell="A16" workbookViewId="0">
      <selection activeCell="M31" sqref="M31:M37"/>
    </sheetView>
  </sheetViews>
  <sheetFormatPr defaultRowHeight="15"/>
  <cols>
    <col min="13" max="13" width="65" customWidth="1"/>
    <col min="15" max="15" width="46.42578125" customWidth="1"/>
  </cols>
  <sheetData>
    <row r="3" spans="1: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/>
    </row>
    <row r="4" spans="1:15">
      <c r="A4" s="2">
        <v>25</v>
      </c>
      <c r="B4" s="2">
        <v>42</v>
      </c>
      <c r="C4" s="2">
        <v>35</v>
      </c>
      <c r="D4" s="2">
        <v>44</v>
      </c>
      <c r="E4" s="2">
        <v>52</v>
      </c>
      <c r="F4" s="2">
        <v>49</v>
      </c>
      <c r="G4" s="2">
        <v>31</v>
      </c>
      <c r="H4" s="2">
        <v>22</v>
      </c>
      <c r="I4" s="2">
        <v>29</v>
      </c>
      <c r="J4" s="2">
        <v>39</v>
      </c>
      <c r="K4" s="2">
        <v>44</v>
      </c>
      <c r="L4" s="2">
        <v>55</v>
      </c>
      <c r="M4" s="3" t="s">
        <v>12</v>
      </c>
    </row>
    <row r="5" spans="1:15">
      <c r="A5" s="2">
        <v>63.3</v>
      </c>
      <c r="B5" s="2">
        <v>106.3</v>
      </c>
      <c r="C5" s="2">
        <v>60.8</v>
      </c>
      <c r="D5" s="2">
        <v>52.7</v>
      </c>
      <c r="E5" s="2">
        <v>23.6</v>
      </c>
      <c r="F5" s="2">
        <v>104.3</v>
      </c>
      <c r="G5" s="2">
        <v>22.5</v>
      </c>
      <c r="H5" s="2">
        <v>17.2</v>
      </c>
      <c r="I5" s="2">
        <v>21.2</v>
      </c>
      <c r="J5" s="2">
        <v>178.3</v>
      </c>
      <c r="K5" s="2">
        <v>22.8</v>
      </c>
      <c r="L5" s="2">
        <v>39.700000000000003</v>
      </c>
      <c r="M5" s="3" t="s">
        <v>13</v>
      </c>
    </row>
    <row r="7" spans="1:15">
      <c r="A7" s="4"/>
      <c r="B7" s="4"/>
    </row>
    <row r="8" spans="1:15">
      <c r="A8" s="5" t="s">
        <v>14</v>
      </c>
      <c r="B8" s="6">
        <v>20</v>
      </c>
      <c r="C8" s="7"/>
      <c r="D8" s="7"/>
      <c r="E8" s="7"/>
      <c r="F8" s="7"/>
      <c r="G8" s="7"/>
      <c r="H8" s="7"/>
      <c r="I8" s="7"/>
      <c r="J8" s="7"/>
      <c r="K8" s="7"/>
    </row>
    <row r="9" spans="1:15" ht="15.75" customHeight="1">
      <c r="A9" s="7"/>
      <c r="B9" s="7"/>
      <c r="C9" s="7"/>
      <c r="D9" s="7"/>
      <c r="E9" s="8" t="s">
        <v>15</v>
      </c>
      <c r="F9" s="8"/>
      <c r="G9" s="8"/>
      <c r="H9" s="8"/>
      <c r="I9" s="7"/>
      <c r="J9" s="8" t="s">
        <v>16</v>
      </c>
      <c r="K9" s="8"/>
      <c r="M9" s="9" t="s">
        <v>17</v>
      </c>
    </row>
    <row r="10" spans="1:15">
      <c r="A10" s="10" t="s">
        <v>18</v>
      </c>
      <c r="B10" s="11">
        <f>LARGE(матрица!B3:M3,1)</f>
        <v>55</v>
      </c>
      <c r="C10" s="7"/>
      <c r="D10" s="7"/>
      <c r="E10" s="11" t="s">
        <v>19</v>
      </c>
      <c r="F10" s="11">
        <v>1.5</v>
      </c>
      <c r="G10" s="11"/>
      <c r="H10" s="11"/>
      <c r="I10" s="7"/>
      <c r="J10" s="12" t="s">
        <v>20</v>
      </c>
      <c r="K10" s="11">
        <v>1.5</v>
      </c>
      <c r="M10" s="9"/>
    </row>
    <row r="11" spans="1:15">
      <c r="A11" s="11" t="s">
        <v>21</v>
      </c>
      <c r="B11" s="11">
        <f>SMALL(матрица!B3:M3,1)</f>
        <v>22</v>
      </c>
      <c r="C11" s="7"/>
      <c r="D11" s="7"/>
      <c r="E11" s="11" t="s">
        <v>22</v>
      </c>
      <c r="F11" s="11">
        <v>2</v>
      </c>
      <c r="G11" s="11"/>
      <c r="H11" s="11"/>
      <c r="I11" s="7"/>
      <c r="J11" s="11" t="s">
        <v>23</v>
      </c>
      <c r="K11" s="11">
        <f>K13/2</f>
        <v>3</v>
      </c>
      <c r="M11" s="9"/>
      <c r="O11" s="9" t="s">
        <v>24</v>
      </c>
    </row>
    <row r="12" spans="1:15">
      <c r="A12" s="10" t="s">
        <v>25</v>
      </c>
      <c r="B12" s="13">
        <f>LARGE(матрица!B6:M6,1)</f>
        <v>0.82272727272727275</v>
      </c>
      <c r="C12" s="7"/>
      <c r="D12" s="7"/>
      <c r="E12" s="11" t="s">
        <v>26</v>
      </c>
      <c r="F12" s="11">
        <v>1.5</v>
      </c>
      <c r="G12" s="11"/>
      <c r="H12" s="11"/>
      <c r="I12" s="7"/>
      <c r="J12" s="11" t="s">
        <v>27</v>
      </c>
      <c r="K12" s="11">
        <f>K14/2</f>
        <v>2</v>
      </c>
      <c r="M12" s="9"/>
      <c r="O12" s="9"/>
    </row>
    <row r="13" spans="1:15">
      <c r="A13" s="11" t="s">
        <v>28</v>
      </c>
      <c r="B13" s="13">
        <f>SMALL(матрица!B6:M6,1)</f>
        <v>0.2857142857142857</v>
      </c>
      <c r="C13" s="7"/>
      <c r="D13" s="7"/>
      <c r="E13" s="11" t="s">
        <v>29</v>
      </c>
      <c r="F13" s="11">
        <v>2</v>
      </c>
      <c r="G13" s="11"/>
      <c r="H13" s="11"/>
      <c r="I13" s="7"/>
      <c r="J13" s="11" t="s">
        <v>30</v>
      </c>
      <c r="K13" s="11">
        <v>6</v>
      </c>
      <c r="M13" s="9"/>
      <c r="O13" s="9"/>
    </row>
    <row r="14" spans="1:15">
      <c r="A14" s="7"/>
      <c r="B14" s="7"/>
      <c r="C14" s="7"/>
      <c r="D14" s="7"/>
      <c r="E14" s="7"/>
      <c r="F14" s="7"/>
      <c r="G14" s="7"/>
      <c r="H14" s="7"/>
      <c r="I14" s="7"/>
      <c r="J14" s="11" t="s">
        <v>31</v>
      </c>
      <c r="K14" s="11">
        <v>4</v>
      </c>
      <c r="M14" s="9"/>
      <c r="O14" s="9"/>
    </row>
    <row r="15" spans="1:15">
      <c r="A15" s="11" t="s">
        <v>32</v>
      </c>
      <c r="B15" s="11"/>
      <c r="C15" s="7"/>
      <c r="D15" s="7"/>
      <c r="E15" s="7"/>
      <c r="F15" s="7"/>
      <c r="G15" s="7"/>
      <c r="H15" s="7"/>
      <c r="I15" s="7"/>
      <c r="J15" s="11" t="s">
        <v>33</v>
      </c>
      <c r="K15" s="11">
        <v>15</v>
      </c>
      <c r="M15" s="9"/>
      <c r="O15" s="9"/>
    </row>
    <row r="16" spans="1:15">
      <c r="A16" s="11" t="s">
        <v>34</v>
      </c>
      <c r="B16" s="11">
        <f>F10*F11*B10/B11</f>
        <v>7.5</v>
      </c>
      <c r="C16" s="7"/>
      <c r="D16" s="7"/>
      <c r="E16" s="7"/>
      <c r="F16" s="7"/>
      <c r="G16" s="7"/>
      <c r="H16" s="7"/>
      <c r="I16" s="7"/>
      <c r="J16" s="11" t="s">
        <v>35</v>
      </c>
      <c r="K16" s="11">
        <v>30</v>
      </c>
      <c r="M16" s="9"/>
      <c r="O16" s="9"/>
    </row>
    <row r="17" spans="1:13">
      <c r="A17" s="11" t="s">
        <v>36</v>
      </c>
      <c r="B17" s="11">
        <f>(F12*F13*B12)/B13</f>
        <v>8.6386363636363637</v>
      </c>
      <c r="C17" s="7"/>
      <c r="D17" s="7"/>
      <c r="E17" s="7"/>
      <c r="F17" s="7"/>
      <c r="G17" s="7"/>
      <c r="H17" s="7"/>
      <c r="I17" s="7"/>
      <c r="J17" s="7"/>
      <c r="K17" s="7"/>
      <c r="M17" s="9"/>
    </row>
    <row r="18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M18" s="9"/>
    </row>
    <row r="19" spans="1:13">
      <c r="A19" s="11" t="s">
        <v>37</v>
      </c>
      <c r="B19" s="11">
        <f>B16^((2*K10)/K13)</f>
        <v>2.7386127875258306</v>
      </c>
      <c r="C19" s="7"/>
      <c r="D19" s="7"/>
      <c r="E19" s="7"/>
      <c r="F19" s="7"/>
      <c r="G19" s="7"/>
      <c r="H19" s="7"/>
      <c r="I19" s="7"/>
      <c r="J19" s="7"/>
      <c r="K19" s="7"/>
      <c r="M19" s="9"/>
    </row>
    <row r="20" spans="1:13">
      <c r="A20" s="11" t="s">
        <v>38</v>
      </c>
      <c r="B20" s="11">
        <f>B17^(K10/K14)</f>
        <v>2.2447446616767448</v>
      </c>
      <c r="C20" s="7"/>
      <c r="D20" s="7"/>
      <c r="E20" s="7"/>
      <c r="F20" s="7"/>
      <c r="G20" s="7"/>
      <c r="H20" s="7"/>
      <c r="I20" s="7"/>
      <c r="J20" s="7"/>
      <c r="K20" s="7"/>
      <c r="M20" s="9"/>
    </row>
    <row r="21" spans="1:13">
      <c r="M21" s="9"/>
    </row>
    <row r="22" spans="1:13">
      <c r="A22" s="14" t="s">
        <v>39</v>
      </c>
      <c r="B22" s="15"/>
      <c r="C22" s="15"/>
      <c r="D22" s="15"/>
      <c r="E22" s="16"/>
      <c r="G22" s="14" t="s">
        <v>40</v>
      </c>
      <c r="H22" s="15"/>
      <c r="I22" s="15"/>
      <c r="J22" s="15"/>
      <c r="K22" s="16"/>
      <c r="M22" s="9"/>
    </row>
    <row r="23" spans="1:13">
      <c r="A23" s="17" t="s">
        <v>41</v>
      </c>
      <c r="B23" s="18">
        <f>B19</f>
        <v>2.7386127875258306</v>
      </c>
      <c r="C23" s="17"/>
      <c r="D23" s="17"/>
      <c r="E23" s="17"/>
      <c r="G23" s="17" t="s">
        <v>41</v>
      </c>
      <c r="H23" s="17">
        <f>B20</f>
        <v>2.2447446616767448</v>
      </c>
      <c r="I23" s="17"/>
      <c r="J23" s="17"/>
      <c r="K23" s="17"/>
      <c r="M23" s="9"/>
    </row>
    <row r="24" spans="1:13">
      <c r="A24" s="17" t="s">
        <v>42</v>
      </c>
      <c r="B24" s="17">
        <f>(F10*B8*(B23^(-(K11+2*K12)/(2*K10)-1)))/B11</f>
        <v>4.745294110507714E-2</v>
      </c>
      <c r="C24" s="17"/>
      <c r="D24" s="17" t="s">
        <v>43</v>
      </c>
      <c r="E24" s="17">
        <f>B11/F10</f>
        <v>14.666666666666666</v>
      </c>
      <c r="G24" s="17" t="s">
        <v>42</v>
      </c>
      <c r="H24" s="17">
        <f>B13/F12</f>
        <v>0.19047619047619047</v>
      </c>
      <c r="I24" s="17"/>
      <c r="J24" s="17" t="s">
        <v>43</v>
      </c>
      <c r="K24" s="17">
        <f>(F12*B8*(H23^(-(K11+2*K12)/(2*K10)-1)))/B13</f>
        <v>7.0897807948914338</v>
      </c>
      <c r="M24" s="9"/>
    </row>
    <row r="25" spans="1:13">
      <c r="A25" s="17" t="s">
        <v>44</v>
      </c>
      <c r="B25" s="17">
        <f>(B8*(B23^((K11+2*K12)/(2*K10)-1)))/(F11*B10)</f>
        <v>0.69664493853959375</v>
      </c>
      <c r="C25" s="17"/>
      <c r="D25" s="17" t="s">
        <v>45</v>
      </c>
      <c r="E25" s="17">
        <f>F11*B10</f>
        <v>110</v>
      </c>
      <c r="G25" s="17" t="s">
        <v>44</v>
      </c>
      <c r="H25" s="17">
        <f>B13*F13</f>
        <v>0.5714285714285714</v>
      </c>
      <c r="I25" s="17"/>
      <c r="J25" s="17" t="s">
        <v>45</v>
      </c>
      <c r="K25" s="17">
        <f>(B8*(H23^((K11+2*K12)/(2*K10)-1)))/(F13*B12)</f>
        <v>35.724544698605357</v>
      </c>
      <c r="M25" s="9"/>
    </row>
    <row r="26" spans="1:13">
      <c r="B26" s="19"/>
      <c r="M26" s="9"/>
    </row>
    <row r="27" spans="1:13">
      <c r="A27">
        <f>B13/F12</f>
        <v>0.19047619047619047</v>
      </c>
      <c r="M27" s="9"/>
    </row>
    <row r="28" spans="1:13">
      <c r="A28">
        <f>F13*B12</f>
        <v>1.6454545454545455</v>
      </c>
      <c r="M28" s="9"/>
    </row>
    <row r="29" spans="1:13">
      <c r="M29" s="9"/>
    </row>
    <row r="30" spans="1:13">
      <c r="A30" s="20" t="s">
        <v>45</v>
      </c>
      <c r="B30" s="17">
        <f>F11*B10</f>
        <v>110</v>
      </c>
      <c r="C30" s="17"/>
      <c r="D30" s="17"/>
      <c r="M30" s="9"/>
    </row>
    <row r="31" spans="1:13">
      <c r="A31" s="20" t="s">
        <v>44</v>
      </c>
      <c r="B31" s="17">
        <f>F13*B12</f>
        <v>1.6454545454545455</v>
      </c>
      <c r="C31" s="17"/>
      <c r="D31" s="17"/>
      <c r="M31" s="21" t="s">
        <v>70</v>
      </c>
    </row>
    <row r="32" spans="1:13">
      <c r="A32" s="20" t="s">
        <v>41</v>
      </c>
      <c r="B32" s="17">
        <f>(B24*E24/B8)^((2*K10)/(-K11-2*K12-2*K10))</f>
        <v>2.7386127875258302</v>
      </c>
      <c r="C32" s="17"/>
      <c r="D32" s="17"/>
      <c r="M32" s="21"/>
    </row>
    <row r="33" spans="1:13">
      <c r="A33" s="22"/>
      <c r="B33" s="23"/>
      <c r="C33" s="23"/>
      <c r="D33" s="23"/>
      <c r="M33" s="21"/>
    </row>
    <row r="34" spans="1:13">
      <c r="A34" s="20" t="s">
        <v>46</v>
      </c>
      <c r="B34" s="24">
        <f>B30/(B32^(1/(2*K10)))</f>
        <v>78.622914946224981</v>
      </c>
      <c r="C34" s="20" t="s">
        <v>47</v>
      </c>
      <c r="D34" s="25">
        <f>B31/(B32^(1/K10))</f>
        <v>0.84061822583777646</v>
      </c>
      <c r="M34" s="21"/>
    </row>
    <row r="35" spans="1:13">
      <c r="A35" s="20" t="s">
        <v>48</v>
      </c>
      <c r="B35" s="24">
        <f>B34/(B32^(1/(2*K10)))</f>
        <v>56.196025042193888</v>
      </c>
      <c r="C35" s="20" t="s">
        <v>49</v>
      </c>
      <c r="D35" s="25">
        <f>D34/(B32^(1/K10))</f>
        <v>0.42944911700094812</v>
      </c>
      <c r="M35" s="21"/>
    </row>
    <row r="36" spans="1:13">
      <c r="A36" s="20" t="s">
        <v>50</v>
      </c>
      <c r="B36" s="24">
        <f>B35/(B32^(1/(2*K10)))</f>
        <v>40.166320883712174</v>
      </c>
      <c r="C36" s="20" t="s">
        <v>51</v>
      </c>
      <c r="D36" s="25">
        <f>D35/(B32^(1/K10))</f>
        <v>0.21939393939393942</v>
      </c>
      <c r="M36" s="21"/>
    </row>
    <row r="37" spans="1:13">
      <c r="A37" s="20" t="s">
        <v>52</v>
      </c>
      <c r="B37" s="24">
        <f>B36/(B32^(1/(2*K11)))</f>
        <v>33.957857498345888</v>
      </c>
      <c r="C37" s="20" t="s">
        <v>42</v>
      </c>
      <c r="D37" s="25">
        <f>D36/(B32^(1/K10))</f>
        <v>0.11208243011170355</v>
      </c>
      <c r="M37" s="21"/>
    </row>
    <row r="38" spans="1:13">
      <c r="A38" s="20" t="s">
        <v>53</v>
      </c>
      <c r="B38" s="24">
        <f>B37/(B32^(1/(2*K10)))</f>
        <v>24.271506744077065</v>
      </c>
      <c r="C38" s="17"/>
      <c r="D38" s="17"/>
    </row>
    <row r="39" spans="1:13">
      <c r="A39" s="20" t="s">
        <v>43</v>
      </c>
      <c r="B39" s="24">
        <f>B38/(B32^(1/(2*K10)))</f>
        <v>17.348151003239067</v>
      </c>
      <c r="C39" s="17"/>
      <c r="D39" s="17"/>
    </row>
  </sheetData>
  <mergeCells count="7">
    <mergeCell ref="M31:M37"/>
    <mergeCell ref="E9:H9"/>
    <mergeCell ref="J9:K9"/>
    <mergeCell ref="M9:M30"/>
    <mergeCell ref="O11:O16"/>
    <mergeCell ref="A22:E22"/>
    <mergeCell ref="G22:K22"/>
  </mergeCells>
  <conditionalFormatting sqref="B23">
    <cfRule type="cellIs" dxfId="7" priority="7" stopIfTrue="1" operator="lessThan">
      <formula>$B$20</formula>
    </cfRule>
    <cfRule type="cellIs" dxfId="6" priority="8" stopIfTrue="1" operator="greaterThanOrEqual">
      <formula>$B$20</formula>
    </cfRule>
  </conditionalFormatting>
  <conditionalFormatting sqref="H23">
    <cfRule type="cellIs" dxfId="5" priority="5" stopIfTrue="1" operator="lessThan">
      <formula>$B$19</formula>
    </cfRule>
    <cfRule type="cellIs" dxfId="4" priority="6" stopIfTrue="1" operator="greaterThanOrEqual">
      <formula>$B$19</formula>
    </cfRule>
  </conditionalFormatting>
  <conditionalFormatting sqref="A27">
    <cfRule type="cellIs" dxfId="3" priority="3" stopIfTrue="1" operator="lessThan">
      <formula>$B$24</formula>
    </cfRule>
    <cfRule type="cellIs" dxfId="2" priority="4" stopIfTrue="1" operator="greaterThanOrEqual">
      <formula>$B$24</formula>
    </cfRule>
  </conditionalFormatting>
  <conditionalFormatting sqref="A28">
    <cfRule type="cellIs" dxfId="1" priority="1" stopIfTrue="1" operator="lessThanOrEqual">
      <formula>$B$25</formula>
    </cfRule>
    <cfRule type="cellIs" dxfId="0" priority="2" stopIfTrue="1" operator="greaterThan">
      <formula>$B$25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Y28"/>
  <sheetViews>
    <sheetView topLeftCell="A4" zoomScale="115" zoomScaleNormal="115" workbookViewId="0">
      <selection activeCell="G27" sqref="G27"/>
    </sheetView>
  </sheetViews>
  <sheetFormatPr defaultRowHeight="15"/>
  <cols>
    <col min="1" max="1" width="32.42578125" customWidth="1"/>
    <col min="2" max="2" width="9.42578125" bestFit="1" customWidth="1"/>
    <col min="3" max="3" width="9.28515625" bestFit="1" customWidth="1"/>
    <col min="13" max="13" width="9.140625" customWidth="1"/>
    <col min="15" max="16" width="16.42578125" customWidth="1"/>
    <col min="17" max="17" width="16.28515625" customWidth="1"/>
    <col min="18" max="18" width="16.5703125" customWidth="1"/>
    <col min="22" max="23" width="16.42578125" customWidth="1"/>
    <col min="24" max="24" width="16.28515625" customWidth="1"/>
    <col min="25" max="25" width="16.5703125" customWidth="1"/>
  </cols>
  <sheetData>
    <row r="2" spans="1:25">
      <c r="A2" s="26" t="s">
        <v>54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25" ht="15" customHeight="1">
      <c r="A3" s="3" t="s">
        <v>12</v>
      </c>
      <c r="B3" s="2">
        <v>25</v>
      </c>
      <c r="C3" s="2">
        <v>42</v>
      </c>
      <c r="D3" s="2">
        <v>35</v>
      </c>
      <c r="E3" s="2">
        <v>44</v>
      </c>
      <c r="F3" s="2">
        <v>52</v>
      </c>
      <c r="G3" s="2">
        <v>49</v>
      </c>
      <c r="H3" s="2">
        <v>31</v>
      </c>
      <c r="I3" s="2">
        <v>22</v>
      </c>
      <c r="J3" s="2">
        <v>29</v>
      </c>
      <c r="K3" s="2">
        <v>39</v>
      </c>
      <c r="L3" s="2">
        <v>44</v>
      </c>
      <c r="M3" s="2">
        <v>55</v>
      </c>
      <c r="N3" s="27" t="s">
        <v>55</v>
      </c>
      <c r="O3" s="28"/>
    </row>
    <row r="4" spans="1:25">
      <c r="A4" s="3" t="s">
        <v>13</v>
      </c>
      <c r="B4" s="2">
        <v>10.1</v>
      </c>
      <c r="C4" s="2">
        <v>15.3</v>
      </c>
      <c r="D4" s="2">
        <v>18.899999999999999</v>
      </c>
      <c r="E4" s="2">
        <v>12.9</v>
      </c>
      <c r="F4" s="2">
        <v>20</v>
      </c>
      <c r="G4" s="2">
        <v>14</v>
      </c>
      <c r="H4" s="2">
        <v>12.8</v>
      </c>
      <c r="I4" s="2">
        <v>18.100000000000001</v>
      </c>
      <c r="J4" s="2">
        <v>12.1</v>
      </c>
      <c r="K4" s="2">
        <v>12.9</v>
      </c>
      <c r="L4" s="2">
        <v>21.1</v>
      </c>
      <c r="M4" s="2">
        <v>28.9</v>
      </c>
      <c r="N4" s="27"/>
      <c r="O4" s="28"/>
    </row>
    <row r="5" spans="1:25">
      <c r="A5" s="29" t="s">
        <v>56</v>
      </c>
      <c r="B5" s="1">
        <f>B3</f>
        <v>25</v>
      </c>
      <c r="C5" s="1">
        <f t="shared" ref="C5:M5" si="0">C3</f>
        <v>42</v>
      </c>
      <c r="D5" s="1">
        <f t="shared" si="0"/>
        <v>35</v>
      </c>
      <c r="E5" s="1">
        <f t="shared" si="0"/>
        <v>44</v>
      </c>
      <c r="F5" s="1">
        <f t="shared" si="0"/>
        <v>52</v>
      </c>
      <c r="G5" s="1">
        <f t="shared" si="0"/>
        <v>49</v>
      </c>
      <c r="H5" s="1">
        <f t="shared" si="0"/>
        <v>31</v>
      </c>
      <c r="I5" s="1">
        <f t="shared" si="0"/>
        <v>22</v>
      </c>
      <c r="J5" s="1">
        <f t="shared" si="0"/>
        <v>29</v>
      </c>
      <c r="K5" s="1">
        <f t="shared" si="0"/>
        <v>39</v>
      </c>
      <c r="L5" s="1">
        <f t="shared" si="0"/>
        <v>44</v>
      </c>
      <c r="M5" s="1">
        <f t="shared" si="0"/>
        <v>55</v>
      </c>
    </row>
    <row r="6" spans="1:25" ht="30">
      <c r="A6" s="29" t="s">
        <v>57</v>
      </c>
      <c r="B6" s="30">
        <f>B4/B3</f>
        <v>0.40399999999999997</v>
      </c>
      <c r="C6" s="30">
        <f t="shared" ref="C6:M6" si="1">C4/C3</f>
        <v>0.36428571428571432</v>
      </c>
      <c r="D6" s="30">
        <f>D4/D3</f>
        <v>0.53999999999999992</v>
      </c>
      <c r="E6" s="30">
        <f t="shared" si="1"/>
        <v>0.29318181818181821</v>
      </c>
      <c r="F6" s="30">
        <f t="shared" si="1"/>
        <v>0.38461538461538464</v>
      </c>
      <c r="G6" s="30">
        <f t="shared" si="1"/>
        <v>0.2857142857142857</v>
      </c>
      <c r="H6" s="30">
        <f t="shared" si="1"/>
        <v>0.41290322580645161</v>
      </c>
      <c r="I6" s="30">
        <f t="shared" si="1"/>
        <v>0.82272727272727275</v>
      </c>
      <c r="J6" s="30">
        <f t="shared" si="1"/>
        <v>0.41724137931034483</v>
      </c>
      <c r="K6" s="30">
        <f t="shared" si="1"/>
        <v>0.33076923076923076</v>
      </c>
      <c r="L6" s="30">
        <f t="shared" si="1"/>
        <v>0.47954545454545455</v>
      </c>
      <c r="M6" s="30">
        <f t="shared" si="1"/>
        <v>0.5254545454545454</v>
      </c>
    </row>
    <row r="7" spans="1:25">
      <c r="A7" s="31" t="s">
        <v>33</v>
      </c>
      <c r="B7" s="32">
        <f>(2*данные!$K$15*данные!$K$10*LOG10((матрица!B5/данные!$B$39)))/LOG10(данные!$B$32)</f>
        <v>16.320929680629096</v>
      </c>
      <c r="C7" s="32">
        <f>(2*данные!$K$15*данные!$K$10*LOG10((матрица!C5/данные!$B$39)))/LOG10(данные!$B$32)</f>
        <v>39.493976190231905</v>
      </c>
      <c r="D7" s="32">
        <f>(2*данные!$K$15*данные!$K$10*LOG10((матрица!D5/данные!$B$39)))/LOG10(данные!$B$32)</f>
        <v>31.350189643602071</v>
      </c>
      <c r="E7" s="32">
        <f>(2*данные!$K$15*данные!$K$10*LOG10((матрица!E5/данные!$B$39)))/LOG10(данные!$B$32)</f>
        <v>41.571893273314927</v>
      </c>
      <c r="F7" s="32">
        <f>(2*данные!$K$15*данные!$K$10*LOG10((матрица!F5/данные!$B$39)))/LOG10(данные!$B$32)</f>
        <v>49.033725166166363</v>
      </c>
      <c r="G7" s="32">
        <f>(2*данные!$K$15*данные!$K$10*LOG10((матрица!G5/данные!$B$39)))/LOG10(данные!$B$32)</f>
        <v>46.379449606575044</v>
      </c>
      <c r="H7" s="32">
        <f>(2*данные!$K$15*данные!$K$10*LOG10((матрица!H5/данные!$B$39)))/LOG10(данные!$B$32)</f>
        <v>25.929344561219622</v>
      </c>
      <c r="I7" s="32">
        <f>(2*данные!$K$15*данные!$K$10*LOG10((матрица!I5/данные!$B$39)))/LOG10(данные!$B$32)</f>
        <v>10.610975743097482</v>
      </c>
      <c r="J7" s="32">
        <f>(2*данные!$K$15*данные!$K$10*LOG10((матрица!J5/данные!$B$39)))/LOG10(данные!$B$32)</f>
        <v>22.950430120332467</v>
      </c>
      <c r="K7" s="32">
        <f>(2*данные!$K$15*данные!$K$10*LOG10((матрица!K5/данные!$B$39)))/LOG10(данные!$B$32)</f>
        <v>36.183783379046396</v>
      </c>
      <c r="L7" s="32">
        <f>(2*данные!$K$15*данные!$K$10*LOG10((матрица!L5/данные!$B$39)))/LOG10(данные!$B$32)</f>
        <v>41.571893273314927</v>
      </c>
      <c r="M7" s="32">
        <f>(2*данные!$K$15*данные!$K$10*LOG10((матрица!M5/данные!$B$39)))/LOG10(данные!$B$32)</f>
        <v>51.539082469782578</v>
      </c>
      <c r="N7" s="7"/>
      <c r="O7" s="33" t="s">
        <v>58</v>
      </c>
      <c r="P7" s="33"/>
      <c r="Q7" s="33"/>
      <c r="R7" s="33"/>
      <c r="S7" s="7"/>
      <c r="T7" s="7"/>
      <c r="V7" s="7"/>
      <c r="W7" s="7"/>
      <c r="X7" s="7"/>
      <c r="Y7" s="7"/>
    </row>
    <row r="8" spans="1:25">
      <c r="A8" s="31" t="s">
        <v>35</v>
      </c>
      <c r="B8" s="32">
        <f>(данные!$K$16*данные!$K$10*LOG10((B6/данные!$D$37)))/LOG10(данные!$B$32)</f>
        <v>57.271355149152463</v>
      </c>
      <c r="C8" s="32">
        <f>(данные!$K$16*данные!$K$10*LOG10((C6/данные!$D$37)))/LOG10(данные!$B$32)</f>
        <v>52.649358505734412</v>
      </c>
      <c r="D8" s="32">
        <f>(данные!$K$16*данные!$K$10*LOG10((D6/данные!$D$37)))/LOG10(данные!$B$32)</f>
        <v>70.231722609774636</v>
      </c>
      <c r="E8" s="32">
        <f>(данные!$K$16*данные!$K$10*LOG10((E6/данные!$D$37)))/LOG10(данные!$B$32)</f>
        <v>42.950083781013674</v>
      </c>
      <c r="F8" s="32">
        <f>(данные!$K$16*данные!$K$10*LOG10((F6/данные!$D$37)))/LOG10(данные!$B$32)</f>
        <v>55.075024151847472</v>
      </c>
      <c r="G8" s="32">
        <f>(данные!$K$16*данные!$K$10*LOG10((G6/данные!$D$37)))/LOG10(данные!$B$32)</f>
        <v>41.797642144194306</v>
      </c>
      <c r="H8" s="32">
        <f>(данные!$K$16*данные!$K$10*LOG10((H6/данные!$D$37)))/LOG10(данные!$B$32)</f>
        <v>58.245026363858933</v>
      </c>
      <c r="I8" s="32">
        <f>(данные!$K$16*данные!$K$10*LOG10((I6/данные!$D$37)))/LOG10(данные!$B$32)</f>
        <v>89.039082469782571</v>
      </c>
      <c r="J8" s="32">
        <f>(данные!$K$16*данные!$K$10*LOG10((J6/данные!$D$37)))/LOG10(данные!$B$32)</f>
        <v>58.711872185335984</v>
      </c>
      <c r="K8" s="32">
        <f>(данные!$K$16*данные!$K$10*LOG10((K6/данные!$D$37)))/LOG10(данные!$B$32)</f>
        <v>48.338193675282206</v>
      </c>
      <c r="L8" s="32">
        <f>(данные!$K$16*данные!$K$10*LOG10((L6/данные!$D$37)))/LOG10(данные!$B$32)</f>
        <v>64.928370164433488</v>
      </c>
      <c r="M8" s="32">
        <f>(данные!$K$16*данные!$K$10*LOG10((M6/данные!$D$37)))/LOG10(данные!$B$32)</f>
        <v>69.012065615333938</v>
      </c>
      <c r="N8" s="45">
        <f>данные!B30</f>
        <v>110</v>
      </c>
      <c r="O8" s="7"/>
      <c r="P8" s="7"/>
      <c r="Q8" s="7"/>
      <c r="R8" s="7"/>
      <c r="S8" s="7"/>
      <c r="T8" s="7"/>
      <c r="V8" s="7"/>
      <c r="W8" s="7"/>
      <c r="X8" s="7"/>
      <c r="Y8" s="7"/>
    </row>
    <row r="9" spans="1:25" ht="45" customHeight="1">
      <c r="M9" s="43" t="s">
        <v>60</v>
      </c>
      <c r="N9" s="45">
        <f>данные!B34</f>
        <v>78.622914946224981</v>
      </c>
      <c r="O9" s="23"/>
      <c r="P9" s="34"/>
      <c r="Q9" s="35"/>
      <c r="R9" s="35"/>
      <c r="S9" s="7"/>
      <c r="T9" s="7"/>
      <c r="V9" s="23"/>
      <c r="W9" s="34"/>
      <c r="X9" s="35"/>
      <c r="Y9" s="35"/>
    </row>
    <row r="10" spans="1:25" ht="44.25" customHeight="1">
      <c r="A10" s="36"/>
      <c r="M10" s="43" t="s">
        <v>61</v>
      </c>
      <c r="N10" s="45">
        <f>данные!B35</f>
        <v>56.196025042193888</v>
      </c>
      <c r="O10" s="23"/>
      <c r="P10" s="34"/>
      <c r="Q10" s="34"/>
      <c r="R10" s="35"/>
      <c r="S10" s="7"/>
      <c r="T10" s="7"/>
      <c r="V10" s="23"/>
      <c r="W10" s="34"/>
      <c r="X10" s="34"/>
      <c r="Y10" s="35"/>
    </row>
    <row r="11" spans="1:25" ht="45" customHeight="1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M11" s="43" t="s">
        <v>62</v>
      </c>
      <c r="N11" s="45">
        <f>данные!B36</f>
        <v>40.166320883712174</v>
      </c>
      <c r="O11" s="23"/>
      <c r="P11" s="23"/>
      <c r="Q11" s="34"/>
      <c r="R11" s="35"/>
      <c r="S11" s="7"/>
      <c r="T11" s="7"/>
      <c r="V11" s="23"/>
      <c r="W11" s="23"/>
      <c r="X11" s="34"/>
      <c r="Y11" s="35"/>
    </row>
    <row r="12" spans="1:25" ht="45" customHeigh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M12" s="43" t="s">
        <v>64</v>
      </c>
      <c r="N12" s="45">
        <f>данные!B37</f>
        <v>33.957857498345888</v>
      </c>
      <c r="O12" s="38"/>
      <c r="P12" s="23"/>
      <c r="Q12" s="34"/>
      <c r="R12" s="34"/>
      <c r="S12" s="7"/>
      <c r="T12" s="7"/>
      <c r="V12" s="38"/>
      <c r="W12" s="23"/>
      <c r="X12" s="34"/>
      <c r="Y12" s="34"/>
    </row>
    <row r="13" spans="1:25" ht="45" customHeight="1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M13" s="43" t="s">
        <v>63</v>
      </c>
      <c r="N13" s="45">
        <f>данные!B38</f>
        <v>24.271506744077065</v>
      </c>
      <c r="O13" s="38"/>
      <c r="P13" s="23"/>
      <c r="Q13" s="23"/>
      <c r="R13" s="34"/>
      <c r="S13" s="7"/>
      <c r="T13" s="7"/>
      <c r="V13" s="38"/>
      <c r="W13" s="23"/>
      <c r="X13" s="23"/>
      <c r="Y13" s="34"/>
    </row>
    <row r="14" spans="1:25" ht="45" customHeight="1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M14" s="43" t="s">
        <v>65</v>
      </c>
      <c r="N14" s="45">
        <f>данные!B39</f>
        <v>17.348151003239067</v>
      </c>
      <c r="O14" s="38"/>
      <c r="P14" s="38"/>
      <c r="Q14" s="23"/>
      <c r="R14" s="34"/>
      <c r="S14" s="7"/>
      <c r="T14" s="7"/>
      <c r="V14" s="38"/>
      <c r="W14" s="38"/>
      <c r="X14" s="23"/>
      <c r="Y14" s="34"/>
    </row>
    <row r="15" spans="1:2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M15" s="7"/>
      <c r="N15" s="7"/>
      <c r="O15" s="46">
        <f>данные!D37</f>
        <v>0.11208243011170355</v>
      </c>
      <c r="P15" s="46">
        <f>данные!D36</f>
        <v>0.21939393939393942</v>
      </c>
      <c r="Q15" s="46">
        <f>данные!D35</f>
        <v>0.42944911700094812</v>
      </c>
      <c r="R15" s="46">
        <f>данные!D34</f>
        <v>0.84061822583777646</v>
      </c>
      <c r="S15" s="46">
        <f>данные!B31</f>
        <v>1.6454545454545455</v>
      </c>
      <c r="T15" s="7"/>
      <c r="V15" s="39"/>
      <c r="W15" s="39"/>
      <c r="X15" s="39"/>
      <c r="Y15" s="39"/>
    </row>
    <row r="16" spans="1:25">
      <c r="A16" s="36"/>
      <c r="B16" s="40" t="s">
        <v>35</v>
      </c>
      <c r="C16" s="40" t="s">
        <v>33</v>
      </c>
      <c r="D16" s="37"/>
      <c r="E16" s="37"/>
      <c r="F16" s="37"/>
      <c r="G16" s="37"/>
      <c r="H16" s="37"/>
      <c r="I16" s="37"/>
      <c r="J16" s="37"/>
      <c r="K16" s="37"/>
      <c r="M16" s="7"/>
      <c r="N16" s="7"/>
      <c r="O16" s="7"/>
      <c r="P16" s="7"/>
      <c r="Q16" s="7"/>
      <c r="R16" s="7"/>
      <c r="S16" s="7"/>
      <c r="T16" s="7"/>
      <c r="V16" s="7"/>
      <c r="W16" s="7"/>
      <c r="X16" s="7"/>
      <c r="Y16" s="7"/>
    </row>
    <row r="17" spans="1:25">
      <c r="A17" s="36" t="s">
        <v>0</v>
      </c>
      <c r="B17" s="25">
        <f>B8</f>
        <v>57.271355149152463</v>
      </c>
      <c r="C17" s="25">
        <f>B7</f>
        <v>16.320929680629096</v>
      </c>
      <c r="D17" s="37"/>
      <c r="E17" s="37"/>
      <c r="F17" s="37"/>
      <c r="G17" s="37"/>
      <c r="H17" s="37"/>
      <c r="I17" s="37"/>
      <c r="J17" s="37"/>
      <c r="K17" s="37"/>
      <c r="M17" s="7"/>
      <c r="N17" s="7"/>
      <c r="O17" s="42" t="s">
        <v>66</v>
      </c>
      <c r="P17" s="42" t="s">
        <v>67</v>
      </c>
      <c r="Q17" s="42" t="s">
        <v>68</v>
      </c>
      <c r="R17" s="44" t="s">
        <v>69</v>
      </c>
      <c r="S17" s="7"/>
      <c r="T17" s="7"/>
      <c r="V17" s="7"/>
      <c r="W17" s="7"/>
      <c r="X17" s="7"/>
      <c r="Y17" s="7"/>
    </row>
    <row r="18" spans="1:25">
      <c r="A18" s="36" t="s">
        <v>1</v>
      </c>
      <c r="B18" s="25">
        <f>C8</f>
        <v>52.649358505734412</v>
      </c>
      <c r="C18" s="25">
        <f>C7</f>
        <v>39.493976190231905</v>
      </c>
      <c r="D18" s="41"/>
      <c r="E18" s="41"/>
      <c r="F18" s="41"/>
      <c r="G18" s="41"/>
      <c r="H18" s="41"/>
      <c r="I18" s="41"/>
      <c r="J18" s="41"/>
      <c r="K18" s="41"/>
      <c r="M18" s="7"/>
      <c r="N18" s="7"/>
      <c r="O18" s="7"/>
      <c r="P18" s="7"/>
      <c r="Q18" s="7"/>
      <c r="R18" s="7"/>
      <c r="S18" s="7"/>
      <c r="T18" s="7"/>
      <c r="V18" s="7"/>
      <c r="W18" s="7"/>
      <c r="X18" s="7"/>
      <c r="Y18" s="7"/>
    </row>
    <row r="19" spans="1:25">
      <c r="A19" s="36" t="s">
        <v>2</v>
      </c>
      <c r="B19" s="25">
        <f>D8</f>
        <v>70.231722609774636</v>
      </c>
      <c r="C19" s="25">
        <f>D7</f>
        <v>31.350189643602071</v>
      </c>
      <c r="D19" s="41"/>
      <c r="E19" s="41"/>
      <c r="F19" s="41"/>
      <c r="G19" s="41"/>
      <c r="H19" s="41"/>
      <c r="I19" s="41"/>
      <c r="J19" s="41"/>
      <c r="K19" s="41"/>
    </row>
    <row r="20" spans="1:25">
      <c r="A20" s="36" t="s">
        <v>3</v>
      </c>
      <c r="B20" s="25">
        <f>E8</f>
        <v>42.950083781013674</v>
      </c>
      <c r="C20" s="25">
        <f>E7</f>
        <v>41.571893273314927</v>
      </c>
      <c r="D20" s="41"/>
      <c r="E20" s="41"/>
      <c r="F20" s="41"/>
      <c r="G20" s="41"/>
      <c r="H20" s="41"/>
      <c r="I20" s="41"/>
      <c r="J20" s="41"/>
      <c r="K20" s="41"/>
    </row>
    <row r="21" spans="1:25">
      <c r="A21" s="36" t="s">
        <v>4</v>
      </c>
      <c r="B21" s="25">
        <f>F8</f>
        <v>55.075024151847472</v>
      </c>
      <c r="C21" s="25">
        <f>F7</f>
        <v>49.033725166166363</v>
      </c>
    </row>
    <row r="22" spans="1:25">
      <c r="A22" s="36" t="s">
        <v>5</v>
      </c>
      <c r="B22" s="25">
        <f>G8</f>
        <v>41.797642144194306</v>
      </c>
      <c r="C22" s="25">
        <f>G7</f>
        <v>46.379449606575044</v>
      </c>
    </row>
    <row r="23" spans="1:25">
      <c r="A23" s="36" t="s">
        <v>6</v>
      </c>
      <c r="B23" s="25">
        <f>H8</f>
        <v>58.245026363858933</v>
      </c>
      <c r="C23" s="25">
        <f>H7</f>
        <v>25.929344561219622</v>
      </c>
    </row>
    <row r="24" spans="1:25">
      <c r="A24" s="47" t="s">
        <v>7</v>
      </c>
      <c r="B24" s="25">
        <f>I8</f>
        <v>89.039082469782571</v>
      </c>
      <c r="C24" s="25">
        <f>I7</f>
        <v>10.610975743097482</v>
      </c>
    </row>
    <row r="25" spans="1:25">
      <c r="A25" s="36" t="s">
        <v>8</v>
      </c>
      <c r="B25" s="25">
        <f>J8</f>
        <v>58.711872185335984</v>
      </c>
      <c r="C25" s="25">
        <f>J7</f>
        <v>22.950430120332467</v>
      </c>
    </row>
    <row r="26" spans="1:25">
      <c r="A26" s="36" t="s">
        <v>59</v>
      </c>
      <c r="B26" s="25">
        <f>K8</f>
        <v>48.338193675282206</v>
      </c>
      <c r="C26" s="25">
        <f>K7</f>
        <v>36.183783379046396</v>
      </c>
    </row>
    <row r="27" spans="1:25">
      <c r="A27" s="36" t="s">
        <v>10</v>
      </c>
      <c r="B27" s="25">
        <f>L8</f>
        <v>64.928370164433488</v>
      </c>
      <c r="C27" s="25">
        <f>L7</f>
        <v>41.571893273314927</v>
      </c>
    </row>
    <row r="28" spans="1:25">
      <c r="A28" s="36" t="s">
        <v>11</v>
      </c>
      <c r="B28" s="25">
        <f>M8</f>
        <v>69.012065615333938</v>
      </c>
      <c r="C28" s="25">
        <f>M7</f>
        <v>51.539082469782578</v>
      </c>
    </row>
  </sheetData>
  <mergeCells count="2">
    <mergeCell ref="N3:O4"/>
    <mergeCell ref="O7:R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матрица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VitHome</dc:creator>
  <cp:lastModifiedBy>VitHome</cp:lastModifiedBy>
  <dcterms:created xsi:type="dcterms:W3CDTF">2018-09-25T18:31:44Z</dcterms:created>
  <dcterms:modified xsi:type="dcterms:W3CDTF">2018-09-25T19:07:06Z</dcterms:modified>
</cp:coreProperties>
</file>