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Лист1" sheetId="1" r:id="rId1"/>
    <sheet name="Лист2" sheetId="2" r:id="rId2"/>
    <sheet name="Лист3" sheetId="3" r:id="rId3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"000000000000"&amp;MID(1/2,2,1)&amp;"0#####"</definedName>
    <definedName name="n0x">IF(n_3=1,n_2,n_3&amp;n_1)</definedName>
    <definedName name="n1x">IF(n_3=1,n_2,n_3&amp;n_5)</definedName>
    <definedName name="доля">{"десятая","десятых";"сотая","сотых";"тысячная","тысячных";"десятитысячная","десятитысячных";"стотысячная","стотысячных";"миллионная ","миллионных"}</definedName>
    <definedName name="мил">{0,"овz";1,"z";2,"аz";5,"овz"}</definedName>
    <definedName name="тыс">{0,"тысячz";1,"тысячаz";2,"тысячиz";5,"тысячz"}</definedName>
  </definedNames>
  <calcPr calcId="125725"/>
</workbook>
</file>

<file path=xl/calcChain.xml><?xml version="1.0" encoding="utf-8"?>
<calcChain xmlns="http://schemas.openxmlformats.org/spreadsheetml/2006/main">
  <c r="A81" i="1"/>
  <c r="Z82" l="1"/>
  <c r="R82"/>
  <c r="Q82"/>
  <c r="P82"/>
  <c r="O82"/>
  <c r="N82"/>
  <c r="M82"/>
  <c r="L82"/>
  <c r="K82"/>
  <c r="J82"/>
  <c r="J83" s="1"/>
  <c r="I82"/>
  <c r="I83" s="1"/>
  <c r="H82"/>
  <c r="H83" s="1"/>
  <c r="Z81"/>
  <c r="X81"/>
  <c r="S54"/>
  <c r="P54"/>
  <c r="N38"/>
  <c r="M38"/>
  <c r="L38"/>
  <c r="K38"/>
  <c r="J38"/>
  <c r="I38"/>
  <c r="H38"/>
  <c r="G38"/>
  <c r="F38"/>
  <c r="E38"/>
  <c r="D38"/>
  <c r="C38"/>
  <c r="A38"/>
  <c r="R37"/>
  <c r="Q37"/>
  <c r="O37"/>
  <c r="M37"/>
  <c r="P37" s="1"/>
  <c r="B37"/>
  <c r="R36"/>
  <c r="Q36"/>
  <c r="O36"/>
  <c r="M36"/>
  <c r="P36" s="1"/>
  <c r="B36"/>
  <c r="R35"/>
  <c r="Q35"/>
  <c r="O35"/>
  <c r="M35"/>
  <c r="P35" s="1"/>
  <c r="B35"/>
  <c r="R34"/>
  <c r="O34"/>
  <c r="R33"/>
  <c r="O33"/>
  <c r="R32"/>
  <c r="O32"/>
  <c r="R31"/>
  <c r="O31"/>
  <c r="R30"/>
  <c r="O30"/>
  <c r="R29"/>
  <c r="O29"/>
  <c r="R28"/>
  <c r="O28"/>
  <c r="R27"/>
  <c r="O27"/>
  <c r="R26"/>
  <c r="O26"/>
  <c r="R25"/>
  <c r="O25"/>
  <c r="R24"/>
  <c r="O24"/>
  <c r="R23"/>
  <c r="R22"/>
  <c r="O22"/>
  <c r="R21"/>
  <c r="O21"/>
  <c r="R20"/>
  <c r="R19"/>
  <c r="O19"/>
  <c r="R18"/>
  <c r="O18"/>
  <c r="R17"/>
  <c r="O17"/>
  <c r="B17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R16"/>
  <c r="O16"/>
  <c r="P16" s="1"/>
  <c r="M17" s="1"/>
  <c r="P8"/>
  <c r="H7"/>
  <c r="M7" s="1"/>
  <c r="N6"/>
  <c r="O6" s="1"/>
  <c r="Q38" l="1"/>
  <c r="P17"/>
  <c r="M18" s="1"/>
  <c r="P18" s="1"/>
  <c r="M19" s="1"/>
  <c r="P19" s="1"/>
  <c r="M20" s="1"/>
  <c r="P20" s="1"/>
  <c r="M21" s="1"/>
  <c r="P21" s="1"/>
  <c r="M22" s="1"/>
  <c r="P22" s="1"/>
  <c r="M23" s="1"/>
  <c r="P23" s="1"/>
  <c r="M24" s="1"/>
  <c r="P24" s="1"/>
  <c r="M25" s="1"/>
  <c r="P25" s="1"/>
  <c r="M26" s="1"/>
  <c r="P26" s="1"/>
  <c r="M27" s="1"/>
  <c r="P27" s="1"/>
  <c r="M28" s="1"/>
  <c r="P28" s="1"/>
  <c r="M29" s="1"/>
  <c r="P29" s="1"/>
  <c r="M30" s="1"/>
  <c r="P30" s="1"/>
  <c r="M31" s="1"/>
  <c r="P31" s="1"/>
  <c r="M32" s="1"/>
  <c r="P32" s="1"/>
  <c r="M33" s="1"/>
  <c r="P33" s="1"/>
  <c r="M34" s="1"/>
  <c r="P34" s="1"/>
  <c r="P38" s="1"/>
  <c r="R38"/>
  <c r="O38"/>
  <c r="U82"/>
  <c r="U83" s="1"/>
  <c r="T82"/>
  <c r="T83" s="1"/>
  <c r="S82"/>
  <c r="S83" s="1"/>
  <c r="A82" l="1"/>
  <c r="A83" s="1"/>
</calcChain>
</file>

<file path=xl/sharedStrings.xml><?xml version="1.0" encoding="utf-8"?>
<sst xmlns="http://schemas.openxmlformats.org/spreadsheetml/2006/main" count="338" uniqueCount="155">
  <si>
    <t xml:space="preserve">Картка Обліку роботи автомобільного транспорту та заробітної плати водія  № </t>
  </si>
  <si>
    <t xml:space="preserve">за </t>
  </si>
  <si>
    <t>Прізвище І. По-б. водія</t>
  </si>
  <si>
    <t>Годинна тарифна ставка</t>
  </si>
  <si>
    <t>Клас водія</t>
  </si>
  <si>
    <t>Доплата за класність,%</t>
  </si>
  <si>
    <t>Відрядна розцнка: за тонно - км.</t>
  </si>
  <si>
    <t>Розцінка за тонни: навант – розвант.</t>
  </si>
  <si>
    <t xml:space="preserve">Клас водія </t>
  </si>
  <si>
    <t>Коефици-</t>
  </si>
  <si>
    <r>
      <t xml:space="preserve">         Марка автомобіля:</t>
    </r>
    <r>
      <rPr>
        <sz val="13"/>
        <color rgb="FF0033CC"/>
        <rFont val="Times New Roman"/>
        <family val="1"/>
        <charset val="204"/>
      </rPr>
      <t xml:space="preserve"> </t>
    </r>
    <r>
      <rPr>
        <b/>
        <sz val="13"/>
        <color rgb="FF0033CC"/>
        <rFont val="Times New Roman"/>
        <family val="1"/>
        <charset val="204"/>
      </rPr>
      <t/>
    </r>
  </si>
  <si>
    <r>
      <rPr>
        <sz val="13"/>
        <color rgb="FF0033CC"/>
        <rFont val="Times New Roman"/>
        <family val="1"/>
        <charset val="204"/>
      </rPr>
      <t>ЗИЛ ММЗ 544 М</t>
    </r>
    <r>
      <rPr>
        <b/>
        <sz val="13"/>
        <color rgb="FF0033CC"/>
        <rFont val="Times New Roman"/>
        <family val="1"/>
        <charset val="204"/>
      </rPr>
      <t/>
    </r>
  </si>
  <si>
    <r>
      <t>Державний №</t>
    </r>
    <r>
      <rPr>
        <sz val="13"/>
        <color rgb="FF0033CC"/>
        <rFont val="Times New Roman"/>
        <family val="1"/>
        <charset val="204"/>
      </rPr>
      <t xml:space="preserve"> </t>
    </r>
  </si>
  <si>
    <t>ент испо-</t>
  </si>
  <si>
    <t>Число</t>
  </si>
  <si>
    <t>№ доро-</t>
  </si>
  <si>
    <t xml:space="preserve">Час в </t>
  </si>
  <si>
    <t>Кількість</t>
  </si>
  <si>
    <t xml:space="preserve">     Пробіг, км.</t>
  </si>
  <si>
    <t xml:space="preserve">   в тому числі</t>
  </si>
  <si>
    <t xml:space="preserve">     Перевезено</t>
  </si>
  <si>
    <t>Вантажооборот,</t>
  </si>
  <si>
    <t>Рух пального літрів</t>
  </si>
  <si>
    <t>льзования</t>
  </si>
  <si>
    <t>місяця</t>
  </si>
  <si>
    <t xml:space="preserve">жнього </t>
  </si>
  <si>
    <t>наряді</t>
  </si>
  <si>
    <r>
      <rPr>
        <b/>
        <sz val="11.5"/>
        <color rgb="FF0033CC"/>
        <rFont val="Times New Roman"/>
        <family val="1"/>
        <charset val="204"/>
      </rPr>
      <t>їздок</t>
    </r>
    <r>
      <rPr>
        <sz val="11.5"/>
        <color rgb="FF0033CC"/>
        <rFont val="Times New Roman"/>
        <family val="1"/>
        <charset val="204"/>
      </rPr>
      <t xml:space="preserve">  з</t>
    </r>
  </si>
  <si>
    <t xml:space="preserve">      загальний</t>
  </si>
  <si>
    <t xml:space="preserve">     з вантажем</t>
  </si>
  <si>
    <t xml:space="preserve">           тонн</t>
  </si>
  <si>
    <t xml:space="preserve">   тонно – км.</t>
  </si>
  <si>
    <t>Залишок</t>
  </si>
  <si>
    <t>Заправ-</t>
  </si>
  <si>
    <t>Витрати</t>
  </si>
  <si>
    <t>Зарп-</t>
  </si>
  <si>
    <t>пробега:</t>
  </si>
  <si>
    <t>листа</t>
  </si>
  <si>
    <t>годин</t>
  </si>
  <si>
    <t>вантажем</t>
  </si>
  <si>
    <t>Автомо-</t>
  </si>
  <si>
    <t>При-</t>
  </si>
  <si>
    <t>Причепа</t>
  </si>
  <si>
    <t>Всього</t>
  </si>
  <si>
    <t>В т.ч.</t>
  </si>
  <si>
    <t>при</t>
  </si>
  <si>
    <t xml:space="preserve">лено </t>
  </si>
  <si>
    <t>палива,</t>
  </si>
  <si>
    <t>лата</t>
  </si>
  <si>
    <t>Пробіг з</t>
  </si>
  <si>
    <t>Заг. проб.</t>
  </si>
  <si>
    <t>біля,</t>
  </si>
  <si>
    <t>чепа</t>
  </si>
  <si>
    <t>тонн</t>
  </si>
  <si>
    <t>на при-</t>
  </si>
  <si>
    <t>тонно –</t>
  </si>
  <si>
    <t>виїзді</t>
  </si>
  <si>
    <t>по нормі</t>
  </si>
  <si>
    <t>повер-</t>
  </si>
  <si>
    <t>грн.</t>
  </si>
  <si>
    <r>
      <rPr>
        <sz val="9"/>
        <color rgb="FF0033CC"/>
        <rFont val="Times New Roman"/>
        <family val="1"/>
        <charset val="204"/>
      </rPr>
      <t>розд.</t>
    </r>
    <r>
      <rPr>
        <sz val="8"/>
        <color rgb="FF0033CC"/>
        <rFont val="Times New Roman"/>
        <family val="1"/>
        <charset val="204"/>
      </rPr>
      <t xml:space="preserve"> 37 км.</t>
    </r>
  </si>
  <si>
    <t>км.</t>
  </si>
  <si>
    <t>чепі</t>
  </si>
  <si>
    <t>кілометр.</t>
  </si>
  <si>
    <t>ненні</t>
  </si>
  <si>
    <t>відрядно</t>
  </si>
  <si>
    <t>: заг-ний</t>
  </si>
  <si>
    <t>Всього:</t>
  </si>
  <si>
    <t>СА 1111 АХ</t>
  </si>
  <si>
    <r>
      <t>Відомість</t>
    </r>
    <r>
      <rPr>
        <b/>
        <sz val="14"/>
        <color rgb="FF0070C0"/>
        <rFont val="Times New Roman"/>
        <family val="1"/>
        <charset val="204"/>
      </rPr>
      <t xml:space="preserve"> </t>
    </r>
    <r>
      <rPr>
        <sz val="14"/>
        <color rgb="FF0070C0"/>
        <rFont val="Times New Roman"/>
        <family val="1"/>
        <charset val="204"/>
      </rPr>
      <t>№ «________»</t>
    </r>
  </si>
  <si>
    <t>Зведена - узагалнена таблиця № 1 із 3-ох таблиць всього</t>
  </si>
  <si>
    <t>Считает исходя из таблиц по отдельным автомобилям</t>
  </si>
  <si>
    <r>
      <t xml:space="preserve">Зведена відомість Обліку роботи автомобільного транспорту та заробітної плати водіїв, + рух пального </t>
    </r>
    <r>
      <rPr>
        <b/>
        <sz val="18"/>
        <color theme="0" tint="-4.9989318521683403E-2"/>
        <rFont val="Times New Roman"/>
        <family val="1"/>
        <charset val="204"/>
      </rPr>
      <t xml:space="preserve">якщо на одному автомобілі працювало декілька водіїв і сума по всим автомобілям і всим водіям </t>
    </r>
  </si>
  <si>
    <t xml:space="preserve"> за </t>
  </si>
  <si>
    <t>місяць</t>
  </si>
  <si>
    <t xml:space="preserve">№ </t>
  </si>
  <si>
    <t>Відпрацьовано</t>
  </si>
  <si>
    <t xml:space="preserve">    Рух дизельного пального літрів</t>
  </si>
  <si>
    <t>Заробітна плата</t>
  </si>
  <si>
    <t>за</t>
  </si>
  <si>
    <t>Прізвище</t>
  </si>
  <si>
    <t>Марка автомобіля,</t>
  </si>
  <si>
    <t>Кіль -</t>
  </si>
  <si>
    <t>Пробіг</t>
  </si>
  <si>
    <t>З нього</t>
  </si>
  <si>
    <t>Вантажо-</t>
  </si>
  <si>
    <t>Додатко-</t>
  </si>
  <si>
    <t xml:space="preserve">       Довідково</t>
  </si>
  <si>
    <t xml:space="preserve"> п.</t>
  </si>
  <si>
    <t>І. По- б.</t>
  </si>
  <si>
    <t>Державний номер</t>
  </si>
  <si>
    <t>Дні</t>
  </si>
  <si>
    <t>кість</t>
  </si>
  <si>
    <t>загаль-</t>
  </si>
  <si>
    <t xml:space="preserve">пробіг з </t>
  </si>
  <si>
    <t>Переве-</t>
  </si>
  <si>
    <t>жооборот</t>
  </si>
  <si>
    <t>Основна,</t>
  </si>
  <si>
    <t>ва: допла-</t>
  </si>
  <si>
    <t>Всього,</t>
  </si>
  <si>
    <t>водія</t>
  </si>
  <si>
    <t>їздок</t>
  </si>
  <si>
    <t xml:space="preserve">ний, </t>
  </si>
  <si>
    <t>вантажем,</t>
  </si>
  <si>
    <t>зено</t>
  </si>
  <si>
    <t>тонно-</t>
  </si>
  <si>
    <t xml:space="preserve">лата за </t>
  </si>
  <si>
    <t>грн. / км.</t>
  </si>
  <si>
    <t>грн./год.</t>
  </si>
  <si>
    <t>з ван -</t>
  </si>
  <si>
    <t>кіломет-</t>
  </si>
  <si>
    <t>класність</t>
  </si>
  <si>
    <t>тажем</t>
  </si>
  <si>
    <t>рів</t>
  </si>
  <si>
    <t>сть, грн.</t>
  </si>
  <si>
    <t>Вантажні автомобілі</t>
  </si>
  <si>
    <t>Разом Вантажні автомобілі</t>
  </si>
  <si>
    <t>Х</t>
  </si>
  <si>
    <t>Рух бензину, літрів</t>
  </si>
  <si>
    <t>Рух газу, літрів</t>
  </si>
  <si>
    <t xml:space="preserve"> пор.</t>
  </si>
  <si>
    <t>Автобуси</t>
  </si>
  <si>
    <t>Разом Автобуси</t>
  </si>
  <si>
    <t>Всього Вантажні автомобілі та Автобуси</t>
  </si>
  <si>
    <t xml:space="preserve">Пономаренко В. А.  Салабай М. В. Щербатюк І. А.     </t>
  </si>
  <si>
    <t xml:space="preserve">ЗИЛ ММЗ 544 М. № СА 4815 АХ     </t>
  </si>
  <si>
    <t/>
  </si>
  <si>
    <t xml:space="preserve">        </t>
  </si>
  <si>
    <t xml:space="preserve">КамАЗ −  55102 . № СА 7884 АХ     </t>
  </si>
  <si>
    <t>не їздив</t>
  </si>
  <si>
    <t xml:space="preserve">Салабай М. В.        </t>
  </si>
  <si>
    <t xml:space="preserve">МАЗ − 5551 . № 05447 МЕ     </t>
  </si>
  <si>
    <t xml:space="preserve">МАЗ − 5551 . № 05551 МЕ     </t>
  </si>
  <si>
    <t xml:space="preserve">Коломієць М. Т.        </t>
  </si>
  <si>
    <t xml:space="preserve">МАЗ 555102 − 220 . № СА 6739 АН     </t>
  </si>
  <si>
    <t xml:space="preserve">Щербатюк І. А.        </t>
  </si>
  <si>
    <t xml:space="preserve">КамАЗ − 5511 . № СА 4816 АХ     </t>
  </si>
  <si>
    <t xml:space="preserve">КамАЗ − 5511 . № СА 7883 АХ     </t>
  </si>
  <si>
    <t xml:space="preserve">Лісовий В. А.        </t>
  </si>
  <si>
    <t xml:space="preserve">КрАЗ−650555−220 . № СА 9756 АН     </t>
  </si>
  <si>
    <t xml:space="preserve">Сидоренко В. І.        </t>
  </si>
  <si>
    <t xml:space="preserve">DAF TE47XS 95.380 XF . № СА 2405 ВА      </t>
  </si>
  <si>
    <t xml:space="preserve">ГАЗ 32213. № СА 2547 АЕ      </t>
  </si>
  <si>
    <t>Иванов Иван Иванович (Карта)</t>
  </si>
  <si>
    <t>Петров Пётр Петрович (Карта)</t>
  </si>
  <si>
    <t>Сидоров Сергей Сергеевич (Карта)</t>
  </si>
  <si>
    <t>Иваненко Илья  Иванович (Карта)</t>
  </si>
  <si>
    <t>Петренко Павел Павлович (Карта)</t>
  </si>
  <si>
    <t>Сергиенко Валерий Николаевич (Карта)</t>
  </si>
  <si>
    <r>
      <t xml:space="preserve">Такие таблицы </t>
    </r>
    <r>
      <rPr>
        <sz val="18"/>
        <color rgb="FFFF0000"/>
        <rFont val="Calibri"/>
        <family val="2"/>
        <charset val="204"/>
      </rPr>
      <t>↓</t>
    </r>
    <r>
      <rPr>
        <sz val="18"/>
        <color rgb="FFFF0000"/>
        <rFont val="Calibri"/>
        <family val="2"/>
        <charset val="204"/>
        <scheme val="minor"/>
      </rPr>
      <t xml:space="preserve"> у меня есть по всем 10 автомобилям </t>
    </r>
  </si>
  <si>
    <r>
      <t xml:space="preserve">Такая сводная таблица </t>
    </r>
    <r>
      <rPr>
        <sz val="22"/>
        <color rgb="FFFF0000"/>
        <rFont val="Calibri"/>
        <family val="2"/>
        <charset val="204"/>
      </rPr>
      <t>↓</t>
    </r>
    <r>
      <rPr>
        <sz val="22"/>
        <color rgb="FFFF0000"/>
        <rFont val="Calibri"/>
        <family val="2"/>
        <charset val="204"/>
        <scheme val="minor"/>
      </rPr>
      <t xml:space="preserve"> у меня есть  и она «собирает» данные по всем 10 автомобилям </t>
    </r>
  </si>
  <si>
    <t xml:space="preserve">Травкин Сергей Петрович </t>
  </si>
  <si>
    <t>Эту таблицу ↓ я разместил для примера</t>
  </si>
  <si>
    <t>таблицы по которым размещены выше на этом же листе</t>
  </si>
  <si>
    <t>В эти таблицы я вношу данные из путевых листов за каждый день работы автомобиля</t>
  </si>
</sst>
</file>

<file path=xl/styles.xml><?xml version="1.0" encoding="utf-8"?>
<styleSheet xmlns="http://schemas.openxmlformats.org/spreadsheetml/2006/main">
  <numFmts count="4">
    <numFmt numFmtId="164" formatCode="[$-419]mmmm;@"/>
    <numFmt numFmtId="165" formatCode="0.0"/>
    <numFmt numFmtId="166" formatCode="[$-419]d\ mmm;@"/>
    <numFmt numFmtId="167" formatCode="#,##0.0"/>
  </numFmts>
  <fonts count="58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rgb="FF00FF99"/>
      <name val="Times New Roman"/>
      <family val="1"/>
      <charset val="204"/>
    </font>
    <font>
      <b/>
      <sz val="14"/>
      <color rgb="FF0033CC"/>
      <name val="Times New Roman"/>
      <family val="1"/>
      <charset val="204"/>
    </font>
    <font>
      <sz val="10"/>
      <color rgb="FF00CC00"/>
      <name val="Arial"/>
      <family val="2"/>
      <charset val="204"/>
    </font>
    <font>
      <b/>
      <u/>
      <sz val="14"/>
      <color rgb="FF0070C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b/>
      <sz val="13"/>
      <color rgb="FF0033CC"/>
      <name val="Times New Roman"/>
      <family val="1"/>
      <charset val="204"/>
    </font>
    <font>
      <sz val="13"/>
      <color rgb="FF0033CC"/>
      <name val="Times New Roman"/>
      <family val="1"/>
      <charset val="204"/>
    </font>
    <font>
      <sz val="11"/>
      <color rgb="FF0033CC"/>
      <name val="Times New Roman"/>
      <family val="1"/>
      <charset val="204"/>
    </font>
    <font>
      <sz val="10"/>
      <color rgb="FF0033CC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rgb="FF0033CC"/>
      <name val="Times New Roman"/>
      <family val="1"/>
      <charset val="204"/>
    </font>
    <font>
      <sz val="11.5"/>
      <color rgb="FF0033CC"/>
      <name val="Times New Roman"/>
      <family val="1"/>
      <charset val="204"/>
    </font>
    <font>
      <b/>
      <sz val="12.5"/>
      <color rgb="FF0033CC"/>
      <name val="Times New Roman"/>
      <family val="1"/>
      <charset val="204"/>
    </font>
    <font>
      <sz val="12.5"/>
      <color rgb="FF0033CC"/>
      <name val="Times New Roman"/>
      <family val="1"/>
      <charset val="204"/>
    </font>
    <font>
      <b/>
      <sz val="11.5"/>
      <color rgb="FF0033CC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rgb="FF0033CC"/>
      <name val="Times New Roman"/>
      <family val="1"/>
      <charset val="204"/>
    </font>
    <font>
      <sz val="9"/>
      <color rgb="FF0033CC"/>
      <name val="Times New Roman"/>
      <family val="1"/>
      <charset val="204"/>
    </font>
    <font>
      <b/>
      <sz val="11"/>
      <color rgb="FF0033CC"/>
      <name val="Times New Roman"/>
      <family val="1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2"/>
      <color rgb="FF0033CC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8"/>
      <color rgb="FF0070C0"/>
      <name val="Times New Roman"/>
      <family val="1"/>
      <charset val="204"/>
    </font>
    <font>
      <b/>
      <sz val="18"/>
      <color theme="0" tint="-4.9989318521683403E-2"/>
      <name val="Times New Roman"/>
      <family val="1"/>
      <charset val="204"/>
    </font>
    <font>
      <b/>
      <u/>
      <sz val="18"/>
      <color rgb="FF0099CC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sz val="13"/>
      <color rgb="FF0070C0"/>
      <name val="Times New Roman"/>
      <family val="1"/>
      <charset val="204"/>
    </font>
    <font>
      <b/>
      <sz val="13"/>
      <color rgb="FF0070C0"/>
      <name val="Times New Roman"/>
      <family val="1"/>
      <charset val="204"/>
    </font>
    <font>
      <sz val="11.5"/>
      <color rgb="FF0070C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33CC"/>
      <name val="Arial"/>
      <family val="2"/>
      <charset val="204"/>
    </font>
    <font>
      <sz val="12"/>
      <color rgb="FF0033CC"/>
      <name val="Calibri"/>
      <family val="2"/>
      <charset val="204"/>
      <scheme val="minor"/>
    </font>
    <font>
      <sz val="11"/>
      <color rgb="FF0033CC"/>
      <name val="Arial Cyr"/>
      <charset val="204"/>
    </font>
    <font>
      <sz val="11.5"/>
      <color rgb="FF000000"/>
      <name val="Times New Roman"/>
      <family val="1"/>
      <charset val="204"/>
    </font>
    <font>
      <b/>
      <sz val="16"/>
      <color rgb="FF0033CC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0"/>
      <color rgb="FF0033CC"/>
      <name val="Times New Roman"/>
      <family val="1"/>
      <charset val="204"/>
    </font>
    <font>
      <b/>
      <sz val="8"/>
      <color rgb="FF0033CC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sz val="18"/>
      <color rgb="FFFF0000"/>
      <name val="Calibri"/>
      <family val="2"/>
      <charset val="204"/>
      <scheme val="minor"/>
    </font>
    <font>
      <sz val="18"/>
      <color rgb="FFFF0000"/>
      <name val="Calibri"/>
      <family val="2"/>
      <charset val="204"/>
    </font>
    <font>
      <sz val="22"/>
      <color rgb="FFFF0000"/>
      <name val="Calibri"/>
      <family val="2"/>
      <charset val="204"/>
      <scheme val="minor"/>
    </font>
    <font>
      <sz val="22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 style="thin">
        <color indexed="64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medium">
        <color rgb="FF0033CC"/>
      </right>
      <top style="thin">
        <color rgb="FF0033CC"/>
      </top>
      <bottom/>
      <diagonal/>
    </border>
    <border>
      <left/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 style="medium">
        <color rgb="FF0033CC"/>
      </right>
      <top style="thin">
        <color rgb="FF0033CC"/>
      </top>
      <bottom/>
      <diagonal/>
    </border>
    <border>
      <left/>
      <right/>
      <top/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/>
      <top style="thin">
        <color rgb="FF0033CC"/>
      </top>
      <bottom/>
      <diagonal/>
    </border>
    <border>
      <left style="thin">
        <color rgb="FF0033CC"/>
      </left>
      <right style="medium">
        <color rgb="FF0033CC"/>
      </right>
      <top/>
      <bottom/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/>
      <top/>
      <bottom style="thin">
        <color rgb="FF0033CC"/>
      </bottom>
      <diagonal/>
    </border>
    <border>
      <left/>
      <right style="medium">
        <color rgb="FF0033CC"/>
      </right>
      <top/>
      <bottom style="thin">
        <color rgb="FF0033CC"/>
      </bottom>
      <diagonal/>
    </border>
    <border>
      <left/>
      <right style="medium">
        <color rgb="FF0033CC"/>
      </right>
      <top/>
      <bottom/>
      <diagonal/>
    </border>
    <border>
      <left style="medium">
        <color rgb="FF0033CC"/>
      </left>
      <right/>
      <top/>
      <bottom/>
      <diagonal/>
    </border>
    <border>
      <left/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medium">
        <color rgb="FF0033CC"/>
      </right>
      <top/>
      <bottom style="medium">
        <color rgb="FF0033CC"/>
      </bottom>
      <diagonal/>
    </border>
    <border>
      <left style="medium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medium">
        <color rgb="FF0033CC"/>
      </bottom>
      <diagonal/>
    </border>
    <border>
      <left/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medium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medium">
        <color rgb="FF0033CC"/>
      </top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medium">
        <color rgb="FF0033CC"/>
      </top>
      <bottom style="thin">
        <color rgb="FF0033CC"/>
      </bottom>
      <diagonal/>
    </border>
    <border>
      <left/>
      <right style="thin">
        <color rgb="FF0033CC"/>
      </right>
      <top style="medium">
        <color rgb="FF0033CC"/>
      </top>
      <bottom style="thin">
        <color rgb="FF0033CC"/>
      </bottom>
      <diagonal/>
    </border>
    <border>
      <left style="thin">
        <color rgb="FF0033CC"/>
      </left>
      <right/>
      <top/>
      <bottom/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33CC"/>
      </right>
      <top/>
      <bottom style="thin">
        <color indexed="64"/>
      </bottom>
      <diagonal/>
    </border>
    <border>
      <left/>
      <right style="thin">
        <color rgb="FF0033CC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33CC"/>
      </right>
      <top style="thin">
        <color indexed="64"/>
      </top>
      <bottom style="thin">
        <color indexed="64"/>
      </bottom>
      <diagonal/>
    </border>
    <border>
      <left style="thin">
        <color rgb="FF0033CC"/>
      </left>
      <right/>
      <top style="thin">
        <color rgb="FF0033CC"/>
      </top>
      <bottom style="medium">
        <color rgb="FF0033CC"/>
      </bottom>
      <diagonal/>
    </border>
    <border>
      <left/>
      <right/>
      <top style="thin">
        <color rgb="FF0033CC"/>
      </top>
      <bottom style="medium">
        <color rgb="FF0033CC"/>
      </bottom>
      <diagonal/>
    </border>
    <border>
      <left style="medium">
        <color rgb="FF0033CC"/>
      </left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indexed="64"/>
      </top>
      <bottom style="medium">
        <color rgb="FF0033CC"/>
      </bottom>
      <diagonal/>
    </border>
    <border>
      <left style="thin">
        <color rgb="FF0033CC"/>
      </left>
      <right/>
      <top style="medium">
        <color rgb="FF0033CC"/>
      </top>
      <bottom style="thin">
        <color rgb="FF0033CC"/>
      </bottom>
      <diagonal/>
    </border>
    <border>
      <left/>
      <right/>
      <top style="medium">
        <color rgb="FF0033CC"/>
      </top>
      <bottom style="thin">
        <color rgb="FF0033CC"/>
      </bottom>
      <diagonal/>
    </border>
    <border>
      <left/>
      <right style="medium">
        <color rgb="FF0033CC"/>
      </right>
      <top style="medium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rgb="FF0033CC"/>
      </top>
      <bottom style="medium">
        <color rgb="FF0033CC"/>
      </bottom>
      <diagonal/>
    </border>
    <border>
      <left/>
      <right style="medium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</borders>
  <cellStyleXfs count="2">
    <xf numFmtId="0" fontId="0" fillId="0" borderId="0"/>
    <xf numFmtId="0" fontId="23" fillId="0" borderId="0"/>
  </cellStyleXfs>
  <cellXfs count="331">
    <xf numFmtId="0" fontId="0" fillId="0" borderId="0" xfId="0"/>
    <xf numFmtId="0" fontId="0" fillId="0" borderId="0" xfId="0" applyProtection="1"/>
    <xf numFmtId="1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14" fillId="0" borderId="4" xfId="0" applyFont="1" applyBorder="1" applyAlignment="1" applyProtection="1">
      <alignment horizontal="center"/>
    </xf>
    <xf numFmtId="0" fontId="0" fillId="0" borderId="9" xfId="0" applyBorder="1" applyProtection="1"/>
    <xf numFmtId="0" fontId="0" fillId="0" borderId="12" xfId="0" applyBorder="1" applyProtection="1"/>
    <xf numFmtId="0" fontId="17" fillId="0" borderId="13" xfId="0" applyFont="1" applyBorder="1" applyProtection="1"/>
    <xf numFmtId="0" fontId="0" fillId="0" borderId="14" xfId="0" applyBorder="1" applyProtection="1"/>
    <xf numFmtId="0" fontId="0" fillId="0" borderId="17" xfId="0" applyBorder="1" applyProtection="1"/>
    <xf numFmtId="0" fontId="0" fillId="0" borderId="19" xfId="0" applyBorder="1" applyProtection="1"/>
    <xf numFmtId="0" fontId="0" fillId="0" borderId="20" xfId="0" applyBorder="1" applyProtection="1"/>
    <xf numFmtId="0" fontId="11" fillId="0" borderId="9" xfId="0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19" fillId="0" borderId="4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0" fontId="11" fillId="0" borderId="22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0" fontId="19" fillId="0" borderId="6" xfId="0" applyFont="1" applyBorder="1" applyAlignment="1" applyProtection="1">
      <alignment horizontal="center"/>
    </xf>
    <xf numFmtId="0" fontId="11" fillId="0" borderId="16" xfId="0" applyFont="1" applyBorder="1" applyAlignment="1" applyProtection="1">
      <alignment horizontal="center"/>
    </xf>
    <xf numFmtId="0" fontId="0" fillId="0" borderId="6" xfId="0" applyFont="1" applyBorder="1" applyProtection="1"/>
    <xf numFmtId="0" fontId="13" fillId="0" borderId="6" xfId="0" applyFont="1" applyFill="1" applyBorder="1" applyAlignment="1" applyProtection="1">
      <alignment horizontal="center"/>
    </xf>
    <xf numFmtId="0" fontId="0" fillId="0" borderId="23" xfId="0" applyBorder="1" applyProtection="1"/>
    <xf numFmtId="0" fontId="0" fillId="0" borderId="25" xfId="0" applyBorder="1" applyProtection="1"/>
    <xf numFmtId="0" fontId="13" fillId="0" borderId="24" xfId="0" applyFont="1" applyFill="1" applyBorder="1" applyAlignment="1" applyProtection="1">
      <alignment horizontal="center"/>
    </xf>
    <xf numFmtId="3" fontId="1" fillId="0" borderId="27" xfId="0" applyNumberFormat="1" applyFont="1" applyFill="1" applyBorder="1" applyAlignment="1" applyProtection="1">
      <alignment horizontal="center"/>
    </xf>
    <xf numFmtId="3" fontId="8" fillId="0" borderId="28" xfId="0" applyNumberFormat="1" applyFont="1" applyFill="1" applyBorder="1" applyAlignment="1" applyProtection="1">
      <alignment horizontal="center"/>
    </xf>
    <xf numFmtId="0" fontId="8" fillId="0" borderId="29" xfId="0" applyFont="1" applyFill="1" applyBorder="1" applyAlignment="1" applyProtection="1">
      <alignment horizontal="center"/>
    </xf>
    <xf numFmtId="0" fontId="8" fillId="0" borderId="17" xfId="0" applyFont="1" applyFill="1" applyBorder="1" applyAlignment="1" applyProtection="1">
      <alignment horizontal="center"/>
    </xf>
    <xf numFmtId="0" fontId="8" fillId="0" borderId="35" xfId="0" applyFont="1" applyFill="1" applyBorder="1" applyAlignment="1" applyProtection="1">
      <alignment horizontal="center"/>
    </xf>
    <xf numFmtId="4" fontId="25" fillId="0" borderId="17" xfId="0" applyNumberFormat="1" applyFont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ill="1" applyProtection="1"/>
    <xf numFmtId="0" fontId="3" fillId="0" borderId="0" xfId="0" applyFont="1" applyFill="1" applyProtection="1"/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5" fillId="0" borderId="0" xfId="0" quotePrefix="1" applyFont="1" applyFill="1"/>
    <xf numFmtId="0" fontId="4" fillId="0" borderId="0" xfId="0" applyFont="1" applyFill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164" fontId="7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Font="1" applyFill="1"/>
    <xf numFmtId="0" fontId="9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Protection="1"/>
    <xf numFmtId="0" fontId="8" fillId="0" borderId="0" xfId="0" applyFont="1" applyFill="1" applyProtection="1"/>
    <xf numFmtId="0" fontId="11" fillId="0" borderId="0" xfId="0" applyFont="1" applyFill="1" applyAlignment="1" applyProtection="1">
      <alignment horizontal="left"/>
    </xf>
    <xf numFmtId="0" fontId="12" fillId="0" borderId="1" xfId="0" applyFont="1" applyFill="1" applyBorder="1" applyProtection="1"/>
    <xf numFmtId="0" fontId="8" fillId="0" borderId="2" xfId="0" applyFont="1" applyFill="1" applyBorder="1" applyAlignment="1" applyProtection="1">
      <alignment horizontal="left"/>
    </xf>
    <xf numFmtId="10" fontId="0" fillId="0" borderId="3" xfId="0" applyNumberFormat="1" applyFill="1" applyBorder="1" applyAlignment="1" applyProtection="1">
      <alignment horizontal="center"/>
    </xf>
    <xf numFmtId="0" fontId="13" fillId="0" borderId="4" xfId="0" applyFont="1" applyFill="1" applyBorder="1" applyAlignment="1" applyProtection="1">
      <alignment horizontal="center"/>
    </xf>
    <xf numFmtId="10" fontId="0" fillId="0" borderId="5" xfId="0" applyNumberForma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  <xf numFmtId="0" fontId="14" fillId="0" borderId="4" xfId="0" applyFont="1" applyFill="1" applyBorder="1" applyAlignment="1" applyProtection="1">
      <alignment horizontal="center"/>
    </xf>
    <xf numFmtId="0" fontId="15" fillId="0" borderId="7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0" fillId="0" borderId="9" xfId="0" applyFill="1" applyBorder="1" applyProtection="1"/>
    <xf numFmtId="0" fontId="16" fillId="0" borderId="10" xfId="0" applyFont="1" applyFill="1" applyBorder="1" applyAlignment="1" applyProtection="1">
      <alignment horizontal="left"/>
    </xf>
    <xf numFmtId="0" fontId="0" fillId="0" borderId="11" xfId="0" applyFill="1" applyBorder="1" applyProtection="1"/>
    <xf numFmtId="0" fontId="9" fillId="0" borderId="8" xfId="0" applyFont="1" applyFill="1" applyBorder="1" applyAlignment="1" applyProtection="1">
      <alignment horizontal="left"/>
    </xf>
    <xf numFmtId="0" fontId="0" fillId="0" borderId="12" xfId="0" applyFill="1" applyBorder="1" applyProtection="1"/>
    <xf numFmtId="0" fontId="17" fillId="0" borderId="13" xfId="0" applyFont="1" applyFill="1" applyBorder="1" applyProtection="1"/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/>
    </xf>
    <xf numFmtId="0" fontId="14" fillId="0" borderId="6" xfId="0" applyFont="1" applyFill="1" applyBorder="1" applyAlignment="1" applyProtection="1">
      <alignment horizontal="center"/>
    </xf>
    <xf numFmtId="0" fontId="15" fillId="0" borderId="16" xfId="0" applyFont="1" applyFill="1" applyBorder="1" applyAlignment="1" applyProtection="1">
      <alignment horizontal="center"/>
    </xf>
    <xf numFmtId="0" fontId="9" fillId="0" borderId="12" xfId="0" applyFont="1" applyFill="1" applyBorder="1" applyProtection="1"/>
    <xf numFmtId="0" fontId="0" fillId="0" borderId="17" xfId="0" applyFill="1" applyBorder="1" applyProtection="1"/>
    <xf numFmtId="0" fontId="16" fillId="0" borderId="18" xfId="0" applyFont="1" applyFill="1" applyBorder="1" applyProtection="1"/>
    <xf numFmtId="0" fontId="0" fillId="0" borderId="19" xfId="0" applyFill="1" applyBorder="1" applyProtection="1"/>
    <xf numFmtId="0" fontId="9" fillId="0" borderId="12" xfId="0" applyFont="1" applyFill="1" applyBorder="1" applyAlignment="1" applyProtection="1">
      <alignment horizontal="left"/>
    </xf>
    <xf numFmtId="0" fontId="0" fillId="0" borderId="20" xfId="0" applyFill="1" applyBorder="1" applyProtection="1"/>
    <xf numFmtId="0" fontId="11" fillId="0" borderId="9" xfId="0" applyFont="1" applyFill="1" applyBorder="1" applyAlignment="1" applyProtection="1">
      <alignment horizontal="center"/>
    </xf>
    <xf numFmtId="0" fontId="11" fillId="0" borderId="4" xfId="0" applyFont="1" applyFill="1" applyBorder="1" applyAlignment="1" applyProtection="1">
      <alignment horizontal="center"/>
    </xf>
    <xf numFmtId="0" fontId="19" fillId="0" borderId="4" xfId="0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/>
    </xf>
    <xf numFmtId="0" fontId="16" fillId="0" borderId="21" xfId="0" applyFont="1" applyFill="1" applyBorder="1" applyAlignment="1" applyProtection="1">
      <alignment horizontal="center"/>
    </xf>
    <xf numFmtId="0" fontId="0" fillId="0" borderId="6" xfId="0" applyFill="1" applyBorder="1" applyProtection="1"/>
    <xf numFmtId="0" fontId="15" fillId="0" borderId="16" xfId="0" applyFont="1" applyFill="1" applyBorder="1" applyProtection="1"/>
    <xf numFmtId="0" fontId="11" fillId="0" borderId="22" xfId="0" applyFont="1" applyFill="1" applyBorder="1" applyAlignment="1" applyProtection="1">
      <alignment horizontal="center"/>
    </xf>
    <xf numFmtId="0" fontId="11" fillId="0" borderId="6" xfId="0" applyFont="1" applyFill="1" applyBorder="1" applyAlignment="1" applyProtection="1">
      <alignment horizontal="center"/>
    </xf>
    <xf numFmtId="0" fontId="19" fillId="0" borderId="6" xfId="0" applyFont="1" applyFill="1" applyBorder="1" applyAlignment="1" applyProtection="1">
      <alignment horizontal="center"/>
    </xf>
    <xf numFmtId="0" fontId="11" fillId="0" borderId="16" xfId="0" applyFont="1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0" fillId="0" borderId="16" xfId="0" applyFill="1" applyBorder="1" applyProtection="1"/>
    <xf numFmtId="0" fontId="0" fillId="0" borderId="6" xfId="0" applyFont="1" applyFill="1" applyBorder="1" applyProtection="1"/>
    <xf numFmtId="0" fontId="0" fillId="0" borderId="23" xfId="0" applyFill="1" applyBorder="1" applyProtection="1"/>
    <xf numFmtId="0" fontId="0" fillId="0" borderId="23" xfId="0" applyFill="1" applyBorder="1" applyAlignment="1" applyProtection="1">
      <alignment horizontal="center"/>
    </xf>
    <xf numFmtId="0" fontId="20" fillId="0" borderId="24" xfId="0" applyFont="1" applyFill="1" applyBorder="1" applyAlignment="1" applyProtection="1">
      <alignment horizontal="center"/>
    </xf>
    <xf numFmtId="0" fontId="0" fillId="0" borderId="25" xfId="0" applyFill="1" applyBorder="1" applyProtection="1"/>
    <xf numFmtId="0" fontId="22" fillId="0" borderId="24" xfId="0" applyFont="1" applyFill="1" applyBorder="1" applyAlignment="1" applyProtection="1">
      <alignment horizontal="center"/>
    </xf>
    <xf numFmtId="0" fontId="22" fillId="0" borderId="23" xfId="0" applyFont="1" applyFill="1" applyBorder="1" applyAlignment="1" applyProtection="1">
      <alignment horizontal="center"/>
    </xf>
    <xf numFmtId="0" fontId="22" fillId="0" borderId="25" xfId="0" applyFont="1" applyFill="1" applyBorder="1" applyAlignment="1" applyProtection="1">
      <alignment horizontal="center"/>
    </xf>
    <xf numFmtId="0" fontId="0" fillId="0" borderId="24" xfId="0" applyFont="1" applyFill="1" applyBorder="1" applyProtection="1"/>
    <xf numFmtId="0" fontId="11" fillId="0" borderId="25" xfId="0" applyFont="1" applyFill="1" applyBorder="1" applyAlignment="1" applyProtection="1">
      <alignment horizontal="center"/>
    </xf>
    <xf numFmtId="0" fontId="11" fillId="0" borderId="26" xfId="0" applyFont="1" applyFill="1" applyBorder="1" applyAlignment="1" applyProtection="1">
      <alignment horizontal="center"/>
    </xf>
    <xf numFmtId="0" fontId="11" fillId="0" borderId="24" xfId="0" applyFont="1" applyFill="1" applyBorder="1" applyAlignment="1" applyProtection="1">
      <alignment horizontal="center"/>
    </xf>
    <xf numFmtId="0" fontId="0" fillId="0" borderId="23" xfId="0" applyFont="1" applyFill="1" applyBorder="1" applyProtection="1"/>
    <xf numFmtId="165" fontId="1" fillId="0" borderId="23" xfId="0" applyNumberFormat="1" applyFont="1" applyFill="1" applyBorder="1" applyAlignment="1" applyProtection="1">
      <alignment horizontal="center"/>
    </xf>
    <xf numFmtId="166" fontId="8" fillId="0" borderId="27" xfId="0" applyNumberFormat="1" applyFont="1" applyFill="1" applyBorder="1" applyProtection="1">
      <protection locked="0"/>
    </xf>
    <xf numFmtId="0" fontId="8" fillId="0" borderId="27" xfId="0" applyFont="1" applyFill="1" applyBorder="1" applyAlignment="1" applyProtection="1">
      <alignment horizontal="center"/>
      <protection locked="0"/>
    </xf>
    <xf numFmtId="0" fontId="8" fillId="0" borderId="28" xfId="0" applyFont="1" applyFill="1" applyBorder="1" applyAlignment="1" applyProtection="1">
      <alignment horizontal="center"/>
      <protection locked="0"/>
    </xf>
    <xf numFmtId="0" fontId="8" fillId="0" borderId="17" xfId="0" applyFon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 applyProtection="1">
      <alignment horizontal="center"/>
      <protection locked="0"/>
    </xf>
    <xf numFmtId="4" fontId="8" fillId="0" borderId="17" xfId="0" applyNumberFormat="1" applyFont="1" applyFill="1" applyBorder="1" applyAlignment="1" applyProtection="1">
      <alignment horizontal="center"/>
      <protection locked="0"/>
    </xf>
    <xf numFmtId="4" fontId="8" fillId="0" borderId="28" xfId="0" applyNumberFormat="1" applyFont="1" applyFill="1" applyBorder="1" applyAlignment="1" applyProtection="1">
      <alignment horizontal="center"/>
      <protection locked="0"/>
    </xf>
    <xf numFmtId="3" fontId="8" fillId="0" borderId="17" xfId="0" applyNumberFormat="1" applyFont="1" applyFill="1" applyBorder="1" applyAlignment="1" applyProtection="1">
      <alignment horizontal="center"/>
      <protection locked="0"/>
    </xf>
    <xf numFmtId="3" fontId="8" fillId="0" borderId="27" xfId="0" applyNumberFormat="1" applyFont="1" applyFill="1" applyBorder="1" applyAlignment="1" applyProtection="1">
      <alignment horizontal="center"/>
      <protection locked="0"/>
    </xf>
    <xf numFmtId="4" fontId="24" fillId="0" borderId="27" xfId="1" applyNumberFormat="1" applyFont="1" applyFill="1" applyBorder="1" applyAlignment="1" applyProtection="1">
      <alignment horizontal="center"/>
    </xf>
    <xf numFmtId="3" fontId="8" fillId="0" borderId="17" xfId="0" applyNumberFormat="1" applyFont="1" applyFill="1" applyBorder="1" applyAlignment="1" applyProtection="1">
      <alignment horizontal="center"/>
    </xf>
    <xf numFmtId="166" fontId="8" fillId="0" borderId="30" xfId="0" applyNumberFormat="1" applyFont="1" applyFill="1" applyBorder="1" applyProtection="1">
      <protection locked="0"/>
    </xf>
    <xf numFmtId="0" fontId="8" fillId="0" borderId="31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center"/>
      <protection locked="0"/>
    </xf>
    <xf numFmtId="0" fontId="2" fillId="0" borderId="30" xfId="0" applyFont="1" applyFill="1" applyBorder="1" applyAlignment="1" applyProtection="1">
      <alignment horizontal="center"/>
      <protection locked="0"/>
    </xf>
    <xf numFmtId="0" fontId="8" fillId="0" borderId="30" xfId="0" applyFont="1" applyFill="1" applyBorder="1" applyAlignment="1" applyProtection="1">
      <alignment horizontal="center"/>
      <protection locked="0"/>
    </xf>
    <xf numFmtId="4" fontId="8" fillId="0" borderId="2" xfId="0" applyNumberFormat="1" applyFont="1" applyFill="1" applyBorder="1" applyAlignment="1" applyProtection="1">
      <alignment horizontal="center"/>
      <protection locked="0"/>
    </xf>
    <xf numFmtId="4" fontId="8" fillId="0" borderId="31" xfId="0" applyNumberFormat="1" applyFont="1" applyFill="1" applyBorder="1" applyAlignment="1" applyProtection="1">
      <alignment horizontal="center"/>
      <protection locked="0"/>
    </xf>
    <xf numFmtId="3" fontId="8" fillId="0" borderId="30" xfId="0" applyNumberFormat="1" applyFont="1" applyFill="1" applyBorder="1" applyAlignment="1" applyProtection="1">
      <alignment horizontal="center"/>
      <protection locked="0"/>
    </xf>
    <xf numFmtId="167" fontId="8" fillId="0" borderId="30" xfId="0" applyNumberFormat="1" applyFont="1" applyFill="1" applyBorder="1" applyAlignment="1" applyProtection="1">
      <alignment horizontal="center"/>
      <protection locked="0"/>
    </xf>
    <xf numFmtId="2" fontId="8" fillId="0" borderId="17" xfId="0" applyNumberFormat="1" applyFont="1" applyFill="1" applyBorder="1" applyAlignment="1" applyProtection="1">
      <alignment horizontal="center"/>
    </xf>
    <xf numFmtId="166" fontId="8" fillId="0" borderId="32" xfId="0" applyNumberFormat="1" applyFont="1" applyFill="1" applyBorder="1" applyProtection="1">
      <protection locked="0"/>
    </xf>
    <xf numFmtId="0" fontId="8" fillId="0" borderId="33" xfId="0" applyFont="1" applyFill="1" applyBorder="1" applyAlignment="1" applyProtection="1">
      <alignment horizontal="center"/>
      <protection locked="0"/>
    </xf>
    <xf numFmtId="0" fontId="8" fillId="0" borderId="34" xfId="0" applyFon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 applyProtection="1">
      <alignment horizontal="center"/>
      <protection locked="0"/>
    </xf>
    <xf numFmtId="0" fontId="8" fillId="0" borderId="32" xfId="0" applyFont="1" applyFill="1" applyBorder="1" applyAlignment="1" applyProtection="1">
      <alignment horizontal="center"/>
      <protection locked="0"/>
    </xf>
    <xf numFmtId="4" fontId="8" fillId="0" borderId="34" xfId="0" applyNumberFormat="1" applyFont="1" applyFill="1" applyBorder="1" applyAlignment="1" applyProtection="1">
      <alignment horizontal="center"/>
      <protection locked="0"/>
    </xf>
    <xf numFmtId="4" fontId="8" fillId="0" borderId="33" xfId="0" applyNumberFormat="1" applyFont="1" applyFill="1" applyBorder="1" applyAlignment="1" applyProtection="1">
      <alignment horizontal="center"/>
      <protection locked="0"/>
    </xf>
    <xf numFmtId="3" fontId="8" fillId="0" borderId="32" xfId="0" applyNumberFormat="1" applyFont="1" applyFill="1" applyBorder="1" applyAlignment="1" applyProtection="1">
      <alignment horizontal="center"/>
      <protection locked="0"/>
    </xf>
    <xf numFmtId="4" fontId="24" fillId="0" borderId="32" xfId="1" applyNumberFormat="1" applyFont="1" applyFill="1" applyBorder="1" applyAlignment="1" applyProtection="1">
      <alignment horizontal="center"/>
    </xf>
    <xf numFmtId="0" fontId="25" fillId="0" borderId="36" xfId="0" applyFont="1" applyFill="1" applyBorder="1" applyAlignment="1" applyProtection="1">
      <alignment horizontal="center"/>
    </xf>
    <xf numFmtId="0" fontId="25" fillId="0" borderId="36" xfId="0" applyFont="1" applyFill="1" applyBorder="1" applyProtection="1"/>
    <xf numFmtId="167" fontId="25" fillId="0" borderId="36" xfId="0" applyNumberFormat="1" applyFont="1" applyFill="1" applyBorder="1" applyAlignment="1" applyProtection="1">
      <alignment horizontal="center"/>
    </xf>
    <xf numFmtId="3" fontId="25" fillId="0" borderId="37" xfId="0" applyNumberFormat="1" applyFont="1" applyFill="1" applyBorder="1" applyAlignment="1" applyProtection="1">
      <alignment horizontal="center"/>
    </xf>
    <xf numFmtId="3" fontId="25" fillId="0" borderId="38" xfId="0" applyNumberFormat="1" applyFont="1" applyFill="1" applyBorder="1" applyAlignment="1" applyProtection="1">
      <alignment horizontal="center"/>
    </xf>
    <xf numFmtId="3" fontId="25" fillId="0" borderId="36" xfId="0" applyNumberFormat="1" applyFont="1" applyFill="1" applyBorder="1" applyAlignment="1" applyProtection="1">
      <alignment horizontal="center"/>
    </xf>
    <xf numFmtId="4" fontId="25" fillId="0" borderId="38" xfId="0" applyNumberFormat="1" applyFont="1" applyFill="1" applyBorder="1" applyAlignment="1" applyProtection="1">
      <alignment horizontal="center"/>
    </xf>
    <xf numFmtId="4" fontId="25" fillId="0" borderId="37" xfId="0" applyNumberFormat="1" applyFont="1" applyFill="1" applyBorder="1" applyAlignment="1" applyProtection="1">
      <alignment horizontal="center"/>
    </xf>
    <xf numFmtId="3" fontId="26" fillId="0" borderId="36" xfId="0" applyNumberFormat="1" applyFont="1" applyFill="1" applyBorder="1" applyAlignment="1" applyProtection="1">
      <alignment horizontal="center"/>
    </xf>
    <xf numFmtId="4" fontId="25" fillId="0" borderId="17" xfId="0" applyNumberFormat="1" applyFont="1" applyFill="1" applyBorder="1" applyAlignment="1" applyProtection="1">
      <alignment horizontal="center"/>
    </xf>
    <xf numFmtId="4" fontId="25" fillId="0" borderId="27" xfId="1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0" fillId="0" borderId="0" xfId="0" applyFill="1" applyBorder="1" applyProtection="1"/>
    <xf numFmtId="0" fontId="27" fillId="0" borderId="0" xfId="0" applyFont="1" applyAlignment="1" applyProtection="1">
      <alignment horizontal="left"/>
    </xf>
    <xf numFmtId="0" fontId="29" fillId="0" borderId="0" xfId="0" applyFont="1" applyProtection="1"/>
    <xf numFmtId="0" fontId="29" fillId="0" borderId="0" xfId="0" applyFont="1" applyAlignment="1" applyProtection="1">
      <alignment horizontal="left"/>
    </xf>
    <xf numFmtId="0" fontId="30" fillId="0" borderId="0" xfId="0" applyFont="1" applyAlignment="1" applyProtection="1">
      <alignment horizontal="left"/>
    </xf>
    <xf numFmtId="0" fontId="14" fillId="0" borderId="0" xfId="0" applyFont="1" applyAlignment="1" applyProtection="1"/>
    <xf numFmtId="0" fontId="31" fillId="0" borderId="0" xfId="0" applyFont="1" applyAlignment="1" applyProtection="1">
      <alignment horizontal="left"/>
    </xf>
    <xf numFmtId="0" fontId="33" fillId="0" borderId="0" xfId="0" applyFont="1" applyAlignment="1" applyProtection="1">
      <alignment horizontal="left"/>
    </xf>
    <xf numFmtId="0" fontId="34" fillId="0" borderId="0" xfId="0" applyFont="1" applyProtection="1"/>
    <xf numFmtId="164" fontId="8" fillId="0" borderId="0" xfId="0" applyNumberFormat="1" applyFont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29" fillId="0" borderId="10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left"/>
    </xf>
    <xf numFmtId="0" fontId="0" fillId="0" borderId="8" xfId="0" applyBorder="1" applyProtection="1"/>
    <xf numFmtId="0" fontId="0" fillId="0" borderId="13" xfId="0" applyBorder="1" applyProtection="1"/>
    <xf numFmtId="0" fontId="36" fillId="0" borderId="13" xfId="0" applyFont="1" applyBorder="1" applyProtection="1"/>
    <xf numFmtId="0" fontId="37" fillId="0" borderId="13" xfId="0" applyFont="1" applyBorder="1" applyProtection="1"/>
    <xf numFmtId="0" fontId="0" fillId="0" borderId="2" xfId="0" applyBorder="1" applyProtection="1"/>
    <xf numFmtId="0" fontId="0" fillId="0" borderId="10" xfId="0" applyBorder="1" applyProtection="1"/>
    <xf numFmtId="0" fontId="29" fillId="0" borderId="39" xfId="0" applyFont="1" applyBorder="1" applyAlignment="1" applyProtection="1">
      <alignment horizontal="center"/>
    </xf>
    <xf numFmtId="0" fontId="37" fillId="0" borderId="39" xfId="0" applyFont="1" applyBorder="1" applyAlignment="1" applyProtection="1">
      <alignment horizontal="left"/>
    </xf>
    <xf numFmtId="0" fontId="0" fillId="0" borderId="22" xfId="0" applyBorder="1" applyProtection="1"/>
    <xf numFmtId="0" fontId="29" fillId="0" borderId="0" xfId="0" applyFont="1" applyBorder="1" applyAlignment="1" applyProtection="1">
      <alignment horizontal="left"/>
    </xf>
    <xf numFmtId="0" fontId="36" fillId="0" borderId="4" xfId="0" applyFont="1" applyBorder="1" applyAlignment="1" applyProtection="1">
      <alignment horizontal="center"/>
    </xf>
    <xf numFmtId="0" fontId="29" fillId="0" borderId="9" xfId="0" applyFont="1" applyBorder="1" applyAlignment="1" applyProtection="1">
      <alignment horizontal="center"/>
    </xf>
    <xf numFmtId="0" fontId="0" fillId="0" borderId="4" xfId="0" applyBorder="1" applyProtection="1"/>
    <xf numFmtId="0" fontId="38" fillId="0" borderId="20" xfId="0" applyFont="1" applyBorder="1" applyAlignment="1" applyProtection="1">
      <alignment horizontal="center"/>
    </xf>
    <xf numFmtId="0" fontId="35" fillId="0" borderId="9" xfId="0" applyFont="1" applyBorder="1" applyAlignment="1" applyProtection="1">
      <alignment horizontal="center"/>
    </xf>
    <xf numFmtId="0" fontId="39" fillId="0" borderId="13" xfId="0" applyFont="1" applyBorder="1" applyAlignment="1" applyProtection="1">
      <alignment horizontal="left"/>
    </xf>
    <xf numFmtId="0" fontId="29" fillId="0" borderId="39" xfId="0" applyFont="1" applyBorder="1" applyAlignment="1" applyProtection="1">
      <alignment horizontal="left"/>
    </xf>
    <xf numFmtId="0" fontId="29" fillId="0" borderId="22" xfId="0" applyFont="1" applyBorder="1" applyAlignment="1" applyProtection="1">
      <alignment horizontal="center"/>
    </xf>
    <xf numFmtId="0" fontId="14" fillId="0" borderId="39" xfId="0" applyFont="1" applyBorder="1" applyAlignment="1" applyProtection="1">
      <alignment horizontal="center"/>
    </xf>
    <xf numFmtId="0" fontId="36" fillId="0" borderId="6" xfId="0" applyFont="1" applyBorder="1" applyAlignment="1" applyProtection="1">
      <alignment horizontal="center"/>
    </xf>
    <xf numFmtId="0" fontId="29" fillId="0" borderId="6" xfId="0" applyFont="1" applyBorder="1" applyAlignment="1" applyProtection="1">
      <alignment horizontal="center"/>
    </xf>
    <xf numFmtId="0" fontId="36" fillId="0" borderId="22" xfId="0" applyFont="1" applyBorder="1" applyAlignment="1" applyProtection="1">
      <alignment horizontal="center"/>
    </xf>
    <xf numFmtId="0" fontId="35" fillId="0" borderId="22" xfId="0" applyFont="1" applyBorder="1" applyAlignment="1" applyProtection="1">
      <alignment horizontal="center"/>
    </xf>
    <xf numFmtId="0" fontId="37" fillId="0" borderId="22" xfId="0" applyFont="1" applyBorder="1" applyAlignment="1" applyProtection="1">
      <alignment horizontal="center"/>
    </xf>
    <xf numFmtId="0" fontId="0" fillId="0" borderId="39" xfId="0" applyBorder="1" applyProtection="1"/>
    <xf numFmtId="0" fontId="29" fillId="0" borderId="20" xfId="0" applyFont="1" applyBorder="1" applyAlignment="1" applyProtection="1">
      <alignment horizontal="center"/>
    </xf>
    <xf numFmtId="0" fontId="40" fillId="0" borderId="22" xfId="0" applyFont="1" applyBorder="1" applyAlignment="1" applyProtection="1"/>
    <xf numFmtId="0" fontId="0" fillId="0" borderId="39" xfId="0" applyBorder="1" applyAlignment="1" applyProtection="1">
      <alignment horizontal="left"/>
    </xf>
    <xf numFmtId="0" fontId="29" fillId="0" borderId="16" xfId="0" applyFont="1" applyBorder="1" applyAlignment="1" applyProtection="1">
      <alignment horizontal="center"/>
    </xf>
    <xf numFmtId="0" fontId="0" fillId="0" borderId="40" xfId="0" applyBorder="1" applyProtection="1"/>
    <xf numFmtId="0" fontId="0" fillId="0" borderId="40" xfId="0" applyBorder="1" applyAlignment="1" applyProtection="1">
      <alignment horizontal="left"/>
    </xf>
    <xf numFmtId="0" fontId="0" fillId="0" borderId="24" xfId="0" applyBorder="1" applyProtection="1"/>
    <xf numFmtId="0" fontId="0" fillId="0" borderId="41" xfId="0" applyBorder="1" applyProtection="1"/>
    <xf numFmtId="0" fontId="35" fillId="0" borderId="23" xfId="0" applyFont="1" applyBorder="1" applyAlignment="1" applyProtection="1">
      <alignment horizontal="center"/>
    </xf>
    <xf numFmtId="0" fontId="29" fillId="0" borderId="25" xfId="0" applyFont="1" applyBorder="1" applyAlignment="1" applyProtection="1">
      <alignment horizontal="center"/>
    </xf>
    <xf numFmtId="0" fontId="0" fillId="0" borderId="24" xfId="0" applyFill="1" applyBorder="1" applyProtection="1"/>
    <xf numFmtId="0" fontId="35" fillId="0" borderId="24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left"/>
    </xf>
    <xf numFmtId="0" fontId="0" fillId="0" borderId="27" xfId="0" applyBorder="1" applyProtection="1"/>
    <xf numFmtId="0" fontId="0" fillId="0" borderId="28" xfId="0" applyBorder="1" applyProtection="1"/>
    <xf numFmtId="0" fontId="0" fillId="0" borderId="18" xfId="0" applyBorder="1" applyProtection="1"/>
    <xf numFmtId="0" fontId="41" fillId="0" borderId="27" xfId="0" applyFont="1" applyFill="1" applyBorder="1" applyProtection="1"/>
    <xf numFmtId="3" fontId="14" fillId="0" borderId="27" xfId="0" applyNumberFormat="1" applyFont="1" applyBorder="1" applyAlignment="1" applyProtection="1">
      <alignment horizontal="center"/>
    </xf>
    <xf numFmtId="167" fontId="14" fillId="0" borderId="27" xfId="0" applyNumberFormat="1" applyFont="1" applyBorder="1" applyAlignment="1" applyProtection="1">
      <alignment horizontal="center"/>
    </xf>
    <xf numFmtId="4" fontId="14" fillId="0" borderId="27" xfId="0" applyNumberFormat="1" applyFont="1" applyBorder="1" applyAlignment="1" applyProtection="1">
      <alignment horizontal="center"/>
    </xf>
    <xf numFmtId="4" fontId="14" fillId="0" borderId="28" xfId="0" applyNumberFormat="1" applyFont="1" applyBorder="1" applyAlignment="1" applyProtection="1">
      <alignment horizontal="center"/>
    </xf>
    <xf numFmtId="3" fontId="14" fillId="0" borderId="42" xfId="0" applyNumberFormat="1" applyFont="1" applyBorder="1" applyAlignment="1" applyProtection="1">
      <alignment horizontal="center"/>
    </xf>
    <xf numFmtId="3" fontId="42" fillId="0" borderId="27" xfId="0" applyNumberFormat="1" applyFont="1" applyBorder="1" applyAlignment="1" applyProtection="1">
      <alignment horizontal="center"/>
    </xf>
    <xf numFmtId="3" fontId="14" fillId="0" borderId="43" xfId="0" applyNumberFormat="1" applyFont="1" applyBorder="1" applyAlignment="1" applyProtection="1">
      <alignment horizontal="center"/>
    </xf>
    <xf numFmtId="4" fontId="14" fillId="0" borderId="17" xfId="0" applyNumberFormat="1" applyFont="1" applyBorder="1" applyAlignment="1" applyProtection="1">
      <alignment horizontal="center"/>
    </xf>
    <xf numFmtId="3" fontId="43" fillId="0" borderId="44" xfId="0" applyNumberFormat="1" applyFont="1" applyFill="1" applyBorder="1" applyAlignment="1" applyProtection="1">
      <alignment horizontal="center"/>
    </xf>
    <xf numFmtId="4" fontId="44" fillId="0" borderId="44" xfId="0" applyNumberFormat="1" applyFont="1" applyBorder="1" applyAlignment="1" applyProtection="1">
      <alignment horizontal="center"/>
    </xf>
    <xf numFmtId="4" fontId="44" fillId="0" borderId="42" xfId="0" applyNumberFormat="1" applyFont="1" applyBorder="1" applyAlignment="1" applyProtection="1">
      <alignment horizontal="center"/>
    </xf>
    <xf numFmtId="0" fontId="8" fillId="0" borderId="18" xfId="0" applyFont="1" applyBorder="1" applyProtection="1"/>
    <xf numFmtId="0" fontId="8" fillId="0" borderId="12" xfId="0" applyFont="1" applyBorder="1" applyProtection="1"/>
    <xf numFmtId="0" fontId="41" fillId="0" borderId="30" xfId="0" applyFont="1" applyFill="1" applyBorder="1" applyProtection="1"/>
    <xf numFmtId="0" fontId="15" fillId="0" borderId="1" xfId="0" applyFont="1" applyFill="1" applyBorder="1" applyAlignment="1">
      <alignment horizontal="left"/>
    </xf>
    <xf numFmtId="0" fontId="0" fillId="0" borderId="2" xfId="0" applyFill="1" applyBorder="1" applyProtection="1"/>
    <xf numFmtId="3" fontId="14" fillId="0" borderId="45" xfId="0" applyNumberFormat="1" applyFont="1" applyBorder="1" applyAlignment="1" applyProtection="1">
      <alignment horizontal="center"/>
    </xf>
    <xf numFmtId="3" fontId="14" fillId="0" borderId="46" xfId="0" applyNumberFormat="1" applyFont="1" applyBorder="1" applyAlignment="1" applyProtection="1">
      <alignment horizontal="center"/>
    </xf>
    <xf numFmtId="4" fontId="45" fillId="3" borderId="29" xfId="1" applyNumberFormat="1" applyFont="1" applyFill="1" applyBorder="1" applyAlignment="1" applyProtection="1">
      <alignment horizontal="center"/>
    </xf>
    <xf numFmtId="0" fontId="8" fillId="0" borderId="1" xfId="0" applyFont="1" applyBorder="1" applyProtection="1"/>
    <xf numFmtId="0" fontId="8" fillId="0" borderId="13" xfId="0" applyFont="1" applyBorder="1" applyProtection="1"/>
    <xf numFmtId="0" fontId="15" fillId="0" borderId="1" xfId="0" applyFont="1" applyBorder="1" applyAlignment="1">
      <alignment horizontal="left"/>
    </xf>
    <xf numFmtId="0" fontId="8" fillId="0" borderId="2" xfId="0" applyFont="1" applyBorder="1" applyProtection="1"/>
    <xf numFmtId="0" fontId="0" fillId="0" borderId="13" xfId="0" applyFill="1" applyBorder="1" applyProtection="1"/>
    <xf numFmtId="0" fontId="41" fillId="0" borderId="32" xfId="0" applyFont="1" applyFill="1" applyBorder="1" applyProtection="1"/>
    <xf numFmtId="0" fontId="0" fillId="0" borderId="34" xfId="0" applyBorder="1" applyProtection="1"/>
    <xf numFmtId="0" fontId="0" fillId="0" borderId="48" xfId="0" applyFill="1" applyBorder="1" applyProtection="1"/>
    <xf numFmtId="0" fontId="0" fillId="0" borderId="48" xfId="0" applyBorder="1" applyProtection="1"/>
    <xf numFmtId="3" fontId="14" fillId="0" borderId="32" xfId="0" applyNumberFormat="1" applyFont="1" applyBorder="1" applyAlignment="1" applyProtection="1">
      <alignment horizontal="center"/>
    </xf>
    <xf numFmtId="167" fontId="14" fillId="0" borderId="32" xfId="0" applyNumberFormat="1" applyFont="1" applyBorder="1" applyAlignment="1" applyProtection="1">
      <alignment horizontal="center"/>
    </xf>
    <xf numFmtId="4" fontId="14" fillId="0" borderId="32" xfId="0" applyNumberFormat="1" applyFont="1" applyBorder="1" applyAlignment="1" applyProtection="1">
      <alignment horizontal="center"/>
    </xf>
    <xf numFmtId="4" fontId="11" fillId="0" borderId="33" xfId="0" applyNumberFormat="1" applyFont="1" applyBorder="1" applyAlignment="1" applyProtection="1">
      <alignment horizontal="center"/>
    </xf>
    <xf numFmtId="3" fontId="14" fillId="0" borderId="49" xfId="0" applyNumberFormat="1" applyFont="1" applyBorder="1" applyAlignment="1" applyProtection="1">
      <alignment horizontal="center"/>
    </xf>
    <xf numFmtId="3" fontId="14" fillId="0" borderId="23" xfId="0" applyNumberFormat="1" applyFont="1" applyBorder="1" applyAlignment="1" applyProtection="1">
      <alignment horizontal="center"/>
    </xf>
    <xf numFmtId="3" fontId="42" fillId="0" borderId="23" xfId="0" applyNumberFormat="1" applyFont="1" applyBorder="1" applyAlignment="1" applyProtection="1">
      <alignment horizontal="center"/>
    </xf>
    <xf numFmtId="3" fontId="14" fillId="0" borderId="50" xfId="0" applyNumberFormat="1" applyFont="1" applyBorder="1" applyAlignment="1" applyProtection="1">
      <alignment horizontal="center"/>
    </xf>
    <xf numFmtId="4" fontId="14" fillId="0" borderId="34" xfId="0" applyNumberFormat="1" applyFont="1" applyBorder="1" applyAlignment="1" applyProtection="1">
      <alignment horizontal="center"/>
    </xf>
    <xf numFmtId="4" fontId="14" fillId="0" borderId="23" xfId="0" applyNumberFormat="1" applyFont="1" applyBorder="1" applyAlignment="1" applyProtection="1">
      <alignment horizontal="center"/>
    </xf>
    <xf numFmtId="3" fontId="43" fillId="0" borderId="24" xfId="0" applyNumberFormat="1" applyFont="1" applyFill="1" applyBorder="1" applyAlignment="1" applyProtection="1">
      <alignment horizontal="center"/>
    </xf>
    <xf numFmtId="4" fontId="44" fillId="0" borderId="24" xfId="0" applyNumberFormat="1" applyFont="1" applyBorder="1" applyAlignment="1" applyProtection="1">
      <alignment horizontal="center"/>
    </xf>
    <xf numFmtId="4" fontId="44" fillId="0" borderId="41" xfId="0" applyNumberFormat="1" applyFont="1" applyBorder="1" applyAlignment="1" applyProtection="1">
      <alignment horizontal="center"/>
    </xf>
    <xf numFmtId="0" fontId="8" fillId="0" borderId="47" xfId="0" applyFont="1" applyBorder="1" applyProtection="1"/>
    <xf numFmtId="0" fontId="8" fillId="0" borderId="48" xfId="0" applyFont="1" applyBorder="1" applyProtection="1"/>
    <xf numFmtId="0" fontId="25" fillId="0" borderId="18" xfId="0" applyFont="1" applyBorder="1" applyAlignment="1" applyProtection="1">
      <alignment horizontal="center"/>
    </xf>
    <xf numFmtId="3" fontId="25" fillId="0" borderId="17" xfId="0" applyNumberFormat="1" applyFont="1" applyBorder="1" applyAlignment="1" applyProtection="1">
      <alignment horizontal="center"/>
    </xf>
    <xf numFmtId="167" fontId="25" fillId="0" borderId="27" xfId="0" applyNumberFormat="1" applyFont="1" applyBorder="1" applyAlignment="1" applyProtection="1">
      <alignment horizontal="center"/>
    </xf>
    <xf numFmtId="3" fontId="25" fillId="0" borderId="27" xfId="0" applyNumberFormat="1" applyFont="1" applyBorder="1" applyAlignment="1" applyProtection="1">
      <alignment horizontal="center"/>
    </xf>
    <xf numFmtId="4" fontId="25" fillId="0" borderId="27" xfId="0" applyNumberFormat="1" applyFont="1" applyBorder="1" applyAlignment="1" applyProtection="1">
      <alignment horizontal="center"/>
    </xf>
    <xf numFmtId="4" fontId="25" fillId="0" borderId="28" xfId="0" applyNumberFormat="1" applyFont="1" applyBorder="1" applyAlignment="1" applyProtection="1">
      <alignment horizontal="center"/>
    </xf>
    <xf numFmtId="4" fontId="25" fillId="0" borderId="36" xfId="0" applyNumberFormat="1" applyFont="1" applyBorder="1" applyAlignment="1" applyProtection="1">
      <alignment horizontal="center"/>
    </xf>
    <xf numFmtId="0" fontId="36" fillId="0" borderId="12" xfId="0" applyFont="1" applyBorder="1" applyProtection="1"/>
    <xf numFmtId="0" fontId="17" fillId="0" borderId="12" xfId="0" applyFont="1" applyBorder="1" applyProtection="1"/>
    <xf numFmtId="0" fontId="37" fillId="0" borderId="12" xfId="0" applyFont="1" applyBorder="1" applyProtection="1"/>
    <xf numFmtId="0" fontId="14" fillId="0" borderId="10" xfId="0" applyFont="1" applyBorder="1" applyAlignment="1" applyProtection="1">
      <alignment horizontal="center"/>
    </xf>
    <xf numFmtId="0" fontId="29" fillId="0" borderId="7" xfId="0" applyFont="1" applyBorder="1" applyAlignment="1" applyProtection="1">
      <alignment horizontal="center"/>
    </xf>
    <xf numFmtId="0" fontId="1" fillId="0" borderId="6" xfId="0" applyFont="1" applyBorder="1" applyProtection="1"/>
    <xf numFmtId="0" fontId="1" fillId="0" borderId="23" xfId="0" applyFont="1" applyBorder="1" applyProtection="1"/>
    <xf numFmtId="0" fontId="14" fillId="0" borderId="51" xfId="0" applyFont="1" applyBorder="1" applyAlignment="1" applyProtection="1">
      <alignment horizontal="center"/>
    </xf>
    <xf numFmtId="0" fontId="14" fillId="0" borderId="51" xfId="0" applyFont="1" applyBorder="1" applyAlignment="1" applyProtection="1">
      <alignment horizontal="left"/>
    </xf>
    <xf numFmtId="0" fontId="41" fillId="0" borderId="38" xfId="0" applyFont="1" applyBorder="1" applyProtection="1"/>
    <xf numFmtId="0" fontId="25" fillId="0" borderId="52" xfId="0" applyFont="1" applyBorder="1" applyAlignment="1" applyProtection="1">
      <alignment horizontal="left"/>
    </xf>
    <xf numFmtId="0" fontId="41" fillId="0" borderId="52" xfId="0" applyFont="1" applyBorder="1" applyProtection="1"/>
    <xf numFmtId="4" fontId="14" fillId="0" borderId="36" xfId="0" applyNumberFormat="1" applyFont="1" applyBorder="1" applyAlignment="1" applyProtection="1">
      <alignment horizontal="center"/>
    </xf>
    <xf numFmtId="4" fontId="14" fillId="0" borderId="53" xfId="0" applyNumberFormat="1" applyFont="1" applyBorder="1" applyAlignment="1" applyProtection="1">
      <alignment horizontal="center"/>
    </xf>
    <xf numFmtId="4" fontId="14" fillId="0" borderId="0" xfId="0" applyNumberFormat="1" applyFont="1" applyBorder="1" applyAlignment="1" applyProtection="1">
      <alignment horizontal="center"/>
    </xf>
    <xf numFmtId="4" fontId="14" fillId="0" borderId="22" xfId="0" applyNumberFormat="1" applyFont="1" applyBorder="1" applyAlignment="1" applyProtection="1">
      <alignment horizontal="center"/>
    </xf>
    <xf numFmtId="0" fontId="41" fillId="0" borderId="6" xfId="0" applyFont="1" applyFill="1" applyBorder="1" applyProtection="1"/>
    <xf numFmtId="0" fontId="46" fillId="0" borderId="0" xfId="0" applyFont="1" applyFill="1" applyBorder="1" applyProtection="1"/>
    <xf numFmtId="3" fontId="14" fillId="0" borderId="6" xfId="0" applyNumberFormat="1" applyFont="1" applyBorder="1" applyAlignment="1" applyProtection="1">
      <alignment horizontal="center"/>
    </xf>
    <xf numFmtId="167" fontId="14" fillId="0" borderId="6" xfId="0" applyNumberFormat="1" applyFont="1" applyBorder="1" applyAlignment="1" applyProtection="1">
      <alignment horizontal="center"/>
    </xf>
    <xf numFmtId="3" fontId="14" fillId="0" borderId="20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4" fontId="14" fillId="0" borderId="6" xfId="0" applyNumberFormat="1" applyFont="1" applyBorder="1" applyAlignment="1" applyProtection="1">
      <alignment horizontal="center"/>
    </xf>
    <xf numFmtId="4" fontId="42" fillId="0" borderId="6" xfId="0" applyNumberFormat="1" applyFont="1" applyBorder="1" applyAlignment="1" applyProtection="1">
      <alignment horizontal="center"/>
    </xf>
    <xf numFmtId="2" fontId="14" fillId="0" borderId="16" xfId="0" applyNumberFormat="1" applyFont="1" applyBorder="1" applyAlignment="1" applyProtection="1">
      <alignment horizontal="center"/>
    </xf>
    <xf numFmtId="2" fontId="14" fillId="0" borderId="0" xfId="0" applyNumberFormat="1" applyFont="1" applyBorder="1" applyAlignment="1" applyProtection="1">
      <alignment horizontal="center"/>
    </xf>
    <xf numFmtId="0" fontId="14" fillId="0" borderId="16" xfId="0" applyFont="1" applyBorder="1" applyAlignment="1" applyProtection="1">
      <alignment horizontal="center"/>
    </xf>
    <xf numFmtId="3" fontId="43" fillId="0" borderId="22" xfId="0" applyNumberFormat="1" applyFont="1" applyFill="1" applyBorder="1" applyAlignment="1" applyProtection="1">
      <alignment horizontal="center"/>
    </xf>
    <xf numFmtId="4" fontId="44" fillId="0" borderId="22" xfId="0" applyNumberFormat="1" applyFont="1" applyBorder="1" applyAlignment="1" applyProtection="1">
      <alignment horizontal="center"/>
    </xf>
    <xf numFmtId="4" fontId="44" fillId="0" borderId="0" xfId="0" applyNumberFormat="1" applyFont="1" applyBorder="1" applyAlignment="1" applyProtection="1">
      <alignment horizontal="center"/>
    </xf>
    <xf numFmtId="0" fontId="8" fillId="0" borderId="39" xfId="0" applyFont="1" applyBorder="1" applyProtection="1"/>
    <xf numFmtId="0" fontId="8" fillId="0" borderId="0" xfId="0" applyFont="1" applyBorder="1" applyProtection="1"/>
    <xf numFmtId="3" fontId="25" fillId="0" borderId="54" xfId="0" applyNumberFormat="1" applyFont="1" applyBorder="1" applyAlignment="1" applyProtection="1">
      <alignment horizontal="center"/>
    </xf>
    <xf numFmtId="0" fontId="14" fillId="0" borderId="47" xfId="0" applyFont="1" applyBorder="1" applyAlignment="1" applyProtection="1">
      <alignment horizontal="left"/>
    </xf>
    <xf numFmtId="0" fontId="41" fillId="0" borderId="34" xfId="0" applyFont="1" applyBorder="1" applyProtection="1"/>
    <xf numFmtId="0" fontId="25" fillId="0" borderId="48" xfId="0" applyFont="1" applyBorder="1" applyAlignment="1" applyProtection="1">
      <alignment horizontal="left"/>
    </xf>
    <xf numFmtId="0" fontId="41" fillId="0" borderId="48" xfId="0" applyFont="1" applyBorder="1" applyProtection="1"/>
    <xf numFmtId="3" fontId="25" fillId="0" borderId="47" xfId="0" applyNumberFormat="1" applyFont="1" applyBorder="1" applyAlignment="1" applyProtection="1">
      <alignment horizontal="center"/>
    </xf>
    <xf numFmtId="167" fontId="25" fillId="0" borderId="32" xfId="0" applyNumberFormat="1" applyFont="1" applyBorder="1" applyAlignment="1" applyProtection="1">
      <alignment horizontal="center"/>
    </xf>
    <xf numFmtId="3" fontId="25" fillId="0" borderId="55" xfId="0" applyNumberFormat="1" applyFont="1" applyBorder="1" applyAlignment="1" applyProtection="1">
      <alignment horizontal="center"/>
    </xf>
    <xf numFmtId="4" fontId="25" fillId="0" borderId="48" xfId="0" applyNumberFormat="1" applyFont="1" applyBorder="1" applyAlignment="1" applyProtection="1">
      <alignment horizontal="center"/>
    </xf>
    <xf numFmtId="4" fontId="25" fillId="0" borderId="47" xfId="0" applyNumberFormat="1" applyFont="1" applyBorder="1" applyAlignment="1" applyProtection="1">
      <alignment horizontal="center"/>
    </xf>
    <xf numFmtId="4" fontId="26" fillId="0" borderId="32" xfId="0" applyNumberFormat="1" applyFont="1" applyBorder="1" applyAlignment="1" applyProtection="1">
      <alignment horizontal="center"/>
    </xf>
    <xf numFmtId="2" fontId="25" fillId="0" borderId="33" xfId="0" applyNumberFormat="1" applyFont="1" applyBorder="1" applyAlignment="1" applyProtection="1">
      <alignment horizontal="center"/>
    </xf>
    <xf numFmtId="2" fontId="25" fillId="0" borderId="34" xfId="0" applyNumberFormat="1" applyFont="1" applyBorder="1" applyAlignment="1" applyProtection="1">
      <alignment horizontal="center"/>
    </xf>
    <xf numFmtId="4" fontId="25" fillId="0" borderId="32" xfId="0" applyNumberFormat="1" applyFont="1" applyBorder="1" applyAlignment="1" applyProtection="1">
      <alignment horizontal="center"/>
    </xf>
    <xf numFmtId="3" fontId="25" fillId="0" borderId="33" xfId="0" applyNumberFormat="1" applyFont="1" applyBorder="1" applyAlignment="1" applyProtection="1">
      <alignment horizontal="center"/>
    </xf>
    <xf numFmtId="4" fontId="25" fillId="0" borderId="34" xfId="0" applyNumberFormat="1" applyFont="1" applyBorder="1" applyAlignment="1" applyProtection="1">
      <alignment horizontal="center"/>
    </xf>
    <xf numFmtId="3" fontId="25" fillId="0" borderId="32" xfId="0" applyNumberFormat="1" applyFont="1" applyBorder="1" applyAlignment="1" applyProtection="1">
      <alignment horizontal="center"/>
    </xf>
    <xf numFmtId="4" fontId="25" fillId="0" borderId="47" xfId="0" applyNumberFormat="1" applyFont="1" applyBorder="1" applyAlignment="1" applyProtection="1">
      <alignment horizontal="left"/>
    </xf>
    <xf numFmtId="3" fontId="25" fillId="0" borderId="56" xfId="0" applyNumberFormat="1" applyFont="1" applyBorder="1" applyAlignment="1" applyProtection="1">
      <alignment horizontal="center"/>
    </xf>
    <xf numFmtId="0" fontId="25" fillId="0" borderId="12" xfId="0" applyFont="1" applyBorder="1" applyAlignment="1" applyProtection="1">
      <alignment horizontal="left"/>
    </xf>
    <xf numFmtId="0" fontId="41" fillId="0" borderId="17" xfId="0" applyFont="1" applyBorder="1" applyProtection="1"/>
    <xf numFmtId="0" fontId="41" fillId="0" borderId="12" xfId="0" applyFont="1" applyBorder="1" applyProtection="1"/>
    <xf numFmtId="3" fontId="47" fillId="0" borderId="27" xfId="0" applyNumberFormat="1" applyFont="1" applyBorder="1" applyAlignment="1" applyProtection="1">
      <alignment horizontal="center"/>
    </xf>
    <xf numFmtId="167" fontId="47" fillId="0" borderId="27" xfId="0" applyNumberFormat="1" applyFont="1" applyBorder="1" applyAlignment="1" applyProtection="1">
      <alignment horizontal="center"/>
    </xf>
    <xf numFmtId="3" fontId="47" fillId="0" borderId="28" xfId="0" applyNumberFormat="1" applyFont="1" applyBorder="1" applyAlignment="1" applyProtection="1">
      <alignment horizontal="center"/>
    </xf>
    <xf numFmtId="4" fontId="25" fillId="0" borderId="18" xfId="0" applyNumberFormat="1" applyFont="1" applyBorder="1" applyAlignment="1" applyProtection="1">
      <alignment horizontal="center"/>
    </xf>
    <xf numFmtId="4" fontId="26" fillId="0" borderId="17" xfId="0" applyNumberFormat="1" applyFont="1" applyBorder="1" applyAlignment="1" applyProtection="1">
      <alignment horizontal="center"/>
    </xf>
    <xf numFmtId="4" fontId="25" fillId="0" borderId="12" xfId="0" applyNumberFormat="1" applyFont="1" applyBorder="1" applyAlignment="1" applyProtection="1">
      <alignment horizontal="center"/>
    </xf>
    <xf numFmtId="0" fontId="41" fillId="0" borderId="0" xfId="0" applyFont="1" applyFill="1" applyBorder="1" applyProtection="1"/>
    <xf numFmtId="0" fontId="25" fillId="0" borderId="0" xfId="0" applyFont="1" applyFill="1" applyBorder="1" applyProtection="1">
      <protection locked="0"/>
    </xf>
    <xf numFmtId="0" fontId="48" fillId="0" borderId="0" xfId="0" applyFont="1" applyFill="1" applyBorder="1" applyProtection="1">
      <protection locked="0"/>
    </xf>
    <xf numFmtId="3" fontId="25" fillId="0" borderId="0" xfId="0" applyNumberFormat="1" applyFont="1" applyFill="1" applyBorder="1" applyAlignment="1" applyProtection="1">
      <alignment horizontal="center"/>
      <protection locked="0"/>
    </xf>
    <xf numFmtId="3" fontId="44" fillId="0" borderId="0" xfId="0" applyNumberFormat="1" applyFont="1" applyFill="1" applyBorder="1" applyAlignment="1" applyProtection="1">
      <alignment horizontal="center"/>
      <protection locked="0"/>
    </xf>
    <xf numFmtId="4" fontId="25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ill="1" applyBorder="1" applyProtection="1"/>
    <xf numFmtId="3" fontId="1" fillId="0" borderId="0" xfId="0" applyNumberFormat="1" applyFont="1" applyFill="1" applyBorder="1" applyProtection="1"/>
    <xf numFmtId="0" fontId="4" fillId="0" borderId="0" xfId="0" applyFont="1" applyBorder="1" applyProtection="1"/>
    <xf numFmtId="0" fontId="25" fillId="0" borderId="0" xfId="0" applyFont="1" applyProtection="1"/>
    <xf numFmtId="3" fontId="49" fillId="0" borderId="0" xfId="0" applyNumberFormat="1" applyFont="1" applyBorder="1" applyAlignment="1" applyProtection="1">
      <alignment horizontal="center"/>
    </xf>
    <xf numFmtId="3" fontId="47" fillId="0" borderId="0" xfId="0" applyNumberFormat="1" applyFont="1" applyBorder="1" applyAlignment="1" applyProtection="1">
      <alignment horizontal="center"/>
    </xf>
    <xf numFmtId="4" fontId="47" fillId="0" borderId="0" xfId="0" applyNumberFormat="1" applyFont="1" applyBorder="1" applyAlignment="1" applyProtection="1">
      <alignment horizontal="center"/>
    </xf>
    <xf numFmtId="4" fontId="49" fillId="0" borderId="0" xfId="0" applyNumberFormat="1" applyFont="1" applyBorder="1" applyAlignment="1" applyProtection="1">
      <alignment horizontal="center"/>
    </xf>
    <xf numFmtId="4" fontId="50" fillId="0" borderId="0" xfId="0" applyNumberFormat="1" applyFont="1" applyBorder="1" applyAlignment="1" applyProtection="1">
      <alignment horizontal="center"/>
    </xf>
    <xf numFmtId="4" fontId="51" fillId="0" borderId="0" xfId="0" applyNumberFormat="1" applyFont="1" applyBorder="1" applyAlignment="1" applyProtection="1">
      <alignment horizontal="center"/>
    </xf>
    <xf numFmtId="0" fontId="52" fillId="2" borderId="56" xfId="0" applyFont="1" applyFill="1" applyBorder="1" applyProtection="1">
      <protection locked="0"/>
    </xf>
    <xf numFmtId="0" fontId="52" fillId="2" borderId="29" xfId="0" applyFont="1" applyFill="1" applyBorder="1" applyProtection="1">
      <protection locked="0"/>
    </xf>
    <xf numFmtId="0" fontId="52" fillId="2" borderId="57" xfId="0" applyFont="1" applyFill="1" applyBorder="1" applyProtection="1">
      <protection locked="0"/>
    </xf>
    <xf numFmtId="0" fontId="52" fillId="2" borderId="58" xfId="0" applyFont="1" applyFill="1" applyBorder="1" applyProtection="1">
      <protection locked="0"/>
    </xf>
    <xf numFmtId="0" fontId="53" fillId="2" borderId="56" xfId="0" applyFont="1" applyFill="1" applyBorder="1" applyProtection="1">
      <protection locked="0"/>
    </xf>
    <xf numFmtId="0" fontId="54" fillId="0" borderId="0" xfId="0" applyFont="1"/>
    <xf numFmtId="0" fontId="52" fillId="2" borderId="59" xfId="0" applyFont="1" applyFill="1" applyBorder="1" applyProtection="1">
      <protection locked="0"/>
    </xf>
    <xf numFmtId="0" fontId="56" fillId="0" borderId="0" xfId="0" applyFont="1"/>
  </cellXfs>
  <cellStyles count="2">
    <cellStyle name="Обычный" xfId="0" builtinId="0"/>
    <cellStyle name="Обычный 2" xfId="1"/>
  </cellStyles>
  <dxfs count="7">
    <dxf>
      <fill>
        <patternFill>
          <bgColor rgb="FFFF0000"/>
        </patternFill>
      </fill>
    </dxf>
    <dxf>
      <numFmt numFmtId="168" formatCode="#,##0.00&quot; Час&quot;"/>
      <fill>
        <patternFill>
          <bgColor rgb="FFFF0000"/>
        </patternFill>
      </fill>
    </dxf>
    <dxf>
      <numFmt numFmtId="169" formatCode="#,##0.00&quot; Зап&quot;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B86"/>
  <sheetViews>
    <sheetView tabSelected="1" workbookViewId="0">
      <selection activeCell="O2" sqref="O2"/>
    </sheetView>
  </sheetViews>
  <sheetFormatPr defaultRowHeight="15"/>
  <sheetData>
    <row r="2" spans="1:18" ht="23.25">
      <c r="D2" s="328" t="s">
        <v>149</v>
      </c>
    </row>
    <row r="4" spans="1:18" ht="23.25">
      <c r="B4" s="328" t="s">
        <v>154</v>
      </c>
    </row>
    <row r="6" spans="1:18" ht="18.75">
      <c r="A6" s="33"/>
      <c r="B6" s="34">
        <v>1</v>
      </c>
      <c r="C6" s="35" t="s">
        <v>0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6">
        <f>IF(A16&lt;&gt;"",1,"")</f>
        <v>1</v>
      </c>
      <c r="O6" s="37" t="str">
        <f>IF(N6&lt;&gt;"",SUBSTITUTE(PROPER(INDEX(n_4,MID(TEXT(N6,n0),1,1)+1)&amp;INDEX(n0x,MID(TEXT(N6,n0),2,1)+1,MID(TEXT(N6,n0),3,1)+1)&amp;IF(-MID(TEXT(N6,n0),1,3),"миллиард"&amp;VLOOKUP(MID(TEXT(N6,n0),3,1)*AND(MID(TEXT(N6,n0),2,1)-1),мил,2),"")&amp;INDEX(n_4,MID(TEXT(N6,n0),4,1)+1)&amp;INDEX(n0x,MID(TEXT(N6,n0),5,1)+1,MID(TEXT(N6,n0),6,1)+1)&amp;IF(-MID(TEXT(N6,n0),4,3),"миллион"&amp;VLOOKUP(MID(TEXT(N6,n0),6,1)*AND(MID(TEXT(N6,n0),5,1)-1),мил,2),"")&amp;INDEX(n_4,MID(TEXT(N6,n0),7,1)+1)&amp;INDEX(n1x,MID(TEXT(N6,n0),8,1)+1,MID(TEXT(N6,n0),9,1)+1)&amp;IF(-MID(TEXT(N6,n0),7,3),VLOOKUP(MID(TEXT(N6,n0),9,1)*AND(MID(TEXT(N6,n0),8,1)-1),тыс,2),"")&amp;INDEX(n_4,MID(TEXT(N6,n0),10,1)+1)&amp;INDEX(IF(-MID(TEXT(N6,n0),14,6),n1x,n0x),MID(TEXT(N6,n0),11,1)+1,MID(TEXT(N6,n0),12,1)+1)),"z"," ")&amp;IF(TRUNC(TEXT(N6,n0)),,"Ноль ")&amp;IF(-MID(TEXT(N6,n0),14,6),IF(MOD(MAX(MOD(MID(TEXT(N6,n0),11,2)-11,100),9),10),"целых ","целая ")&amp;SUBSTITUTE(INDEX(n_4,MID(TEXT(N6,n0),14,6)/10^5+1)&amp;INDEX(n1x,MOD(MID(TEXT(N6,n0),14,6)/10^4,10)+1,MOD(MID(TEXT(N6,n0),14,6)/1000,10)+1)&amp;IF(INT(MID(TEXT(N6,n0),14,6)/1000),VLOOKUP(MOD(MID(TEXT(N6,n0),14,6)/1000,10)*(MOD(INT(MID(TEXT(N6,n0),14,6)/10^4),10)&lt;&gt;1),тыс,2),"")&amp;INDEX(n_4,MOD(MID(TEXT(N6,n0),14,6)/100,10)+1)&amp;INDEX(n1x,MOD(MID(TEXT(N6,n0),14,6)/10,10)+1,MOD(MID(TEXT(N6,n0),14,6),10)+1),"z"," ")&amp;INDEX(доля,LEN(MID(TEXT(N6,n0),14,6)),(MOD(MAX(MOD(MID(TEXT(N6,n0),14,6)-11,100),9),10)&gt;0)+1),),"")</f>
        <v xml:space="preserve">Один </v>
      </c>
      <c r="P6" s="33"/>
      <c r="Q6" s="33"/>
      <c r="R6" s="33"/>
    </row>
    <row r="7" spans="1:18" ht="18.75">
      <c r="A7" s="33"/>
      <c r="B7" s="33"/>
      <c r="C7" s="33"/>
      <c r="D7" s="33"/>
      <c r="E7" s="33"/>
      <c r="F7" s="33"/>
      <c r="G7" s="38" t="s">
        <v>1</v>
      </c>
      <c r="H7" s="39" t="str">
        <f>TEXT(EDATE(K7,0),"[$-422]ММММ ГГГГ")</f>
        <v>Вересень 2018</v>
      </c>
      <c r="I7" s="33"/>
      <c r="J7" s="33"/>
      <c r="K7" s="40">
        <v>43344</v>
      </c>
      <c r="L7" s="33"/>
      <c r="M7" s="41" t="str">
        <f>TEXT(H7,"[$-F422]ММММ ГГГГ ;@")</f>
        <v>Вересень 2018</v>
      </c>
      <c r="N7" s="33"/>
      <c r="O7" s="33"/>
      <c r="P7" s="33"/>
      <c r="Q7" s="33"/>
      <c r="R7" s="33"/>
    </row>
    <row r="8" spans="1:18" ht="16.5">
      <c r="A8" s="3" t="s">
        <v>2</v>
      </c>
      <c r="B8" s="33"/>
      <c r="C8" s="33"/>
      <c r="D8" s="42"/>
      <c r="E8" s="33"/>
      <c r="F8" s="4" t="s">
        <v>3</v>
      </c>
      <c r="G8" s="33"/>
      <c r="H8" s="33"/>
      <c r="I8" s="43">
        <v>41.37</v>
      </c>
      <c r="J8" s="3" t="s">
        <v>4</v>
      </c>
      <c r="K8" s="33"/>
      <c r="L8" s="43">
        <v>1</v>
      </c>
      <c r="M8" s="3" t="s">
        <v>5</v>
      </c>
      <c r="N8" s="33"/>
      <c r="O8" s="33"/>
      <c r="P8" s="2">
        <f>IF(L8&lt;&gt;"",CHOOSE(L8,O9,O10),"")</f>
        <v>0.25</v>
      </c>
      <c r="Q8" s="33"/>
      <c r="R8" s="33"/>
    </row>
    <row r="9" spans="1:18">
      <c r="A9" s="33"/>
      <c r="B9" s="33"/>
      <c r="C9" s="33"/>
      <c r="D9" s="33"/>
      <c r="E9" s="33"/>
      <c r="F9" s="44" t="s">
        <v>6</v>
      </c>
      <c r="G9" s="45"/>
      <c r="H9" s="45"/>
      <c r="I9" s="46">
        <v>0.42409999999999998</v>
      </c>
      <c r="J9" s="44" t="s">
        <v>7</v>
      </c>
      <c r="K9" s="33"/>
      <c r="L9" s="46">
        <v>1.0688</v>
      </c>
      <c r="M9" s="47" t="s">
        <v>8</v>
      </c>
      <c r="N9" s="48">
        <v>1</v>
      </c>
      <c r="O9" s="49">
        <v>0.25</v>
      </c>
      <c r="P9" s="33"/>
      <c r="Q9" s="33"/>
      <c r="R9" s="50" t="s">
        <v>9</v>
      </c>
    </row>
    <row r="10" spans="1:18" ht="16.5">
      <c r="A10" s="3" t="s">
        <v>10</v>
      </c>
      <c r="B10" s="33"/>
      <c r="C10" s="33"/>
      <c r="D10" s="3" t="s">
        <v>11</v>
      </c>
      <c r="E10" s="33"/>
      <c r="F10" s="33"/>
      <c r="G10" s="33"/>
      <c r="H10" s="33"/>
      <c r="I10" s="3" t="s">
        <v>12</v>
      </c>
      <c r="J10" s="33"/>
      <c r="K10" s="4" t="s">
        <v>68</v>
      </c>
      <c r="L10" s="33"/>
      <c r="M10" s="47" t="s">
        <v>8</v>
      </c>
      <c r="N10" s="48">
        <v>2</v>
      </c>
      <c r="O10" s="51">
        <v>0.1</v>
      </c>
      <c r="P10" s="33"/>
      <c r="Q10" s="33"/>
      <c r="R10" s="22" t="s">
        <v>13</v>
      </c>
    </row>
    <row r="11" spans="1:18" ht="16.5">
      <c r="A11" s="52" t="s">
        <v>14</v>
      </c>
      <c r="B11" s="52" t="s">
        <v>15</v>
      </c>
      <c r="C11" s="53" t="s">
        <v>16</v>
      </c>
      <c r="D11" s="54" t="s">
        <v>17</v>
      </c>
      <c r="E11" s="55" t="s">
        <v>18</v>
      </c>
      <c r="F11" s="56"/>
      <c r="G11" s="57" t="s">
        <v>19</v>
      </c>
      <c r="H11" s="58"/>
      <c r="I11" s="59" t="s">
        <v>20</v>
      </c>
      <c r="J11" s="58"/>
      <c r="K11" s="59" t="s">
        <v>21</v>
      </c>
      <c r="L11" s="58"/>
      <c r="M11" s="60"/>
      <c r="N11" s="61" t="s">
        <v>22</v>
      </c>
      <c r="O11" s="60"/>
      <c r="P11" s="62"/>
      <c r="Q11" s="63"/>
      <c r="R11" s="22" t="s">
        <v>23</v>
      </c>
    </row>
    <row r="12" spans="1:18" ht="16.5">
      <c r="A12" s="64" t="s">
        <v>24</v>
      </c>
      <c r="B12" s="64" t="s">
        <v>25</v>
      </c>
      <c r="C12" s="65" t="s">
        <v>26</v>
      </c>
      <c r="D12" s="66" t="s">
        <v>27</v>
      </c>
      <c r="E12" s="67" t="s">
        <v>28</v>
      </c>
      <c r="F12" s="68"/>
      <c r="G12" s="69" t="s">
        <v>29</v>
      </c>
      <c r="H12" s="70"/>
      <c r="I12" s="71" t="s">
        <v>30</v>
      </c>
      <c r="J12" s="70"/>
      <c r="K12" s="71" t="s">
        <v>31</v>
      </c>
      <c r="L12" s="72"/>
      <c r="M12" s="73" t="s">
        <v>32</v>
      </c>
      <c r="N12" s="74" t="s">
        <v>33</v>
      </c>
      <c r="O12" s="75" t="s">
        <v>34</v>
      </c>
      <c r="P12" s="76" t="s">
        <v>32</v>
      </c>
      <c r="Q12" s="77" t="s">
        <v>35</v>
      </c>
      <c r="R12" s="22" t="s">
        <v>36</v>
      </c>
    </row>
    <row r="13" spans="1:18" ht="16.5">
      <c r="A13" s="78"/>
      <c r="B13" s="64" t="s">
        <v>37</v>
      </c>
      <c r="C13" s="65" t="s">
        <v>38</v>
      </c>
      <c r="D13" s="79" t="s">
        <v>39</v>
      </c>
      <c r="E13" s="73" t="s">
        <v>40</v>
      </c>
      <c r="F13" s="74" t="s">
        <v>41</v>
      </c>
      <c r="G13" s="74" t="s">
        <v>40</v>
      </c>
      <c r="H13" s="76" t="s">
        <v>42</v>
      </c>
      <c r="I13" s="73" t="s">
        <v>43</v>
      </c>
      <c r="J13" s="76" t="s">
        <v>44</v>
      </c>
      <c r="K13" s="73" t="s">
        <v>43</v>
      </c>
      <c r="L13" s="76" t="s">
        <v>44</v>
      </c>
      <c r="M13" s="80" t="s">
        <v>45</v>
      </c>
      <c r="N13" s="81" t="s">
        <v>46</v>
      </c>
      <c r="O13" s="82" t="s">
        <v>47</v>
      </c>
      <c r="P13" s="83" t="s">
        <v>45</v>
      </c>
      <c r="Q13" s="77" t="s">
        <v>48</v>
      </c>
      <c r="R13" s="22" t="s">
        <v>49</v>
      </c>
    </row>
    <row r="14" spans="1:18" ht="16.5">
      <c r="A14" s="78"/>
      <c r="B14" s="84"/>
      <c r="C14" s="81" t="s">
        <v>50</v>
      </c>
      <c r="D14" s="85"/>
      <c r="E14" s="80" t="s">
        <v>51</v>
      </c>
      <c r="F14" s="81" t="s">
        <v>52</v>
      </c>
      <c r="G14" s="81" t="s">
        <v>51</v>
      </c>
      <c r="H14" s="83"/>
      <c r="I14" s="80" t="s">
        <v>53</v>
      </c>
      <c r="J14" s="83" t="s">
        <v>54</v>
      </c>
      <c r="K14" s="80" t="s">
        <v>55</v>
      </c>
      <c r="L14" s="83" t="s">
        <v>54</v>
      </c>
      <c r="M14" s="80" t="s">
        <v>56</v>
      </c>
      <c r="N14" s="86"/>
      <c r="O14" s="82" t="s">
        <v>57</v>
      </c>
      <c r="P14" s="83" t="s">
        <v>58</v>
      </c>
      <c r="Q14" s="77" t="s">
        <v>59</v>
      </c>
      <c r="R14" s="22" t="s">
        <v>39</v>
      </c>
    </row>
    <row r="15" spans="1:18" ht="15.75" thickBot="1">
      <c r="A15" s="87"/>
      <c r="B15" s="88"/>
      <c r="C15" s="89" t="s">
        <v>60</v>
      </c>
      <c r="D15" s="90"/>
      <c r="E15" s="91" t="s">
        <v>61</v>
      </c>
      <c r="F15" s="92" t="s">
        <v>61</v>
      </c>
      <c r="G15" s="92" t="s">
        <v>61</v>
      </c>
      <c r="H15" s="93" t="s">
        <v>61</v>
      </c>
      <c r="I15" s="94"/>
      <c r="J15" s="95" t="s">
        <v>62</v>
      </c>
      <c r="K15" s="96" t="s">
        <v>63</v>
      </c>
      <c r="L15" s="95" t="s">
        <v>62</v>
      </c>
      <c r="M15" s="97"/>
      <c r="N15" s="98"/>
      <c r="O15" s="99">
        <v>22.7</v>
      </c>
      <c r="P15" s="95" t="s">
        <v>64</v>
      </c>
      <c r="Q15" s="97" t="s">
        <v>65</v>
      </c>
      <c r="R15" s="25" t="s">
        <v>66</v>
      </c>
    </row>
    <row r="16" spans="1:18">
      <c r="A16" s="100">
        <v>43346</v>
      </c>
      <c r="B16" s="101">
        <v>1</v>
      </c>
      <c r="C16" s="101">
        <v>1</v>
      </c>
      <c r="D16" s="102">
        <v>6</v>
      </c>
      <c r="E16" s="103">
        <v>16</v>
      </c>
      <c r="F16" s="104"/>
      <c r="G16" s="101">
        <v>12</v>
      </c>
      <c r="H16" s="102"/>
      <c r="I16" s="105">
        <v>26.2</v>
      </c>
      <c r="J16" s="106"/>
      <c r="K16" s="105">
        <v>52.4</v>
      </c>
      <c r="L16" s="106"/>
      <c r="M16" s="107">
        <v>30</v>
      </c>
      <c r="N16" s="108">
        <v>100</v>
      </c>
      <c r="O16" s="26">
        <f>IF(A16&lt;&gt;"",MROUND(E16*$O$20/100,1)+MROUND(1.3*K16/100,1)+MROUND(0.25*5+N("підйом кузова"),1),"не їздив")</f>
        <v>4</v>
      </c>
      <c r="P16" s="27">
        <f>IF(M16&lt;&gt;"",ROUND(SUM(M16:N16)-O16,0),"")</f>
        <v>126</v>
      </c>
      <c r="Q16" s="29">
        <v>55.78</v>
      </c>
      <c r="R16" s="109">
        <f>IF(A16&lt;&gt;"",IFERROR(G16/E16,),"не їздив")</f>
        <v>0.75</v>
      </c>
    </row>
    <row r="17" spans="1:18">
      <c r="A17" s="100">
        <v>43347</v>
      </c>
      <c r="B17" s="28">
        <f>IF(A17&lt;&gt;"",B16+1,"")</f>
        <v>2</v>
      </c>
      <c r="C17" s="101">
        <v>1.5</v>
      </c>
      <c r="D17" s="102">
        <v>9</v>
      </c>
      <c r="E17" s="103">
        <v>46</v>
      </c>
      <c r="F17" s="104"/>
      <c r="G17" s="101">
        <v>27</v>
      </c>
      <c r="H17" s="102"/>
      <c r="I17" s="105">
        <v>24.4</v>
      </c>
      <c r="J17" s="106"/>
      <c r="K17" s="105">
        <v>55.8</v>
      </c>
      <c r="L17" s="106"/>
      <c r="M17" s="110">
        <f t="shared" ref="M17:M22" si="0">IF(A17&lt;&gt;"",ROUND(P16,0),"")</f>
        <v>126</v>
      </c>
      <c r="N17" s="108"/>
      <c r="O17" s="26">
        <f>IF(A17&lt;&gt;"",ROUND(E17*$O$20/100,2)+ROUND(1.3*K17/100,2)+ROUND(0.25*5+N("підйом кузова"),2),"не їздив")</f>
        <v>7.0399999999999991</v>
      </c>
      <c r="P17" s="27">
        <f t="shared" ref="P17:P37" si="1">IF(M17&lt;&gt;"",ROUND(SUM(M17:N17)-O17,0),"")</f>
        <v>119</v>
      </c>
      <c r="Q17" s="29">
        <v>57.99</v>
      </c>
      <c r="R17" s="109">
        <f>IF(A17&lt;&gt;"",IFERROR(G17/E17,),"не їздив")</f>
        <v>0.58695652173913049</v>
      </c>
    </row>
    <row r="18" spans="1:18">
      <c r="A18" s="111">
        <v>43348</v>
      </c>
      <c r="B18" s="28">
        <f>IF(A18&lt;&gt;"",B17+1,"")</f>
        <v>3</v>
      </c>
      <c r="C18" s="101">
        <v>0.5</v>
      </c>
      <c r="D18" s="112">
        <v>5</v>
      </c>
      <c r="E18" s="113">
        <v>20</v>
      </c>
      <c r="F18" s="114"/>
      <c r="G18" s="115">
        <v>10</v>
      </c>
      <c r="H18" s="112"/>
      <c r="I18" s="116">
        <v>12.7</v>
      </c>
      <c r="J18" s="117"/>
      <c r="K18" s="116">
        <v>25.4</v>
      </c>
      <c r="L18" s="117"/>
      <c r="M18" s="110">
        <f t="shared" si="0"/>
        <v>119</v>
      </c>
      <c r="N18" s="118"/>
      <c r="O18" s="26">
        <f>IF(A18&lt;&gt;"",MROUND(E18*$O$20/100,1)+MROUND(1.3*K18/100,1)+MROUND(0.25*4+N("підйом кузова"),1),"не їздив")</f>
        <v>3</v>
      </c>
      <c r="P18" s="27">
        <f t="shared" si="1"/>
        <v>116</v>
      </c>
      <c r="Q18" s="29">
        <v>27.03</v>
      </c>
      <c r="R18" s="109">
        <f t="shared" ref="R18:R38" si="2">IF(A18&lt;&gt;"",IFERROR(G18/E18,),"не їздив")</f>
        <v>0.5</v>
      </c>
    </row>
    <row r="19" spans="1:18">
      <c r="A19" s="111">
        <v>43349</v>
      </c>
      <c r="B19" s="28">
        <f t="shared" ref="B19:B29" si="3">IF(A19&lt;&gt;"",B18+1,"")</f>
        <v>4</v>
      </c>
      <c r="C19" s="101">
        <v>5</v>
      </c>
      <c r="D19" s="112">
        <v>10</v>
      </c>
      <c r="E19" s="113">
        <v>126</v>
      </c>
      <c r="F19" s="114"/>
      <c r="G19" s="115">
        <v>36</v>
      </c>
      <c r="H19" s="112"/>
      <c r="I19" s="116">
        <v>61</v>
      </c>
      <c r="J19" s="117"/>
      <c r="K19" s="116">
        <v>243</v>
      </c>
      <c r="L19" s="117"/>
      <c r="M19" s="110">
        <f t="shared" si="0"/>
        <v>116</v>
      </c>
      <c r="N19" s="118"/>
      <c r="O19" s="26">
        <f>IF(A19&lt;&gt;"",MROUND(E19*$O$20/100,1)+MROUND(1.3*K19/100,1)+MROUND(0.25*16+N("підйом кузова"),1),"не їздив")</f>
        <v>21</v>
      </c>
      <c r="P19" s="27">
        <f t="shared" si="1"/>
        <v>95</v>
      </c>
      <c r="Q19" s="29">
        <v>183.59</v>
      </c>
      <c r="R19" s="109">
        <f t="shared" si="2"/>
        <v>0.2857142857142857</v>
      </c>
    </row>
    <row r="20" spans="1:18">
      <c r="A20" s="111">
        <v>43350</v>
      </c>
      <c r="B20" s="28">
        <f t="shared" si="3"/>
        <v>5</v>
      </c>
      <c r="C20" s="101">
        <v>2</v>
      </c>
      <c r="D20" s="112">
        <v>1</v>
      </c>
      <c r="E20" s="113">
        <v>31</v>
      </c>
      <c r="F20" s="114"/>
      <c r="G20" s="115">
        <v>27</v>
      </c>
      <c r="H20" s="112"/>
      <c r="I20" s="116">
        <v>7</v>
      </c>
      <c r="J20" s="117"/>
      <c r="K20" s="116">
        <v>189</v>
      </c>
      <c r="L20" s="117"/>
      <c r="M20" s="110">
        <f t="shared" si="0"/>
        <v>95</v>
      </c>
      <c r="N20" s="119"/>
      <c r="O20" s="26">
        <v>11</v>
      </c>
      <c r="P20" s="27">
        <f t="shared" si="1"/>
        <v>84</v>
      </c>
      <c r="Q20" s="29">
        <v>87.63</v>
      </c>
      <c r="R20" s="109">
        <f t="shared" si="2"/>
        <v>0.87096774193548387</v>
      </c>
    </row>
    <row r="21" spans="1:18">
      <c r="A21" s="111">
        <v>43353</v>
      </c>
      <c r="B21" s="28">
        <f t="shared" si="3"/>
        <v>6</v>
      </c>
      <c r="C21" s="101">
        <v>1</v>
      </c>
      <c r="D21" s="112">
        <v>2</v>
      </c>
      <c r="E21" s="113">
        <v>31</v>
      </c>
      <c r="F21" s="114"/>
      <c r="G21" s="115">
        <v>2</v>
      </c>
      <c r="H21" s="112"/>
      <c r="I21" s="116">
        <v>12</v>
      </c>
      <c r="J21" s="117"/>
      <c r="K21" s="116">
        <v>12</v>
      </c>
      <c r="L21" s="117"/>
      <c r="M21" s="110">
        <f t="shared" si="0"/>
        <v>84</v>
      </c>
      <c r="N21" s="118"/>
      <c r="O21" s="26">
        <f>IF(A21&lt;&gt;"",ROUND(E21*$O$20/100,2)+ROUND(1.3*K21/100,2)+ROUND(0.25*2+N("підйом кузова"),1),"не їздив")</f>
        <v>4.07</v>
      </c>
      <c r="P21" s="27">
        <f t="shared" si="1"/>
        <v>80</v>
      </c>
      <c r="Q21" s="29">
        <v>49.87</v>
      </c>
      <c r="R21" s="109">
        <f t="shared" si="2"/>
        <v>6.4516129032258063E-2</v>
      </c>
    </row>
    <row r="22" spans="1:18">
      <c r="A22" s="111">
        <v>43355</v>
      </c>
      <c r="B22" s="28">
        <f t="shared" si="3"/>
        <v>7</v>
      </c>
      <c r="C22" s="101">
        <v>0.5</v>
      </c>
      <c r="D22" s="112">
        <v>5</v>
      </c>
      <c r="E22" s="113">
        <v>16</v>
      </c>
      <c r="F22" s="114"/>
      <c r="G22" s="115">
        <v>10</v>
      </c>
      <c r="H22" s="112"/>
      <c r="I22" s="116">
        <v>3.1</v>
      </c>
      <c r="J22" s="117"/>
      <c r="K22" s="116">
        <v>6.2</v>
      </c>
      <c r="L22" s="117"/>
      <c r="M22" s="110">
        <f t="shared" si="0"/>
        <v>80</v>
      </c>
      <c r="N22" s="118"/>
      <c r="O22" s="26">
        <f>IF(A22&lt;&gt;"",MROUND(E22*$O$20/100,1)+MROUND(1.3*K22/100,1)+MROUND(0.25*0+N("підйом кузова"),1),"не їздив")</f>
        <v>2</v>
      </c>
      <c r="P22" s="27">
        <f t="shared" si="1"/>
        <v>78</v>
      </c>
      <c r="Q22" s="120">
        <v>6.6</v>
      </c>
      <c r="R22" s="109">
        <f t="shared" si="2"/>
        <v>0.625</v>
      </c>
    </row>
    <row r="23" spans="1:18">
      <c r="A23" s="111">
        <v>43356</v>
      </c>
      <c r="B23" s="28">
        <f t="shared" si="3"/>
        <v>8</v>
      </c>
      <c r="C23" s="101">
        <v>5</v>
      </c>
      <c r="D23" s="112">
        <v>9</v>
      </c>
      <c r="E23" s="113">
        <v>120</v>
      </c>
      <c r="F23" s="114"/>
      <c r="G23" s="115">
        <v>87</v>
      </c>
      <c r="H23" s="112"/>
      <c r="I23" s="116">
        <v>49.5</v>
      </c>
      <c r="J23" s="117"/>
      <c r="K23" s="116">
        <v>400.5</v>
      </c>
      <c r="L23" s="117"/>
      <c r="M23" s="110">
        <f>IF(A23&lt;&gt;"",ROUND(P22,0),"")</f>
        <v>78</v>
      </c>
      <c r="N23" s="118">
        <v>40</v>
      </c>
      <c r="O23" s="26">
        <v>37</v>
      </c>
      <c r="P23" s="27">
        <f t="shared" si="1"/>
        <v>81</v>
      </c>
      <c r="Q23" s="29">
        <v>232.99</v>
      </c>
      <c r="R23" s="109">
        <f t="shared" si="2"/>
        <v>0.72499999999999998</v>
      </c>
    </row>
    <row r="24" spans="1:18">
      <c r="A24" s="111">
        <v>43357</v>
      </c>
      <c r="B24" s="28">
        <f t="shared" si="3"/>
        <v>9</v>
      </c>
      <c r="C24" s="101">
        <v>2</v>
      </c>
      <c r="D24" s="112">
        <v>9</v>
      </c>
      <c r="E24" s="113">
        <v>24</v>
      </c>
      <c r="F24" s="114"/>
      <c r="G24" s="115">
        <v>18</v>
      </c>
      <c r="H24" s="112"/>
      <c r="I24" s="116">
        <v>48.4</v>
      </c>
      <c r="J24" s="117"/>
      <c r="K24" s="116">
        <v>96.8</v>
      </c>
      <c r="L24" s="117"/>
      <c r="M24" s="110">
        <f t="shared" ref="M24:M37" si="4">IF(A24&lt;&gt;"",ROUND(P23,0),"")</f>
        <v>81</v>
      </c>
      <c r="N24" s="118">
        <v>60</v>
      </c>
      <c r="O24" s="26">
        <f>IF(A24&lt;&gt;"",ROUND(E24*$O$20/100,2)+ROUND(1.3*K24/100,1)+ROUND(0.25*14+N("підйом кузова"),1),"не їздив")</f>
        <v>7.44</v>
      </c>
      <c r="P24" s="27">
        <f t="shared" si="1"/>
        <v>134</v>
      </c>
      <c r="Q24" s="29">
        <v>103.04</v>
      </c>
      <c r="R24" s="109">
        <f t="shared" si="2"/>
        <v>0.75</v>
      </c>
    </row>
    <row r="25" spans="1:18">
      <c r="A25" s="111">
        <v>43360</v>
      </c>
      <c r="B25" s="28">
        <f t="shared" si="3"/>
        <v>10</v>
      </c>
      <c r="C25" s="101">
        <v>1</v>
      </c>
      <c r="D25" s="112">
        <v>6</v>
      </c>
      <c r="E25" s="113">
        <v>20</v>
      </c>
      <c r="F25" s="114"/>
      <c r="G25" s="115">
        <v>12</v>
      </c>
      <c r="H25" s="112"/>
      <c r="I25" s="116">
        <v>21.4</v>
      </c>
      <c r="J25" s="117"/>
      <c r="K25" s="116">
        <v>42.8</v>
      </c>
      <c r="L25" s="117"/>
      <c r="M25" s="110">
        <f>IF(A25&lt;&gt;"",ROUND(P24,0),"")</f>
        <v>134</v>
      </c>
      <c r="N25" s="118"/>
      <c r="O25" s="26">
        <f>IF(A25&lt;&gt;"",ROUND(E25*$O$20/100,0)+MROUND(1.3*K25/100,2)+MROUND(0.25*4+N("підйом кузова"),1),"не їздив")</f>
        <v>3</v>
      </c>
      <c r="P25" s="27">
        <f t="shared" si="1"/>
        <v>131</v>
      </c>
      <c r="Q25" s="29">
        <v>45.56</v>
      </c>
      <c r="R25" s="109">
        <f t="shared" si="2"/>
        <v>0.6</v>
      </c>
    </row>
    <row r="26" spans="1:18">
      <c r="A26" s="111">
        <v>43361</v>
      </c>
      <c r="B26" s="28">
        <f t="shared" si="3"/>
        <v>11</v>
      </c>
      <c r="C26" s="101">
        <v>1</v>
      </c>
      <c r="D26" s="112">
        <v>7</v>
      </c>
      <c r="E26" s="113">
        <v>16</v>
      </c>
      <c r="F26" s="114"/>
      <c r="G26" s="115">
        <v>14</v>
      </c>
      <c r="H26" s="112"/>
      <c r="I26" s="116">
        <v>21.9</v>
      </c>
      <c r="J26" s="117"/>
      <c r="K26" s="116">
        <v>43.8</v>
      </c>
      <c r="L26" s="117"/>
      <c r="M26" s="110">
        <f t="shared" si="4"/>
        <v>131</v>
      </c>
      <c r="N26" s="118"/>
      <c r="O26" s="26">
        <f>IF(A26&lt;&gt;"",MROUND(E26*$O$20/100,1)+MROUND(1.3*K26/100,2)+MROUND(0.25*4+N("підйом кузова"),1),"не їздив")</f>
        <v>3</v>
      </c>
      <c r="P26" s="27">
        <f t="shared" si="1"/>
        <v>128</v>
      </c>
      <c r="Q26" s="29">
        <v>43.63</v>
      </c>
      <c r="R26" s="109">
        <f t="shared" si="2"/>
        <v>0.875</v>
      </c>
    </row>
    <row r="27" spans="1:18">
      <c r="A27" s="111">
        <v>43362</v>
      </c>
      <c r="B27" s="28">
        <f t="shared" si="3"/>
        <v>12</v>
      </c>
      <c r="C27" s="101">
        <v>5</v>
      </c>
      <c r="D27" s="112">
        <v>22</v>
      </c>
      <c r="E27" s="113">
        <v>80</v>
      </c>
      <c r="F27" s="114"/>
      <c r="G27" s="115">
        <v>44</v>
      </c>
      <c r="H27" s="112"/>
      <c r="I27" s="116">
        <v>114.5</v>
      </c>
      <c r="J27" s="117"/>
      <c r="K27" s="116">
        <v>229</v>
      </c>
      <c r="L27" s="117"/>
      <c r="M27" s="110">
        <f t="shared" si="4"/>
        <v>128</v>
      </c>
      <c r="N27" s="118"/>
      <c r="O27" s="26">
        <f>IF(A27&lt;&gt;"",ROUND(E27*$O$20/100,2)+ROUND(1.3*K27/100,2)+MROUND(0.25*21+N("підйом кузова"),1),"не їздив")</f>
        <v>16.78</v>
      </c>
      <c r="P27" s="27">
        <f t="shared" si="1"/>
        <v>111</v>
      </c>
      <c r="Q27" s="29">
        <v>243.77</v>
      </c>
      <c r="R27" s="109">
        <f t="shared" si="2"/>
        <v>0.55000000000000004</v>
      </c>
    </row>
    <row r="28" spans="1:18">
      <c r="A28" s="111">
        <v>43363</v>
      </c>
      <c r="B28" s="28">
        <f t="shared" si="3"/>
        <v>13</v>
      </c>
      <c r="C28" s="101">
        <v>0.5</v>
      </c>
      <c r="D28" s="112">
        <v>4</v>
      </c>
      <c r="E28" s="113">
        <v>12</v>
      </c>
      <c r="F28" s="114"/>
      <c r="G28" s="115">
        <v>8</v>
      </c>
      <c r="H28" s="112"/>
      <c r="I28" s="116">
        <v>6.9</v>
      </c>
      <c r="J28" s="117"/>
      <c r="K28" s="116">
        <v>13.8</v>
      </c>
      <c r="L28" s="117"/>
      <c r="M28" s="110">
        <f t="shared" si="4"/>
        <v>111</v>
      </c>
      <c r="N28" s="118"/>
      <c r="O28" s="26">
        <f>IF(A28&lt;&gt;"",ROUND(E28*$O$20/100,2)+ROUND(1.3*K28/100,1)+MROUND(0.25*0+N("підйом кузова"),1),"не їздив")</f>
        <v>1.52</v>
      </c>
      <c r="P28" s="27">
        <f t="shared" si="1"/>
        <v>109</v>
      </c>
      <c r="Q28" s="29">
        <v>14.69</v>
      </c>
      <c r="R28" s="109">
        <f t="shared" si="2"/>
        <v>0.66666666666666663</v>
      </c>
    </row>
    <row r="29" spans="1:18">
      <c r="A29" s="111">
        <v>43364</v>
      </c>
      <c r="B29" s="28">
        <f t="shared" si="3"/>
        <v>14</v>
      </c>
      <c r="C29" s="101">
        <v>1</v>
      </c>
      <c r="D29" s="112">
        <v>4</v>
      </c>
      <c r="E29" s="113">
        <v>34</v>
      </c>
      <c r="F29" s="114"/>
      <c r="G29" s="115">
        <v>8</v>
      </c>
      <c r="H29" s="112"/>
      <c r="I29" s="116">
        <v>2.7</v>
      </c>
      <c r="J29" s="117"/>
      <c r="K29" s="116">
        <v>5.4</v>
      </c>
      <c r="L29" s="117"/>
      <c r="M29" s="110">
        <f t="shared" si="4"/>
        <v>109</v>
      </c>
      <c r="N29" s="118"/>
      <c r="O29" s="26">
        <f>IF(A29&lt;&gt;"",MROUND(E29*$O$20/100,1)+MROUND(1.3*K29/100,1)+MROUND(0.25*2+N("підйом кузова"),1),"не їздив")</f>
        <v>5</v>
      </c>
      <c r="P29" s="27">
        <f t="shared" si="1"/>
        <v>104</v>
      </c>
      <c r="Q29" s="29">
        <v>5.75</v>
      </c>
      <c r="R29" s="109">
        <f t="shared" si="2"/>
        <v>0.23529411764705882</v>
      </c>
    </row>
    <row r="30" spans="1:18">
      <c r="A30" s="111">
        <v>43367</v>
      </c>
      <c r="B30" s="28">
        <f>IF(A30&lt;&gt;"",B29+1,"")</f>
        <v>15</v>
      </c>
      <c r="C30" s="101">
        <v>0.5</v>
      </c>
      <c r="D30" s="112">
        <v>5</v>
      </c>
      <c r="E30" s="113">
        <v>12</v>
      </c>
      <c r="F30" s="114"/>
      <c r="G30" s="115">
        <v>10</v>
      </c>
      <c r="H30" s="112"/>
      <c r="I30" s="116">
        <v>7.2</v>
      </c>
      <c r="J30" s="117"/>
      <c r="K30" s="116">
        <v>14.4</v>
      </c>
      <c r="L30" s="117"/>
      <c r="M30" s="110">
        <f t="shared" si="4"/>
        <v>104</v>
      </c>
      <c r="N30" s="118"/>
      <c r="O30" s="26">
        <f>IF(A30&lt;&gt;"",MROUND(E30*$O$20/100,1)+MROUND(1.3*K30/100,1)+MROUND(0.25*1+N("підйом кузова"),1),"не їздив")</f>
        <v>1</v>
      </c>
      <c r="P30" s="27">
        <f t="shared" si="1"/>
        <v>103</v>
      </c>
      <c r="Q30" s="29">
        <v>15.33</v>
      </c>
      <c r="R30" s="109">
        <f t="shared" si="2"/>
        <v>0.83333333333333337</v>
      </c>
    </row>
    <row r="31" spans="1:18">
      <c r="A31" s="111">
        <v>43368</v>
      </c>
      <c r="B31" s="28">
        <f t="shared" ref="B31:B37" si="5">IF(A31&lt;&gt;"",B30+1,"")</f>
        <v>16</v>
      </c>
      <c r="C31" s="101">
        <v>0.5</v>
      </c>
      <c r="D31" s="112">
        <v>5</v>
      </c>
      <c r="E31" s="113">
        <v>16</v>
      </c>
      <c r="F31" s="114"/>
      <c r="G31" s="115">
        <v>10</v>
      </c>
      <c r="H31" s="112"/>
      <c r="I31" s="116">
        <v>1.6</v>
      </c>
      <c r="J31" s="117"/>
      <c r="K31" s="116">
        <v>3.2</v>
      </c>
      <c r="L31" s="117"/>
      <c r="M31" s="110">
        <f t="shared" si="4"/>
        <v>103</v>
      </c>
      <c r="N31" s="118"/>
      <c r="O31" s="26">
        <f>IF(A31&lt;&gt;"",ROUND(E31*$O$20/100,2)+ROUND(1.3*K31/100,2)+MROUND(0.25*0+N("підйом кузова"),1),"не їздив")</f>
        <v>1.8</v>
      </c>
      <c r="P31" s="27">
        <f>IF(M31&lt;&gt;"",ROUND(SUM(M31:N31)-O31,0),"")</f>
        <v>101</v>
      </c>
      <c r="Q31" s="29">
        <v>3.41</v>
      </c>
      <c r="R31" s="109">
        <f t="shared" si="2"/>
        <v>0.625</v>
      </c>
    </row>
    <row r="32" spans="1:18">
      <c r="A32" s="111">
        <v>43369</v>
      </c>
      <c r="B32" s="28">
        <f t="shared" si="5"/>
        <v>17</v>
      </c>
      <c r="C32" s="101">
        <v>2</v>
      </c>
      <c r="D32" s="112">
        <v>6</v>
      </c>
      <c r="E32" s="113">
        <v>52</v>
      </c>
      <c r="F32" s="114"/>
      <c r="G32" s="115">
        <v>28</v>
      </c>
      <c r="H32" s="112"/>
      <c r="I32" s="116">
        <v>17.399999999999999</v>
      </c>
      <c r="J32" s="117"/>
      <c r="K32" s="116">
        <v>114.8</v>
      </c>
      <c r="L32" s="117"/>
      <c r="M32" s="110">
        <f t="shared" si="4"/>
        <v>101</v>
      </c>
      <c r="N32" s="118"/>
      <c r="O32" s="26">
        <f>IF(A32&lt;&gt;"",MROUND(E32*$O$20/100,1)+MROUND(1.3*K32/100,1)+MROUND(0.25*2+N("підйом кузова"),1),"не їздив")</f>
        <v>8</v>
      </c>
      <c r="P32" s="27">
        <f t="shared" si="1"/>
        <v>93</v>
      </c>
      <c r="Q32" s="29">
        <v>69.92</v>
      </c>
      <c r="R32" s="109">
        <f t="shared" si="2"/>
        <v>0.53846153846153844</v>
      </c>
    </row>
    <row r="33" spans="1:28">
      <c r="A33" s="111">
        <v>43370</v>
      </c>
      <c r="B33" s="28">
        <f t="shared" si="5"/>
        <v>18</v>
      </c>
      <c r="C33" s="101">
        <v>1</v>
      </c>
      <c r="D33" s="112">
        <v>7</v>
      </c>
      <c r="E33" s="113">
        <v>20</v>
      </c>
      <c r="F33" s="114"/>
      <c r="G33" s="115">
        <v>14</v>
      </c>
      <c r="H33" s="112"/>
      <c r="I33" s="116">
        <v>10.4</v>
      </c>
      <c r="J33" s="117"/>
      <c r="K33" s="116">
        <v>20.8</v>
      </c>
      <c r="L33" s="117"/>
      <c r="M33" s="110">
        <f>IF(A33&lt;&gt;"",ROUND(P32,0),"")</f>
        <v>93</v>
      </c>
      <c r="N33" s="118">
        <v>100</v>
      </c>
      <c r="O33" s="26">
        <f>IF(A33&lt;&gt;"",MROUND(E33*$O$20/100,2)+MROUND(1.3*K33/100,2)+MROUND(0.25*6+N("підйом кузова"),1),"не їздив")</f>
        <v>4</v>
      </c>
      <c r="P33" s="27">
        <f>IF(M33&lt;&gt;"",ROUND(SUM(M33:N33)-O33,0),"")</f>
        <v>189</v>
      </c>
      <c r="Q33" s="29">
        <v>22.15</v>
      </c>
      <c r="R33" s="109">
        <f t="shared" si="2"/>
        <v>0.7</v>
      </c>
    </row>
    <row r="34" spans="1:28">
      <c r="A34" s="111">
        <v>43371</v>
      </c>
      <c r="B34" s="28">
        <f t="shared" si="5"/>
        <v>19</v>
      </c>
      <c r="C34" s="101">
        <v>1</v>
      </c>
      <c r="D34" s="112">
        <v>8</v>
      </c>
      <c r="E34" s="113">
        <v>36</v>
      </c>
      <c r="F34" s="114"/>
      <c r="G34" s="115">
        <v>18</v>
      </c>
      <c r="H34" s="112"/>
      <c r="I34" s="116">
        <v>22.8</v>
      </c>
      <c r="J34" s="117"/>
      <c r="K34" s="116">
        <v>49.8</v>
      </c>
      <c r="L34" s="117"/>
      <c r="M34" s="110">
        <f t="shared" si="4"/>
        <v>189</v>
      </c>
      <c r="N34" s="118"/>
      <c r="O34" s="26">
        <f>IF(A34&lt;&gt;"",MROUND(E34*$O$20/100,1)+MROUND(1.3*K34/100,1)+MROUND(0.25*4+N("підйом кузова"),1),"не їздив")</f>
        <v>6</v>
      </c>
      <c r="P34" s="27">
        <f t="shared" si="1"/>
        <v>183</v>
      </c>
      <c r="Q34" s="29">
        <v>50.77</v>
      </c>
      <c r="R34" s="109">
        <f t="shared" si="2"/>
        <v>0.5</v>
      </c>
    </row>
    <row r="35" spans="1:28">
      <c r="A35" s="111"/>
      <c r="B35" s="28" t="str">
        <f t="shared" si="5"/>
        <v/>
      </c>
      <c r="C35" s="101"/>
      <c r="D35" s="112"/>
      <c r="E35" s="113"/>
      <c r="F35" s="114"/>
      <c r="G35" s="115"/>
      <c r="H35" s="112"/>
      <c r="I35" s="116"/>
      <c r="J35" s="117"/>
      <c r="K35" s="116"/>
      <c r="L35" s="117"/>
      <c r="M35" s="110" t="str">
        <f t="shared" si="4"/>
        <v/>
      </c>
      <c r="N35" s="118"/>
      <c r="O35" s="26" t="str">
        <f>IF(A35&lt;&gt;"",MROUND(E35*$O$20/100,1)+MROUND(1.3*K35/100,1)+MROUND(0.25*0+N("підйом кузова"),1),"не їздив")</f>
        <v>не їздив</v>
      </c>
      <c r="P35" s="27" t="str">
        <f t="shared" si="1"/>
        <v/>
      </c>
      <c r="Q35" s="29" t="str">
        <f>IF(A35&lt;&gt;"",ROUND(K35*$I$14,2)+ROUND(I35*$L$14,2),"не їздив")</f>
        <v>не їздив</v>
      </c>
      <c r="R35" s="109" t="str">
        <f t="shared" si="2"/>
        <v>не їздив</v>
      </c>
    </row>
    <row r="36" spans="1:28">
      <c r="A36" s="111"/>
      <c r="B36" s="28" t="str">
        <f t="shared" si="5"/>
        <v/>
      </c>
      <c r="C36" s="101"/>
      <c r="D36" s="112"/>
      <c r="E36" s="113"/>
      <c r="F36" s="114"/>
      <c r="G36" s="115"/>
      <c r="H36" s="112"/>
      <c r="I36" s="116"/>
      <c r="J36" s="117"/>
      <c r="K36" s="116"/>
      <c r="L36" s="117"/>
      <c r="M36" s="110" t="str">
        <f t="shared" si="4"/>
        <v/>
      </c>
      <c r="N36" s="118"/>
      <c r="O36" s="26" t="str">
        <f>IF(A36&lt;&gt;"",MROUND(E36*$O$20/100,1)+MROUND(1.3*K36/100,1)+MROUND(0.25*0+N("підйом кузова"),1),"не їздив")</f>
        <v>не їздив</v>
      </c>
      <c r="P36" s="27" t="str">
        <f t="shared" si="1"/>
        <v/>
      </c>
      <c r="Q36" s="29" t="str">
        <f>IF(A36&lt;&gt;"",ROUND(K36*$I$14,2)+ROUND(I36*$L$14,2),"не їздив")</f>
        <v>не їздив</v>
      </c>
      <c r="R36" s="109" t="str">
        <f t="shared" si="2"/>
        <v>не їздив</v>
      </c>
    </row>
    <row r="37" spans="1:28" ht="15.75" thickBot="1">
      <c r="A37" s="121"/>
      <c r="B37" s="28" t="str">
        <f t="shared" si="5"/>
        <v/>
      </c>
      <c r="C37" s="101"/>
      <c r="D37" s="122"/>
      <c r="E37" s="123"/>
      <c r="F37" s="124"/>
      <c r="G37" s="125"/>
      <c r="H37" s="122"/>
      <c r="I37" s="126"/>
      <c r="J37" s="127"/>
      <c r="K37" s="126"/>
      <c r="L37" s="127"/>
      <c r="M37" s="110" t="str">
        <f t="shared" si="4"/>
        <v/>
      </c>
      <c r="N37" s="128"/>
      <c r="O37" s="26" t="str">
        <f>IF(A37&lt;&gt;"",MROUND(E37*$O$20/100,1)+MROUND(1.3*K37/100,1)+MROUND(0.25*9+N("підйом кузова"),1),"не їздив")</f>
        <v>не їздив</v>
      </c>
      <c r="P37" s="27" t="str">
        <f t="shared" si="1"/>
        <v/>
      </c>
      <c r="Q37" s="30" t="str">
        <f>IF(A37&lt;&gt;"",ROUND(K37*$I$14,2)+ROUND(I37*$L$14,2),"не їздив")</f>
        <v>не їздив</v>
      </c>
      <c r="R37" s="129" t="str">
        <f t="shared" si="2"/>
        <v>не їздив</v>
      </c>
    </row>
    <row r="38" spans="1:28" ht="15.75">
      <c r="A38" s="130">
        <f>IF(COUNT(A16:A37),COUNT(A16:A37),"")</f>
        <v>19</v>
      </c>
      <c r="B38" s="131" t="s">
        <v>67</v>
      </c>
      <c r="C38" s="132">
        <f t="shared" ref="C38:Q38" si="6">IF(SUM(C16:C37),SUM(C16:C37),"")</f>
        <v>32</v>
      </c>
      <c r="D38" s="133">
        <f t="shared" si="6"/>
        <v>130</v>
      </c>
      <c r="E38" s="134">
        <f t="shared" si="6"/>
        <v>728</v>
      </c>
      <c r="F38" s="135" t="str">
        <f t="shared" si="6"/>
        <v/>
      </c>
      <c r="G38" s="135">
        <f t="shared" si="6"/>
        <v>395</v>
      </c>
      <c r="H38" s="133" t="str">
        <f t="shared" si="6"/>
        <v/>
      </c>
      <c r="I38" s="136">
        <f t="shared" si="6"/>
        <v>471.09999999999991</v>
      </c>
      <c r="J38" s="137" t="str">
        <f t="shared" si="6"/>
        <v/>
      </c>
      <c r="K38" s="136">
        <f t="shared" si="6"/>
        <v>1618.9</v>
      </c>
      <c r="L38" s="137" t="str">
        <f t="shared" si="6"/>
        <v/>
      </c>
      <c r="M38" s="134">
        <f>IF(M16&lt;&gt;"",M16,"")</f>
        <v>30</v>
      </c>
      <c r="N38" s="135">
        <f>IF(SUM(N16:N37),SUM(N16:N37),"")</f>
        <v>300</v>
      </c>
      <c r="O38" s="138">
        <f>IF(ROUND(SUM(O16:O37),0),ROUND(SUM(O16:O37),0),"")</f>
        <v>147</v>
      </c>
      <c r="P38" s="133">
        <f>IFERROR(IF(VLOOKUP(MAXA(A16:A37),A16:Q37,16,0)=(M38+N38-O38 ),(M38+N38-O38),"Проверь"),"")</f>
        <v>183</v>
      </c>
      <c r="Q38" s="139">
        <f t="shared" si="6"/>
        <v>1319.5000000000002</v>
      </c>
      <c r="R38" s="140">
        <f t="shared" si="2"/>
        <v>0.54258241758241754</v>
      </c>
    </row>
    <row r="39" spans="1:28">
      <c r="B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</row>
    <row r="42" spans="1:28" ht="28.5">
      <c r="A42" s="330" t="s">
        <v>150</v>
      </c>
    </row>
    <row r="43" spans="1:28" ht="28.5">
      <c r="D43" s="330" t="s">
        <v>153</v>
      </c>
    </row>
    <row r="46" spans="1:28" ht="28.5">
      <c r="D46" s="330" t="s">
        <v>152</v>
      </c>
    </row>
    <row r="48" spans="1:28" ht="18.75">
      <c r="A48" s="1"/>
      <c r="B48" s="1"/>
      <c r="C48" s="1"/>
      <c r="D48" s="1"/>
      <c r="E48" s="1"/>
      <c r="F48" s="1"/>
      <c r="G48" s="1"/>
      <c r="H48" s="143" t="s">
        <v>69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44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45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>
      <c r="A50" s="1"/>
      <c r="B50" s="1"/>
      <c r="C50" s="1"/>
      <c r="D50" s="1"/>
      <c r="E50" s="1"/>
      <c r="F50" s="1"/>
      <c r="G50" s="1"/>
      <c r="H50" s="14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>
      <c r="A51" s="1"/>
      <c r="B51" s="1"/>
      <c r="C51" s="1"/>
      <c r="D51" s="1" t="s">
        <v>70</v>
      </c>
      <c r="E51" s="1"/>
      <c r="F51" s="1"/>
      <c r="G51" s="1"/>
      <c r="H51" s="1"/>
      <c r="I51" s="1"/>
      <c r="J51" s="1"/>
      <c r="K51" s="1" t="s">
        <v>71</v>
      </c>
      <c r="L51" s="1"/>
      <c r="M51" s="1"/>
      <c r="N51" s="1"/>
      <c r="O51" s="1"/>
      <c r="P51" s="1"/>
      <c r="Q51" s="144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47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22.5">
      <c r="A53" s="1"/>
      <c r="B53" s="1"/>
      <c r="C53" s="1"/>
      <c r="D53" s="148" t="s">
        <v>72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22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48" t="s">
        <v>73</v>
      </c>
      <c r="P54" s="149">
        <f>$H$12</f>
        <v>0</v>
      </c>
      <c r="Q54" s="150"/>
      <c r="R54" s="150"/>
      <c r="S54" s="151" t="str">
        <f>$K$12</f>
        <v xml:space="preserve">   тонно – км.</v>
      </c>
      <c r="T54" s="1"/>
      <c r="U54" s="1"/>
      <c r="V54" s="1"/>
      <c r="W54" s="1"/>
      <c r="X54" s="1"/>
      <c r="Y54" s="1"/>
      <c r="Z54" s="1"/>
      <c r="AA54" s="1"/>
      <c r="AB54" s="1"/>
    </row>
    <row r="55" spans="1:28">
      <c r="A55" s="7"/>
      <c r="B55" s="32"/>
      <c r="C55" s="32"/>
      <c r="D55" s="32"/>
      <c r="E55" s="1"/>
      <c r="F55" s="1"/>
      <c r="G55" s="1"/>
      <c r="H55" s="1"/>
      <c r="I55" s="32"/>
      <c r="J55" s="32"/>
      <c r="K55" s="7"/>
      <c r="L55" s="7"/>
      <c r="M55" s="7"/>
      <c r="N55" s="7"/>
      <c r="O55" s="32"/>
      <c r="P55" s="7"/>
      <c r="Q55" s="152" t="s">
        <v>74</v>
      </c>
      <c r="R55" s="32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6.5">
      <c r="A56" s="153" t="s">
        <v>75</v>
      </c>
      <c r="B56" s="154"/>
      <c r="C56" s="6"/>
      <c r="D56" s="155"/>
      <c r="E56" s="155"/>
      <c r="F56" s="155"/>
      <c r="G56" s="6"/>
      <c r="H56" s="156"/>
      <c r="I56" s="156"/>
      <c r="J56" s="156"/>
      <c r="K56" s="157" t="s">
        <v>76</v>
      </c>
      <c r="L56" s="156"/>
      <c r="M56" s="156"/>
      <c r="N56" s="9"/>
      <c r="O56" s="8" t="s">
        <v>77</v>
      </c>
      <c r="P56" s="1"/>
      <c r="Q56" s="156"/>
      <c r="R56" s="9"/>
      <c r="S56" s="156"/>
      <c r="T56" s="158" t="s">
        <v>78</v>
      </c>
      <c r="U56" s="156"/>
      <c r="V56" s="156"/>
      <c r="W56" s="159"/>
      <c r="X56" s="154"/>
      <c r="Y56" s="155"/>
      <c r="Z56" s="160"/>
      <c r="AA56" s="155"/>
      <c r="AB56" s="6"/>
    </row>
    <row r="57" spans="1:28" ht="16.5">
      <c r="A57" s="161" t="s">
        <v>79</v>
      </c>
      <c r="B57" s="162" t="s">
        <v>80</v>
      </c>
      <c r="C57" s="163"/>
      <c r="D57" s="164" t="s">
        <v>81</v>
      </c>
      <c r="E57" s="32"/>
      <c r="F57" s="32"/>
      <c r="G57" s="163"/>
      <c r="H57" s="6"/>
      <c r="I57" s="5" t="s">
        <v>16</v>
      </c>
      <c r="J57" s="165" t="s">
        <v>82</v>
      </c>
      <c r="K57" s="166" t="s">
        <v>83</v>
      </c>
      <c r="L57" s="166" t="s">
        <v>84</v>
      </c>
      <c r="M57" s="167"/>
      <c r="N57" s="168" t="s">
        <v>85</v>
      </c>
      <c r="O57" s="13" t="s">
        <v>32</v>
      </c>
      <c r="P57" s="14" t="s">
        <v>33</v>
      </c>
      <c r="Q57" s="15" t="s">
        <v>34</v>
      </c>
      <c r="R57" s="16" t="s">
        <v>32</v>
      </c>
      <c r="S57" s="6"/>
      <c r="T57" s="169" t="s">
        <v>86</v>
      </c>
      <c r="U57" s="6"/>
      <c r="V57" s="170" t="s">
        <v>87</v>
      </c>
      <c r="W57" s="159"/>
      <c r="X57" s="162" t="s">
        <v>80</v>
      </c>
      <c r="Y57" s="32"/>
      <c r="Z57" s="171" t="s">
        <v>81</v>
      </c>
      <c r="AA57" s="32"/>
      <c r="AB57" s="163"/>
    </row>
    <row r="58" spans="1:28" ht="16.5">
      <c r="A58" s="161" t="s">
        <v>88</v>
      </c>
      <c r="B58" s="162" t="s">
        <v>89</v>
      </c>
      <c r="C58" s="163"/>
      <c r="D58" s="164" t="s">
        <v>90</v>
      </c>
      <c r="E58" s="32"/>
      <c r="F58" s="32"/>
      <c r="G58" s="163"/>
      <c r="H58" s="172" t="s">
        <v>91</v>
      </c>
      <c r="I58" s="173" t="s">
        <v>26</v>
      </c>
      <c r="J58" s="174" t="s">
        <v>92</v>
      </c>
      <c r="K58" s="172" t="s">
        <v>93</v>
      </c>
      <c r="L58" s="172" t="s">
        <v>94</v>
      </c>
      <c r="M58" s="175" t="s">
        <v>95</v>
      </c>
      <c r="N58" s="168" t="s">
        <v>96</v>
      </c>
      <c r="O58" s="17" t="s">
        <v>45</v>
      </c>
      <c r="P58" s="18" t="s">
        <v>46</v>
      </c>
      <c r="Q58" s="19" t="s">
        <v>47</v>
      </c>
      <c r="R58" s="20" t="s">
        <v>45</v>
      </c>
      <c r="S58" s="176" t="s">
        <v>97</v>
      </c>
      <c r="T58" s="177" t="s">
        <v>98</v>
      </c>
      <c r="U58" s="178" t="s">
        <v>99</v>
      </c>
      <c r="V58" s="6"/>
      <c r="W58" s="163"/>
      <c r="X58" s="162" t="s">
        <v>89</v>
      </c>
      <c r="Y58" s="32"/>
      <c r="Z58" s="171" t="s">
        <v>90</v>
      </c>
      <c r="AA58" s="32"/>
      <c r="AB58" s="163"/>
    </row>
    <row r="59" spans="1:28" ht="16.5">
      <c r="A59" s="179"/>
      <c r="B59" s="162" t="s">
        <v>100</v>
      </c>
      <c r="C59" s="163"/>
      <c r="D59" s="32"/>
      <c r="E59" s="32"/>
      <c r="F59" s="32"/>
      <c r="G59" s="163"/>
      <c r="H59" s="163"/>
      <c r="I59" s="173" t="s">
        <v>38</v>
      </c>
      <c r="J59" s="174" t="s">
        <v>101</v>
      </c>
      <c r="K59" s="172" t="s">
        <v>102</v>
      </c>
      <c r="L59" s="172" t="s">
        <v>103</v>
      </c>
      <c r="M59" s="175" t="s">
        <v>104</v>
      </c>
      <c r="N59" s="180" t="s">
        <v>105</v>
      </c>
      <c r="O59" s="17" t="s">
        <v>56</v>
      </c>
      <c r="P59" s="21"/>
      <c r="Q59" s="19" t="s">
        <v>57</v>
      </c>
      <c r="R59" s="20" t="s">
        <v>58</v>
      </c>
      <c r="S59" s="176" t="s">
        <v>59</v>
      </c>
      <c r="T59" s="177" t="s">
        <v>106</v>
      </c>
      <c r="U59" s="178" t="s">
        <v>59</v>
      </c>
      <c r="V59" s="181" t="s">
        <v>107</v>
      </c>
      <c r="W59" s="181" t="s">
        <v>108</v>
      </c>
      <c r="X59" s="162" t="s">
        <v>100</v>
      </c>
      <c r="Y59" s="32"/>
      <c r="Z59" s="179"/>
      <c r="AA59" s="32"/>
      <c r="AB59" s="163"/>
    </row>
    <row r="60" spans="1:28" ht="16.5">
      <c r="A60" s="179"/>
      <c r="B60" s="182"/>
      <c r="C60" s="163"/>
      <c r="D60" s="32"/>
      <c r="E60" s="32"/>
      <c r="F60" s="32"/>
      <c r="G60" s="163"/>
      <c r="H60" s="163"/>
      <c r="I60" s="163"/>
      <c r="J60" s="174" t="s">
        <v>109</v>
      </c>
      <c r="K60" s="172" t="s">
        <v>61</v>
      </c>
      <c r="L60" s="172" t="s">
        <v>61</v>
      </c>
      <c r="M60" s="175" t="s">
        <v>53</v>
      </c>
      <c r="N60" s="183" t="s">
        <v>110</v>
      </c>
      <c r="O60" s="17"/>
      <c r="P60" s="21"/>
      <c r="Q60" s="21"/>
      <c r="R60" s="20" t="s">
        <v>64</v>
      </c>
      <c r="S60" s="163"/>
      <c r="T60" s="177" t="s">
        <v>111</v>
      </c>
      <c r="U60" s="163"/>
      <c r="V60" s="163"/>
      <c r="W60" s="163"/>
      <c r="X60" s="182"/>
      <c r="Y60" s="32"/>
      <c r="Z60" s="179"/>
      <c r="AA60" s="32"/>
      <c r="AB60" s="163"/>
    </row>
    <row r="61" spans="1:28" ht="16.5" thickBot="1">
      <c r="A61" s="184"/>
      <c r="B61" s="185"/>
      <c r="C61" s="186"/>
      <c r="D61" s="187"/>
      <c r="E61" s="187"/>
      <c r="F61" s="187"/>
      <c r="G61" s="186"/>
      <c r="H61" s="186"/>
      <c r="I61" s="186"/>
      <c r="J61" s="188" t="s">
        <v>112</v>
      </c>
      <c r="K61" s="186"/>
      <c r="L61" s="186"/>
      <c r="M61" s="23"/>
      <c r="N61" s="189" t="s">
        <v>113</v>
      </c>
      <c r="O61" s="190"/>
      <c r="P61" s="87"/>
      <c r="Q61" s="87"/>
      <c r="R61" s="24"/>
      <c r="S61" s="186"/>
      <c r="T61" s="191" t="s">
        <v>114</v>
      </c>
      <c r="U61" s="186"/>
      <c r="V61" s="186"/>
      <c r="W61" s="186"/>
      <c r="X61" s="185"/>
      <c r="Y61" s="187"/>
      <c r="Z61" s="184"/>
      <c r="AA61" s="187"/>
      <c r="AB61" s="186"/>
    </row>
    <row r="62" spans="1:28" ht="15.75">
      <c r="A62" s="7"/>
      <c r="B62" s="7"/>
      <c r="C62" s="10"/>
      <c r="D62" s="192" t="s">
        <v>115</v>
      </c>
      <c r="E62" s="7"/>
      <c r="F62" s="7"/>
      <c r="G62" s="10"/>
      <c r="H62" s="193"/>
      <c r="I62" s="193"/>
      <c r="J62" s="193"/>
      <c r="K62" s="193"/>
      <c r="L62" s="193"/>
      <c r="M62" s="193"/>
      <c r="N62" s="194"/>
      <c r="O62" s="10"/>
      <c r="P62" s="193"/>
      <c r="Q62" s="193"/>
      <c r="R62" s="194"/>
      <c r="S62" s="10"/>
      <c r="T62" s="193"/>
      <c r="U62" s="193"/>
      <c r="V62" s="193"/>
      <c r="W62" s="193"/>
      <c r="X62" s="195"/>
      <c r="Y62" s="10"/>
      <c r="Z62" s="195"/>
      <c r="AA62" s="7"/>
      <c r="AB62" s="10"/>
    </row>
    <row r="63" spans="1:28" ht="15.75">
      <c r="A63" s="196">
        <v>1</v>
      </c>
      <c r="B63" s="323" t="s">
        <v>143</v>
      </c>
      <c r="C63" s="10"/>
      <c r="D63" s="60" t="s">
        <v>125</v>
      </c>
      <c r="E63" s="7"/>
      <c r="F63" s="7"/>
      <c r="G63" s="10"/>
      <c r="H63" s="197">
        <v>19</v>
      </c>
      <c r="I63" s="198">
        <v>32</v>
      </c>
      <c r="J63" s="197">
        <v>130</v>
      </c>
      <c r="K63" s="197">
        <v>728</v>
      </c>
      <c r="L63" s="197">
        <v>395</v>
      </c>
      <c r="M63" s="199">
        <v>471.09999999999991</v>
      </c>
      <c r="N63" s="200">
        <v>1618.9</v>
      </c>
      <c r="O63" s="201">
        <v>30</v>
      </c>
      <c r="P63" s="197">
        <v>300</v>
      </c>
      <c r="Q63" s="202">
        <v>216</v>
      </c>
      <c r="R63" s="203">
        <v>114</v>
      </c>
      <c r="S63" s="204">
        <v>1319.5000000000002</v>
      </c>
      <c r="T63" s="199">
        <v>203.5</v>
      </c>
      <c r="U63" s="205">
        <v>1523.0000000000002</v>
      </c>
      <c r="V63" s="206">
        <v>2.0920329670329672</v>
      </c>
      <c r="W63" s="207">
        <v>47.593750000000007</v>
      </c>
      <c r="X63" s="208" t="s">
        <v>124</v>
      </c>
      <c r="Y63" s="209"/>
      <c r="Z63" s="208" t="s">
        <v>125</v>
      </c>
      <c r="AA63" s="209"/>
      <c r="AB63" s="7"/>
    </row>
    <row r="64" spans="1:28" ht="15.75">
      <c r="A64" s="210" t="s">
        <v>126</v>
      </c>
      <c r="B64" s="211" t="s">
        <v>127</v>
      </c>
      <c r="C64" s="212"/>
      <c r="D64" s="60" t="s">
        <v>128</v>
      </c>
      <c r="E64" s="156"/>
      <c r="F64" s="156"/>
      <c r="G64" s="159"/>
      <c r="H64" s="197" t="s">
        <v>129</v>
      </c>
      <c r="I64" s="198" t="s">
        <v>129</v>
      </c>
      <c r="J64" s="197" t="s">
        <v>129</v>
      </c>
      <c r="K64" s="197" t="s">
        <v>129</v>
      </c>
      <c r="L64" s="197" t="s">
        <v>129</v>
      </c>
      <c r="M64" s="199" t="s">
        <v>129</v>
      </c>
      <c r="N64" s="200" t="s">
        <v>129</v>
      </c>
      <c r="O64" s="213" t="s">
        <v>129</v>
      </c>
      <c r="P64" s="197" t="s">
        <v>129</v>
      </c>
      <c r="Q64" s="202" t="s">
        <v>129</v>
      </c>
      <c r="R64" s="214" t="s">
        <v>129</v>
      </c>
      <c r="S64" s="204" t="s">
        <v>129</v>
      </c>
      <c r="T64" s="215">
        <v>0</v>
      </c>
      <c r="U64" s="205">
        <v>0</v>
      </c>
      <c r="V64" s="206" t="s">
        <v>126</v>
      </c>
      <c r="W64" s="207" t="s">
        <v>126</v>
      </c>
      <c r="X64" s="216" t="s">
        <v>127</v>
      </c>
      <c r="Y64" s="217"/>
      <c r="Z64" s="216" t="s">
        <v>128</v>
      </c>
      <c r="AA64" s="217"/>
      <c r="AB64" s="156"/>
    </row>
    <row r="65" spans="1:28" ht="15.75">
      <c r="A65" s="210">
        <v>2</v>
      </c>
      <c r="B65" s="324" t="s">
        <v>144</v>
      </c>
      <c r="C65" s="159"/>
      <c r="D65" s="60" t="s">
        <v>131</v>
      </c>
      <c r="E65" s="156"/>
      <c r="F65" s="156"/>
      <c r="G65" s="159"/>
      <c r="H65" s="197">
        <v>3</v>
      </c>
      <c r="I65" s="198">
        <v>6</v>
      </c>
      <c r="J65" s="197">
        <v>5</v>
      </c>
      <c r="K65" s="197">
        <v>174</v>
      </c>
      <c r="L65" s="197">
        <v>84</v>
      </c>
      <c r="M65" s="199">
        <v>42</v>
      </c>
      <c r="N65" s="200">
        <v>658</v>
      </c>
      <c r="O65" s="213">
        <v>130</v>
      </c>
      <c r="P65" s="197" t="s">
        <v>129</v>
      </c>
      <c r="Q65" s="202">
        <v>51.919999999999995</v>
      </c>
      <c r="R65" s="214" t="s">
        <v>129</v>
      </c>
      <c r="S65" s="204">
        <v>251.04999999999998</v>
      </c>
      <c r="T65" s="199">
        <v>50.44824324324324</v>
      </c>
      <c r="U65" s="205">
        <v>301.49824324324322</v>
      </c>
      <c r="V65" s="206">
        <v>1.7327485243864553</v>
      </c>
      <c r="W65" s="207">
        <v>50.249707207207202</v>
      </c>
      <c r="X65" s="216" t="s">
        <v>130</v>
      </c>
      <c r="Y65" s="217"/>
      <c r="Z65" s="216" t="s">
        <v>131</v>
      </c>
      <c r="AA65" s="217"/>
      <c r="AB65" s="156"/>
    </row>
    <row r="66" spans="1:28" ht="15.75">
      <c r="A66" s="210" t="s">
        <v>126</v>
      </c>
      <c r="B66" s="218" t="s">
        <v>127</v>
      </c>
      <c r="C66" s="159"/>
      <c r="D66" s="60" t="s">
        <v>132</v>
      </c>
      <c r="E66" s="156"/>
      <c r="F66" s="156"/>
      <c r="G66" s="159"/>
      <c r="H66" s="197" t="s">
        <v>129</v>
      </c>
      <c r="I66" s="198" t="s">
        <v>129</v>
      </c>
      <c r="J66" s="197" t="s">
        <v>129</v>
      </c>
      <c r="K66" s="197" t="s">
        <v>129</v>
      </c>
      <c r="L66" s="197" t="s">
        <v>129</v>
      </c>
      <c r="M66" s="199" t="s">
        <v>129</v>
      </c>
      <c r="N66" s="200" t="s">
        <v>129</v>
      </c>
      <c r="O66" s="213" t="s">
        <v>129</v>
      </c>
      <c r="P66" s="197" t="s">
        <v>129</v>
      </c>
      <c r="Q66" s="202" t="s">
        <v>129</v>
      </c>
      <c r="R66" s="214" t="s">
        <v>129</v>
      </c>
      <c r="S66" s="204" t="s">
        <v>129</v>
      </c>
      <c r="T66" s="199">
        <v>0</v>
      </c>
      <c r="U66" s="205">
        <v>0</v>
      </c>
      <c r="V66" s="206" t="s">
        <v>126</v>
      </c>
      <c r="W66" s="207" t="s">
        <v>126</v>
      </c>
      <c r="X66" s="216" t="s">
        <v>127</v>
      </c>
      <c r="Y66" s="217"/>
      <c r="Z66" s="208" t="s">
        <v>132</v>
      </c>
      <c r="AA66" s="209"/>
      <c r="AB66" s="7"/>
    </row>
    <row r="67" spans="1:28" ht="15.75">
      <c r="A67" s="210">
        <v>3</v>
      </c>
      <c r="B67" s="324" t="s">
        <v>145</v>
      </c>
      <c r="C67" s="159"/>
      <c r="D67" s="60" t="s">
        <v>134</v>
      </c>
      <c r="E67" s="156"/>
      <c r="F67" s="156"/>
      <c r="G67" s="159"/>
      <c r="H67" s="197">
        <v>2</v>
      </c>
      <c r="I67" s="198">
        <v>5</v>
      </c>
      <c r="J67" s="197">
        <v>3</v>
      </c>
      <c r="K67" s="197">
        <v>164</v>
      </c>
      <c r="L67" s="197">
        <v>72</v>
      </c>
      <c r="M67" s="199">
        <v>20</v>
      </c>
      <c r="N67" s="200">
        <v>732</v>
      </c>
      <c r="O67" s="213">
        <v>97</v>
      </c>
      <c r="P67" s="197">
        <v>100</v>
      </c>
      <c r="Q67" s="202">
        <v>51</v>
      </c>
      <c r="R67" s="214">
        <v>146</v>
      </c>
      <c r="S67" s="204">
        <v>244.18</v>
      </c>
      <c r="T67" s="199">
        <v>19.02</v>
      </c>
      <c r="U67" s="205">
        <v>263.2</v>
      </c>
      <c r="V67" s="206">
        <v>1.6048780487804877</v>
      </c>
      <c r="W67" s="207">
        <v>52.64</v>
      </c>
      <c r="X67" s="216" t="s">
        <v>133</v>
      </c>
      <c r="Y67" s="219"/>
      <c r="Z67" s="208" t="s">
        <v>134</v>
      </c>
      <c r="AA67" s="209"/>
      <c r="AB67" s="7"/>
    </row>
    <row r="68" spans="1:28" ht="15.75">
      <c r="A68" s="210">
        <v>4</v>
      </c>
      <c r="B68" s="325" t="s">
        <v>146</v>
      </c>
      <c r="C68" s="159"/>
      <c r="D68" s="220" t="s">
        <v>136</v>
      </c>
      <c r="E68" s="156"/>
      <c r="F68" s="156"/>
      <c r="G68" s="159"/>
      <c r="H68" s="197" t="s">
        <v>129</v>
      </c>
      <c r="I68" s="198" t="s">
        <v>129</v>
      </c>
      <c r="J68" s="197" t="s">
        <v>129</v>
      </c>
      <c r="K68" s="197" t="s">
        <v>129</v>
      </c>
      <c r="L68" s="197" t="s">
        <v>129</v>
      </c>
      <c r="M68" s="199" t="s">
        <v>129</v>
      </c>
      <c r="N68" s="200" t="s">
        <v>129</v>
      </c>
      <c r="O68" s="213" t="s">
        <v>129</v>
      </c>
      <c r="P68" s="197" t="s">
        <v>129</v>
      </c>
      <c r="Q68" s="202" t="s">
        <v>129</v>
      </c>
      <c r="R68" s="214" t="s">
        <v>129</v>
      </c>
      <c r="S68" s="204" t="s">
        <v>129</v>
      </c>
      <c r="T68" s="199">
        <v>0</v>
      </c>
      <c r="U68" s="205">
        <v>0</v>
      </c>
      <c r="V68" s="206" t="s">
        <v>126</v>
      </c>
      <c r="W68" s="207" t="s">
        <v>126</v>
      </c>
      <c r="X68" s="208" t="s">
        <v>135</v>
      </c>
      <c r="Y68" s="209"/>
      <c r="Z68" s="216" t="s">
        <v>136</v>
      </c>
      <c r="AA68" s="217"/>
      <c r="AB68" s="156"/>
    </row>
    <row r="69" spans="1:28" ht="15.75">
      <c r="A69" s="210" t="s">
        <v>126</v>
      </c>
      <c r="B69" s="218" t="s">
        <v>127</v>
      </c>
      <c r="C69" s="159"/>
      <c r="D69" s="220" t="s">
        <v>137</v>
      </c>
      <c r="E69" s="156"/>
      <c r="F69" s="156"/>
      <c r="G69" s="159"/>
      <c r="H69" s="197" t="s">
        <v>129</v>
      </c>
      <c r="I69" s="198" t="s">
        <v>129</v>
      </c>
      <c r="J69" s="197" t="s">
        <v>129</v>
      </c>
      <c r="K69" s="197" t="s">
        <v>129</v>
      </c>
      <c r="L69" s="197" t="s">
        <v>129</v>
      </c>
      <c r="M69" s="199" t="s">
        <v>129</v>
      </c>
      <c r="N69" s="200" t="s">
        <v>129</v>
      </c>
      <c r="O69" s="213" t="s">
        <v>129</v>
      </c>
      <c r="P69" s="197" t="s">
        <v>129</v>
      </c>
      <c r="Q69" s="202" t="s">
        <v>129</v>
      </c>
      <c r="R69" s="214" t="s">
        <v>129</v>
      </c>
      <c r="S69" s="204" t="s">
        <v>129</v>
      </c>
      <c r="T69" s="199">
        <v>0</v>
      </c>
      <c r="U69" s="205">
        <v>0</v>
      </c>
      <c r="V69" s="206" t="s">
        <v>126</v>
      </c>
      <c r="W69" s="207" t="s">
        <v>126</v>
      </c>
      <c r="X69" s="216" t="s">
        <v>127</v>
      </c>
      <c r="Y69" s="217"/>
      <c r="Z69" s="216" t="s">
        <v>137</v>
      </c>
      <c r="AA69" s="217"/>
      <c r="AB69" s="156"/>
    </row>
    <row r="70" spans="1:28" ht="15.75">
      <c r="A70" s="210">
        <v>5</v>
      </c>
      <c r="B70" s="326" t="s">
        <v>147</v>
      </c>
      <c r="C70" s="159"/>
      <c r="D70" s="220" t="s">
        <v>139</v>
      </c>
      <c r="E70" s="156"/>
      <c r="F70" s="156"/>
      <c r="G70" s="159"/>
      <c r="H70" s="197">
        <v>6</v>
      </c>
      <c r="I70" s="198">
        <v>30</v>
      </c>
      <c r="J70" s="197">
        <v>7</v>
      </c>
      <c r="K70" s="197">
        <v>1094</v>
      </c>
      <c r="L70" s="197">
        <v>489</v>
      </c>
      <c r="M70" s="199">
        <v>121.5</v>
      </c>
      <c r="N70" s="200">
        <v>8442.9</v>
      </c>
      <c r="O70" s="213">
        <v>82</v>
      </c>
      <c r="P70" s="197">
        <v>420</v>
      </c>
      <c r="Q70" s="202">
        <v>471</v>
      </c>
      <c r="R70" s="214">
        <v>31</v>
      </c>
      <c r="S70" s="204">
        <v>1625.4499999999998</v>
      </c>
      <c r="T70" s="199">
        <v>133.67497297297299</v>
      </c>
      <c r="U70" s="205">
        <v>1759.1249729729727</v>
      </c>
      <c r="V70" s="206">
        <v>1.6079752952220958</v>
      </c>
      <c r="W70" s="207">
        <v>58.637499099099088</v>
      </c>
      <c r="X70" s="216" t="s">
        <v>138</v>
      </c>
      <c r="Y70" s="217"/>
      <c r="Z70" s="216" t="s">
        <v>139</v>
      </c>
      <c r="AA70" s="217"/>
      <c r="AB70" s="156"/>
    </row>
    <row r="71" spans="1:28" ht="16.5" thickBot="1">
      <c r="A71" s="221">
        <v>6</v>
      </c>
      <c r="B71" s="329" t="s">
        <v>148</v>
      </c>
      <c r="C71" s="222"/>
      <c r="D71" s="223" t="s">
        <v>141</v>
      </c>
      <c r="E71" s="224"/>
      <c r="F71" s="224"/>
      <c r="G71" s="222"/>
      <c r="H71" s="225">
        <v>12</v>
      </c>
      <c r="I71" s="226">
        <v>43.3</v>
      </c>
      <c r="J71" s="225">
        <v>15</v>
      </c>
      <c r="K71" s="225">
        <v>1435</v>
      </c>
      <c r="L71" s="225" t="s">
        <v>129</v>
      </c>
      <c r="M71" s="227">
        <v>207.04999999999998</v>
      </c>
      <c r="N71" s="228">
        <v>10851.75</v>
      </c>
      <c r="O71" s="229">
        <v>163</v>
      </c>
      <c r="P71" s="230">
        <v>576</v>
      </c>
      <c r="Q71" s="231">
        <v>572</v>
      </c>
      <c r="R71" s="232">
        <v>167</v>
      </c>
      <c r="S71" s="233">
        <v>2257.1900000000005</v>
      </c>
      <c r="T71" s="234">
        <v>189.61391891891893</v>
      </c>
      <c r="U71" s="235">
        <v>2446.8039189189194</v>
      </c>
      <c r="V71" s="236">
        <v>1.7050898389678881</v>
      </c>
      <c r="W71" s="237">
        <v>56.508173647088213</v>
      </c>
      <c r="X71" s="238" t="s">
        <v>140</v>
      </c>
      <c r="Y71" s="239"/>
      <c r="Z71" s="238" t="s">
        <v>141</v>
      </c>
      <c r="AA71" s="239"/>
      <c r="AB71" s="224"/>
    </row>
    <row r="72" spans="1:28" ht="15.75">
      <c r="A72" s="240">
        <v>6</v>
      </c>
      <c r="B72" s="195"/>
      <c r="C72" s="7"/>
      <c r="D72" s="192" t="s">
        <v>116</v>
      </c>
      <c r="E72" s="7"/>
      <c r="F72" s="7"/>
      <c r="G72" s="10"/>
      <c r="H72" s="241">
        <v>42</v>
      </c>
      <c r="I72" s="242">
        <v>116.3</v>
      </c>
      <c r="J72" s="243">
        <v>160</v>
      </c>
      <c r="K72" s="243">
        <v>3595</v>
      </c>
      <c r="L72" s="243">
        <v>1040</v>
      </c>
      <c r="M72" s="244">
        <v>861.64999999999986</v>
      </c>
      <c r="N72" s="245">
        <v>22303.55</v>
      </c>
      <c r="O72" s="243">
        <v>502</v>
      </c>
      <c r="P72" s="243">
        <v>1396</v>
      </c>
      <c r="Q72" s="243">
        <v>1361.92</v>
      </c>
      <c r="R72" s="243">
        <v>458</v>
      </c>
      <c r="S72" s="31">
        <v>5697.3700000000008</v>
      </c>
      <c r="T72" s="244">
        <v>596.25713513513517</v>
      </c>
      <c r="U72" s="243">
        <v>6293.6271351351352</v>
      </c>
      <c r="V72" s="31" t="s">
        <v>117</v>
      </c>
      <c r="W72" s="246" t="s">
        <v>117</v>
      </c>
      <c r="X72" s="7"/>
      <c r="Y72" s="10"/>
      <c r="Z72" s="7"/>
      <c r="AA72" s="7"/>
      <c r="AB72" s="7"/>
    </row>
    <row r="73" spans="1:28">
      <c r="A73" s="1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6"/>
    </row>
    <row r="74" spans="1:28" ht="16.5">
      <c r="A74" s="153" t="s">
        <v>75</v>
      </c>
      <c r="B74" s="182"/>
      <c r="C74" s="163"/>
      <c r="D74" s="32"/>
      <c r="E74" s="32"/>
      <c r="F74" s="32"/>
      <c r="G74" s="163"/>
      <c r="H74" s="7"/>
      <c r="I74" s="247" t="s">
        <v>76</v>
      </c>
      <c r="J74" s="12"/>
      <c r="K74" s="7"/>
      <c r="L74" s="248" t="s">
        <v>118</v>
      </c>
      <c r="M74" s="7"/>
      <c r="N74" s="11"/>
      <c r="O74" s="7"/>
      <c r="P74" s="248" t="s">
        <v>119</v>
      </c>
      <c r="Q74" s="7"/>
      <c r="R74" s="11"/>
      <c r="S74" s="7"/>
      <c r="T74" s="249" t="s">
        <v>78</v>
      </c>
      <c r="U74" s="7"/>
      <c r="V74" s="7"/>
      <c r="W74" s="10"/>
      <c r="X74" s="182"/>
      <c r="Y74" s="163"/>
      <c r="Z74" s="179"/>
      <c r="AA74" s="32"/>
      <c r="AB74" s="163"/>
    </row>
    <row r="75" spans="1:28" ht="16.5">
      <c r="A75" s="161" t="s">
        <v>79</v>
      </c>
      <c r="B75" s="162" t="s">
        <v>80</v>
      </c>
      <c r="C75" s="163"/>
      <c r="D75" s="164" t="s">
        <v>81</v>
      </c>
      <c r="E75" s="32"/>
      <c r="F75" s="32"/>
      <c r="G75" s="163"/>
      <c r="H75" s="6"/>
      <c r="I75" s="250" t="s">
        <v>16</v>
      </c>
      <c r="J75" s="251" t="s">
        <v>83</v>
      </c>
      <c r="K75" s="13" t="s">
        <v>32</v>
      </c>
      <c r="L75" s="14" t="s">
        <v>33</v>
      </c>
      <c r="M75" s="15" t="s">
        <v>34</v>
      </c>
      <c r="N75" s="16" t="s">
        <v>32</v>
      </c>
      <c r="O75" s="13" t="s">
        <v>32</v>
      </c>
      <c r="P75" s="14" t="s">
        <v>33</v>
      </c>
      <c r="Q75" s="15" t="s">
        <v>34</v>
      </c>
      <c r="R75" s="16" t="s">
        <v>32</v>
      </c>
      <c r="S75" s="6"/>
      <c r="T75" s="169" t="s">
        <v>86</v>
      </c>
      <c r="U75" s="6"/>
      <c r="V75" s="170" t="s">
        <v>87</v>
      </c>
      <c r="W75" s="159"/>
      <c r="X75" s="162" t="s">
        <v>80</v>
      </c>
      <c r="Y75" s="163"/>
      <c r="Z75" s="171" t="s">
        <v>81</v>
      </c>
      <c r="AA75" s="32"/>
      <c r="AB75" s="163"/>
    </row>
    <row r="76" spans="1:28" ht="16.5">
      <c r="A76" s="161" t="s">
        <v>120</v>
      </c>
      <c r="B76" s="162" t="s">
        <v>89</v>
      </c>
      <c r="C76" s="163"/>
      <c r="D76" s="164" t="s">
        <v>90</v>
      </c>
      <c r="E76" s="32"/>
      <c r="F76" s="32"/>
      <c r="G76" s="163"/>
      <c r="H76" s="172" t="s">
        <v>91</v>
      </c>
      <c r="I76" s="173" t="s">
        <v>26</v>
      </c>
      <c r="J76" s="183" t="s">
        <v>93</v>
      </c>
      <c r="K76" s="17" t="s">
        <v>45</v>
      </c>
      <c r="L76" s="18" t="s">
        <v>46</v>
      </c>
      <c r="M76" s="19" t="s">
        <v>47</v>
      </c>
      <c r="N76" s="20" t="s">
        <v>45</v>
      </c>
      <c r="O76" s="17" t="s">
        <v>45</v>
      </c>
      <c r="P76" s="18" t="s">
        <v>46</v>
      </c>
      <c r="Q76" s="19" t="s">
        <v>47</v>
      </c>
      <c r="R76" s="20" t="s">
        <v>45</v>
      </c>
      <c r="S76" s="176" t="s">
        <v>97</v>
      </c>
      <c r="T76" s="177" t="s">
        <v>98</v>
      </c>
      <c r="U76" s="178" t="s">
        <v>99</v>
      </c>
      <c r="V76" s="6"/>
      <c r="W76" s="163"/>
      <c r="X76" s="162" t="s">
        <v>89</v>
      </c>
      <c r="Y76" s="163"/>
      <c r="Z76" s="171" t="s">
        <v>90</v>
      </c>
      <c r="AA76" s="32"/>
      <c r="AB76" s="163"/>
    </row>
    <row r="77" spans="1:28" ht="16.5">
      <c r="A77" s="179"/>
      <c r="B77" s="162" t="s">
        <v>100</v>
      </c>
      <c r="C77" s="163"/>
      <c r="D77" s="32"/>
      <c r="E77" s="32"/>
      <c r="F77" s="32"/>
      <c r="G77" s="163"/>
      <c r="H77" s="163"/>
      <c r="I77" s="173" t="s">
        <v>38</v>
      </c>
      <c r="J77" s="183" t="s">
        <v>102</v>
      </c>
      <c r="K77" s="17" t="s">
        <v>56</v>
      </c>
      <c r="L77" s="21"/>
      <c r="M77" s="19" t="s">
        <v>57</v>
      </c>
      <c r="N77" s="20" t="s">
        <v>58</v>
      </c>
      <c r="O77" s="17" t="s">
        <v>56</v>
      </c>
      <c r="P77" s="21"/>
      <c r="Q77" s="19" t="s">
        <v>57</v>
      </c>
      <c r="R77" s="20" t="s">
        <v>58</v>
      </c>
      <c r="S77" s="176" t="s">
        <v>59</v>
      </c>
      <c r="T77" s="177" t="s">
        <v>106</v>
      </c>
      <c r="U77" s="178" t="s">
        <v>59</v>
      </c>
      <c r="V77" s="181" t="s">
        <v>107</v>
      </c>
      <c r="W77" s="181" t="s">
        <v>108</v>
      </c>
      <c r="X77" s="162" t="s">
        <v>100</v>
      </c>
      <c r="Y77" s="163"/>
      <c r="Z77" s="179"/>
      <c r="AA77" s="32"/>
      <c r="AB77" s="163"/>
    </row>
    <row r="78" spans="1:28" ht="15.75">
      <c r="A78" s="179"/>
      <c r="B78" s="182"/>
      <c r="C78" s="163"/>
      <c r="D78" s="32"/>
      <c r="E78" s="32"/>
      <c r="F78" s="32"/>
      <c r="G78" s="163"/>
      <c r="H78" s="163"/>
      <c r="I78" s="32"/>
      <c r="J78" s="183" t="s">
        <v>61</v>
      </c>
      <c r="K78" s="17"/>
      <c r="L78" s="21"/>
      <c r="M78" s="252"/>
      <c r="N78" s="20" t="s">
        <v>64</v>
      </c>
      <c r="O78" s="17"/>
      <c r="P78" s="21"/>
      <c r="Q78" s="252"/>
      <c r="R78" s="20" t="s">
        <v>64</v>
      </c>
      <c r="S78" s="163"/>
      <c r="T78" s="177" t="s">
        <v>111</v>
      </c>
      <c r="U78" s="163"/>
      <c r="V78" s="163"/>
      <c r="W78" s="163"/>
      <c r="X78" s="182"/>
      <c r="Y78" s="163"/>
      <c r="Z78" s="179"/>
      <c r="AA78" s="32"/>
      <c r="AB78" s="163"/>
    </row>
    <row r="79" spans="1:28" ht="15.75" thickBot="1">
      <c r="A79" s="184"/>
      <c r="B79" s="185"/>
      <c r="C79" s="186"/>
      <c r="D79" s="187"/>
      <c r="E79" s="187"/>
      <c r="F79" s="187"/>
      <c r="G79" s="186"/>
      <c r="H79" s="186"/>
      <c r="I79" s="187"/>
      <c r="J79" s="24"/>
      <c r="K79" s="186"/>
      <c r="L79" s="23"/>
      <c r="M79" s="253"/>
      <c r="N79" s="24"/>
      <c r="O79" s="186"/>
      <c r="P79" s="23"/>
      <c r="Q79" s="253"/>
      <c r="R79" s="24"/>
      <c r="S79" s="186"/>
      <c r="T79" s="191" t="s">
        <v>114</v>
      </c>
      <c r="U79" s="186"/>
      <c r="V79" s="186"/>
      <c r="W79" s="186"/>
      <c r="X79" s="185"/>
      <c r="Y79" s="186"/>
      <c r="Z79" s="187"/>
      <c r="AA79" s="187"/>
      <c r="AB79" s="186"/>
    </row>
    <row r="80" spans="1:28" ht="15.75">
      <c r="A80" s="254"/>
      <c r="B80" s="255"/>
      <c r="C80" s="256"/>
      <c r="D80" s="257" t="s">
        <v>121</v>
      </c>
      <c r="E80" s="258"/>
      <c r="F80" s="258"/>
      <c r="G80" s="256"/>
      <c r="H80" s="259"/>
      <c r="I80" s="259"/>
      <c r="J80" s="260"/>
      <c r="K80" s="204"/>
      <c r="L80" s="199"/>
      <c r="M80" s="199"/>
      <c r="N80" s="200"/>
      <c r="O80" s="204"/>
      <c r="P80" s="199"/>
      <c r="Q80" s="199"/>
      <c r="R80" s="200"/>
      <c r="S80" s="204"/>
      <c r="T80" s="199"/>
      <c r="U80" s="199"/>
      <c r="V80" s="199"/>
      <c r="W80" s="199"/>
      <c r="X80" s="261"/>
      <c r="Y80" s="262"/>
      <c r="Z80" s="261"/>
      <c r="AA80" s="261"/>
      <c r="AB80" s="261"/>
    </row>
    <row r="81" spans="1:28" ht="15.75">
      <c r="A81" s="263">
        <f>IF(B81&gt;"@",MAX(A$61:A71)+1,"")</f>
        <v>7</v>
      </c>
      <c r="B81" s="327" t="s">
        <v>151</v>
      </c>
      <c r="C81" s="163"/>
      <c r="D81" s="264" t="s">
        <v>142</v>
      </c>
      <c r="E81" s="32"/>
      <c r="F81" s="32"/>
      <c r="G81" s="163"/>
      <c r="H81" s="265">
        <v>20</v>
      </c>
      <c r="I81" s="266">
        <v>160</v>
      </c>
      <c r="J81" s="267">
        <v>3360</v>
      </c>
      <c r="K81" s="268">
        <v>0</v>
      </c>
      <c r="L81" s="269">
        <v>46</v>
      </c>
      <c r="M81" s="270">
        <v>40</v>
      </c>
      <c r="N81" s="271">
        <v>6</v>
      </c>
      <c r="O81" s="272">
        <v>11</v>
      </c>
      <c r="P81" s="269">
        <v>487</v>
      </c>
      <c r="Q81" s="270">
        <v>494</v>
      </c>
      <c r="R81" s="273">
        <v>4</v>
      </c>
      <c r="S81" s="262">
        <v>3800</v>
      </c>
      <c r="T81" s="269">
        <v>0</v>
      </c>
      <c r="U81" s="274">
        <v>3800</v>
      </c>
      <c r="V81" s="275">
        <v>1.1309523809523809</v>
      </c>
      <c r="W81" s="276">
        <v>23.75</v>
      </c>
      <c r="X81" s="277" t="str">
        <f>IF(B81&lt;&gt;"",B81,"")</f>
        <v xml:space="preserve">Травкин Сергей Петрович </v>
      </c>
      <c r="Y81" s="278"/>
      <c r="Z81" s="277" t="str">
        <f>IF(D81&lt;&gt;"",D81,"")</f>
        <v xml:space="preserve">ГАЗ 32213. № СА 2547 АЕ      </v>
      </c>
      <c r="AA81" s="278"/>
      <c r="AB81" s="32"/>
    </row>
    <row r="82" spans="1:28" ht="16.5" thickBot="1">
      <c r="A82" s="279">
        <f>IF(COUNT(A81),COUNT(A81),"")</f>
        <v>1</v>
      </c>
      <c r="B82" s="280"/>
      <c r="C82" s="281"/>
      <c r="D82" s="282" t="s">
        <v>122</v>
      </c>
      <c r="E82" s="283"/>
      <c r="F82" s="283"/>
      <c r="G82" s="281"/>
      <c r="H82" s="284">
        <f>H81</f>
        <v>20</v>
      </c>
      <c r="I82" s="285">
        <f t="shared" ref="I82" si="7">I81</f>
        <v>160</v>
      </c>
      <c r="J82" s="286">
        <f>J81</f>
        <v>3360</v>
      </c>
      <c r="K82" s="287">
        <f>K81</f>
        <v>0</v>
      </c>
      <c r="L82" s="288">
        <f>L81</f>
        <v>46</v>
      </c>
      <c r="M82" s="289">
        <f>M81</f>
        <v>40</v>
      </c>
      <c r="N82" s="290">
        <f>N81</f>
        <v>6</v>
      </c>
      <c r="O82" s="291">
        <f t="shared" ref="O82:U82" si="8">O81</f>
        <v>11</v>
      </c>
      <c r="P82" s="292">
        <f t="shared" si="8"/>
        <v>487</v>
      </c>
      <c r="Q82" s="289">
        <f t="shared" si="8"/>
        <v>494</v>
      </c>
      <c r="R82" s="293">
        <f t="shared" si="8"/>
        <v>4</v>
      </c>
      <c r="S82" s="294">
        <f t="shared" si="8"/>
        <v>3800</v>
      </c>
      <c r="T82" s="292">
        <f t="shared" si="8"/>
        <v>0</v>
      </c>
      <c r="U82" s="295">
        <f t="shared" si="8"/>
        <v>3800</v>
      </c>
      <c r="V82" s="292" t="s">
        <v>117</v>
      </c>
      <c r="W82" s="292" t="s">
        <v>117</v>
      </c>
      <c r="X82" s="288"/>
      <c r="Y82" s="287"/>
      <c r="Z82" s="296" t="str">
        <f>IF(D82&lt;&gt;"",D82,"")</f>
        <v>Разом Автобуси</v>
      </c>
      <c r="AA82" s="287"/>
      <c r="AB82" s="294"/>
    </row>
    <row r="83" spans="1:28" ht="20.25">
      <c r="A83" s="297">
        <f>IF(SUM(A72,A82),SUM(A72,A82),"")</f>
        <v>7</v>
      </c>
      <c r="B83" s="298" t="s">
        <v>123</v>
      </c>
      <c r="C83" s="299"/>
      <c r="D83" s="195"/>
      <c r="E83" s="300"/>
      <c r="F83" s="300"/>
      <c r="G83" s="299"/>
      <c r="H83" s="301">
        <f>IF(SUM(H72,H82),SUM(H72,H82),"")</f>
        <v>62</v>
      </c>
      <c r="I83" s="302">
        <f t="shared" ref="I83:U83" si="9">IF(SUM(I72,I82),SUM(I72,I82),"")</f>
        <v>276.3</v>
      </c>
      <c r="J83" s="303">
        <f>IF(SUM(K72,J82),SUM(K72,J82),"")</f>
        <v>6955</v>
      </c>
      <c r="K83" s="31" t="s">
        <v>117</v>
      </c>
      <c r="L83" s="244" t="s">
        <v>117</v>
      </c>
      <c r="M83" s="244" t="s">
        <v>117</v>
      </c>
      <c r="N83" s="245" t="s">
        <v>117</v>
      </c>
      <c r="O83" s="31" t="s">
        <v>117</v>
      </c>
      <c r="P83" s="244" t="s">
        <v>117</v>
      </c>
      <c r="Q83" s="244" t="s">
        <v>117</v>
      </c>
      <c r="R83" s="245" t="s">
        <v>117</v>
      </c>
      <c r="S83" s="31">
        <f t="shared" si="9"/>
        <v>9497.3700000000008</v>
      </c>
      <c r="T83" s="244">
        <f t="shared" si="9"/>
        <v>596.25713513513517</v>
      </c>
      <c r="U83" s="243">
        <f t="shared" si="9"/>
        <v>10093.627135135135</v>
      </c>
      <c r="V83" s="31" t="s">
        <v>117</v>
      </c>
      <c r="W83" s="244" t="s">
        <v>117</v>
      </c>
      <c r="X83" s="304"/>
      <c r="Y83" s="305"/>
      <c r="Z83" s="304"/>
      <c r="AA83" s="306"/>
      <c r="AB83" s="306"/>
    </row>
    <row r="84" spans="1:28" ht="15.75">
      <c r="A84" s="307"/>
      <c r="B84" s="308"/>
      <c r="C84" s="142"/>
      <c r="D84" s="309"/>
      <c r="E84" s="142"/>
      <c r="F84" s="142"/>
      <c r="G84" s="142"/>
      <c r="H84" s="310"/>
      <c r="I84" s="310"/>
      <c r="J84" s="311"/>
      <c r="K84" s="310"/>
      <c r="L84" s="310"/>
      <c r="M84" s="312"/>
      <c r="N84" s="312"/>
      <c r="O84" s="313"/>
      <c r="P84" s="313"/>
      <c r="Q84" s="314"/>
      <c r="R84" s="313"/>
      <c r="S84" s="142"/>
      <c r="T84" s="142"/>
      <c r="U84" s="141"/>
      <c r="V84" s="142"/>
      <c r="W84" s="142"/>
      <c r="X84" s="142"/>
      <c r="Y84" s="141"/>
      <c r="Z84" s="142"/>
      <c r="AA84" s="312"/>
      <c r="AB84" s="312"/>
    </row>
    <row r="85" spans="1:28" ht="20.25">
      <c r="A85" s="315"/>
      <c r="B85" s="144"/>
      <c r="C85" s="1"/>
      <c r="D85" s="1"/>
      <c r="E85" s="1"/>
      <c r="F85" s="1"/>
      <c r="G85" s="1"/>
      <c r="H85" s="1"/>
      <c r="I85" s="1"/>
      <c r="J85" s="1"/>
      <c r="K85" s="316"/>
      <c r="L85" s="1"/>
      <c r="M85" s="1"/>
      <c r="N85" s="1"/>
      <c r="O85" s="1"/>
      <c r="P85" s="1"/>
      <c r="Q85" s="317"/>
      <c r="R85" s="318"/>
      <c r="S85" s="318"/>
      <c r="T85" s="319"/>
      <c r="U85" s="320"/>
      <c r="V85" s="318"/>
      <c r="W85" s="318"/>
      <c r="X85" s="319"/>
      <c r="Y85" s="320"/>
      <c r="Z85" s="318"/>
      <c r="AA85" s="321"/>
      <c r="AB85" s="322"/>
    </row>
    <row r="86" spans="1:28" ht="15.75">
      <c r="A86" s="1"/>
      <c r="B86" s="144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</sheetData>
  <conditionalFormatting sqref="P38">
    <cfRule type="cellIs" dxfId="6" priority="7" operator="lessThan">
      <formula>(M38+N38-O38 )</formula>
    </cfRule>
    <cfRule type="cellIs" dxfId="5" priority="8" operator="greaterThan">
      <formula>(M38+N38-O38 )</formula>
    </cfRule>
  </conditionalFormatting>
  <conditionalFormatting sqref="P38">
    <cfRule type="cellIs" dxfId="4" priority="5" operator="lessThan">
      <formula>(M38+N38-O38 )</formula>
    </cfRule>
    <cfRule type="cellIs" dxfId="3" priority="6" operator="greaterThan">
      <formula>(M38+N38-O38 )</formula>
    </cfRule>
  </conditionalFormatting>
  <conditionalFormatting sqref="P16:P37">
    <cfRule type="expression" dxfId="2" priority="4">
      <formula>P16&lt;0</formula>
    </cfRule>
  </conditionalFormatting>
  <conditionalFormatting sqref="Q16:Q37">
    <cfRule type="expression" dxfId="1" priority="3">
      <formula>IF(B16&lt;&gt;"",ISBLANK(C16))</formula>
    </cfRule>
  </conditionalFormatting>
  <conditionalFormatting sqref="B63">
    <cfRule type="expression" dxfId="0" priority="2">
      <formula>ISBLANK(B63)</formula>
    </cfRule>
  </conditionalFormatting>
  <dataValidations count="1">
    <dataValidation allowBlank="1" showInputMessage="1" showErrorMessage="1" promptTitle="Сюда вносить" prompt="название месяца _x000a_и года через пробел в формате 01.01.17" sqref="K7"/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2018-10-09T10:21:10Z</cp:lastPrinted>
  <dcterms:created xsi:type="dcterms:W3CDTF">2018-10-09T10:14:52Z</dcterms:created>
  <dcterms:modified xsi:type="dcterms:W3CDTF">2018-10-09T10:49:16Z</dcterms:modified>
</cp:coreProperties>
</file>