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" yWindow="555" windowWidth="14430" windowHeight="11760" activeTab="0"/>
  </bookViews>
  <sheets>
    <sheet name="14.11" sheetId="1" r:id="rId1"/>
  </sheets>
  <definedNames>
    <definedName name="AI" localSheetId="0">'14.11'!$K$4:$K$17</definedName>
    <definedName name="AI">#REF!</definedName>
    <definedName name="Z_D0D15C68_76B1_49AF_BB84_77E81A30F146_.wvu.Cols" localSheetId="0" hidden="1">'14.11'!#REF!</definedName>
    <definedName name="Z_D4F09456_4261_4FB5_A45B_68730C6123F5_.wvu.Cols" localSheetId="0" hidden="1">'14.11'!#REF!</definedName>
    <definedName name="_xlnm.Print_Area" localSheetId="0">'14.11'!$A$4:$G$12</definedName>
  </definedNames>
  <calcPr fullCalcOnLoad="1"/>
</workbook>
</file>

<file path=xl/sharedStrings.xml><?xml version="1.0" encoding="utf-8"?>
<sst xmlns="http://schemas.openxmlformats.org/spreadsheetml/2006/main" count="124" uniqueCount="62">
  <si>
    <t>Бродильно-лагерное отделение</t>
  </si>
  <si>
    <t>Форфасное отделение</t>
  </si>
  <si>
    <t>Сорт пива</t>
  </si>
  <si>
    <t>Время и дата начала заполнения</t>
  </si>
  <si>
    <t>Дата готовности</t>
  </si>
  <si>
    <t>Объем по холодному, л</t>
  </si>
  <si>
    <t>Дата перекачки</t>
  </si>
  <si>
    <t>список сортов</t>
  </si>
  <si>
    <t>№ форфаса</t>
  </si>
  <si>
    <t>К-во розлитого пива, л</t>
  </si>
  <si>
    <t>Остаток, л</t>
  </si>
  <si>
    <t xml:space="preserve"> </t>
  </si>
  <si>
    <t xml:space="preserve">                                                  </t>
  </si>
  <si>
    <t>Розлив, склад готовой продукции</t>
  </si>
  <si>
    <t>Заказ на сутки</t>
  </si>
  <si>
    <t>Разлито за ночь</t>
  </si>
  <si>
    <t>Склад (утро)</t>
  </si>
  <si>
    <t>Розлито за день</t>
  </si>
  <si>
    <t>Отгружено за смену</t>
  </si>
  <si>
    <t>Склад (вечер)</t>
  </si>
  <si>
    <t>Итого, л.</t>
  </si>
  <si>
    <t>Итого продукции по заводу</t>
  </si>
  <si>
    <t>Сорт</t>
  </si>
  <si>
    <t>БЛО</t>
  </si>
  <si>
    <t>Форфасы</t>
  </si>
  <si>
    <t>Склад</t>
  </si>
  <si>
    <t>Итого</t>
  </si>
  <si>
    <t>Итого с потерями, 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</si>
  <si>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</si>
  <si>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пива на данные сутки с потерями, л:</t>
  </si>
  <si>
    <t>Расчетное количество пива в месяц, л:</t>
  </si>
  <si>
    <r>
      <t xml:space="preserve">% </t>
    </r>
    <r>
      <rPr>
        <b/>
        <sz val="8"/>
        <rFont val="Arial Cyr"/>
        <family val="0"/>
      </rPr>
      <t>заполнения</t>
    </r>
  </si>
  <si>
    <t xml:space="preserve">  </t>
  </si>
  <si>
    <t xml:space="preserve">                                                            </t>
  </si>
  <si>
    <t>№ партии</t>
  </si>
  <si>
    <t>№ танка</t>
  </si>
  <si>
    <t>кеги и бутылки, л</t>
  </si>
  <si>
    <t>Итого, кег и бут.</t>
  </si>
  <si>
    <t>WI</t>
  </si>
  <si>
    <t>AI</t>
  </si>
  <si>
    <t>FMN</t>
  </si>
  <si>
    <t>Источник перекачки</t>
  </si>
  <si>
    <t>К-во перекаченного пива, л</t>
  </si>
  <si>
    <t>BB</t>
  </si>
  <si>
    <t>MD</t>
  </si>
  <si>
    <t>FB</t>
  </si>
  <si>
    <t>КЛ</t>
  </si>
  <si>
    <t>MS</t>
  </si>
  <si>
    <t>MC</t>
  </si>
  <si>
    <t>Саур</t>
  </si>
  <si>
    <t>МилкШейк</t>
  </si>
  <si>
    <t>BT</t>
  </si>
  <si>
    <t>SV</t>
  </si>
  <si>
    <t>BC</t>
  </si>
  <si>
    <t>EX</t>
  </si>
  <si>
    <t>SM</t>
  </si>
  <si>
    <t>BFS</t>
  </si>
  <si>
    <t>DH</t>
  </si>
  <si>
    <t>МЛ</t>
  </si>
  <si>
    <t>МХ</t>
  </si>
  <si>
    <t>ScM</t>
  </si>
  <si>
    <t>HO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</si>
</sst>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[$-FC19]d\ mmmm\ yyyy\ \г\."/>
    <numFmt numFmtId="175" formatCode="#.##0"/>
    <numFmt numFmtId="176" formatCode="#.##00"/>
    <numFmt numFmtId="177" formatCode="#.##"/>
    <numFmt numFmtId="178" formatCode="#.###"/>
    <numFmt numFmtId="179" formatCode="#.####"/>
    <numFmt numFmtId="180" formatCode="#.#####"/>
    <numFmt numFmtId="181" formatCode="#.######"/>
    <numFmt numFmtId="182" formatCode="[$-FC19]d\ mmmm\ yyyy\ &quot;г.&quot;"/>
    <numFmt numFmtId="183" formatCode="dd/mm/yy\ 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8"/>
      <name val="Arial Cyr"/>
      <family val="0"/>
    </font>
    <font>
      <b/>
      <sz val="10"/>
      <color indexed="1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textRotation="90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183" fontId="0" fillId="34" borderId="16" xfId="0" applyNumberFormat="1" applyFill="1" applyBorder="1" applyAlignment="1" applyProtection="1">
      <alignment horizontal="center" vertical="center" wrapText="1"/>
      <protection/>
    </xf>
    <xf numFmtId="14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4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172" fontId="0" fillId="34" borderId="19" xfId="0" applyNumberFormat="1" applyFill="1" applyBorder="1" applyAlignment="1" applyProtection="1">
      <alignment horizontal="center" vertical="center" wrapText="1"/>
      <protection/>
    </xf>
    <xf numFmtId="172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 applyProtection="1">
      <alignment horizontal="center" vertical="center" wrapText="1"/>
      <protection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18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34" borderId="18" xfId="60" applyNumberFormat="1" applyFont="1" applyFill="1" applyBorder="1" applyAlignment="1" applyProtection="1">
      <alignment horizontal="center" vertical="center" wrapText="1"/>
      <protection/>
    </xf>
    <xf numFmtId="14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172" fontId="0" fillId="34" borderId="27" xfId="0" applyNumberFormat="1" applyFill="1" applyBorder="1" applyAlignment="1" applyProtection="1">
      <alignment horizontal="center" vertical="center" wrapText="1"/>
      <protection/>
    </xf>
    <xf numFmtId="172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183" fontId="0" fillId="34" borderId="35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4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4" fontId="0" fillId="0" borderId="26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14" fontId="0" fillId="34" borderId="42" xfId="0" applyNumberFormat="1" applyFill="1" applyBorder="1" applyAlignment="1" applyProtection="1">
      <alignment horizontal="center" vertical="center" wrapText="1"/>
      <protection/>
    </xf>
    <xf numFmtId="14" fontId="0" fillId="34" borderId="43" xfId="0" applyNumberFormat="1" applyFont="1" applyFill="1" applyBorder="1" applyAlignment="1" applyProtection="1">
      <alignment horizontal="center" vertical="center" wrapText="1"/>
      <protection/>
    </xf>
    <xf numFmtId="0" fontId="0" fillId="34" borderId="42" xfId="0" applyNumberFormat="1" applyFont="1" applyFill="1" applyBorder="1" applyAlignment="1" applyProtection="1">
      <alignment horizontal="center" vertical="center" wrapText="1"/>
      <protection/>
    </xf>
    <xf numFmtId="172" fontId="0" fillId="34" borderId="44" xfId="0" applyNumberFormat="1" applyFill="1" applyBorder="1" applyAlignment="1" applyProtection="1">
      <alignment horizontal="center" vertical="center" wrapText="1"/>
      <protection/>
    </xf>
    <xf numFmtId="172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14" fontId="0" fillId="0" borderId="16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14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49" fontId="0" fillId="0" borderId="45" xfId="0" applyNumberFormat="1" applyFill="1" applyBorder="1" applyAlignment="1" applyProtection="1">
      <alignment horizontal="center" vertical="center" wrapText="1"/>
      <protection/>
    </xf>
    <xf numFmtId="14" fontId="0" fillId="0" borderId="45" xfId="0" applyNumberFormat="1" applyFill="1" applyBorder="1" applyAlignment="1" applyProtection="1">
      <alignment horizontal="center" vertical="center" wrapText="1"/>
      <protection/>
    </xf>
    <xf numFmtId="49" fontId="0" fillId="0" borderId="46" xfId="0" applyNumberForma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33" borderId="47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16" fontId="0" fillId="0" borderId="0" xfId="0" applyNumberFormat="1" applyAlignment="1" applyProtection="1">
      <alignment horizontal="center" vertical="center" wrapTex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vertical="center" wrapText="1"/>
      <protection/>
    </xf>
    <xf numFmtId="16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 applyProtection="1">
      <alignment horizontal="center" vertical="center" wrapText="1"/>
      <protection/>
    </xf>
    <xf numFmtId="0" fontId="0" fillId="11" borderId="19" xfId="0" applyFill="1" applyBorder="1" applyAlignment="1" applyProtection="1">
      <alignment horizontal="center" vertical="center" wrapText="1"/>
      <protection/>
    </xf>
    <xf numFmtId="0" fontId="0" fillId="11" borderId="27" xfId="0" applyFill="1" applyBorder="1" applyAlignment="1" applyProtection="1">
      <alignment horizontal="center" vertical="center" wrapText="1"/>
      <protection/>
    </xf>
    <xf numFmtId="0" fontId="0" fillId="11" borderId="44" xfId="0" applyFont="1" applyFill="1" applyBorder="1" applyAlignment="1" applyProtection="1">
      <alignment horizontal="center" vertical="center" wrapText="1"/>
      <protection/>
    </xf>
    <xf numFmtId="0" fontId="0" fillId="11" borderId="16" xfId="0" applyFill="1" applyBorder="1" applyAlignment="1" applyProtection="1">
      <alignment horizontal="center" vertical="center" wrapText="1"/>
      <protection/>
    </xf>
    <xf numFmtId="0" fontId="0" fillId="11" borderId="35" xfId="0" applyFill="1" applyBorder="1" applyAlignment="1" applyProtection="1">
      <alignment horizontal="center" vertical="center" wrapText="1"/>
      <protection/>
    </xf>
    <xf numFmtId="0" fontId="0" fillId="11" borderId="45" xfId="0" applyFill="1" applyBorder="1" applyAlignment="1" applyProtection="1">
      <alignment horizontal="center" vertical="center" wrapText="1"/>
      <protection/>
    </xf>
    <xf numFmtId="0" fontId="0" fillId="11" borderId="14" xfId="0" applyNumberFormat="1" applyFill="1" applyBorder="1" applyAlignment="1" applyProtection="1">
      <alignment horizontal="left" vertical="center" wrapText="1"/>
      <protection/>
    </xf>
    <xf numFmtId="0" fontId="0" fillId="11" borderId="47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183" fontId="0" fillId="34" borderId="42" xfId="0" applyNumberForma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3" fillId="32" borderId="47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7" borderId="4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49" xfId="0" applyNumberFormat="1" applyFont="1" applyFill="1" applyBorder="1" applyAlignment="1" applyProtection="1">
      <alignment horizontal="center" vertical="center" wrapText="1"/>
      <protection/>
    </xf>
    <xf numFmtId="0" fontId="4" fillId="33" borderId="50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ill="1" applyBorder="1" applyAlignment="1" applyProtection="1">
      <alignment horizontal="center" vertical="center" wrapText="1"/>
      <protection/>
    </xf>
    <xf numFmtId="1" fontId="0" fillId="0" borderId="50" xfId="0" applyNumberFormat="1" applyFill="1" applyBorder="1" applyAlignment="1" applyProtection="1">
      <alignment horizontal="center" vertical="center" wrapText="1"/>
      <protection/>
    </xf>
    <xf numFmtId="1" fontId="0" fillId="0" borderId="47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" fontId="0" fillId="0" borderId="48" xfId="0" applyNumberFormat="1" applyFill="1" applyBorder="1" applyAlignment="1" applyProtection="1">
      <alignment horizontal="center" vertical="center" wrapText="1"/>
      <protection/>
    </xf>
    <xf numFmtId="1" fontId="0" fillId="0" borderId="51" xfId="0" applyNumberFormat="1" applyFill="1" applyBorder="1" applyAlignment="1" applyProtection="1">
      <alignment horizontal="center" vertical="center" wrapText="1"/>
      <protection/>
    </xf>
    <xf numFmtId="0" fontId="4" fillId="38" borderId="47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1" fontId="4" fillId="38" borderId="47" xfId="0" applyNumberFormat="1" applyFont="1" applyFill="1" applyBorder="1" applyAlignment="1" applyProtection="1">
      <alignment horizontal="center" vertical="center" wrapText="1"/>
      <protection/>
    </xf>
    <xf numFmtId="1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3" xfId="0" applyNumberFormat="1" applyFont="1" applyFill="1" applyBorder="1" applyAlignment="1" applyProtection="1">
      <alignment horizontal="center" vertical="center" wrapText="1"/>
      <protection/>
    </xf>
    <xf numFmtId="0" fontId="12" fillId="24" borderId="25" xfId="0" applyNumberFormat="1" applyFont="1" applyFill="1" applyBorder="1" applyAlignment="1" applyProtection="1">
      <alignment horizontal="center" vertical="center" wrapText="1"/>
      <protection/>
    </xf>
    <xf numFmtId="0" fontId="12" fillId="24" borderId="52" xfId="0" applyNumberFormat="1" applyFont="1" applyFill="1" applyBorder="1" applyAlignment="1" applyProtection="1">
      <alignment horizontal="center" vertical="center" wrapText="1"/>
      <protection/>
    </xf>
    <xf numFmtId="0" fontId="12" fillId="24" borderId="46" xfId="0" applyNumberFormat="1" applyFont="1" applyFill="1" applyBorder="1" applyAlignment="1" applyProtection="1">
      <alignment horizontal="center" vertical="center" wrapText="1"/>
      <protection/>
    </xf>
    <xf numFmtId="0" fontId="12" fillId="24" borderId="53" xfId="0" applyNumberFormat="1" applyFont="1" applyFill="1" applyBorder="1" applyAlignment="1" applyProtection="1">
      <alignment horizontal="center" vertical="center" wrapText="1"/>
      <protection/>
    </xf>
    <xf numFmtId="1" fontId="10" fillId="24" borderId="11" xfId="0" applyNumberFormat="1" applyFont="1" applyFill="1" applyBorder="1" applyAlignment="1" applyProtection="1">
      <alignment horizontal="center" vertical="center" wrapText="1"/>
      <protection/>
    </xf>
    <xf numFmtId="1" fontId="10" fillId="24" borderId="25" xfId="0" applyNumberFormat="1" applyFont="1" applyFill="1" applyBorder="1" applyAlignment="1" applyProtection="1">
      <alignment horizontal="center" vertical="center" wrapText="1"/>
      <protection/>
    </xf>
    <xf numFmtId="1" fontId="10" fillId="24" borderId="52" xfId="0" applyNumberFormat="1" applyFont="1" applyFill="1" applyBorder="1" applyAlignment="1" applyProtection="1">
      <alignment horizontal="center" vertical="center" wrapText="1"/>
      <protection/>
    </xf>
    <xf numFmtId="1" fontId="10" fillId="24" borderId="5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7">
    <tabColor rgb="FFFFFF00"/>
    <pageSetUpPr fitToPage="1"/>
  </sheetPr>
  <dimension ref="A1:AF92"/>
  <sheetViews>
    <sheetView tabSelected="1" zoomScaleSheetLayoutView="100" zoomScalePageLayoutView="0" workbookViewId="0" topLeftCell="G1">
      <pane ySplit="3" topLeftCell="A10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1" max="1" width="10.375" style="1" customWidth="1"/>
    <col min="2" max="2" width="9.375" style="1" customWidth="1"/>
    <col min="3" max="3" width="12.875" style="1" customWidth="1"/>
    <col min="4" max="4" width="17.375" style="1" customWidth="1"/>
    <col min="5" max="5" width="16.00390625" style="1" customWidth="1"/>
    <col min="6" max="6" width="12.625" style="1" customWidth="1"/>
    <col min="7" max="7" width="14.625" style="1" customWidth="1"/>
    <col min="8" max="8" width="14.75390625" style="1" customWidth="1"/>
    <col min="9" max="9" width="14.625" style="1" customWidth="1"/>
    <col min="10" max="10" width="13.125" style="1" customWidth="1"/>
    <col min="11" max="11" width="9.375" style="1" hidden="1" customWidth="1"/>
    <col min="12" max="12" width="5.00390625" style="1" customWidth="1"/>
    <col min="13" max="13" width="14.875" style="1" customWidth="1"/>
    <col min="14" max="21" width="5.00390625" style="1" customWidth="1"/>
    <col min="22" max="22" width="6.75390625" style="1" customWidth="1"/>
    <col min="23" max="30" width="5.00390625" style="1" customWidth="1"/>
    <col min="31" max="31" width="6.375" style="1" customWidth="1"/>
    <col min="32" max="16384" width="9.125" style="1" customWidth="1"/>
  </cols>
  <sheetData>
    <row r="1" ht="13.5" thickBot="1">
      <c r="J1" s="2"/>
    </row>
    <row r="2" spans="1:31" ht="15.75" customHeight="1" thickBo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1"/>
      <c r="K2" s="3"/>
      <c r="M2" s="142" t="s">
        <v>13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</row>
    <row r="3" spans="1:31" ht="45.75" customHeight="1" thickBot="1">
      <c r="A3" s="4" t="s">
        <v>35</v>
      </c>
      <c r="B3" s="5" t="s">
        <v>34</v>
      </c>
      <c r="C3" s="6" t="s">
        <v>2</v>
      </c>
      <c r="D3" s="5" t="s">
        <v>3</v>
      </c>
      <c r="E3" s="7" t="s">
        <v>4</v>
      </c>
      <c r="F3" s="5" t="s">
        <v>5</v>
      </c>
      <c r="G3" s="6" t="s">
        <v>6</v>
      </c>
      <c r="H3" s="8" t="s">
        <v>9</v>
      </c>
      <c r="I3" s="6" t="s">
        <v>10</v>
      </c>
      <c r="J3" s="5" t="s">
        <v>31</v>
      </c>
      <c r="K3" s="5" t="s">
        <v>7</v>
      </c>
      <c r="L3" s="9"/>
      <c r="M3" s="5"/>
      <c r="N3" s="145" t="s">
        <v>14</v>
      </c>
      <c r="O3" s="146"/>
      <c r="P3" s="147"/>
      <c r="Q3" s="145" t="s">
        <v>15</v>
      </c>
      <c r="R3" s="146"/>
      <c r="S3" s="147"/>
      <c r="T3" s="145" t="s">
        <v>16</v>
      </c>
      <c r="U3" s="146"/>
      <c r="V3" s="147"/>
      <c r="W3" s="145" t="s">
        <v>17</v>
      </c>
      <c r="X3" s="146"/>
      <c r="Y3" s="147"/>
      <c r="Z3" s="145" t="s">
        <v>18</v>
      </c>
      <c r="AA3" s="146"/>
      <c r="AB3" s="147"/>
      <c r="AC3" s="145" t="s">
        <v>19</v>
      </c>
      <c r="AD3" s="146"/>
      <c r="AE3" s="147"/>
    </row>
    <row r="4" spans="1:31" ht="12.75" customHeight="1" thickBot="1">
      <c r="A4" s="126">
        <v>1</v>
      </c>
      <c r="B4" s="12">
        <v>27</v>
      </c>
      <c r="C4" s="13" t="s">
        <v>46</v>
      </c>
      <c r="D4" s="14">
        <v>43349.666666666664</v>
      </c>
      <c r="E4" s="15">
        <f aca="true" t="shared" si="0" ref="E4:E12">D4+21</f>
        <v>43370.666666666664</v>
      </c>
      <c r="F4" s="16">
        <v>2285</v>
      </c>
      <c r="G4" s="17"/>
      <c r="H4" s="18">
        <f>90+30+517*0.5+20*30+90</f>
        <v>1068.5</v>
      </c>
      <c r="I4" s="19">
        <f>F4-H4</f>
        <v>1216.5</v>
      </c>
      <c r="J4" s="20">
        <f>I4/2508*100</f>
        <v>48.504784688995215</v>
      </c>
      <c r="K4" s="21" t="s">
        <v>38</v>
      </c>
      <c r="L4" s="22"/>
      <c r="M4" s="23" t="s">
        <v>36</v>
      </c>
      <c r="N4" s="24">
        <v>20</v>
      </c>
      <c r="O4" s="25">
        <v>30</v>
      </c>
      <c r="P4" s="26">
        <v>0.5</v>
      </c>
      <c r="Q4" s="24">
        <v>20</v>
      </c>
      <c r="R4" s="25">
        <v>30</v>
      </c>
      <c r="S4" s="26">
        <v>0.5</v>
      </c>
      <c r="T4" s="24">
        <v>20</v>
      </c>
      <c r="U4" s="25">
        <v>30</v>
      </c>
      <c r="V4" s="26">
        <v>0.5</v>
      </c>
      <c r="W4" s="24">
        <v>20</v>
      </c>
      <c r="X4" s="25">
        <v>30</v>
      </c>
      <c r="Y4" s="26">
        <v>0.5</v>
      </c>
      <c r="Z4" s="24">
        <v>20</v>
      </c>
      <c r="AA4" s="25">
        <v>30</v>
      </c>
      <c r="AB4" s="26">
        <v>0.5</v>
      </c>
      <c r="AC4" s="27">
        <v>20</v>
      </c>
      <c r="AD4" s="28">
        <v>30</v>
      </c>
      <c r="AE4" s="29">
        <v>0.5</v>
      </c>
    </row>
    <row r="5" spans="1:32" ht="12.75" customHeight="1">
      <c r="A5" s="127">
        <v>2</v>
      </c>
      <c r="B5" s="30">
        <v>16</v>
      </c>
      <c r="C5" s="31" t="s">
        <v>44</v>
      </c>
      <c r="D5" s="32">
        <v>43269.645833333336</v>
      </c>
      <c r="E5" s="15">
        <f t="shared" si="0"/>
        <v>43290.645833333336</v>
      </c>
      <c r="F5" s="33">
        <f>1130+1110</f>
        <v>2240</v>
      </c>
      <c r="G5" s="34"/>
      <c r="H5" s="35">
        <f>10*30</f>
        <v>300</v>
      </c>
      <c r="I5" s="36">
        <f>F5-H5</f>
        <v>1940</v>
      </c>
      <c r="J5" s="37">
        <f aca="true" t="shared" si="1" ref="J5:J12">I5/2508*100</f>
        <v>77.35247208931419</v>
      </c>
      <c r="K5" s="21" t="s">
        <v>39</v>
      </c>
      <c r="L5" s="22"/>
      <c r="M5" s="38" t="s">
        <v>38</v>
      </c>
      <c r="N5" s="39">
        <v>0</v>
      </c>
      <c r="O5" s="40">
        <v>0</v>
      </c>
      <c r="P5" s="41">
        <v>0</v>
      </c>
      <c r="Q5" s="42">
        <v>0</v>
      </c>
      <c r="R5" s="43">
        <v>0</v>
      </c>
      <c r="S5" s="44">
        <v>0</v>
      </c>
      <c r="T5" s="39">
        <v>0</v>
      </c>
      <c r="U5" s="40">
        <v>25</v>
      </c>
      <c r="V5" s="40">
        <v>2323</v>
      </c>
      <c r="W5" s="42">
        <v>0</v>
      </c>
      <c r="X5" s="43">
        <v>0</v>
      </c>
      <c r="Y5" s="44">
        <v>0</v>
      </c>
      <c r="Z5" s="39">
        <v>0</v>
      </c>
      <c r="AA5" s="40">
        <v>0</v>
      </c>
      <c r="AB5" s="41">
        <v>0</v>
      </c>
      <c r="AC5" s="42">
        <f aca="true" t="shared" si="2" ref="AC5:AE20">T5+W5-Z5</f>
        <v>0</v>
      </c>
      <c r="AD5" s="43">
        <f t="shared" si="2"/>
        <v>25</v>
      </c>
      <c r="AE5" s="46">
        <f>V5+Y5-AB5</f>
        <v>2323</v>
      </c>
      <c r="AF5" s="1">
        <f>AE5*0.5+AD5*30+AC5*20</f>
        <v>1911.5</v>
      </c>
    </row>
    <row r="6" spans="1:32" ht="12.75" customHeight="1">
      <c r="A6" s="127">
        <v>3</v>
      </c>
      <c r="B6" s="30">
        <v>36</v>
      </c>
      <c r="C6" s="47" t="s">
        <v>39</v>
      </c>
      <c r="D6" s="48">
        <v>43407.62847222222</v>
      </c>
      <c r="E6" s="15">
        <f t="shared" si="0"/>
        <v>43428.62847222222</v>
      </c>
      <c r="F6" s="49">
        <f>1190+1210</f>
        <v>2400</v>
      </c>
      <c r="G6" s="50"/>
      <c r="H6" s="51"/>
      <c r="I6" s="36">
        <f>F6-H6</f>
        <v>2400</v>
      </c>
      <c r="J6" s="37">
        <f t="shared" si="1"/>
        <v>95.69377990430623</v>
      </c>
      <c r="K6" s="21" t="s">
        <v>40</v>
      </c>
      <c r="M6" s="52" t="s">
        <v>39</v>
      </c>
      <c r="N6" s="39">
        <v>0</v>
      </c>
      <c r="O6" s="40">
        <v>0</v>
      </c>
      <c r="P6" s="53">
        <v>0</v>
      </c>
      <c r="Q6" s="54">
        <v>0</v>
      </c>
      <c r="R6" s="40">
        <v>0</v>
      </c>
      <c r="S6" s="55">
        <v>0</v>
      </c>
      <c r="T6" s="39">
        <v>0</v>
      </c>
      <c r="U6" s="40">
        <v>0</v>
      </c>
      <c r="V6" s="40">
        <v>202</v>
      </c>
      <c r="W6" s="54">
        <v>0</v>
      </c>
      <c r="X6" s="40">
        <v>0</v>
      </c>
      <c r="Y6" s="55">
        <v>0</v>
      </c>
      <c r="Z6" s="39">
        <v>0</v>
      </c>
      <c r="AA6" s="40">
        <v>0</v>
      </c>
      <c r="AB6" s="53">
        <v>0</v>
      </c>
      <c r="AC6" s="56">
        <f t="shared" si="2"/>
        <v>0</v>
      </c>
      <c r="AD6" s="45">
        <f t="shared" si="2"/>
        <v>0</v>
      </c>
      <c r="AE6" s="57">
        <f t="shared" si="2"/>
        <v>202</v>
      </c>
      <c r="AF6" s="1">
        <f aca="true" t="shared" si="3" ref="AF6:AF21">AE6*0.5+AD6*30+AC6*20</f>
        <v>101</v>
      </c>
    </row>
    <row r="7" spans="1:32" ht="12.75" customHeight="1">
      <c r="A7" s="127">
        <v>4</v>
      </c>
      <c r="B7" s="30">
        <v>35</v>
      </c>
      <c r="C7" s="47" t="s">
        <v>61</v>
      </c>
      <c r="D7" s="48">
        <v>43406.666666666664</v>
      </c>
      <c r="E7" s="15">
        <f t="shared" si="0"/>
        <v>43427.666666666664</v>
      </c>
      <c r="F7" s="49">
        <v>1210</v>
      </c>
      <c r="G7" s="50"/>
      <c r="H7" s="51"/>
      <c r="I7" s="36">
        <f aca="true" t="shared" si="4" ref="I7:I12">F7-H7</f>
        <v>1210</v>
      </c>
      <c r="J7" s="37">
        <f t="shared" si="1"/>
        <v>48.24561403508772</v>
      </c>
      <c r="K7" s="21" t="s">
        <v>43</v>
      </c>
      <c r="M7" s="58" t="s">
        <v>40</v>
      </c>
      <c r="N7" s="59">
        <v>0</v>
      </c>
      <c r="O7" s="45">
        <v>0</v>
      </c>
      <c r="P7" s="47">
        <v>0</v>
      </c>
      <c r="Q7" s="56">
        <v>0</v>
      </c>
      <c r="R7" s="45">
        <v>0</v>
      </c>
      <c r="S7" s="60">
        <v>0</v>
      </c>
      <c r="T7" s="59">
        <v>0</v>
      </c>
      <c r="U7" s="45">
        <v>9</v>
      </c>
      <c r="V7" s="47">
        <v>1619</v>
      </c>
      <c r="W7" s="56">
        <v>0</v>
      </c>
      <c r="X7" s="45">
        <v>0</v>
      </c>
      <c r="Y7" s="60">
        <v>0</v>
      </c>
      <c r="Z7" s="59">
        <v>0</v>
      </c>
      <c r="AA7" s="45">
        <v>0</v>
      </c>
      <c r="AB7" s="47">
        <v>0</v>
      </c>
      <c r="AC7" s="56">
        <f t="shared" si="2"/>
        <v>0</v>
      </c>
      <c r="AD7" s="45">
        <f t="shared" si="2"/>
        <v>9</v>
      </c>
      <c r="AE7" s="57">
        <f t="shared" si="2"/>
        <v>1619</v>
      </c>
      <c r="AF7" s="1">
        <f t="shared" si="3"/>
        <v>1079.5</v>
      </c>
    </row>
    <row r="8" spans="1:32" ht="12.75" customHeight="1">
      <c r="A8" s="127">
        <v>5</v>
      </c>
      <c r="B8" s="30">
        <v>34</v>
      </c>
      <c r="C8" s="47" t="s">
        <v>43</v>
      </c>
      <c r="D8" s="48">
        <v>43399.680555555555</v>
      </c>
      <c r="E8" s="15">
        <f t="shared" si="0"/>
        <v>43420.680555555555</v>
      </c>
      <c r="F8" s="49">
        <f>1130+1100</f>
        <v>2230</v>
      </c>
      <c r="G8" s="50"/>
      <c r="H8" s="51"/>
      <c r="I8" s="36">
        <f t="shared" si="4"/>
        <v>2230</v>
      </c>
      <c r="J8" s="37">
        <f t="shared" si="1"/>
        <v>88.91547049441786</v>
      </c>
      <c r="K8" s="21" t="s">
        <v>44</v>
      </c>
      <c r="M8" s="52" t="s">
        <v>45</v>
      </c>
      <c r="N8" s="59">
        <v>0</v>
      </c>
      <c r="O8" s="45">
        <v>0</v>
      </c>
      <c r="P8" s="47">
        <v>0</v>
      </c>
      <c r="Q8" s="56">
        <v>0</v>
      </c>
      <c r="R8" s="45">
        <v>0</v>
      </c>
      <c r="S8" s="60">
        <v>0</v>
      </c>
      <c r="T8" s="59">
        <v>0</v>
      </c>
      <c r="U8" s="45">
        <v>0</v>
      </c>
      <c r="V8" s="47">
        <v>0</v>
      </c>
      <c r="W8" s="56">
        <v>0</v>
      </c>
      <c r="X8" s="45">
        <v>0</v>
      </c>
      <c r="Y8" s="60">
        <v>0</v>
      </c>
      <c r="Z8" s="59">
        <v>0</v>
      </c>
      <c r="AA8" s="45">
        <v>0</v>
      </c>
      <c r="AB8" s="47">
        <v>0</v>
      </c>
      <c r="AC8" s="56">
        <f t="shared" si="2"/>
        <v>0</v>
      </c>
      <c r="AD8" s="45">
        <f t="shared" si="2"/>
        <v>0</v>
      </c>
      <c r="AE8" s="57">
        <f t="shared" si="2"/>
        <v>0</v>
      </c>
      <c r="AF8" s="1">
        <f t="shared" si="3"/>
        <v>0</v>
      </c>
    </row>
    <row r="9" spans="1:32" ht="12.75" customHeight="1">
      <c r="A9" s="127">
        <v>6</v>
      </c>
      <c r="B9" s="30">
        <v>29</v>
      </c>
      <c r="C9" s="47" t="s">
        <v>59</v>
      </c>
      <c r="D9" s="48">
        <v>43355.680555555555</v>
      </c>
      <c r="E9" s="15">
        <f t="shared" si="0"/>
        <v>43376.680555555555</v>
      </c>
      <c r="F9" s="49">
        <f>1180+1170</f>
        <v>2350</v>
      </c>
      <c r="G9" s="50"/>
      <c r="H9" s="51">
        <f>2.5+777.5</f>
        <v>780</v>
      </c>
      <c r="I9" s="36">
        <f t="shared" si="4"/>
        <v>1570</v>
      </c>
      <c r="J9" s="37">
        <f t="shared" si="1"/>
        <v>62.599681020733655</v>
      </c>
      <c r="K9" s="21" t="s">
        <v>45</v>
      </c>
      <c r="M9" s="52" t="s">
        <v>46</v>
      </c>
      <c r="N9" s="59">
        <v>0</v>
      </c>
      <c r="O9" s="45">
        <v>0</v>
      </c>
      <c r="P9" s="47">
        <v>0</v>
      </c>
      <c r="Q9" s="56">
        <v>0</v>
      </c>
      <c r="R9" s="45">
        <v>0</v>
      </c>
      <c r="S9" s="60">
        <v>0</v>
      </c>
      <c r="T9" s="59">
        <v>0</v>
      </c>
      <c r="U9" s="45">
        <v>18</v>
      </c>
      <c r="V9" s="47">
        <v>152</v>
      </c>
      <c r="W9" s="56">
        <v>0</v>
      </c>
      <c r="X9" s="45">
        <v>0</v>
      </c>
      <c r="Y9" s="60">
        <v>0</v>
      </c>
      <c r="Z9" s="59">
        <v>0</v>
      </c>
      <c r="AA9" s="45">
        <v>0</v>
      </c>
      <c r="AB9" s="47">
        <v>0</v>
      </c>
      <c r="AC9" s="56">
        <f t="shared" si="2"/>
        <v>0</v>
      </c>
      <c r="AD9" s="45">
        <f t="shared" si="2"/>
        <v>18</v>
      </c>
      <c r="AE9" s="57">
        <f t="shared" si="2"/>
        <v>152</v>
      </c>
      <c r="AF9" s="1">
        <f t="shared" si="3"/>
        <v>616</v>
      </c>
    </row>
    <row r="10" spans="1:32" ht="15" customHeight="1">
      <c r="A10" s="127">
        <v>7</v>
      </c>
      <c r="B10" s="30"/>
      <c r="C10" s="47"/>
      <c r="D10" s="48"/>
      <c r="E10" s="15">
        <f t="shared" si="0"/>
        <v>21</v>
      </c>
      <c r="F10" s="49">
        <v>0</v>
      </c>
      <c r="G10" s="50"/>
      <c r="H10" s="51"/>
      <c r="I10" s="36">
        <f t="shared" si="4"/>
        <v>0</v>
      </c>
      <c r="J10" s="37">
        <f t="shared" si="1"/>
        <v>0</v>
      </c>
      <c r="K10" s="21" t="s">
        <v>46</v>
      </c>
      <c r="M10" s="52" t="s">
        <v>47</v>
      </c>
      <c r="N10" s="59">
        <v>0</v>
      </c>
      <c r="O10" s="45">
        <v>0</v>
      </c>
      <c r="P10" s="47">
        <v>0</v>
      </c>
      <c r="Q10" s="56">
        <v>0</v>
      </c>
      <c r="R10" s="45">
        <v>0</v>
      </c>
      <c r="S10" s="60">
        <v>0</v>
      </c>
      <c r="T10" s="59">
        <v>43</v>
      </c>
      <c r="U10" s="45">
        <v>0</v>
      </c>
      <c r="V10" s="47">
        <v>43</v>
      </c>
      <c r="W10" s="56">
        <v>0</v>
      </c>
      <c r="X10" s="45">
        <v>0</v>
      </c>
      <c r="Y10" s="60">
        <v>0</v>
      </c>
      <c r="Z10" s="59">
        <v>0</v>
      </c>
      <c r="AA10" s="45">
        <v>0</v>
      </c>
      <c r="AB10" s="47">
        <v>0</v>
      </c>
      <c r="AC10" s="56">
        <f t="shared" si="2"/>
        <v>43</v>
      </c>
      <c r="AD10" s="45">
        <f t="shared" si="2"/>
        <v>0</v>
      </c>
      <c r="AE10" s="57">
        <f t="shared" si="2"/>
        <v>43</v>
      </c>
      <c r="AF10" s="1">
        <f t="shared" si="3"/>
        <v>881.5</v>
      </c>
    </row>
    <row r="11" spans="1:32" ht="15" customHeight="1">
      <c r="A11" s="127">
        <v>8</v>
      </c>
      <c r="B11" s="30">
        <v>33</v>
      </c>
      <c r="C11" s="61" t="s">
        <v>52</v>
      </c>
      <c r="D11" s="32">
        <v>43397.67361111111</v>
      </c>
      <c r="E11" s="15">
        <f t="shared" si="0"/>
        <v>43418.67361111111</v>
      </c>
      <c r="F11" s="62">
        <v>1090</v>
      </c>
      <c r="G11" s="63"/>
      <c r="H11" s="64"/>
      <c r="I11" s="36">
        <f t="shared" si="4"/>
        <v>1090</v>
      </c>
      <c r="J11" s="37">
        <f t="shared" si="1"/>
        <v>43.46092503987241</v>
      </c>
      <c r="K11" s="21" t="s">
        <v>47</v>
      </c>
      <c r="M11" s="52" t="s">
        <v>48</v>
      </c>
      <c r="N11" s="59">
        <v>0</v>
      </c>
      <c r="O11" s="45">
        <v>0</v>
      </c>
      <c r="P11" s="47">
        <v>0</v>
      </c>
      <c r="Q11" s="56">
        <v>0</v>
      </c>
      <c r="R11" s="45">
        <v>0</v>
      </c>
      <c r="S11" s="60">
        <v>0</v>
      </c>
      <c r="T11" s="59">
        <v>0</v>
      </c>
      <c r="U11" s="45">
        <v>0</v>
      </c>
      <c r="V11" s="47">
        <v>0</v>
      </c>
      <c r="W11" s="56">
        <v>0</v>
      </c>
      <c r="X11" s="45">
        <v>0</v>
      </c>
      <c r="Y11" s="60">
        <v>0</v>
      </c>
      <c r="Z11" s="59">
        <v>0</v>
      </c>
      <c r="AA11" s="45">
        <v>0</v>
      </c>
      <c r="AB11" s="47">
        <v>0</v>
      </c>
      <c r="AC11" s="56">
        <f t="shared" si="2"/>
        <v>0</v>
      </c>
      <c r="AD11" s="45">
        <f t="shared" si="2"/>
        <v>0</v>
      </c>
      <c r="AE11" s="57">
        <f t="shared" si="2"/>
        <v>0</v>
      </c>
      <c r="AF11" s="1">
        <f t="shared" si="3"/>
        <v>0</v>
      </c>
    </row>
    <row r="12" spans="1:32" ht="12.75" customHeight="1" thickBot="1">
      <c r="A12" s="128">
        <v>9</v>
      </c>
      <c r="B12" s="65">
        <v>32</v>
      </c>
      <c r="C12" s="136" t="s">
        <v>55</v>
      </c>
      <c r="D12" s="137">
        <v>43392.63888888889</v>
      </c>
      <c r="E12" s="66">
        <f t="shared" si="0"/>
        <v>43413.63888888889</v>
      </c>
      <c r="F12" s="138">
        <v>1250</v>
      </c>
      <c r="G12" s="67"/>
      <c r="H12" s="68"/>
      <c r="I12" s="69">
        <f t="shared" si="4"/>
        <v>1250</v>
      </c>
      <c r="J12" s="70">
        <f t="shared" si="1"/>
        <v>49.84051036682616</v>
      </c>
      <c r="K12" s="21" t="s">
        <v>48</v>
      </c>
      <c r="M12" s="52" t="s">
        <v>49</v>
      </c>
      <c r="N12" s="56">
        <v>0</v>
      </c>
      <c r="O12" s="45">
        <v>0</v>
      </c>
      <c r="P12" s="47">
        <v>0</v>
      </c>
      <c r="Q12" s="56">
        <v>0</v>
      </c>
      <c r="R12" s="45">
        <v>0</v>
      </c>
      <c r="S12" s="60">
        <v>0</v>
      </c>
      <c r="T12" s="59">
        <v>0</v>
      </c>
      <c r="U12" s="45">
        <v>15</v>
      </c>
      <c r="V12" s="47">
        <v>0</v>
      </c>
      <c r="W12" s="56">
        <v>0</v>
      </c>
      <c r="X12" s="45">
        <v>0</v>
      </c>
      <c r="Y12" s="60">
        <v>0</v>
      </c>
      <c r="Z12" s="59">
        <v>0</v>
      </c>
      <c r="AA12" s="45">
        <v>0</v>
      </c>
      <c r="AB12" s="47">
        <v>0</v>
      </c>
      <c r="AC12" s="56">
        <f t="shared" si="2"/>
        <v>0</v>
      </c>
      <c r="AD12" s="45">
        <f t="shared" si="2"/>
        <v>15</v>
      </c>
      <c r="AE12" s="57">
        <f t="shared" si="2"/>
        <v>0</v>
      </c>
      <c r="AF12" s="1">
        <f t="shared" si="3"/>
        <v>450</v>
      </c>
    </row>
    <row r="13" spans="10:32" ht="12.75" customHeight="1" thickBot="1">
      <c r="J13" s="71"/>
      <c r="K13" s="72" t="s">
        <v>49</v>
      </c>
      <c r="M13" s="58" t="s">
        <v>50</v>
      </c>
      <c r="N13" s="59">
        <v>0</v>
      </c>
      <c r="O13" s="45">
        <v>0</v>
      </c>
      <c r="P13" s="47">
        <v>0</v>
      </c>
      <c r="Q13" s="56">
        <v>0</v>
      </c>
      <c r="R13" s="45">
        <v>0</v>
      </c>
      <c r="S13" s="60">
        <v>0</v>
      </c>
      <c r="T13" s="59">
        <v>0</v>
      </c>
      <c r="U13" s="45">
        <v>0</v>
      </c>
      <c r="V13" s="47">
        <v>183</v>
      </c>
      <c r="W13" s="56">
        <v>0</v>
      </c>
      <c r="X13" s="45">
        <v>0</v>
      </c>
      <c r="Y13" s="60">
        <v>0</v>
      </c>
      <c r="Z13" s="59">
        <v>0</v>
      </c>
      <c r="AA13" s="45">
        <v>0</v>
      </c>
      <c r="AB13" s="47">
        <v>0</v>
      </c>
      <c r="AC13" s="56">
        <f t="shared" si="2"/>
        <v>0</v>
      </c>
      <c r="AD13" s="45">
        <f t="shared" si="2"/>
        <v>0</v>
      </c>
      <c r="AE13" s="57">
        <f t="shared" si="2"/>
        <v>183</v>
      </c>
      <c r="AF13" s="1">
        <f t="shared" si="3"/>
        <v>91.5</v>
      </c>
    </row>
    <row r="14" spans="1:32" ht="12" customHeight="1" thickBot="1">
      <c r="A14" s="148" t="s">
        <v>1</v>
      </c>
      <c r="B14" s="149"/>
      <c r="C14" s="149"/>
      <c r="D14" s="149"/>
      <c r="E14" s="149"/>
      <c r="F14" s="149"/>
      <c r="G14" s="149"/>
      <c r="H14" s="150"/>
      <c r="I14" s="73"/>
      <c r="K14" s="72" t="s">
        <v>50</v>
      </c>
      <c r="M14" s="58" t="s">
        <v>44</v>
      </c>
      <c r="N14" s="59">
        <v>0</v>
      </c>
      <c r="O14" s="45">
        <v>0</v>
      </c>
      <c r="P14" s="47">
        <v>0</v>
      </c>
      <c r="Q14" s="56">
        <v>0</v>
      </c>
      <c r="R14" s="45">
        <v>0</v>
      </c>
      <c r="S14" s="60">
        <v>0</v>
      </c>
      <c r="T14" s="59">
        <v>0</v>
      </c>
      <c r="U14" s="45">
        <v>9</v>
      </c>
      <c r="V14" s="47">
        <v>841</v>
      </c>
      <c r="W14" s="56">
        <v>0</v>
      </c>
      <c r="X14" s="45">
        <v>0</v>
      </c>
      <c r="Y14" s="60">
        <v>0</v>
      </c>
      <c r="Z14" s="59">
        <v>0</v>
      </c>
      <c r="AA14" s="45">
        <v>0</v>
      </c>
      <c r="AB14" s="47">
        <v>0</v>
      </c>
      <c r="AC14" s="56">
        <f t="shared" si="2"/>
        <v>0</v>
      </c>
      <c r="AD14" s="45">
        <f t="shared" si="2"/>
        <v>9</v>
      </c>
      <c r="AE14" s="57">
        <f t="shared" si="2"/>
        <v>841</v>
      </c>
      <c r="AF14" s="1">
        <f t="shared" si="3"/>
        <v>690.5</v>
      </c>
    </row>
    <row r="15" spans="1:32" ht="44.25" customHeight="1" thickBot="1">
      <c r="A15" s="11" t="s">
        <v>8</v>
      </c>
      <c r="B15" s="7" t="s">
        <v>34</v>
      </c>
      <c r="C15" s="10" t="s">
        <v>2</v>
      </c>
      <c r="D15" s="7" t="s">
        <v>6</v>
      </c>
      <c r="E15" s="10" t="s">
        <v>41</v>
      </c>
      <c r="F15" s="7" t="s">
        <v>42</v>
      </c>
      <c r="G15" s="10" t="s">
        <v>9</v>
      </c>
      <c r="H15" s="7" t="s">
        <v>10</v>
      </c>
      <c r="J15" s="74"/>
      <c r="K15" s="72" t="s">
        <v>56</v>
      </c>
      <c r="M15" s="58" t="s">
        <v>43</v>
      </c>
      <c r="N15" s="59">
        <v>0</v>
      </c>
      <c r="O15" s="45">
        <v>0</v>
      </c>
      <c r="P15" s="47">
        <v>0</v>
      </c>
      <c r="Q15" s="56">
        <v>0</v>
      </c>
      <c r="R15" s="45">
        <v>0</v>
      </c>
      <c r="S15" s="60">
        <v>0</v>
      </c>
      <c r="T15" s="59">
        <v>0</v>
      </c>
      <c r="U15" s="45">
        <v>0</v>
      </c>
      <c r="V15" s="47">
        <v>310</v>
      </c>
      <c r="W15" s="56">
        <v>0</v>
      </c>
      <c r="X15" s="45">
        <v>0</v>
      </c>
      <c r="Y15" s="60">
        <v>0</v>
      </c>
      <c r="Z15" s="59">
        <v>0</v>
      </c>
      <c r="AA15" s="45">
        <v>0</v>
      </c>
      <c r="AB15" s="47">
        <v>0</v>
      </c>
      <c r="AC15" s="56">
        <f t="shared" si="2"/>
        <v>0</v>
      </c>
      <c r="AD15" s="45">
        <f t="shared" si="2"/>
        <v>0</v>
      </c>
      <c r="AE15" s="57">
        <f t="shared" si="2"/>
        <v>310</v>
      </c>
      <c r="AF15" s="1">
        <f t="shared" si="3"/>
        <v>155</v>
      </c>
    </row>
    <row r="16" spans="1:32" ht="12.75" customHeight="1">
      <c r="A16" s="129">
        <v>1</v>
      </c>
      <c r="B16" s="16">
        <v>30</v>
      </c>
      <c r="C16" s="75" t="s">
        <v>58</v>
      </c>
      <c r="D16" s="76">
        <v>43391</v>
      </c>
      <c r="E16" s="123">
        <v>1</v>
      </c>
      <c r="F16" s="75">
        <v>1000</v>
      </c>
      <c r="G16" s="41">
        <f>10*30</f>
        <v>300</v>
      </c>
      <c r="H16" s="75">
        <f>F16-G16</f>
        <v>700</v>
      </c>
      <c r="J16" s="77"/>
      <c r="K16" s="72" t="s">
        <v>57</v>
      </c>
      <c r="L16" s="74"/>
      <c r="M16" s="58" t="s">
        <v>56</v>
      </c>
      <c r="N16" s="59">
        <v>0</v>
      </c>
      <c r="O16" s="45">
        <v>0</v>
      </c>
      <c r="P16" s="47">
        <v>0</v>
      </c>
      <c r="Q16" s="56">
        <v>0</v>
      </c>
      <c r="R16" s="45">
        <v>0</v>
      </c>
      <c r="S16" s="60">
        <v>0</v>
      </c>
      <c r="T16" s="59">
        <v>0</v>
      </c>
      <c r="U16" s="45">
        <v>2</v>
      </c>
      <c r="V16" s="47">
        <v>1</v>
      </c>
      <c r="W16" s="56">
        <v>0</v>
      </c>
      <c r="X16" s="45">
        <v>0</v>
      </c>
      <c r="Y16" s="60">
        <v>0</v>
      </c>
      <c r="Z16" s="59">
        <v>0</v>
      </c>
      <c r="AA16" s="45">
        <v>0</v>
      </c>
      <c r="AB16" s="47">
        <v>0</v>
      </c>
      <c r="AC16" s="56">
        <f t="shared" si="2"/>
        <v>0</v>
      </c>
      <c r="AD16" s="45">
        <f t="shared" si="2"/>
        <v>2</v>
      </c>
      <c r="AE16" s="57">
        <f t="shared" si="2"/>
        <v>1</v>
      </c>
      <c r="AF16" s="1">
        <f t="shared" si="3"/>
        <v>60.5</v>
      </c>
    </row>
    <row r="17" spans="1:32" ht="12.75" customHeight="1">
      <c r="A17" s="130">
        <v>2</v>
      </c>
      <c r="B17" s="125">
        <v>30</v>
      </c>
      <c r="C17" s="78" t="s">
        <v>58</v>
      </c>
      <c r="D17" s="79">
        <v>43391</v>
      </c>
      <c r="E17" s="124">
        <v>1</v>
      </c>
      <c r="F17" s="78">
        <v>1000</v>
      </c>
      <c r="G17" s="53"/>
      <c r="H17" s="78">
        <f>F17-G17</f>
        <v>1000</v>
      </c>
      <c r="J17" s="77"/>
      <c r="K17" s="80" t="s">
        <v>51</v>
      </c>
      <c r="L17" s="81"/>
      <c r="M17" s="58" t="s">
        <v>57</v>
      </c>
      <c r="N17" s="59">
        <v>0</v>
      </c>
      <c r="O17" s="45">
        <v>0</v>
      </c>
      <c r="P17" s="47">
        <v>0</v>
      </c>
      <c r="Q17" s="56">
        <v>0</v>
      </c>
      <c r="R17" s="45">
        <v>0</v>
      </c>
      <c r="S17" s="60">
        <v>0</v>
      </c>
      <c r="T17" s="59">
        <v>0</v>
      </c>
      <c r="U17" s="45">
        <v>4</v>
      </c>
      <c r="V17" s="47">
        <v>853</v>
      </c>
      <c r="W17" s="56">
        <v>0</v>
      </c>
      <c r="X17" s="45">
        <v>0</v>
      </c>
      <c r="Y17" s="60">
        <v>0</v>
      </c>
      <c r="Z17" s="59">
        <v>0</v>
      </c>
      <c r="AA17" s="45">
        <v>0</v>
      </c>
      <c r="AB17" s="47">
        <v>0</v>
      </c>
      <c r="AC17" s="56">
        <f t="shared" si="2"/>
        <v>0</v>
      </c>
      <c r="AD17" s="45">
        <f t="shared" si="2"/>
        <v>4</v>
      </c>
      <c r="AE17" s="57">
        <f t="shared" si="2"/>
        <v>853</v>
      </c>
      <c r="AF17" s="1">
        <f t="shared" si="3"/>
        <v>546.5</v>
      </c>
    </row>
    <row r="18" spans="1:32" ht="12" customHeight="1" thickBot="1">
      <c r="A18" s="131">
        <v>3</v>
      </c>
      <c r="B18" s="83"/>
      <c r="C18" s="82"/>
      <c r="D18" s="84"/>
      <c r="E18" s="85"/>
      <c r="F18" s="82"/>
      <c r="G18" s="86"/>
      <c r="H18" s="82"/>
      <c r="I18" s="22"/>
      <c r="J18" s="77"/>
      <c r="K18" s="80" t="s">
        <v>52</v>
      </c>
      <c r="L18" s="81"/>
      <c r="M18" s="58" t="s">
        <v>51</v>
      </c>
      <c r="N18" s="59">
        <v>0</v>
      </c>
      <c r="O18" s="45">
        <v>0</v>
      </c>
      <c r="P18" s="47">
        <v>0</v>
      </c>
      <c r="Q18" s="56">
        <v>0</v>
      </c>
      <c r="R18" s="45">
        <v>0</v>
      </c>
      <c r="S18" s="60">
        <v>0</v>
      </c>
      <c r="T18" s="59">
        <v>4</v>
      </c>
      <c r="U18" s="45">
        <v>0</v>
      </c>
      <c r="V18" s="47">
        <v>597</v>
      </c>
      <c r="W18" s="56">
        <v>0</v>
      </c>
      <c r="X18" s="45">
        <v>0</v>
      </c>
      <c r="Y18" s="60">
        <v>0</v>
      </c>
      <c r="Z18" s="59">
        <v>0</v>
      </c>
      <c r="AA18" s="45">
        <v>0</v>
      </c>
      <c r="AB18" s="47">
        <v>0</v>
      </c>
      <c r="AC18" s="56">
        <f t="shared" si="2"/>
        <v>4</v>
      </c>
      <c r="AD18" s="45">
        <f t="shared" si="2"/>
        <v>0</v>
      </c>
      <c r="AE18" s="57">
        <f t="shared" si="2"/>
        <v>597</v>
      </c>
      <c r="AF18" s="1">
        <f t="shared" si="3"/>
        <v>378.5</v>
      </c>
    </row>
    <row r="19" spans="11:32" ht="12.75" customHeight="1" thickBot="1">
      <c r="K19" s="80" t="s">
        <v>53</v>
      </c>
      <c r="L19" s="81"/>
      <c r="M19" s="58" t="s">
        <v>52</v>
      </c>
      <c r="N19" s="59">
        <v>0</v>
      </c>
      <c r="O19" s="45">
        <v>0</v>
      </c>
      <c r="P19" s="47">
        <v>0</v>
      </c>
      <c r="Q19" s="56">
        <v>0</v>
      </c>
      <c r="R19" s="45">
        <v>0</v>
      </c>
      <c r="S19" s="60">
        <v>0</v>
      </c>
      <c r="T19" s="59">
        <v>3</v>
      </c>
      <c r="U19" s="45">
        <v>0</v>
      </c>
      <c r="V19" s="47">
        <v>752</v>
      </c>
      <c r="W19" s="56">
        <v>0</v>
      </c>
      <c r="X19" s="45">
        <v>0</v>
      </c>
      <c r="Y19" s="60">
        <v>0</v>
      </c>
      <c r="Z19" s="59">
        <v>0</v>
      </c>
      <c r="AA19" s="45">
        <v>0</v>
      </c>
      <c r="AB19" s="47">
        <v>0</v>
      </c>
      <c r="AC19" s="56">
        <f t="shared" si="2"/>
        <v>3</v>
      </c>
      <c r="AD19" s="45">
        <f t="shared" si="2"/>
        <v>0</v>
      </c>
      <c r="AE19" s="57">
        <f t="shared" si="2"/>
        <v>752</v>
      </c>
      <c r="AF19" s="1">
        <f t="shared" si="3"/>
        <v>436</v>
      </c>
    </row>
    <row r="20" spans="1:32" ht="12.75" customHeight="1" thickBot="1">
      <c r="A20" s="151" t="s">
        <v>21</v>
      </c>
      <c r="B20" s="152"/>
      <c r="C20" s="152"/>
      <c r="D20" s="152"/>
      <c r="E20" s="152"/>
      <c r="F20" s="152"/>
      <c r="G20" s="153"/>
      <c r="H20" s="87"/>
      <c r="K20" s="45" t="s">
        <v>54</v>
      </c>
      <c r="L20" s="81"/>
      <c r="M20" s="58" t="s">
        <v>53</v>
      </c>
      <c r="N20" s="59">
        <v>0</v>
      </c>
      <c r="O20" s="45">
        <v>0</v>
      </c>
      <c r="P20" s="47">
        <v>0</v>
      </c>
      <c r="Q20" s="56">
        <v>0</v>
      </c>
      <c r="R20" s="45">
        <v>0</v>
      </c>
      <c r="S20" s="60">
        <v>0</v>
      </c>
      <c r="T20" s="59">
        <v>0</v>
      </c>
      <c r="U20" s="45">
        <v>0</v>
      </c>
      <c r="V20" s="47">
        <v>0</v>
      </c>
      <c r="W20" s="56">
        <v>0</v>
      </c>
      <c r="X20" s="45">
        <v>0</v>
      </c>
      <c r="Y20" s="60">
        <v>0</v>
      </c>
      <c r="Z20" s="59">
        <v>0</v>
      </c>
      <c r="AA20" s="45">
        <v>0</v>
      </c>
      <c r="AB20" s="47">
        <v>0</v>
      </c>
      <c r="AC20" s="56">
        <f t="shared" si="2"/>
        <v>0</v>
      </c>
      <c r="AD20" s="45">
        <f t="shared" si="2"/>
        <v>0</v>
      </c>
      <c r="AE20" s="57">
        <f t="shared" si="2"/>
        <v>0</v>
      </c>
      <c r="AF20" s="1">
        <f t="shared" si="3"/>
        <v>0</v>
      </c>
    </row>
    <row r="21" spans="1:32" ht="12.75" customHeight="1" thickBot="1">
      <c r="A21" s="88" t="s">
        <v>22</v>
      </c>
      <c r="B21" s="89" t="s">
        <v>23</v>
      </c>
      <c r="C21" s="90" t="s">
        <v>24</v>
      </c>
      <c r="D21" s="89" t="s">
        <v>25</v>
      </c>
      <c r="E21" s="89" t="s">
        <v>26</v>
      </c>
      <c r="F21" s="154" t="s">
        <v>27</v>
      </c>
      <c r="G21" s="155"/>
      <c r="J21" s="2"/>
      <c r="K21" s="45" t="s">
        <v>55</v>
      </c>
      <c r="L21" s="81"/>
      <c r="M21" s="58" t="s">
        <v>54</v>
      </c>
      <c r="N21" s="59">
        <v>0</v>
      </c>
      <c r="O21" s="45">
        <v>0</v>
      </c>
      <c r="P21" s="47">
        <v>0</v>
      </c>
      <c r="Q21" s="56">
        <v>0</v>
      </c>
      <c r="R21" s="45">
        <v>0</v>
      </c>
      <c r="S21" s="60">
        <v>0</v>
      </c>
      <c r="T21" s="59">
        <v>30</v>
      </c>
      <c r="U21" s="45">
        <v>0</v>
      </c>
      <c r="V21" s="47">
        <v>251</v>
      </c>
      <c r="W21" s="56">
        <v>0</v>
      </c>
      <c r="X21" s="45">
        <v>0</v>
      </c>
      <c r="Y21" s="60">
        <v>0</v>
      </c>
      <c r="Z21" s="59">
        <v>0</v>
      </c>
      <c r="AA21" s="45">
        <v>0</v>
      </c>
      <c r="AB21" s="47">
        <v>0</v>
      </c>
      <c r="AC21" s="56">
        <f aca="true" t="shared" si="5" ref="AC21:AE25">T21+W21-Z21</f>
        <v>30</v>
      </c>
      <c r="AD21" s="45">
        <f t="shared" si="5"/>
        <v>0</v>
      </c>
      <c r="AE21" s="57">
        <f t="shared" si="5"/>
        <v>251</v>
      </c>
      <c r="AF21" s="1">
        <f t="shared" si="3"/>
        <v>725.5</v>
      </c>
    </row>
    <row r="22" spans="1:32" ht="12.75" customHeight="1" thickBot="1">
      <c r="A22" s="132" t="s">
        <v>38</v>
      </c>
      <c r="B22" s="91">
        <f>SUMIF(C4:C12,"WI",I4:I12)</f>
        <v>0</v>
      </c>
      <c r="C22" s="92">
        <f>SUMIF(C16:C18,"WI",H16:H18)</f>
        <v>0</v>
      </c>
      <c r="D22" s="93">
        <f aca="true" t="shared" si="6" ref="D22:D41">T5*20+U5*30+V5*0.5+W5*20+X5*30+Y5*0.5-Z5*20-AA5*30-AB5*0.5</f>
        <v>1911.5</v>
      </c>
      <c r="E22" s="93">
        <f aca="true" t="shared" si="7" ref="E22:E30">SUM(B22:D22)</f>
        <v>1911.5</v>
      </c>
      <c r="F22" s="156">
        <f aca="true" t="shared" si="8" ref="F22:F39">B22*0.85+C22+D22</f>
        <v>1911.5</v>
      </c>
      <c r="G22" s="157"/>
      <c r="J22" s="2"/>
      <c r="K22" s="45" t="s">
        <v>58</v>
      </c>
      <c r="L22" s="94"/>
      <c r="M22" s="58" t="s">
        <v>55</v>
      </c>
      <c r="N22" s="59">
        <v>0</v>
      </c>
      <c r="O22" s="45">
        <v>0</v>
      </c>
      <c r="P22" s="47">
        <v>0</v>
      </c>
      <c r="Q22" s="56">
        <v>0</v>
      </c>
      <c r="R22" s="45">
        <v>0</v>
      </c>
      <c r="S22" s="60">
        <v>0</v>
      </c>
      <c r="T22" s="59">
        <v>1</v>
      </c>
      <c r="U22" s="45">
        <v>9</v>
      </c>
      <c r="V22" s="47">
        <v>519</v>
      </c>
      <c r="W22" s="56">
        <v>0</v>
      </c>
      <c r="X22" s="45">
        <v>0</v>
      </c>
      <c r="Y22" s="60">
        <v>0</v>
      </c>
      <c r="Z22" s="59">
        <v>0</v>
      </c>
      <c r="AA22" s="45">
        <v>0</v>
      </c>
      <c r="AB22" s="47">
        <v>0</v>
      </c>
      <c r="AC22" s="56">
        <f t="shared" si="5"/>
        <v>1</v>
      </c>
      <c r="AD22" s="45">
        <f t="shared" si="5"/>
        <v>9</v>
      </c>
      <c r="AE22" s="57">
        <f t="shared" si="5"/>
        <v>519</v>
      </c>
      <c r="AF22" s="1">
        <f>AE22*0.5+AD22*30+AC22*20</f>
        <v>549.5</v>
      </c>
    </row>
    <row r="23" spans="1:32" ht="12" customHeight="1" thickBot="1">
      <c r="A23" s="133" t="s">
        <v>39</v>
      </c>
      <c r="B23" s="91">
        <f>SUMIF(C4:C12,"AI",I4:I12)</f>
        <v>2400</v>
      </c>
      <c r="C23" s="92">
        <f>SUMIF(C16:C18,"AI",H16:H18)</f>
        <v>0</v>
      </c>
      <c r="D23" s="93">
        <f t="shared" si="6"/>
        <v>101</v>
      </c>
      <c r="E23" s="91">
        <f t="shared" si="7"/>
        <v>2501</v>
      </c>
      <c r="F23" s="158">
        <f t="shared" si="8"/>
        <v>2141</v>
      </c>
      <c r="G23" s="159"/>
      <c r="J23" s="2"/>
      <c r="K23" s="72" t="s">
        <v>59</v>
      </c>
      <c r="L23" s="94"/>
      <c r="M23" s="58" t="s">
        <v>58</v>
      </c>
      <c r="N23" s="59">
        <v>0</v>
      </c>
      <c r="O23" s="45">
        <v>0</v>
      </c>
      <c r="P23" s="47">
        <v>0</v>
      </c>
      <c r="Q23" s="56">
        <v>0</v>
      </c>
      <c r="R23" s="45">
        <v>0</v>
      </c>
      <c r="S23" s="60">
        <v>0</v>
      </c>
      <c r="T23" s="59">
        <v>0</v>
      </c>
      <c r="U23" s="45">
        <v>10</v>
      </c>
      <c r="V23" s="47">
        <v>0</v>
      </c>
      <c r="W23" s="56">
        <v>0</v>
      </c>
      <c r="X23" s="45">
        <v>0</v>
      </c>
      <c r="Y23" s="60">
        <v>0</v>
      </c>
      <c r="Z23" s="59">
        <v>0</v>
      </c>
      <c r="AA23" s="45">
        <v>0</v>
      </c>
      <c r="AB23" s="47">
        <v>0</v>
      </c>
      <c r="AC23" s="56">
        <f t="shared" si="5"/>
        <v>0</v>
      </c>
      <c r="AD23" s="45">
        <f t="shared" si="5"/>
        <v>10</v>
      </c>
      <c r="AE23" s="57">
        <f t="shared" si="5"/>
        <v>0</v>
      </c>
      <c r="AF23" s="1">
        <f>AE23*0.5+AD23*30+AC23*20</f>
        <v>300</v>
      </c>
    </row>
    <row r="24" spans="1:32" ht="12.75" customHeight="1" thickBot="1">
      <c r="A24" s="132" t="s">
        <v>40</v>
      </c>
      <c r="B24" s="97">
        <f>SUMIF(C4:C12,"FMN",I4:I12)</f>
        <v>0</v>
      </c>
      <c r="C24" s="98">
        <f>SUMIF(C16:C18,"FMN",H16:H18)</f>
        <v>0</v>
      </c>
      <c r="D24" s="91">
        <f t="shared" si="6"/>
        <v>1079.5</v>
      </c>
      <c r="E24" s="99">
        <f t="shared" si="7"/>
        <v>1079.5</v>
      </c>
      <c r="F24" s="158">
        <f t="shared" si="8"/>
        <v>1079.5</v>
      </c>
      <c r="G24" s="159"/>
      <c r="J24" s="2"/>
      <c r="K24" s="72" t="s">
        <v>60</v>
      </c>
      <c r="L24" s="94"/>
      <c r="M24" s="58" t="s">
        <v>59</v>
      </c>
      <c r="N24" s="59">
        <v>0</v>
      </c>
      <c r="O24" s="45">
        <v>0</v>
      </c>
      <c r="P24" s="47">
        <v>0</v>
      </c>
      <c r="Q24" s="56">
        <v>0</v>
      </c>
      <c r="R24" s="45">
        <v>0</v>
      </c>
      <c r="S24" s="60">
        <v>0</v>
      </c>
      <c r="T24" s="59">
        <v>0</v>
      </c>
      <c r="U24" s="45">
        <v>21</v>
      </c>
      <c r="V24" s="47">
        <v>47</v>
      </c>
      <c r="W24" s="56">
        <v>0</v>
      </c>
      <c r="X24" s="45">
        <v>0</v>
      </c>
      <c r="Y24" s="60">
        <v>0</v>
      </c>
      <c r="Z24" s="59">
        <v>0</v>
      </c>
      <c r="AA24" s="45">
        <v>0</v>
      </c>
      <c r="AB24" s="47">
        <v>0</v>
      </c>
      <c r="AC24" s="56">
        <f t="shared" si="5"/>
        <v>0</v>
      </c>
      <c r="AD24" s="45">
        <f t="shared" si="5"/>
        <v>21</v>
      </c>
      <c r="AE24" s="57">
        <f t="shared" si="5"/>
        <v>47</v>
      </c>
      <c r="AF24" s="1">
        <f>AE24*0.5+AD24*30+AC24*20</f>
        <v>653.5</v>
      </c>
    </row>
    <row r="25" spans="1:32" ht="12.75" customHeight="1" thickBot="1">
      <c r="A25" s="132" t="s">
        <v>45</v>
      </c>
      <c r="B25" s="97">
        <f>SUMIF(C4:C12,"FB",I4:I12)</f>
        <v>0</v>
      </c>
      <c r="C25" s="98">
        <f>SUMIF(C16:C18,"FB",H16:H18)</f>
        <v>0</v>
      </c>
      <c r="D25" s="91">
        <f t="shared" si="6"/>
        <v>0</v>
      </c>
      <c r="E25" s="99">
        <f>SUM(B25:D25)</f>
        <v>0</v>
      </c>
      <c r="F25" s="158">
        <f>B25*0.85+C25+D25</f>
        <v>0</v>
      </c>
      <c r="G25" s="159"/>
      <c r="J25" s="2"/>
      <c r="K25" s="72" t="s">
        <v>61</v>
      </c>
      <c r="L25" s="94"/>
      <c r="M25" s="58" t="s">
        <v>60</v>
      </c>
      <c r="N25" s="59">
        <v>0</v>
      </c>
      <c r="O25" s="45">
        <v>0</v>
      </c>
      <c r="P25" s="47">
        <v>0</v>
      </c>
      <c r="Q25" s="56">
        <v>0</v>
      </c>
      <c r="R25" s="45">
        <v>0</v>
      </c>
      <c r="S25" s="60">
        <v>0</v>
      </c>
      <c r="T25" s="59">
        <v>31</v>
      </c>
      <c r="U25" s="45">
        <v>0</v>
      </c>
      <c r="V25" s="47">
        <v>439</v>
      </c>
      <c r="W25" s="56">
        <v>0</v>
      </c>
      <c r="X25" s="45">
        <v>0</v>
      </c>
      <c r="Y25" s="60">
        <v>0</v>
      </c>
      <c r="Z25" s="59">
        <v>0</v>
      </c>
      <c r="AA25" s="45">
        <v>0</v>
      </c>
      <c r="AB25" s="47">
        <v>0</v>
      </c>
      <c r="AC25" s="56">
        <f t="shared" si="5"/>
        <v>31</v>
      </c>
      <c r="AD25" s="45">
        <f t="shared" si="5"/>
        <v>0</v>
      </c>
      <c r="AE25" s="57">
        <f t="shared" si="5"/>
        <v>439</v>
      </c>
      <c r="AF25" s="1">
        <f>AE25*0.5+AD25*30+AC25*20</f>
        <v>839.5</v>
      </c>
    </row>
    <row r="26" spans="1:32" ht="12.75" customHeight="1" thickBot="1">
      <c r="A26" s="132" t="s">
        <v>46</v>
      </c>
      <c r="B26" s="97">
        <f>SUMIF(C4:C12,"КЛ",I4:I12)</f>
        <v>1216.5</v>
      </c>
      <c r="C26" s="98">
        <f>SUMIF(C16:C18,"КЛ",H16:H18)</f>
        <v>0</v>
      </c>
      <c r="D26" s="91">
        <f t="shared" si="6"/>
        <v>616</v>
      </c>
      <c r="E26" s="99">
        <f>SUM(B26:D26)</f>
        <v>1832.5</v>
      </c>
      <c r="F26" s="158">
        <f>B26*0.85+C26+D26</f>
        <v>1650.0249999999999</v>
      </c>
      <c r="G26" s="159"/>
      <c r="J26" s="2"/>
      <c r="L26" s="94"/>
      <c r="M26" s="58" t="s">
        <v>61</v>
      </c>
      <c r="N26" s="59">
        <v>0</v>
      </c>
      <c r="O26" s="45">
        <v>0</v>
      </c>
      <c r="P26" s="47">
        <v>0</v>
      </c>
      <c r="Q26" s="56">
        <v>0</v>
      </c>
      <c r="R26" s="45">
        <v>0</v>
      </c>
      <c r="S26" s="60">
        <v>0</v>
      </c>
      <c r="T26" s="59">
        <v>0</v>
      </c>
      <c r="U26" s="45">
        <v>0</v>
      </c>
      <c r="V26" s="47">
        <v>0</v>
      </c>
      <c r="W26" s="56">
        <v>0</v>
      </c>
      <c r="X26" s="45">
        <v>0</v>
      </c>
      <c r="Y26" s="60">
        <v>0</v>
      </c>
      <c r="Z26" s="59">
        <v>0</v>
      </c>
      <c r="AA26" s="45">
        <v>0</v>
      </c>
      <c r="AB26" s="47">
        <v>0</v>
      </c>
      <c r="AC26" s="56">
        <f>T26+W26-Z26</f>
        <v>0</v>
      </c>
      <c r="AD26" s="45">
        <f>U26+X26-AA26</f>
        <v>0</v>
      </c>
      <c r="AE26" s="57">
        <f>V26+Y26-AB26</f>
        <v>0</v>
      </c>
      <c r="AF26" s="1">
        <f>AE26*0.5+AD26*30+AC26*20</f>
        <v>0</v>
      </c>
    </row>
    <row r="27" spans="1:31" ht="12.75" customHeight="1" thickBot="1">
      <c r="A27" s="132" t="s">
        <v>47</v>
      </c>
      <c r="B27" s="97">
        <f>SUMIF(C4:C12,"MS",I4:I12)</f>
        <v>0</v>
      </c>
      <c r="C27" s="98">
        <f>SUMIF(C16:C18,"MS",H16:H18)</f>
        <v>0</v>
      </c>
      <c r="D27" s="91">
        <f t="shared" si="6"/>
        <v>881.5</v>
      </c>
      <c r="E27" s="99">
        <f>SUM(B27:D27)</f>
        <v>881.5</v>
      </c>
      <c r="F27" s="158">
        <f>B27*0.85+C27+D27</f>
        <v>881.5</v>
      </c>
      <c r="G27" s="159"/>
      <c r="J27" s="2"/>
      <c r="L27" s="94"/>
      <c r="M27" s="95" t="s">
        <v>37</v>
      </c>
      <c r="N27" s="96">
        <f>SUM(N5:N26)</f>
        <v>0</v>
      </c>
      <c r="O27" s="96">
        <f aca="true" t="shared" si="9" ref="O27:AD27">SUM(O5:O26)</f>
        <v>0</v>
      </c>
      <c r="P27" s="96">
        <f t="shared" si="9"/>
        <v>0</v>
      </c>
      <c r="Q27" s="96">
        <f t="shared" si="9"/>
        <v>0</v>
      </c>
      <c r="R27" s="96">
        <f t="shared" si="9"/>
        <v>0</v>
      </c>
      <c r="S27" s="96">
        <f t="shared" si="9"/>
        <v>0</v>
      </c>
      <c r="T27" s="96">
        <f t="shared" si="9"/>
        <v>112</v>
      </c>
      <c r="U27" s="96">
        <f t="shared" si="9"/>
        <v>122</v>
      </c>
      <c r="V27" s="96">
        <f t="shared" si="9"/>
        <v>9132</v>
      </c>
      <c r="W27" s="96">
        <f t="shared" si="9"/>
        <v>0</v>
      </c>
      <c r="X27" s="96">
        <f t="shared" si="9"/>
        <v>0</v>
      </c>
      <c r="Y27" s="96">
        <f t="shared" si="9"/>
        <v>0</v>
      </c>
      <c r="Z27" s="96">
        <f t="shared" si="9"/>
        <v>0</v>
      </c>
      <c r="AA27" s="96">
        <f t="shared" si="9"/>
        <v>0</v>
      </c>
      <c r="AB27" s="96">
        <f t="shared" si="9"/>
        <v>0</v>
      </c>
      <c r="AC27" s="96">
        <f t="shared" si="9"/>
        <v>112</v>
      </c>
      <c r="AD27" s="96">
        <f t="shared" si="9"/>
        <v>122</v>
      </c>
      <c r="AE27" s="135">
        <f>SUM(AE5:AE26)</f>
        <v>9132</v>
      </c>
    </row>
    <row r="28" spans="1:31" ht="12.75" customHeight="1" thickBot="1">
      <c r="A28" s="132" t="s">
        <v>48</v>
      </c>
      <c r="B28" s="97">
        <f>SUMIF(C4:C12,"MC",I4:I12)</f>
        <v>0</v>
      </c>
      <c r="C28" s="98">
        <f>SUMIF(C16:C18,"MC",H16:H18)</f>
        <v>0</v>
      </c>
      <c r="D28" s="91">
        <f t="shared" si="6"/>
        <v>0</v>
      </c>
      <c r="E28" s="99">
        <f>SUM(B28:D28)</f>
        <v>0</v>
      </c>
      <c r="F28" s="158">
        <f>B28*0.85+C28+D28</f>
        <v>0</v>
      </c>
      <c r="G28" s="159"/>
      <c r="J28" s="2"/>
      <c r="L28" s="94"/>
      <c r="M28" s="100" t="s">
        <v>20</v>
      </c>
      <c r="N28" s="160">
        <f>N27*20+O27*30+P27*0.5</f>
        <v>0</v>
      </c>
      <c r="O28" s="161"/>
      <c r="P28" s="162"/>
      <c r="Q28" s="160">
        <f>Q27*20+R27*30+S27*0.5</f>
        <v>0</v>
      </c>
      <c r="R28" s="161"/>
      <c r="S28" s="162"/>
      <c r="T28" s="160">
        <f>T27*20+U27*30+V27*0.5</f>
        <v>10466</v>
      </c>
      <c r="U28" s="161"/>
      <c r="V28" s="162"/>
      <c r="W28" s="160">
        <f>W27*20+X27*30+Y27*0.5</f>
        <v>0</v>
      </c>
      <c r="X28" s="161"/>
      <c r="Y28" s="162"/>
      <c r="Z28" s="160">
        <f>Z27*20+AA27*30+AB27*0.5</f>
        <v>0</v>
      </c>
      <c r="AA28" s="161"/>
      <c r="AB28" s="162"/>
      <c r="AC28" s="160">
        <f>AC27*20+AD27*30+AE27*0.5</f>
        <v>10466</v>
      </c>
      <c r="AD28" s="161"/>
      <c r="AE28" s="162"/>
    </row>
    <row r="29" spans="1:23" ht="12.75" customHeight="1" thickBot="1">
      <c r="A29" s="132" t="s">
        <v>49</v>
      </c>
      <c r="B29" s="97">
        <f>SUMIF(C4:C12,"Саур",I4:I12)</f>
        <v>0</v>
      </c>
      <c r="C29" s="98">
        <f>SUMIF(C16:C18,"Саур",H16:H18)</f>
        <v>0</v>
      </c>
      <c r="D29" s="91">
        <f t="shared" si="6"/>
        <v>450</v>
      </c>
      <c r="E29" s="99">
        <f t="shared" si="7"/>
        <v>450</v>
      </c>
      <c r="F29" s="158">
        <f t="shared" si="8"/>
        <v>450</v>
      </c>
      <c r="G29" s="159"/>
      <c r="J29" s="2"/>
      <c r="L29" s="94"/>
      <c r="T29" s="1" t="s">
        <v>11</v>
      </c>
      <c r="W29" s="1" t="s">
        <v>11</v>
      </c>
    </row>
    <row r="30" spans="1:18" ht="12.75" customHeight="1" thickBot="1">
      <c r="A30" s="132" t="s">
        <v>50</v>
      </c>
      <c r="B30" s="97">
        <f>SUMIF(C4:C12,"МилкШейк",I4:I12)</f>
        <v>0</v>
      </c>
      <c r="C30" s="98">
        <f>SUMIF(C16:C18,"МилкШейк",H16:H18)</f>
        <v>0</v>
      </c>
      <c r="D30" s="91">
        <f t="shared" si="6"/>
        <v>91.5</v>
      </c>
      <c r="E30" s="99">
        <f t="shared" si="7"/>
        <v>91.5</v>
      </c>
      <c r="F30" s="158">
        <f t="shared" si="8"/>
        <v>91.5</v>
      </c>
      <c r="G30" s="159"/>
      <c r="J30" s="2"/>
      <c r="L30" s="102"/>
      <c r="R30" s="94"/>
    </row>
    <row r="31" spans="1:22" ht="12.75" customHeight="1" thickBot="1">
      <c r="A31" s="132" t="s">
        <v>44</v>
      </c>
      <c r="B31" s="97">
        <f>SUMIF(C4:C12,"MD",I4:I12)</f>
        <v>1940</v>
      </c>
      <c r="C31" s="98">
        <f>SUMIF(C16:C18,"MD",H16:H18)</f>
        <v>0</v>
      </c>
      <c r="D31" s="91">
        <f t="shared" si="6"/>
        <v>690.5</v>
      </c>
      <c r="E31" s="99">
        <f aca="true" t="shared" si="10" ref="E31:E41">SUM(B31:D31)</f>
        <v>2630.5</v>
      </c>
      <c r="F31" s="163">
        <f t="shared" si="8"/>
        <v>2339.5</v>
      </c>
      <c r="G31" s="164"/>
      <c r="J31" s="2"/>
      <c r="L31" s="102"/>
      <c r="R31" s="94"/>
      <c r="S31" s="1" t="s">
        <v>12</v>
      </c>
      <c r="V31" s="1" t="s">
        <v>32</v>
      </c>
    </row>
    <row r="32" spans="1:18" ht="12.75" customHeight="1" thickBot="1">
      <c r="A32" s="132" t="s">
        <v>43</v>
      </c>
      <c r="B32" s="97">
        <f>SUMIF(C4:C12,"BB",I4:I12)</f>
        <v>2230</v>
      </c>
      <c r="C32" s="98">
        <f>SUMIF(C16:C18,"BB",H16:H18)</f>
        <v>0</v>
      </c>
      <c r="D32" s="91">
        <f t="shared" si="6"/>
        <v>155</v>
      </c>
      <c r="E32" s="99">
        <f t="shared" si="10"/>
        <v>2385</v>
      </c>
      <c r="F32" s="158">
        <f t="shared" si="8"/>
        <v>2050.5</v>
      </c>
      <c r="G32" s="159"/>
      <c r="J32" s="2"/>
      <c r="L32" s="102"/>
      <c r="R32" s="101"/>
    </row>
    <row r="33" spans="1:25" ht="12.75" customHeight="1" thickBot="1">
      <c r="A33" s="132" t="s">
        <v>56</v>
      </c>
      <c r="B33" s="97">
        <f>SUMIF(C4:C12,"BFS",I4:I12)</f>
        <v>0</v>
      </c>
      <c r="C33" s="98">
        <f>SUMIF(C16:C18,"BFS",H16:H18)</f>
        <v>0</v>
      </c>
      <c r="D33" s="91">
        <f t="shared" si="6"/>
        <v>60.5</v>
      </c>
      <c r="E33" s="99">
        <f t="shared" si="10"/>
        <v>60.5</v>
      </c>
      <c r="F33" s="163">
        <f t="shared" si="8"/>
        <v>60.5</v>
      </c>
      <c r="G33" s="164"/>
      <c r="J33" s="2"/>
      <c r="L33" s="102"/>
      <c r="M33" s="74"/>
      <c r="N33" s="74"/>
      <c r="O33" s="74"/>
      <c r="P33" s="94"/>
      <c r="Q33" s="94"/>
      <c r="R33" s="94"/>
      <c r="S33" s="94"/>
      <c r="T33" s="101"/>
      <c r="U33" s="101"/>
      <c r="V33" s="101"/>
      <c r="W33" s="101"/>
      <c r="X33" s="101"/>
      <c r="Y33" s="94"/>
    </row>
    <row r="34" spans="1:25" ht="12.75" customHeight="1" thickBot="1">
      <c r="A34" s="132" t="s">
        <v>57</v>
      </c>
      <c r="B34" s="97">
        <f>SUMIF(C4:C12,"DH",I4:I12)</f>
        <v>0</v>
      </c>
      <c r="C34" s="98">
        <f>SUMIF(C16:C18,"DH",H16:H18)</f>
        <v>0</v>
      </c>
      <c r="D34" s="91">
        <f t="shared" si="6"/>
        <v>546.5</v>
      </c>
      <c r="E34" s="99">
        <f t="shared" si="10"/>
        <v>546.5</v>
      </c>
      <c r="F34" s="158">
        <f t="shared" si="8"/>
        <v>546.5</v>
      </c>
      <c r="G34" s="159"/>
      <c r="J34" s="2"/>
      <c r="L34" s="102"/>
      <c r="M34" s="94"/>
      <c r="N34" s="94"/>
      <c r="O34" s="94"/>
      <c r="P34" s="94"/>
      <c r="Q34" s="94"/>
      <c r="R34" s="94"/>
      <c r="S34" s="101"/>
      <c r="T34" s="101"/>
      <c r="U34" s="101"/>
      <c r="V34" s="101"/>
      <c r="W34" s="101"/>
      <c r="X34" s="94"/>
      <c r="Y34" s="1" t="s">
        <v>11</v>
      </c>
    </row>
    <row r="35" spans="1:24" ht="12.75" customHeight="1" thickBot="1">
      <c r="A35" s="132" t="s">
        <v>51</v>
      </c>
      <c r="B35" s="97">
        <f>SUMIF(C4:C12,"BT",I4:I12)</f>
        <v>0</v>
      </c>
      <c r="C35" s="98">
        <f>SUMIF(C16:C18,"BT",H16:H18)</f>
        <v>0</v>
      </c>
      <c r="D35" s="91">
        <f t="shared" si="6"/>
        <v>378.5</v>
      </c>
      <c r="E35" s="99">
        <f t="shared" si="10"/>
        <v>378.5</v>
      </c>
      <c r="F35" s="158">
        <f t="shared" si="8"/>
        <v>378.5</v>
      </c>
      <c r="G35" s="159"/>
      <c r="J35" s="2"/>
      <c r="L35" s="102"/>
      <c r="M35" s="94"/>
      <c r="N35" s="94"/>
      <c r="O35" s="94"/>
      <c r="P35" s="94"/>
      <c r="Q35" s="94"/>
      <c r="R35" s="94"/>
      <c r="S35" s="101"/>
      <c r="T35" s="101"/>
      <c r="U35" s="101"/>
      <c r="V35" s="101"/>
      <c r="W35" s="101"/>
      <c r="X35" s="94"/>
    </row>
    <row r="36" spans="1:24" ht="12.75" customHeight="1" thickBot="1">
      <c r="A36" s="132" t="s">
        <v>52</v>
      </c>
      <c r="B36" s="97">
        <f>SUMIF(C4:C12,"SV",I4:I12)</f>
        <v>1090</v>
      </c>
      <c r="C36" s="98">
        <f>SUMIF(C16:C18,"SV",H16:H18)</f>
        <v>0</v>
      </c>
      <c r="D36" s="91">
        <f t="shared" si="6"/>
        <v>436</v>
      </c>
      <c r="E36" s="99">
        <f t="shared" si="10"/>
        <v>1526</v>
      </c>
      <c r="F36" s="158">
        <f t="shared" si="8"/>
        <v>1362.5</v>
      </c>
      <c r="G36" s="159"/>
      <c r="J36" s="2"/>
      <c r="L36" s="102"/>
      <c r="M36" s="94"/>
      <c r="N36" s="94"/>
      <c r="O36" s="94"/>
      <c r="P36" s="94"/>
      <c r="Q36" s="94"/>
      <c r="R36" s="94"/>
      <c r="S36" s="101"/>
      <c r="T36" s="101"/>
      <c r="U36" s="101"/>
      <c r="V36" s="101"/>
      <c r="W36" s="101"/>
      <c r="X36" s="94"/>
    </row>
    <row r="37" spans="1:24" ht="12.75" customHeight="1" thickBot="1">
      <c r="A37" s="132" t="s">
        <v>53</v>
      </c>
      <c r="B37" s="97">
        <f>SUMIF(C4:C12,"BC",I4:I12)</f>
        <v>0</v>
      </c>
      <c r="C37" s="98">
        <f>SUMIF(C16:C18,"BC",H16:H18)</f>
        <v>0</v>
      </c>
      <c r="D37" s="91">
        <f t="shared" si="6"/>
        <v>0</v>
      </c>
      <c r="E37" s="99">
        <f t="shared" si="10"/>
        <v>0</v>
      </c>
      <c r="F37" s="158">
        <f t="shared" si="8"/>
        <v>0</v>
      </c>
      <c r="G37" s="159"/>
      <c r="J37" s="2"/>
      <c r="L37" s="102"/>
      <c r="M37" s="94"/>
      <c r="N37" s="94"/>
      <c r="O37" s="94"/>
      <c r="P37" s="94"/>
      <c r="Q37" s="94"/>
      <c r="R37" s="94"/>
      <c r="S37" s="101"/>
      <c r="T37" s="101"/>
      <c r="U37" s="101"/>
      <c r="V37" s="101"/>
      <c r="W37" s="101"/>
      <c r="X37" s="94"/>
    </row>
    <row r="38" spans="1:24" ht="12.75" customHeight="1" thickBot="1">
      <c r="A38" s="132" t="s">
        <v>54</v>
      </c>
      <c r="B38" s="97">
        <f>SUMIF(C4:C12,"EX",I4:I12)</f>
        <v>0</v>
      </c>
      <c r="C38" s="98">
        <f>SUMIF(C16:C18,"EX",H16:H18)</f>
        <v>0</v>
      </c>
      <c r="D38" s="91">
        <f t="shared" si="6"/>
        <v>725.5</v>
      </c>
      <c r="E38" s="99">
        <f t="shared" si="10"/>
        <v>725.5</v>
      </c>
      <c r="F38" s="158">
        <f t="shared" si="8"/>
        <v>725.5</v>
      </c>
      <c r="G38" s="159"/>
      <c r="J38" s="2"/>
      <c r="L38" s="102"/>
      <c r="M38" s="94"/>
      <c r="N38" s="94"/>
      <c r="O38" s="94"/>
      <c r="P38" s="94"/>
      <c r="Q38" s="94"/>
      <c r="R38" s="94"/>
      <c r="S38" s="101"/>
      <c r="T38" s="101"/>
      <c r="U38" s="101"/>
      <c r="V38" s="101"/>
      <c r="W38" s="101"/>
      <c r="X38" s="94"/>
    </row>
    <row r="39" spans="1:24" ht="12.75" customHeight="1" thickBot="1">
      <c r="A39" s="133" t="s">
        <v>55</v>
      </c>
      <c r="B39" s="91">
        <f>SUMIF(C4:C12,"SM",I4:I12)</f>
        <v>1250</v>
      </c>
      <c r="C39" s="134">
        <f>SUMIF(C16:C18,"SM",H16:H18)</f>
        <v>0</v>
      </c>
      <c r="D39" s="91">
        <f t="shared" si="6"/>
        <v>549.5</v>
      </c>
      <c r="E39" s="99">
        <f t="shared" si="10"/>
        <v>1799.5</v>
      </c>
      <c r="F39" s="158">
        <f t="shared" si="8"/>
        <v>1612</v>
      </c>
      <c r="G39" s="159"/>
      <c r="J39" s="2"/>
      <c r="L39" s="102"/>
      <c r="M39" s="94"/>
      <c r="N39" s="94"/>
      <c r="O39" s="94"/>
      <c r="P39" s="94"/>
      <c r="Q39" s="94"/>
      <c r="R39" s="94"/>
      <c r="S39" s="101"/>
      <c r="T39" s="101"/>
      <c r="U39" s="101"/>
      <c r="V39" s="101"/>
      <c r="W39" s="101"/>
      <c r="X39" s="94"/>
    </row>
    <row r="40" spans="1:24" ht="12.75" customHeight="1" thickBot="1">
      <c r="A40" s="133" t="s">
        <v>58</v>
      </c>
      <c r="B40" s="91">
        <f>SUMIF(C4:C12,"МЛ",I4:I12)</f>
        <v>0</v>
      </c>
      <c r="C40" s="134">
        <f>SUMIF(C16:C18,"МЛ",H16:H18)</f>
        <v>1700</v>
      </c>
      <c r="D40" s="91">
        <f t="shared" si="6"/>
        <v>300</v>
      </c>
      <c r="E40" s="99">
        <f t="shared" si="10"/>
        <v>2000</v>
      </c>
      <c r="F40" s="158">
        <f>B40*0.85+C40+D40</f>
        <v>2000</v>
      </c>
      <c r="G40" s="159"/>
      <c r="J40" s="2"/>
      <c r="L40" s="102"/>
      <c r="M40" s="94"/>
      <c r="N40" s="94"/>
      <c r="O40" s="94"/>
      <c r="P40" s="94"/>
      <c r="Q40" s="94"/>
      <c r="R40" s="94"/>
      <c r="S40" s="101"/>
      <c r="T40" s="101"/>
      <c r="U40" s="101"/>
      <c r="V40" s="101"/>
      <c r="W40" s="101"/>
      <c r="X40" s="94"/>
    </row>
    <row r="41" spans="1:24" ht="12.75" customHeight="1" thickBot="1">
      <c r="A41" s="133" t="s">
        <v>59</v>
      </c>
      <c r="B41" s="91">
        <f>SUMIF(C4:C12,"МХ",I4:I12)</f>
        <v>1570</v>
      </c>
      <c r="C41" s="134">
        <f>SUMIF(C16:C18,"МХ",H16:H18)</f>
        <v>0</v>
      </c>
      <c r="D41" s="91">
        <f t="shared" si="6"/>
        <v>653.5</v>
      </c>
      <c r="E41" s="99">
        <f t="shared" si="10"/>
        <v>2223.5</v>
      </c>
      <c r="F41" s="158">
        <f>B41*0.85+C41+D41</f>
        <v>1988</v>
      </c>
      <c r="G41" s="159"/>
      <c r="J41" s="2"/>
      <c r="L41" s="102"/>
      <c r="M41" s="94"/>
      <c r="N41" s="94"/>
      <c r="O41" s="94"/>
      <c r="P41" s="94"/>
      <c r="Q41" s="94"/>
      <c r="R41" s="94"/>
      <c r="S41" s="101"/>
      <c r="T41" s="101"/>
      <c r="U41" s="101"/>
      <c r="V41" s="101"/>
      <c r="W41" s="101"/>
      <c r="X41" s="94"/>
    </row>
    <row r="42" spans="1:24" ht="12.75" customHeight="1" thickBot="1">
      <c r="A42" s="133" t="s">
        <v>60</v>
      </c>
      <c r="B42" s="91">
        <f>SUMIF(C4:C12,"ScM",I4:I12)</f>
        <v>0</v>
      </c>
      <c r="C42" s="134">
        <f>SUMIF(C16:C18,"ScM",H16:H18)</f>
        <v>0</v>
      </c>
      <c r="D42" s="91">
        <f>T25*20+U25*30+V25*0.5+W25*20+X25*30+Y25*0.5-Z25*20-AA25*30-AB25*0.5</f>
        <v>839.5</v>
      </c>
      <c r="E42" s="99">
        <f>SUM(B42:D42)</f>
        <v>839.5</v>
      </c>
      <c r="F42" s="158">
        <f>B42*0.85+C42+D42</f>
        <v>839.5</v>
      </c>
      <c r="G42" s="159"/>
      <c r="J42" s="2"/>
      <c r="L42" s="102"/>
      <c r="M42" s="94"/>
      <c r="N42" s="94"/>
      <c r="O42" s="94"/>
      <c r="P42" s="94"/>
      <c r="Q42" s="94"/>
      <c r="R42" s="94"/>
      <c r="S42" s="101"/>
      <c r="T42" s="101"/>
      <c r="U42" s="101"/>
      <c r="V42" s="101"/>
      <c r="W42" s="101"/>
      <c r="X42" s="94"/>
    </row>
    <row r="43" spans="1:24" ht="12.75" customHeight="1" thickBot="1">
      <c r="A43" s="133" t="s">
        <v>61</v>
      </c>
      <c r="B43" s="91">
        <f>SUMIF(C4:C12,"HO",I4:I12)</f>
        <v>1210</v>
      </c>
      <c r="C43" s="134">
        <f>SUMIF(C16:C18,"HO",H16:H18)</f>
        <v>0</v>
      </c>
      <c r="D43" s="91">
        <f>T26*20+U26*30+V26*0.5+W26*20+X26*30+Y26*0.5-Z26*20-AA26*30-AB26*0.5</f>
        <v>0</v>
      </c>
      <c r="E43" s="99">
        <f>SUM(B43:D43)</f>
        <v>1210</v>
      </c>
      <c r="F43" s="158">
        <f>B43*0.85+C43+D43</f>
        <v>1028.5</v>
      </c>
      <c r="G43" s="159"/>
      <c r="J43" s="2"/>
      <c r="L43" s="102"/>
      <c r="M43" s="94"/>
      <c r="N43" s="94"/>
      <c r="O43" s="94"/>
      <c r="P43" s="94"/>
      <c r="Q43" s="94"/>
      <c r="R43" s="94"/>
      <c r="S43" s="101"/>
      <c r="T43" s="101"/>
      <c r="U43" s="101"/>
      <c r="V43" s="101"/>
      <c r="W43" s="101"/>
      <c r="X43" s="94"/>
    </row>
    <row r="44" spans="1:24" ht="12.75" customHeight="1" thickBot="1">
      <c r="A44" s="165" t="s">
        <v>29</v>
      </c>
      <c r="B44" s="166"/>
      <c r="C44" s="166"/>
      <c r="D44" s="166"/>
      <c r="E44" s="167"/>
      <c r="F44" s="168">
        <f>SUM(F22:G43)</f>
        <v>23136.525</v>
      </c>
      <c r="G44" s="169"/>
      <c r="H44" s="103"/>
      <c r="J44" s="2"/>
      <c r="L44" s="102"/>
      <c r="M44" s="94"/>
      <c r="N44" s="94"/>
      <c r="O44" s="94"/>
      <c r="P44" s="94"/>
      <c r="Q44" s="94"/>
      <c r="R44" s="94"/>
      <c r="S44" s="101"/>
      <c r="T44" s="101"/>
      <c r="U44" s="101"/>
      <c r="V44" s="101"/>
      <c r="W44" s="101"/>
      <c r="X44" s="94"/>
    </row>
    <row r="45" spans="1:24" ht="12.75" customHeight="1">
      <c r="A45" s="170" t="s">
        <v>30</v>
      </c>
      <c r="B45" s="171"/>
      <c r="C45" s="171"/>
      <c r="D45" s="171"/>
      <c r="E45" s="172"/>
      <c r="F45" s="176">
        <f>SUM(I4:I12,H16:H18)*0.85/21*30.5</f>
        <v>18032.07202380952</v>
      </c>
      <c r="G45" s="177"/>
      <c r="H45" s="103"/>
      <c r="J45" s="102"/>
      <c r="L45" s="102"/>
      <c r="M45" s="94"/>
      <c r="N45" s="94"/>
      <c r="O45" s="94"/>
      <c r="P45" s="94"/>
      <c r="Q45" s="94"/>
      <c r="R45" s="94"/>
      <c r="S45" s="101"/>
      <c r="T45" s="101"/>
      <c r="U45" s="101"/>
      <c r="V45" s="101"/>
      <c r="W45" s="101"/>
      <c r="X45" s="94"/>
    </row>
    <row r="46" spans="1:24" ht="12.75" customHeight="1" thickBot="1">
      <c r="A46" s="173"/>
      <c r="B46" s="174"/>
      <c r="C46" s="174"/>
      <c r="D46" s="174"/>
      <c r="E46" s="175"/>
      <c r="F46" s="178"/>
      <c r="G46" s="179"/>
      <c r="H46" s="103"/>
      <c r="J46" s="102"/>
      <c r="K46" s="102"/>
      <c r="L46" s="104"/>
      <c r="M46" s="94"/>
      <c r="N46" s="94"/>
      <c r="O46" s="94"/>
      <c r="P46" s="94"/>
      <c r="Q46" s="94"/>
      <c r="R46" s="94"/>
      <c r="S46" s="101"/>
      <c r="T46" s="101"/>
      <c r="U46" s="101"/>
      <c r="V46" s="101"/>
      <c r="W46" s="101"/>
      <c r="X46" s="94"/>
    </row>
    <row r="47" spans="11:24" ht="12.75" customHeight="1">
      <c r="K47" s="104"/>
      <c r="L47" s="105"/>
      <c r="M47" s="94"/>
      <c r="N47" s="94"/>
      <c r="O47" s="94"/>
      <c r="P47" s="94"/>
      <c r="Q47" s="94"/>
      <c r="R47" s="94"/>
      <c r="S47" s="101"/>
      <c r="T47" s="101"/>
      <c r="U47" s="101"/>
      <c r="V47" s="101"/>
      <c r="W47" s="101"/>
      <c r="X47" s="94"/>
    </row>
    <row r="48" spans="11:24" ht="12.75" customHeight="1">
      <c r="K48" s="106"/>
      <c r="L48" s="104"/>
      <c r="M48" s="94"/>
      <c r="N48" s="94"/>
      <c r="O48" s="94"/>
      <c r="P48" s="94"/>
      <c r="Q48" s="94"/>
      <c r="R48" s="94"/>
      <c r="S48" s="101"/>
      <c r="T48" s="101"/>
      <c r="U48" s="101"/>
      <c r="V48" s="101"/>
      <c r="W48" s="101"/>
      <c r="X48" s="94"/>
    </row>
    <row r="49" spans="11:25" ht="12.75" customHeight="1">
      <c r="K49" s="2"/>
      <c r="L49" s="107"/>
      <c r="M49" s="81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1:24" ht="12.75" customHeight="1">
      <c r="K50" s="107"/>
      <c r="L50" s="104"/>
      <c r="N50" s="94"/>
      <c r="O50" s="94"/>
      <c r="P50" s="94"/>
      <c r="S50" s="94"/>
      <c r="T50" s="94"/>
      <c r="U50" s="94"/>
      <c r="V50" s="94"/>
      <c r="W50" s="94"/>
      <c r="X50" s="94"/>
    </row>
    <row r="51" spans="11:24" ht="12.75" customHeight="1">
      <c r="K51" s="2"/>
      <c r="L51" s="2"/>
      <c r="N51" s="94"/>
      <c r="O51" s="94"/>
      <c r="P51" s="94"/>
      <c r="S51" s="94"/>
      <c r="T51" s="94"/>
      <c r="U51" s="94"/>
      <c r="V51" s="94"/>
      <c r="W51" s="94"/>
      <c r="X51" s="94"/>
    </row>
    <row r="52" spans="11:24" ht="12.75" customHeight="1">
      <c r="K52" s="2"/>
      <c r="L52" s="107"/>
      <c r="N52" s="94"/>
      <c r="O52" s="94"/>
      <c r="P52" s="94"/>
      <c r="S52" s="94"/>
      <c r="T52" s="94"/>
      <c r="U52" s="94"/>
      <c r="V52" s="94"/>
      <c r="W52" s="94"/>
      <c r="X52" s="94"/>
    </row>
    <row r="53" spans="10:27" ht="12.75" customHeight="1">
      <c r="J53" s="2"/>
      <c r="K53" s="107"/>
      <c r="L53" s="2"/>
      <c r="M53" s="94"/>
      <c r="N53" s="94"/>
      <c r="O53" s="94"/>
      <c r="P53" s="94"/>
      <c r="S53" s="94"/>
      <c r="T53" s="94"/>
      <c r="U53" s="94"/>
      <c r="V53" s="108"/>
      <c r="W53" s="108"/>
      <c r="X53" s="108"/>
      <c r="Y53" s="108"/>
      <c r="Z53" s="108"/>
      <c r="AA53" s="108"/>
    </row>
    <row r="54" spans="10:27" ht="12.75" customHeight="1">
      <c r="J54" s="2"/>
      <c r="K54" s="2"/>
      <c r="M54" s="94"/>
      <c r="N54" s="94"/>
      <c r="O54" s="94"/>
      <c r="P54" s="94"/>
      <c r="S54" s="94"/>
      <c r="T54" s="94"/>
      <c r="U54" s="94"/>
      <c r="V54" s="108"/>
      <c r="W54" s="108"/>
      <c r="X54" s="108"/>
      <c r="Y54" s="108"/>
      <c r="Z54" s="108"/>
      <c r="AA54" s="108"/>
    </row>
    <row r="55" spans="10:24" ht="12.75" customHeight="1">
      <c r="J55" s="2"/>
      <c r="M55" s="94"/>
      <c r="N55" s="94"/>
      <c r="O55" s="94"/>
      <c r="P55" s="94"/>
      <c r="T55" s="94"/>
      <c r="U55" s="94"/>
      <c r="V55" s="94"/>
      <c r="W55" s="94" t="s">
        <v>28</v>
      </c>
      <c r="X55" s="94"/>
    </row>
    <row r="56" spans="10:24" ht="12.75" customHeight="1">
      <c r="J56" s="2"/>
      <c r="M56" s="102"/>
      <c r="N56" s="102"/>
      <c r="O56" s="102"/>
      <c r="P56" s="2"/>
      <c r="Q56" s="2"/>
      <c r="R56" s="2"/>
      <c r="S56" s="2"/>
      <c r="T56" s="109"/>
      <c r="U56" s="109"/>
      <c r="V56" s="110"/>
      <c r="W56" s="94"/>
      <c r="X56" s="94"/>
    </row>
    <row r="57" spans="13:24" ht="12.75" customHeight="1">
      <c r="M57" s="102"/>
      <c r="N57" s="102"/>
      <c r="O57" s="102"/>
      <c r="P57" s="2"/>
      <c r="Q57" s="2"/>
      <c r="R57" s="2"/>
      <c r="S57" s="2"/>
      <c r="T57" s="109"/>
      <c r="U57" s="109"/>
      <c r="V57" s="110"/>
      <c r="W57" s="94"/>
      <c r="X57" s="94"/>
    </row>
    <row r="58" spans="13:24" ht="12.75" customHeight="1">
      <c r="M58" s="102"/>
      <c r="N58" s="102"/>
      <c r="O58" s="102"/>
      <c r="P58" s="2"/>
      <c r="Q58" s="2"/>
      <c r="R58" s="2"/>
      <c r="S58" s="2"/>
      <c r="T58" s="109"/>
      <c r="U58" s="109"/>
      <c r="V58" s="110"/>
      <c r="W58" s="94"/>
      <c r="X58" s="94"/>
    </row>
    <row r="59" spans="13:24" ht="12.75" customHeight="1">
      <c r="M59" s="102"/>
      <c r="N59" s="102"/>
      <c r="O59" s="102"/>
      <c r="P59" s="2"/>
      <c r="Q59" s="2"/>
      <c r="R59" s="2"/>
      <c r="S59" s="2"/>
      <c r="T59" s="109"/>
      <c r="U59" s="109"/>
      <c r="V59" s="110"/>
      <c r="W59" s="94"/>
      <c r="X59" s="94"/>
    </row>
    <row r="60" spans="13:24" ht="12.75" customHeight="1">
      <c r="M60" s="102"/>
      <c r="N60" s="102"/>
      <c r="O60" s="102"/>
      <c r="P60" s="2"/>
      <c r="Q60" s="2"/>
      <c r="R60" s="2"/>
      <c r="S60" s="2"/>
      <c r="T60" s="109"/>
      <c r="U60" s="109"/>
      <c r="V60" s="110"/>
      <c r="W60" s="94"/>
      <c r="X60" s="94"/>
    </row>
    <row r="61" spans="13:24" ht="12.75" customHeight="1">
      <c r="M61" s="102"/>
      <c r="N61" s="102"/>
      <c r="O61" s="102"/>
      <c r="P61" s="2"/>
      <c r="Q61" s="2"/>
      <c r="R61" s="2"/>
      <c r="S61" s="2"/>
      <c r="T61" s="109"/>
      <c r="U61" s="109"/>
      <c r="V61" s="110"/>
      <c r="W61" s="94"/>
      <c r="X61" s="94"/>
    </row>
    <row r="62" spans="13:24" ht="12.75" customHeight="1">
      <c r="M62" s="102"/>
      <c r="N62" s="102"/>
      <c r="O62" s="102"/>
      <c r="P62" s="2"/>
      <c r="Q62" s="2"/>
      <c r="R62" s="2"/>
      <c r="S62" s="2"/>
      <c r="T62" s="109"/>
      <c r="U62" s="109"/>
      <c r="V62" s="110"/>
      <c r="W62" s="94"/>
      <c r="X62" s="94"/>
    </row>
    <row r="63" spans="13:24" ht="12.75" customHeight="1">
      <c r="M63" s="104"/>
      <c r="N63" s="104"/>
      <c r="O63" s="104"/>
      <c r="P63" s="104"/>
      <c r="Q63" s="2"/>
      <c r="R63" s="2"/>
      <c r="S63" s="81"/>
      <c r="T63" s="81"/>
      <c r="U63" s="94"/>
      <c r="V63" s="111"/>
      <c r="W63" s="111"/>
      <c r="X63" s="94"/>
    </row>
    <row r="64" spans="13:24" ht="12.75" customHeight="1">
      <c r="M64" s="105"/>
      <c r="N64" s="105"/>
      <c r="O64" s="105"/>
      <c r="P64" s="105"/>
      <c r="Q64" s="105"/>
      <c r="R64" s="105"/>
      <c r="S64" s="81"/>
      <c r="T64" s="112"/>
      <c r="U64" s="108"/>
      <c r="V64" s="111"/>
      <c r="W64" s="113"/>
      <c r="X64" s="94"/>
    </row>
    <row r="65" spans="13:24" ht="12.75" customHeight="1">
      <c r="M65" s="104"/>
      <c r="N65" s="104"/>
      <c r="O65" s="104"/>
      <c r="P65" s="104"/>
      <c r="Q65" s="104"/>
      <c r="R65" s="104"/>
      <c r="S65" s="81"/>
      <c r="T65" s="114"/>
      <c r="U65" s="108"/>
      <c r="V65" s="111"/>
      <c r="W65" s="113"/>
      <c r="X65" s="94"/>
    </row>
    <row r="66" spans="13:30" ht="12.75" customHeight="1">
      <c r="M66" s="107"/>
      <c r="N66" s="107"/>
      <c r="O66" s="107"/>
      <c r="P66" s="104"/>
      <c r="Q66" s="104"/>
      <c r="R66" s="104"/>
      <c r="S66" s="81"/>
      <c r="T66" s="114"/>
      <c r="U66" s="115"/>
      <c r="V66" s="94"/>
      <c r="W66" s="94"/>
      <c r="X66" s="94"/>
      <c r="AD66" s="94"/>
    </row>
    <row r="67" spans="10:30" ht="12.75" customHeight="1">
      <c r="J67" s="119"/>
      <c r="M67" s="104"/>
      <c r="N67" s="104"/>
      <c r="O67" s="104"/>
      <c r="P67" s="104"/>
      <c r="Q67" s="104"/>
      <c r="R67" s="104"/>
      <c r="S67" s="81"/>
      <c r="T67" s="116"/>
      <c r="U67" s="116"/>
      <c r="V67" s="117"/>
      <c r="W67" s="118"/>
      <c r="X67" s="94"/>
      <c r="AD67" s="94"/>
    </row>
    <row r="68" spans="10:30" ht="12.75" customHeight="1">
      <c r="J68" s="119"/>
      <c r="M68" s="2"/>
      <c r="N68" s="2"/>
      <c r="O68" s="2"/>
      <c r="P68" s="2"/>
      <c r="Q68" s="81"/>
      <c r="R68" s="81"/>
      <c r="S68" s="94"/>
      <c r="T68" s="116"/>
      <c r="U68" s="116"/>
      <c r="V68" s="117"/>
      <c r="W68" s="118"/>
      <c r="X68" s="94"/>
      <c r="Y68" s="1" t="s">
        <v>11</v>
      </c>
      <c r="AD68" s="94"/>
    </row>
    <row r="69" spans="10:30" ht="12.75" customHeight="1">
      <c r="J69" s="119"/>
      <c r="M69" s="107"/>
      <c r="N69" s="107"/>
      <c r="O69" s="107"/>
      <c r="P69" s="2"/>
      <c r="Q69" s="2"/>
      <c r="R69" s="2"/>
      <c r="S69" s="94"/>
      <c r="T69" s="116"/>
      <c r="U69" s="116"/>
      <c r="V69" s="94"/>
      <c r="W69" s="94"/>
      <c r="X69" s="94"/>
      <c r="AD69" s="94"/>
    </row>
    <row r="70" spans="10:30" ht="12.75" customHeight="1">
      <c r="J70" s="119"/>
      <c r="M70" s="2"/>
      <c r="N70" s="81"/>
      <c r="O70" s="2"/>
      <c r="P70" s="2"/>
      <c r="Q70" s="2"/>
      <c r="R70" s="2"/>
      <c r="S70" s="94"/>
      <c r="T70" s="116"/>
      <c r="U70" s="116"/>
      <c r="V70" s="94"/>
      <c r="W70" s="94"/>
      <c r="X70" s="94"/>
      <c r="AD70" s="94"/>
    </row>
    <row r="71" spans="10:30" ht="12.75" customHeight="1">
      <c r="J71" s="120"/>
      <c r="S71" s="94"/>
      <c r="T71" s="116"/>
      <c r="U71" s="116"/>
      <c r="V71" s="94"/>
      <c r="W71" s="94"/>
      <c r="X71" s="94"/>
      <c r="AD71" s="94"/>
    </row>
    <row r="72" spans="19:30" ht="12" customHeight="1">
      <c r="S72" s="94"/>
      <c r="T72" s="108"/>
      <c r="U72" s="108"/>
      <c r="V72" s="94"/>
      <c r="AD72" s="94"/>
    </row>
    <row r="73" spans="19:30" ht="12.75" customHeight="1">
      <c r="S73" s="94"/>
      <c r="T73" s="108"/>
      <c r="U73" s="108"/>
      <c r="V73" s="94"/>
      <c r="AD73" s="94"/>
    </row>
    <row r="74" spans="19:30" ht="12.75" customHeight="1">
      <c r="S74" s="94"/>
      <c r="T74" s="94"/>
      <c r="U74" s="94"/>
      <c r="V74" s="94"/>
      <c r="AD74" s="94"/>
    </row>
    <row r="75" spans="19:31" ht="12.75" customHeight="1">
      <c r="S75" s="94"/>
      <c r="T75" s="94"/>
      <c r="U75" s="94"/>
      <c r="V75" s="94"/>
      <c r="AD75" s="94"/>
      <c r="AE75" s="94"/>
    </row>
    <row r="76" spans="19:31" ht="12.75" customHeight="1">
      <c r="S76" s="94"/>
      <c r="T76" s="94"/>
      <c r="U76" s="94" t="s">
        <v>33</v>
      </c>
      <c r="V76" s="94"/>
      <c r="AD76" s="94"/>
      <c r="AE76" s="94"/>
    </row>
    <row r="77" spans="19:31" ht="12.75" customHeight="1">
      <c r="S77" s="94"/>
      <c r="T77" s="94"/>
      <c r="U77" s="94"/>
      <c r="V77" s="94"/>
      <c r="AD77" s="94"/>
      <c r="AE77" s="94"/>
    </row>
    <row r="78" spans="20:22" ht="12.75" customHeight="1">
      <c r="T78" s="94"/>
      <c r="U78" s="94"/>
      <c r="V78" s="94"/>
    </row>
    <row r="79" spans="20:22" ht="12.75" customHeight="1">
      <c r="T79" s="94"/>
      <c r="U79" s="94"/>
      <c r="V79" s="94"/>
    </row>
    <row r="80" spans="20:21" ht="12.75" customHeight="1">
      <c r="T80" s="94"/>
      <c r="U80" s="94"/>
    </row>
    <row r="81" spans="20:21" ht="12.75" customHeight="1">
      <c r="T81" s="94"/>
      <c r="U81" s="94"/>
    </row>
    <row r="82" ht="12.75" customHeight="1"/>
    <row r="83" ht="12.75" customHeight="1"/>
    <row r="84" ht="12.75" customHeight="1">
      <c r="S84" s="121"/>
    </row>
    <row r="85" spans="19:23" ht="12.75" customHeight="1">
      <c r="S85" s="121"/>
      <c r="V85" s="94"/>
      <c r="W85" s="94"/>
    </row>
    <row r="86" ht="12.75" customHeight="1">
      <c r="S86" s="121"/>
    </row>
    <row r="87" ht="12.75" customHeight="1">
      <c r="S87" s="121"/>
    </row>
    <row r="88" ht="12.75" customHeight="1">
      <c r="S88" s="121"/>
    </row>
    <row r="89" ht="12.75" customHeight="1"/>
    <row r="90" spans="20:21" ht="12.75" customHeight="1">
      <c r="T90" s="94"/>
      <c r="U90" s="94"/>
    </row>
    <row r="91" ht="14.25" customHeight="1"/>
    <row r="92" ht="12.75" customHeight="1">
      <c r="J92" s="122"/>
    </row>
    <row r="93" ht="12.75" customHeight="1"/>
    <row r="94" ht="12" customHeight="1"/>
    <row r="95" ht="12.75" customHeight="1"/>
  </sheetData>
  <sheetProtection/>
  <mergeCells count="43">
    <mergeCell ref="F43:G43"/>
    <mergeCell ref="A44:E44"/>
    <mergeCell ref="F44:G44"/>
    <mergeCell ref="A45:E46"/>
    <mergeCell ref="F45:G46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T28:V28"/>
    <mergeCell ref="W28:Y28"/>
    <mergeCell ref="Z28:AB28"/>
    <mergeCell ref="AC28:AE28"/>
    <mergeCell ref="F29:G29"/>
    <mergeCell ref="F30:G30"/>
    <mergeCell ref="F25:G25"/>
    <mergeCell ref="F26:G26"/>
    <mergeCell ref="F27:G27"/>
    <mergeCell ref="F28:G28"/>
    <mergeCell ref="N28:P28"/>
    <mergeCell ref="Q28:S28"/>
    <mergeCell ref="A14:H14"/>
    <mergeCell ref="A20:G20"/>
    <mergeCell ref="F21:G21"/>
    <mergeCell ref="F22:G22"/>
    <mergeCell ref="F23:G23"/>
    <mergeCell ref="F24:G24"/>
    <mergeCell ref="A2:J2"/>
    <mergeCell ref="M2:AE2"/>
    <mergeCell ref="N3:P3"/>
    <mergeCell ref="Q3:S3"/>
    <mergeCell ref="T3:V3"/>
    <mergeCell ref="W3:Y3"/>
    <mergeCell ref="Z3:AB3"/>
    <mergeCell ref="AC3:AE3"/>
  </mergeCells>
  <dataValidations count="1">
    <dataValidation type="list" allowBlank="1" showInputMessage="1" showErrorMessage="1" sqref="C16:C18 C4:C12">
      <formula1>$K$4:$K$57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9" r:id="rId1"/>
  <rowBreaks count="1" manualBreakCount="1">
    <brk id="76" max="255" man="1"/>
  </rowBreaks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Василиостровская Пивоварня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tehnologvp</dc:creator>
  <cp:keywords/>
  <dc:description/>
  <cp:lastModifiedBy>Prokudin</cp:lastModifiedBy>
  <cp:lastPrinted>2011-12-06T16:27:25Z</cp:lastPrinted>
  <dcterms:created xsi:type="dcterms:W3CDTF">2011-01-02T05:37:32Z</dcterms:created>
  <dcterms:modified xsi:type="dcterms:W3CDTF">2018-11-14T07:28:38Z</dcterms:modified>
  <cp:category/>
  <cp:version/>
  <cp:contentType/>
  <cp:contentStatus/>
</cp:coreProperties>
</file>