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ЭтаКнига" hidePivotFieldList="1"/>
  <bookViews>
    <workbookView xWindow="0" yWindow="0" windowWidth="22260" windowHeight="12645"/>
  </bookViews>
  <sheets>
    <sheet name="Лист2" sheetId="2" r:id="rId1"/>
    <sheet name="Лист1" sheetId="1" r:id="rId2"/>
  </sheets>
  <calcPr calcId="145621"/>
  <pivotCaches>
    <pivotCache cacheId="6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26" i="1" l="1"/>
  <c r="V226" i="1"/>
  <c r="S226" i="1"/>
  <c r="R226" i="1"/>
  <c r="AK224" i="1"/>
  <c r="AJ224" i="1"/>
  <c r="AM223" i="1"/>
  <c r="AG223" i="1"/>
  <c r="AF223" i="1"/>
  <c r="D223" i="1"/>
  <c r="AM222" i="1"/>
  <c r="AG222" i="1"/>
  <c r="AF222" i="1"/>
  <c r="AC222" i="1"/>
  <c r="AB222" i="1"/>
  <c r="AE220" i="1"/>
  <c r="AD220" i="1"/>
  <c r="AA220" i="1"/>
  <c r="AG219" i="1"/>
  <c r="AF219" i="1"/>
  <c r="AC219" i="1"/>
  <c r="AB219" i="1"/>
  <c r="AG218" i="1"/>
  <c r="AF218" i="1"/>
  <c r="AE218" i="1"/>
  <c r="AD218" i="1"/>
  <c r="AC218" i="1"/>
  <c r="AB218" i="1"/>
  <c r="T217" i="1"/>
  <c r="S217" i="1"/>
  <c r="N217" i="1"/>
  <c r="AG216" i="1"/>
  <c r="AE216" i="1"/>
  <c r="AG215" i="1"/>
  <c r="AF215" i="1"/>
  <c r="AG214" i="1"/>
  <c r="AC214" i="1"/>
  <c r="AL213" i="1"/>
  <c r="AL212" i="1"/>
  <c r="AL211" i="1"/>
  <c r="AL210" i="1"/>
  <c r="O210" i="1"/>
  <c r="D210" i="1"/>
  <c r="T209" i="1"/>
  <c r="S209" i="1"/>
  <c r="O209" i="1"/>
  <c r="D209" i="1"/>
  <c r="O208" i="1"/>
  <c r="O207" i="1"/>
  <c r="O211" i="1" s="1"/>
  <c r="T198" i="1" s="1"/>
  <c r="D207" i="1"/>
  <c r="BB205" i="1"/>
  <c r="BA205" i="1"/>
  <c r="AX205" i="1"/>
  <c r="AZ205" i="1" s="1"/>
  <c r="AK205" i="1"/>
  <c r="D205" i="1"/>
  <c r="X203" i="1"/>
  <c r="W203" i="1"/>
  <c r="D203" i="1"/>
  <c r="AK202" i="1"/>
  <c r="BB202" i="1" s="1"/>
  <c r="AB201" i="1"/>
  <c r="O201" i="1"/>
  <c r="N201" i="1"/>
  <c r="X222" i="1" s="1"/>
  <c r="X224" i="1" s="1"/>
  <c r="M201" i="1"/>
  <c r="AF214" i="1" s="1"/>
  <c r="L201" i="1"/>
  <c r="AE224" i="1" s="1"/>
  <c r="K201" i="1"/>
  <c r="J201" i="1"/>
  <c r="AC223" i="1" s="1"/>
  <c r="I201" i="1"/>
  <c r="AK223" i="1" s="1"/>
  <c r="H201" i="1"/>
  <c r="AK211" i="1" s="1"/>
  <c r="BE211" i="1" s="1"/>
  <c r="D201" i="1"/>
  <c r="BA200" i="1"/>
  <c r="AN200" i="1"/>
  <c r="AK200" i="1"/>
  <c r="BE200" i="1" s="1"/>
  <c r="AB200" i="1"/>
  <c r="D200" i="1"/>
  <c r="AW199" i="1"/>
  <c r="AT199" i="1"/>
  <c r="AK199" i="1"/>
  <c r="BB199" i="1" s="1"/>
  <c r="AB199" i="1"/>
  <c r="F199" i="1"/>
  <c r="D199" i="1"/>
  <c r="AW198" i="1"/>
  <c r="AW218" i="1" s="1"/>
  <c r="D222" i="1" s="1"/>
  <c r="AT198" i="1"/>
  <c r="AK198" i="1"/>
  <c r="BB198" i="1" s="1"/>
  <c r="AB198" i="1"/>
  <c r="X198" i="1"/>
  <c r="W198" i="1"/>
  <c r="S198" i="1"/>
  <c r="F198" i="1"/>
  <c r="BE197" i="1"/>
  <c r="AK197" i="1"/>
  <c r="AB197" i="1"/>
  <c r="D197" i="1"/>
  <c r="BE196" i="1"/>
  <c r="AK196" i="1"/>
  <c r="AB196" i="1"/>
  <c r="D196" i="1"/>
  <c r="BE195" i="1"/>
  <c r="AK195" i="1"/>
  <c r="AB195" i="1"/>
  <c r="F195" i="1"/>
  <c r="D195" i="1"/>
  <c r="AB194" i="1"/>
  <c r="F194" i="1"/>
  <c r="D192" i="1"/>
  <c r="W180" i="1"/>
  <c r="U180" i="1"/>
  <c r="S180" i="1"/>
  <c r="AK178" i="1"/>
  <c r="AK177" i="1"/>
  <c r="D177" i="1"/>
  <c r="AK176" i="1"/>
  <c r="AK179" i="1" s="1"/>
  <c r="D167" i="1" s="1"/>
  <c r="AE174" i="1"/>
  <c r="AD174" i="1"/>
  <c r="AA174" i="1"/>
  <c r="AG173" i="1"/>
  <c r="AF173" i="1"/>
  <c r="AC173" i="1"/>
  <c r="AB173" i="1"/>
  <c r="AG172" i="1"/>
  <c r="AF172" i="1"/>
  <c r="AE172" i="1"/>
  <c r="AD172" i="1"/>
  <c r="AC172" i="1"/>
  <c r="AB172" i="1"/>
  <c r="N171" i="1"/>
  <c r="AD170" i="1"/>
  <c r="AF168" i="1"/>
  <c r="AD168" i="1"/>
  <c r="AB168" i="1"/>
  <c r="AL167" i="1"/>
  <c r="AL166" i="1"/>
  <c r="AL165" i="1"/>
  <c r="AL164" i="1"/>
  <c r="O164" i="1"/>
  <c r="O163" i="1"/>
  <c r="O162" i="1"/>
  <c r="O161" i="1"/>
  <c r="O165" i="1" s="1"/>
  <c r="S152" i="1" s="1"/>
  <c r="AK160" i="1"/>
  <c r="AX159" i="1"/>
  <c r="BB158" i="1"/>
  <c r="AK158" i="1"/>
  <c r="T157" i="1"/>
  <c r="AB155" i="1"/>
  <c r="O155" i="1"/>
  <c r="D162" i="1" s="1"/>
  <c r="N155" i="1"/>
  <c r="M155" i="1"/>
  <c r="W176" i="1" s="1"/>
  <c r="W178" i="1" s="1"/>
  <c r="L155" i="1"/>
  <c r="K155" i="1"/>
  <c r="AD178" i="1" s="1"/>
  <c r="J155" i="1"/>
  <c r="AK154" i="1" s="1"/>
  <c r="I155" i="1"/>
  <c r="AM178" i="1" s="1"/>
  <c r="H155" i="1"/>
  <c r="AB154" i="1"/>
  <c r="F154" i="1"/>
  <c r="AW153" i="1"/>
  <c r="AK153" i="1"/>
  <c r="AB153" i="1"/>
  <c r="F153" i="1"/>
  <c r="D153" i="1"/>
  <c r="AK152" i="1"/>
  <c r="BB152" i="1" s="1"/>
  <c r="AB152" i="1"/>
  <c r="X152" i="1"/>
  <c r="W152" i="1"/>
  <c r="V152" i="1"/>
  <c r="U152" i="1"/>
  <c r="F152" i="1"/>
  <c r="D152" i="1"/>
  <c r="BB151" i="1"/>
  <c r="AK151" i="1"/>
  <c r="BA151" i="1" s="1"/>
  <c r="AB151" i="1"/>
  <c r="AN151" i="1" s="1"/>
  <c r="BB150" i="1"/>
  <c r="AK150" i="1"/>
  <c r="BA150" i="1" s="1"/>
  <c r="AB150" i="1"/>
  <c r="F150" i="1"/>
  <c r="D150" i="1"/>
  <c r="BB149" i="1"/>
  <c r="AK149" i="1"/>
  <c r="BA149" i="1" s="1"/>
  <c r="AB149" i="1"/>
  <c r="D149" i="1"/>
  <c r="AB148" i="1"/>
  <c r="F148" i="1"/>
  <c r="D146" i="1"/>
  <c r="R152" i="1" l="1"/>
  <c r="T152" i="1"/>
  <c r="AW152" i="1"/>
  <c r="BB211" i="1"/>
  <c r="AM225" i="1"/>
  <c r="BB195" i="1"/>
  <c r="BA195" i="1"/>
  <c r="AN195" i="1"/>
  <c r="BB196" i="1"/>
  <c r="AN196" i="1"/>
  <c r="BA196" i="1"/>
  <c r="BB197" i="1"/>
  <c r="AN197" i="1"/>
  <c r="BA197" i="1"/>
  <c r="U226" i="1"/>
  <c r="AD216" i="1"/>
  <c r="AD224" i="1"/>
  <c r="AD222" i="1"/>
  <c r="U198" i="1"/>
  <c r="F196" i="1"/>
  <c r="AD214" i="1"/>
  <c r="D198" i="1"/>
  <c r="U222" i="1"/>
  <c r="U224" i="1" s="1"/>
  <c r="F200" i="1"/>
  <c r="D208" i="1"/>
  <c r="AT202" i="1"/>
  <c r="R203" i="1"/>
  <c r="N209" i="1"/>
  <c r="N210" i="1"/>
  <c r="R222" i="1"/>
  <c r="R224" i="1" s="1"/>
  <c r="V222" i="1"/>
  <c r="V224" i="1" s="1"/>
  <c r="AA224" i="1"/>
  <c r="F193" i="1"/>
  <c r="F197" i="1"/>
  <c r="BA198" i="1"/>
  <c r="BA199" i="1"/>
  <c r="BB200" i="1"/>
  <c r="AK201" i="1"/>
  <c r="BA202" i="1"/>
  <c r="S203" i="1"/>
  <c r="D204" i="1"/>
  <c r="D206" i="1" s="1"/>
  <c r="W209" i="1"/>
  <c r="BA211" i="1"/>
  <c r="AK212" i="1"/>
  <c r="BB212" i="1" s="1"/>
  <c r="AE214" i="1"/>
  <c r="AB215" i="1"/>
  <c r="AA216" i="1"/>
  <c r="D218" i="1" s="1"/>
  <c r="W217" i="1"/>
  <c r="S222" i="1"/>
  <c r="S224" i="1" s="1"/>
  <c r="W222" i="1"/>
  <c r="W224" i="1" s="1"/>
  <c r="AJ222" i="1"/>
  <c r="AB223" i="1"/>
  <c r="AJ223" i="1"/>
  <c r="AM224" i="1"/>
  <c r="T226" i="1"/>
  <c r="X226" i="1"/>
  <c r="N207" i="1"/>
  <c r="N211" i="1" s="1"/>
  <c r="N208" i="1"/>
  <c r="AN211" i="1"/>
  <c r="AK213" i="1"/>
  <c r="D215" i="1"/>
  <c r="R198" i="1"/>
  <c r="V198" i="1"/>
  <c r="D202" i="1"/>
  <c r="T203" i="1"/>
  <c r="AK204" i="1"/>
  <c r="AK206" i="1"/>
  <c r="AK207" i="1"/>
  <c r="AK208" i="1"/>
  <c r="R209" i="1"/>
  <c r="X209" i="1"/>
  <c r="AK210" i="1"/>
  <c r="BE210" i="1" s="1"/>
  <c r="AB214" i="1"/>
  <c r="AC215" i="1"/>
  <c r="X217" i="1"/>
  <c r="T222" i="1"/>
  <c r="T224" i="1" s="1"/>
  <c r="AE222" i="1"/>
  <c r="AK222" i="1"/>
  <c r="AK225" i="1" s="1"/>
  <c r="D213" i="1" s="1"/>
  <c r="BB154" i="1"/>
  <c r="AN154" i="1"/>
  <c r="AN149" i="1"/>
  <c r="BA153" i="1"/>
  <c r="AT153" i="1"/>
  <c r="AA170" i="1"/>
  <c r="AK166" i="1"/>
  <c r="BE166" i="1" s="1"/>
  <c r="F147" i="1"/>
  <c r="AA178" i="1"/>
  <c r="R176" i="1"/>
  <c r="R178" i="1" s="1"/>
  <c r="AK167" i="1"/>
  <c r="N164" i="1"/>
  <c r="N163" i="1"/>
  <c r="N162" i="1"/>
  <c r="N161" i="1"/>
  <c r="R157" i="1"/>
  <c r="R180" i="1"/>
  <c r="D163" i="1"/>
  <c r="D157" i="1"/>
  <c r="D155" i="1"/>
  <c r="AK165" i="1"/>
  <c r="AK164" i="1"/>
  <c r="R163" i="1"/>
  <c r="AE168" i="1"/>
  <c r="F151" i="1"/>
  <c r="V176" i="1"/>
  <c r="V178" i="1" s="1"/>
  <c r="V180" i="1"/>
  <c r="AE170" i="1"/>
  <c r="AE178" i="1"/>
  <c r="AE176" i="1"/>
  <c r="BA159" i="1"/>
  <c r="AN150" i="1"/>
  <c r="BA152" i="1"/>
  <c r="AT152" i="1"/>
  <c r="BB153" i="1"/>
  <c r="BA154" i="1"/>
  <c r="AK155" i="1"/>
  <c r="F149" i="1"/>
  <c r="AC176" i="1"/>
  <c r="T171" i="1"/>
  <c r="T163" i="1"/>
  <c r="AC168" i="1"/>
  <c r="D173" i="1" s="1"/>
  <c r="AC177" i="1"/>
  <c r="T176" i="1"/>
  <c r="T178" i="1" s="1"/>
  <c r="D169" i="1" s="1"/>
  <c r="AC169" i="1"/>
  <c r="AK162" i="1"/>
  <c r="AK161" i="1"/>
  <c r="X180" i="1"/>
  <c r="AG177" i="1"/>
  <c r="AG176" i="1"/>
  <c r="AG170" i="1"/>
  <c r="AG169" i="1"/>
  <c r="AK159" i="1"/>
  <c r="X157" i="1"/>
  <c r="AG168" i="1"/>
  <c r="D154" i="1"/>
  <c r="X176" i="1"/>
  <c r="X178" i="1" s="1"/>
  <c r="X171" i="1"/>
  <c r="X163" i="1"/>
  <c r="BA158" i="1"/>
  <c r="AT158" i="1"/>
  <c r="AQ158" i="1"/>
  <c r="AQ172" i="1" s="1"/>
  <c r="D179" i="1" s="1"/>
  <c r="BA160" i="1"/>
  <c r="AT160" i="1"/>
  <c r="AN160" i="1"/>
  <c r="BB160" i="1"/>
  <c r="BB166" i="1"/>
  <c r="AW172" i="1"/>
  <c r="D176" i="1" s="1"/>
  <c r="BE154" i="1"/>
  <c r="D156" i="1"/>
  <c r="BE149" i="1"/>
  <c r="BE150" i="1"/>
  <c r="BE151" i="1"/>
  <c r="AK156" i="1"/>
  <c r="W157" i="1"/>
  <c r="D159" i="1"/>
  <c r="D161" i="1"/>
  <c r="S163" i="1"/>
  <c r="D164" i="1"/>
  <c r="AF169" i="1"/>
  <c r="S171" i="1"/>
  <c r="U176" i="1"/>
  <c r="U178" i="1" s="1"/>
  <c r="AB176" i="1"/>
  <c r="AF176" i="1"/>
  <c r="AM176" i="1"/>
  <c r="AM179" i="1" s="1"/>
  <c r="AF177" i="1"/>
  <c r="AM177" i="1"/>
  <c r="AJ178" i="1"/>
  <c r="BA166" i="1"/>
  <c r="S157" i="1"/>
  <c r="D158" i="1"/>
  <c r="D160" i="1" s="1"/>
  <c r="W163" i="1"/>
  <c r="AB169" i="1"/>
  <c r="D171" i="1" s="1"/>
  <c r="W171" i="1"/>
  <c r="S176" i="1"/>
  <c r="S178" i="1" s="1"/>
  <c r="AD176" i="1"/>
  <c r="AJ176" i="1"/>
  <c r="AJ179" i="1" s="1"/>
  <c r="D166" i="1" s="1"/>
  <c r="AB177" i="1"/>
  <c r="AJ177" i="1"/>
  <c r="D100" i="1"/>
  <c r="D131" i="1"/>
  <c r="AE128" i="1"/>
  <c r="AD128" i="1"/>
  <c r="AA128" i="1"/>
  <c r="AG127" i="1"/>
  <c r="AF127" i="1"/>
  <c r="AC127" i="1"/>
  <c r="AB127" i="1"/>
  <c r="AG126" i="1"/>
  <c r="AF126" i="1"/>
  <c r="AE126" i="1"/>
  <c r="AD126" i="1"/>
  <c r="AC126" i="1"/>
  <c r="AB126" i="1"/>
  <c r="N125" i="1"/>
  <c r="AL121" i="1"/>
  <c r="AL120" i="1"/>
  <c r="AL119" i="1"/>
  <c r="AL118" i="1"/>
  <c r="O118" i="1"/>
  <c r="O117" i="1"/>
  <c r="O116" i="1"/>
  <c r="O115" i="1"/>
  <c r="AX113" i="1"/>
  <c r="AB109" i="1"/>
  <c r="O109" i="1"/>
  <c r="D116" i="1" s="1"/>
  <c r="N109" i="1"/>
  <c r="X130" i="1" s="1"/>
  <c r="M109" i="1"/>
  <c r="AF122" i="1" s="1"/>
  <c r="L109" i="1"/>
  <c r="K109" i="1"/>
  <c r="U134" i="1" s="1"/>
  <c r="J109" i="1"/>
  <c r="AC131" i="1" s="1"/>
  <c r="I109" i="1"/>
  <c r="AK131" i="1" s="1"/>
  <c r="H109" i="1"/>
  <c r="AB108" i="1"/>
  <c r="AK107" i="1"/>
  <c r="BB107" i="1" s="1"/>
  <c r="AB107" i="1"/>
  <c r="D107" i="1"/>
  <c r="AB106" i="1"/>
  <c r="W106" i="1"/>
  <c r="F106" i="1"/>
  <c r="AB105" i="1"/>
  <c r="AB104" i="1"/>
  <c r="AB103" i="1"/>
  <c r="AB102" i="1"/>
  <c r="F101" i="1"/>
  <c r="D85" i="1"/>
  <c r="AK103" i="1" l="1"/>
  <c r="BB103" i="1" s="1"/>
  <c r="N165" i="1"/>
  <c r="D151" i="1" s="1"/>
  <c r="T180" i="1"/>
  <c r="BB210" i="1"/>
  <c r="BB204" i="1"/>
  <c r="BA204" i="1"/>
  <c r="AT204" i="1"/>
  <c r="AT218" i="1" s="1"/>
  <c r="D221" i="1" s="1"/>
  <c r="AQ204" i="1"/>
  <c r="AQ218" i="1" s="1"/>
  <c r="D225" i="1" s="1"/>
  <c r="AN210" i="1"/>
  <c r="AJ225" i="1"/>
  <c r="D212" i="1" s="1"/>
  <c r="BB207" i="1"/>
  <c r="BA207" i="1"/>
  <c r="AT207" i="1"/>
  <c r="AN207" i="1"/>
  <c r="BA213" i="1"/>
  <c r="BE213" i="1"/>
  <c r="BB213" i="1"/>
  <c r="AN201" i="1"/>
  <c r="BE201" i="1"/>
  <c r="BE217" i="1" s="1"/>
  <c r="D227" i="1" s="1"/>
  <c r="D228" i="1" s="1"/>
  <c r="BB201" i="1"/>
  <c r="BB218" i="1" s="1"/>
  <c r="D231" i="1" s="1"/>
  <c r="BA201" i="1"/>
  <c r="BA218" i="1" s="1"/>
  <c r="D226" i="1" s="1"/>
  <c r="BB206" i="1"/>
  <c r="BA206" i="1"/>
  <c r="AT206" i="1"/>
  <c r="AN206" i="1"/>
  <c r="AN218" i="1" s="1"/>
  <c r="D224" i="1" s="1"/>
  <c r="BE212" i="1"/>
  <c r="BE218" i="1" s="1"/>
  <c r="D229" i="1" s="1"/>
  <c r="D230" i="1" s="1"/>
  <c r="BA212" i="1"/>
  <c r="AN212" i="1"/>
  <c r="AN213" i="1"/>
  <c r="D219" i="1"/>
  <c r="BB208" i="1"/>
  <c r="AN208" i="1"/>
  <c r="BA208" i="1"/>
  <c r="AT208" i="1"/>
  <c r="D217" i="1"/>
  <c r="BA210" i="1"/>
  <c r="BE167" i="1"/>
  <c r="BB167" i="1"/>
  <c r="AN167" i="1"/>
  <c r="BB159" i="1"/>
  <c r="AZ159" i="1"/>
  <c r="BA164" i="1"/>
  <c r="AN164" i="1"/>
  <c r="BE164" i="1"/>
  <c r="BB164" i="1"/>
  <c r="AN166" i="1"/>
  <c r="BA165" i="1"/>
  <c r="AN165" i="1"/>
  <c r="BE165" i="1"/>
  <c r="BB165" i="1"/>
  <c r="D172" i="1"/>
  <c r="BA156" i="1"/>
  <c r="AT156" i="1"/>
  <c r="AT172" i="1" s="1"/>
  <c r="D175" i="1" s="1"/>
  <c r="BB156" i="1"/>
  <c r="BA162" i="1"/>
  <c r="AT162" i="1"/>
  <c r="AN162" i="1"/>
  <c r="BB162" i="1"/>
  <c r="BE155" i="1"/>
  <c r="BA155" i="1"/>
  <c r="AN155" i="1"/>
  <c r="BB155" i="1"/>
  <c r="BB172" i="1" s="1"/>
  <c r="BE171" i="1"/>
  <c r="D181" i="1" s="1"/>
  <c r="D182" i="1" s="1"/>
  <c r="BA167" i="1"/>
  <c r="BA161" i="1"/>
  <c r="AT161" i="1"/>
  <c r="AN161" i="1"/>
  <c r="BB161" i="1"/>
  <c r="AK119" i="1"/>
  <c r="BE119" i="1" s="1"/>
  <c r="D103" i="1"/>
  <c r="D111" i="1"/>
  <c r="AE132" i="1"/>
  <c r="F105" i="1"/>
  <c r="V106" i="1"/>
  <c r="AF131" i="1"/>
  <c r="X106" i="1"/>
  <c r="AT107" i="1"/>
  <c r="W111" i="1"/>
  <c r="D117" i="1"/>
  <c r="AG122" i="1"/>
  <c r="R134" i="1"/>
  <c r="X132" i="1"/>
  <c r="F107" i="1"/>
  <c r="D108" i="1"/>
  <c r="AF123" i="1"/>
  <c r="AF130" i="1"/>
  <c r="V134" i="1"/>
  <c r="AK108" i="1"/>
  <c r="AC122" i="1"/>
  <c r="F103" i="1"/>
  <c r="D105" i="1"/>
  <c r="AK106" i="1"/>
  <c r="AK110" i="1"/>
  <c r="BB110" i="1" s="1"/>
  <c r="O119" i="1"/>
  <c r="R106" i="1" s="1"/>
  <c r="AE124" i="1"/>
  <c r="F102" i="1"/>
  <c r="AK104" i="1"/>
  <c r="BB104" i="1" s="1"/>
  <c r="AK105" i="1"/>
  <c r="BB105" i="1" s="1"/>
  <c r="AM131" i="1"/>
  <c r="S117" i="1"/>
  <c r="D115" i="1" s="1"/>
  <c r="S125" i="1"/>
  <c r="D118" i="1" s="1"/>
  <c r="AM130" i="1"/>
  <c r="AJ132" i="1"/>
  <c r="AB130" i="1"/>
  <c r="T106" i="1"/>
  <c r="BB119" i="1"/>
  <c r="AN103" i="1"/>
  <c r="AN104" i="1"/>
  <c r="D106" i="1"/>
  <c r="AW106" i="1"/>
  <c r="AW126" i="1" s="1"/>
  <c r="D130" i="1" s="1"/>
  <c r="AW107" i="1"/>
  <c r="F108" i="1"/>
  <c r="BA108" i="1"/>
  <c r="AT110" i="1"/>
  <c r="R111" i="1"/>
  <c r="X111" i="1"/>
  <c r="AK113" i="1"/>
  <c r="BA113" i="1" s="1"/>
  <c r="BB113" i="1"/>
  <c r="N115" i="1"/>
  <c r="N116" i="1"/>
  <c r="N117" i="1"/>
  <c r="T117" i="1"/>
  <c r="N118" i="1"/>
  <c r="AN119" i="1"/>
  <c r="AK121" i="1"/>
  <c r="AN121" i="1" s="1"/>
  <c r="AD122" i="1"/>
  <c r="AG123" i="1"/>
  <c r="AG124" i="1"/>
  <c r="T125" i="1"/>
  <c r="R130" i="1"/>
  <c r="R132" i="1" s="1"/>
  <c r="V130" i="1"/>
  <c r="V132" i="1" s="1"/>
  <c r="AC130" i="1"/>
  <c r="AG130" i="1"/>
  <c r="AG131" i="1"/>
  <c r="AA132" i="1"/>
  <c r="AK132" i="1"/>
  <c r="W134" i="1"/>
  <c r="BA103" i="1"/>
  <c r="F104" i="1"/>
  <c r="U106" i="1"/>
  <c r="BA106" i="1"/>
  <c r="BA107" i="1"/>
  <c r="BB108" i="1"/>
  <c r="AK109" i="1"/>
  <c r="S111" i="1"/>
  <c r="D113" i="1" s="1"/>
  <c r="D112" i="1"/>
  <c r="W117" i="1"/>
  <c r="BA119" i="1"/>
  <c r="AK120" i="1"/>
  <c r="AE122" i="1"/>
  <c r="AB123" i="1"/>
  <c r="AA124" i="1"/>
  <c r="W125" i="1"/>
  <c r="S130" i="1"/>
  <c r="S132" i="1" s="1"/>
  <c r="D123" i="1" s="1"/>
  <c r="W130" i="1"/>
  <c r="W132" i="1" s="1"/>
  <c r="AD130" i="1"/>
  <c r="AJ130" i="1"/>
  <c r="AB131" i="1"/>
  <c r="AJ131" i="1"/>
  <c r="AD132" i="1"/>
  <c r="AM132" i="1"/>
  <c r="T134" i="1"/>
  <c r="X134" i="1"/>
  <c r="BE103" i="1"/>
  <c r="U130" i="1"/>
  <c r="U132" i="1" s="1"/>
  <c r="D110" i="1"/>
  <c r="T111" i="1"/>
  <c r="AK112" i="1"/>
  <c r="AK114" i="1"/>
  <c r="AK115" i="1"/>
  <c r="AK116" i="1"/>
  <c r="R117" i="1"/>
  <c r="X117" i="1"/>
  <c r="AK118" i="1"/>
  <c r="BE118" i="1" s="1"/>
  <c r="AB122" i="1"/>
  <c r="AC123" i="1"/>
  <c r="AD124" i="1"/>
  <c r="X125" i="1"/>
  <c r="T130" i="1"/>
  <c r="T132" i="1" s="1"/>
  <c r="AE130" i="1"/>
  <c r="AK130" i="1"/>
  <c r="AB63" i="1"/>
  <c r="AB62" i="1"/>
  <c r="AB61" i="1"/>
  <c r="AB60" i="1"/>
  <c r="AB59" i="1"/>
  <c r="AL75" i="1"/>
  <c r="AL74" i="1"/>
  <c r="AL73" i="1"/>
  <c r="AL72" i="1"/>
  <c r="D114" i="1" l="1"/>
  <c r="D185" i="1"/>
  <c r="AN172" i="1"/>
  <c r="D178" i="1" s="1"/>
  <c r="BA105" i="1"/>
  <c r="BA172" i="1"/>
  <c r="D180" i="1" s="1"/>
  <c r="BE172" i="1"/>
  <c r="D183" i="1" s="1"/>
  <c r="D184" i="1" s="1"/>
  <c r="S106" i="1"/>
  <c r="D109" i="1" s="1"/>
  <c r="BE105" i="1"/>
  <c r="D125" i="1"/>
  <c r="BA118" i="1"/>
  <c r="BA110" i="1"/>
  <c r="AN118" i="1"/>
  <c r="AN105" i="1"/>
  <c r="AK133" i="1"/>
  <c r="D121" i="1" s="1"/>
  <c r="BB121" i="1"/>
  <c r="D127" i="1"/>
  <c r="AZ113" i="1"/>
  <c r="BB106" i="1"/>
  <c r="AT106" i="1"/>
  <c r="BE108" i="1"/>
  <c r="AN108" i="1"/>
  <c r="BE104" i="1"/>
  <c r="AM133" i="1"/>
  <c r="BA104" i="1"/>
  <c r="S134" i="1"/>
  <c r="AJ133" i="1"/>
  <c r="D120" i="1" s="1"/>
  <c r="BE120" i="1"/>
  <c r="AN120" i="1"/>
  <c r="BA120" i="1"/>
  <c r="BB120" i="1"/>
  <c r="BB114" i="1"/>
  <c r="BA114" i="1"/>
  <c r="AT114" i="1"/>
  <c r="AN114" i="1"/>
  <c r="BB116" i="1"/>
  <c r="AN116" i="1"/>
  <c r="BA116" i="1"/>
  <c r="AT116" i="1"/>
  <c r="BB115" i="1"/>
  <c r="AN115" i="1"/>
  <c r="BA115" i="1"/>
  <c r="AT115" i="1"/>
  <c r="D126" i="1"/>
  <c r="BB112" i="1"/>
  <c r="AQ112" i="1"/>
  <c r="AQ126" i="1" s="1"/>
  <c r="D133" i="1" s="1"/>
  <c r="BA112" i="1"/>
  <c r="AT112" i="1"/>
  <c r="AN109" i="1"/>
  <c r="BA109" i="1"/>
  <c r="BE109" i="1"/>
  <c r="BB109" i="1"/>
  <c r="BE121" i="1"/>
  <c r="BA121" i="1"/>
  <c r="N119" i="1"/>
  <c r="D104" i="1" s="1"/>
  <c r="BB118" i="1"/>
  <c r="AX67" i="1"/>
  <c r="BB126" i="1" l="1"/>
  <c r="D139" i="1" s="1"/>
  <c r="AT126" i="1"/>
  <c r="D129" i="1" s="1"/>
  <c r="BE125" i="1"/>
  <c r="D135" i="1" s="1"/>
  <c r="AN126" i="1"/>
  <c r="D132" i="1" s="1"/>
  <c r="BE126" i="1"/>
  <c r="D137" i="1" s="1"/>
  <c r="D138" i="1" s="1"/>
  <c r="BA126" i="1"/>
  <c r="D134" i="1" s="1"/>
  <c r="AK61" i="1"/>
  <c r="BB61" i="1" s="1"/>
  <c r="D136" i="1" l="1"/>
  <c r="BA61" i="1"/>
  <c r="AW61" i="1"/>
  <c r="AT61" i="1"/>
  <c r="AD82" i="1"/>
  <c r="AE82" i="1"/>
  <c r="AA82" i="1"/>
  <c r="AC81" i="1"/>
  <c r="AF81" i="1"/>
  <c r="AG81" i="1"/>
  <c r="AB81" i="1"/>
  <c r="AC80" i="1"/>
  <c r="AD80" i="1"/>
  <c r="AE80" i="1"/>
  <c r="AF80" i="1"/>
  <c r="AG80" i="1"/>
  <c r="AB80" i="1"/>
  <c r="AB58" i="1"/>
  <c r="AB57" i="1" l="1"/>
  <c r="AB56" i="1"/>
  <c r="H63" i="1" l="1"/>
  <c r="F55" i="1" l="1"/>
  <c r="D64" i="1"/>
  <c r="AK74" i="1"/>
  <c r="AK75" i="1"/>
  <c r="AK73" i="1"/>
  <c r="AK72" i="1"/>
  <c r="AA86" i="1"/>
  <c r="AA78" i="1"/>
  <c r="R84" i="1"/>
  <c r="R86" i="1" s="1"/>
  <c r="R71" i="1"/>
  <c r="D71" i="1" s="1"/>
  <c r="R65" i="1"/>
  <c r="D65" i="1" s="1"/>
  <c r="N79" i="1"/>
  <c r="BE74" i="1" l="1"/>
  <c r="BB74" i="1"/>
  <c r="BE72" i="1"/>
  <c r="BB72" i="1"/>
  <c r="BE73" i="1"/>
  <c r="BB73" i="1"/>
  <c r="BB75" i="1"/>
  <c r="BE75" i="1"/>
  <c r="BA72" i="1"/>
  <c r="AN72" i="1"/>
  <c r="AN74" i="1"/>
  <c r="BA74" i="1"/>
  <c r="BA73" i="1"/>
  <c r="AN73" i="1"/>
  <c r="AN75" i="1"/>
  <c r="BA75" i="1"/>
  <c r="R88" i="1"/>
  <c r="O70" i="1"/>
  <c r="O71" i="1"/>
  <c r="O72" i="1"/>
  <c r="O69" i="1"/>
  <c r="O63" i="1"/>
  <c r="F62" i="1" l="1"/>
  <c r="D70" i="1"/>
  <c r="BE80" i="1"/>
  <c r="D91" i="1" s="1"/>
  <c r="D92" i="1" s="1"/>
  <c r="O73" i="1"/>
  <c r="R60" i="1" s="1"/>
  <c r="N63" i="1"/>
  <c r="M63" i="1"/>
  <c r="L63" i="1"/>
  <c r="F59" i="1" s="1"/>
  <c r="K63" i="1"/>
  <c r="J63" i="1"/>
  <c r="I63" i="1"/>
  <c r="D59" i="1" l="1"/>
  <c r="F57" i="1"/>
  <c r="D62" i="1"/>
  <c r="F61" i="1"/>
  <c r="U88" i="1"/>
  <c r="F58" i="1"/>
  <c r="D60" i="1"/>
  <c r="AM85" i="1"/>
  <c r="F56" i="1"/>
  <c r="D66" i="1"/>
  <c r="D68" i="1" s="1"/>
  <c r="D69" i="1"/>
  <c r="F60" i="1"/>
  <c r="D61" i="1"/>
  <c r="AM86" i="1"/>
  <c r="AM84" i="1"/>
  <c r="AK84" i="1"/>
  <c r="AJ86" i="1"/>
  <c r="AJ84" i="1"/>
  <c r="AK86" i="1"/>
  <c r="AJ85" i="1"/>
  <c r="AK85" i="1"/>
  <c r="AK58" i="1"/>
  <c r="AK57" i="1"/>
  <c r="AK59" i="1"/>
  <c r="AK64" i="1"/>
  <c r="BB64" i="1" s="1"/>
  <c r="AK66" i="1"/>
  <c r="BB66" i="1" s="1"/>
  <c r="AK68" i="1"/>
  <c r="BB68" i="1" s="1"/>
  <c r="AK69" i="1"/>
  <c r="BB69" i="1" s="1"/>
  <c r="AK62" i="1"/>
  <c r="AK70" i="1"/>
  <c r="BB70" i="1" s="1"/>
  <c r="AK60" i="1"/>
  <c r="BB60" i="1" s="1"/>
  <c r="AK63" i="1"/>
  <c r="AK67" i="1"/>
  <c r="BB67" i="1" s="1"/>
  <c r="X88" i="1"/>
  <c r="AG84" i="1"/>
  <c r="AG76" i="1"/>
  <c r="AG78" i="1"/>
  <c r="AG85" i="1"/>
  <c r="AG77" i="1"/>
  <c r="W88" i="1"/>
  <c r="AF84" i="1"/>
  <c r="AF85" i="1"/>
  <c r="T88" i="1"/>
  <c r="AC85" i="1"/>
  <c r="AC76" i="1"/>
  <c r="AC84" i="1"/>
  <c r="AC77" i="1"/>
  <c r="AE86" i="1"/>
  <c r="V88" i="1"/>
  <c r="AE78" i="1"/>
  <c r="AE84" i="1"/>
  <c r="AE76" i="1"/>
  <c r="AD86" i="1"/>
  <c r="AD84" i="1"/>
  <c r="AB84" i="1"/>
  <c r="AB85" i="1"/>
  <c r="AB77" i="1"/>
  <c r="AB76" i="1"/>
  <c r="AF76" i="1"/>
  <c r="AF77" i="1"/>
  <c r="AD78" i="1"/>
  <c r="AD76" i="1"/>
  <c r="S84" i="1"/>
  <c r="S86" i="1" s="1"/>
  <c r="D77" i="1" s="1"/>
  <c r="W84" i="1"/>
  <c r="W86" i="1" s="1"/>
  <c r="X84" i="1"/>
  <c r="X86" i="1" s="1"/>
  <c r="U84" i="1"/>
  <c r="U86" i="1" s="1"/>
  <c r="V60" i="1"/>
  <c r="V84" i="1"/>
  <c r="V86" i="1" s="1"/>
  <c r="T79" i="1"/>
  <c r="T84" i="1"/>
  <c r="T86" i="1" s="1"/>
  <c r="X71" i="1"/>
  <c r="X79" i="1"/>
  <c r="W71" i="1"/>
  <c r="W79" i="1"/>
  <c r="S71" i="1"/>
  <c r="S79" i="1"/>
  <c r="D72" i="1" s="1"/>
  <c r="T71" i="1"/>
  <c r="T60" i="1"/>
  <c r="S65" i="1"/>
  <c r="D67" i="1" s="1"/>
  <c r="W65" i="1"/>
  <c r="W60" i="1"/>
  <c r="T65" i="1"/>
  <c r="X65" i="1"/>
  <c r="X60" i="1"/>
  <c r="U60" i="1"/>
  <c r="S60" i="1"/>
  <c r="D63" i="1" s="1"/>
  <c r="N72" i="1"/>
  <c r="N71" i="1"/>
  <c r="N70" i="1"/>
  <c r="N69" i="1"/>
  <c r="AM87" i="1" l="1"/>
  <c r="D80" i="1"/>
  <c r="D81" i="1"/>
  <c r="D79" i="1"/>
  <c r="AK87" i="1"/>
  <c r="D75" i="1" s="1"/>
  <c r="BE63" i="1"/>
  <c r="BB63" i="1"/>
  <c r="BB59" i="1"/>
  <c r="BE59" i="1"/>
  <c r="BB57" i="1"/>
  <c r="BE57" i="1"/>
  <c r="BE58" i="1"/>
  <c r="BB58" i="1"/>
  <c r="AJ87" i="1"/>
  <c r="D74" i="1" s="1"/>
  <c r="BB62" i="1"/>
  <c r="BE62" i="1"/>
  <c r="AT70" i="1"/>
  <c r="AN70" i="1"/>
  <c r="BA70" i="1"/>
  <c r="BA66" i="1"/>
  <c r="AT66" i="1"/>
  <c r="AQ66" i="1"/>
  <c r="AQ80" i="1" s="1"/>
  <c r="D87" i="1" s="1"/>
  <c r="BA67" i="1"/>
  <c r="AZ67" i="1"/>
  <c r="BA62" i="1"/>
  <c r="AN62" i="1"/>
  <c r="BA64" i="1"/>
  <c r="AT64" i="1"/>
  <c r="BA63" i="1"/>
  <c r="AN63" i="1"/>
  <c r="AT69" i="1"/>
  <c r="AN69" i="1"/>
  <c r="BA69" i="1"/>
  <c r="AW60" i="1"/>
  <c r="AW80" i="1" s="1"/>
  <c r="D84" i="1" s="1"/>
  <c r="AT60" i="1"/>
  <c r="BA60" i="1"/>
  <c r="AN68" i="1"/>
  <c r="AT68" i="1"/>
  <c r="BA68" i="1"/>
  <c r="AN59" i="1"/>
  <c r="BA59" i="1"/>
  <c r="BA58" i="1"/>
  <c r="AN58" i="1"/>
  <c r="S88" i="1"/>
  <c r="BA57" i="1"/>
  <c r="AN57" i="1"/>
  <c r="N73" i="1"/>
  <c r="D58" i="1" l="1"/>
  <c r="D57" i="1"/>
  <c r="BB80" i="1"/>
  <c r="D93" i="1" s="1"/>
  <c r="BE79" i="1"/>
  <c r="D89" i="1" s="1"/>
  <c r="D90" i="1" s="1"/>
  <c r="AT80" i="1"/>
  <c r="D83" i="1" s="1"/>
  <c r="AN80" i="1"/>
  <c r="D86" i="1" s="1"/>
  <c r="BA80" i="1"/>
  <c r="D88" i="1" s="1"/>
</calcChain>
</file>

<file path=xl/sharedStrings.xml><?xml version="1.0" encoding="utf-8"?>
<sst xmlns="http://schemas.openxmlformats.org/spreadsheetml/2006/main" count="1260" uniqueCount="149">
  <si>
    <t>Площадь стен из ПГП</t>
  </si>
  <si>
    <t>Площадь стен из СКЦ 90</t>
  </si>
  <si>
    <t>Площадь стен из СКЦ190</t>
  </si>
  <si>
    <t>Площадь стен из Пол-ый 120</t>
  </si>
  <si>
    <t>Площадь стен из Пол-ый 65</t>
  </si>
  <si>
    <t>Выравнивающий слой из раствора</t>
  </si>
  <si>
    <t>Зачиканка в.шва мин.плитой</t>
  </si>
  <si>
    <t>Закладные гор.</t>
  </si>
  <si>
    <t>Перемычки</t>
  </si>
  <si>
    <t>Сетка тканная</t>
  </si>
  <si>
    <t xml:space="preserve">Пробка </t>
  </si>
  <si>
    <t>Сетка базальтовая</t>
  </si>
  <si>
    <t>Объём стен из Блок 200 Блок 300</t>
  </si>
  <si>
    <t>арматура 8 диам.</t>
  </si>
  <si>
    <t>арматура 6 диам.</t>
  </si>
  <si>
    <t>Окраска мет. Перем+Закладные</t>
  </si>
  <si>
    <t>Закладные верт. (28 см)</t>
  </si>
  <si>
    <t>м2</t>
  </si>
  <si>
    <t>м3</t>
  </si>
  <si>
    <t>тн</t>
  </si>
  <si>
    <t>Длина шва г. ПГП</t>
  </si>
  <si>
    <t>м</t>
  </si>
  <si>
    <t>Исходные данные</t>
  </si>
  <si>
    <t>ПГП</t>
  </si>
  <si>
    <t xml:space="preserve">СКЦ 90 </t>
  </si>
  <si>
    <t>СКЦ 190</t>
  </si>
  <si>
    <t>Блок 200</t>
  </si>
  <si>
    <t>Блок 300</t>
  </si>
  <si>
    <t xml:space="preserve">Полн. 120 </t>
  </si>
  <si>
    <t>Полн. 65</t>
  </si>
  <si>
    <t>Проём</t>
  </si>
  <si>
    <t>колич</t>
  </si>
  <si>
    <t>сумма</t>
  </si>
  <si>
    <t>S проёма</t>
  </si>
  <si>
    <t>L проёма</t>
  </si>
  <si>
    <t>Отверстие полнот 65</t>
  </si>
  <si>
    <t>S</t>
  </si>
  <si>
    <t>Мин.плита мажквартирная 3 см</t>
  </si>
  <si>
    <t>Мин.плита</t>
  </si>
  <si>
    <t>Высота стен</t>
  </si>
  <si>
    <t>Премычки</t>
  </si>
  <si>
    <t>Название</t>
  </si>
  <si>
    <t>Колич</t>
  </si>
  <si>
    <t>Пк1</t>
  </si>
  <si>
    <t>Пк2</t>
  </si>
  <si>
    <t>Пк3</t>
  </si>
  <si>
    <t>Пк4</t>
  </si>
  <si>
    <t>Пк5</t>
  </si>
  <si>
    <t>Пк6</t>
  </si>
  <si>
    <t>Пк7</t>
  </si>
  <si>
    <t>По-1</t>
  </si>
  <si>
    <t>По-2</t>
  </si>
  <si>
    <t>По-3</t>
  </si>
  <si>
    <t>По-4</t>
  </si>
  <si>
    <t>Пп 1</t>
  </si>
  <si>
    <t>Пп2</t>
  </si>
  <si>
    <t>Пп 3</t>
  </si>
  <si>
    <t>Пп 4</t>
  </si>
  <si>
    <t>Длинна стен        (м)</t>
  </si>
  <si>
    <t>Высота выравнивающего слоя раствора для ,      ед. изм.( метры)</t>
  </si>
  <si>
    <t xml:space="preserve">ПГП </t>
  </si>
  <si>
    <t>СУММА</t>
  </si>
  <si>
    <t>Зачиканка г.шва ПГП мин.плитой</t>
  </si>
  <si>
    <t>ширина</t>
  </si>
  <si>
    <t xml:space="preserve"> мин.плиты  г. шва (высота шва 2 см)</t>
  </si>
  <si>
    <t>объём</t>
  </si>
  <si>
    <t>Длина шва г. СКЦ,полнотелый</t>
  </si>
  <si>
    <t>Зачиканка г.шва мин.плитой,скц полн.</t>
  </si>
  <si>
    <t>Замазка г.шва раствором, скц полнот</t>
  </si>
  <si>
    <t>Материал</t>
  </si>
  <si>
    <t>Сопряжение перегородок с прочной констр.</t>
  </si>
  <si>
    <t>полоса 50х50х4 мм</t>
  </si>
  <si>
    <t>(Закладные детали)</t>
  </si>
  <si>
    <t>(мин.пл. или пробка)</t>
  </si>
  <si>
    <t>Сопряжение перегородок с монолит</t>
  </si>
  <si>
    <t>Ширина мин.плиты  в. шва (толщина шва 2 см)(ПГП пробка)</t>
  </si>
  <si>
    <t>Объём мин. Плиты в.шва (ПГП площадь пробки)</t>
  </si>
  <si>
    <t>Сетка базальтовая (ширина,м)</t>
  </si>
  <si>
    <t>Количество рядов сетки в конструкции, шт</t>
  </si>
  <si>
    <t>Площадь сетки в констрикци, м2</t>
  </si>
  <si>
    <t>Участок №</t>
  </si>
  <si>
    <t>материал</t>
  </si>
  <si>
    <t>тн.на 1 м</t>
  </si>
  <si>
    <t>Арм. 6 А240</t>
  </si>
  <si>
    <t>Арм. 8 А500</t>
  </si>
  <si>
    <t xml:space="preserve">Закладные вертикальные </t>
  </si>
  <si>
    <t>длинна</t>
  </si>
  <si>
    <t>количест</t>
  </si>
  <si>
    <t>Расход закладных, тн</t>
  </si>
  <si>
    <t>полоса 50х4</t>
  </si>
  <si>
    <t>Пластина</t>
  </si>
  <si>
    <t>арм.6 а240</t>
  </si>
  <si>
    <t>длинна,м</t>
  </si>
  <si>
    <t>количество,шт</t>
  </si>
  <si>
    <t>Масса,тн</t>
  </si>
  <si>
    <t xml:space="preserve">арматура 8 диам. </t>
  </si>
  <si>
    <t>арм. 8 а500</t>
  </si>
  <si>
    <t>Окраска металла на 1 примыкание, м2</t>
  </si>
  <si>
    <t>Закладные горизонтальные</t>
  </si>
  <si>
    <t>окраска, м2</t>
  </si>
  <si>
    <t>Окрасска металла закладные общая. М2</t>
  </si>
  <si>
    <t>арм 8</t>
  </si>
  <si>
    <t>Арматура 16</t>
  </si>
  <si>
    <t>Уголок 100х7</t>
  </si>
  <si>
    <t>сетка</t>
  </si>
  <si>
    <t>шт</t>
  </si>
  <si>
    <t>Пк10</t>
  </si>
  <si>
    <t>Уголок 75х5</t>
  </si>
  <si>
    <t>По-5</t>
  </si>
  <si>
    <t>Рассчёт</t>
  </si>
  <si>
    <t>Арматура 12</t>
  </si>
  <si>
    <t>Уголок 50х5</t>
  </si>
  <si>
    <t>Арм. 16 А500</t>
  </si>
  <si>
    <t>Арм. 12 А500</t>
  </si>
  <si>
    <t>Уголок75х5</t>
  </si>
  <si>
    <t>А/Ц лист</t>
  </si>
  <si>
    <t>окраска</t>
  </si>
  <si>
    <t>Площадь ошт.пов-ти перемычки СКЦ</t>
  </si>
  <si>
    <t>Объём раствора в перемычках СКЦ</t>
  </si>
  <si>
    <t>Площадь ошт.пов-ти перемычки ПГП</t>
  </si>
  <si>
    <t>Объём клея в перемычках ПГП</t>
  </si>
  <si>
    <t>Площадь оштукат.поверхн.</t>
  </si>
  <si>
    <t>площадь</t>
  </si>
  <si>
    <t>СКЦ</t>
  </si>
  <si>
    <t>Вент.шахты</t>
  </si>
  <si>
    <t>колич.</t>
  </si>
  <si>
    <t>длина</t>
  </si>
  <si>
    <t>Объём раствора  (ширина*высоту*длину)-ДЛИНА ПРОЁМОВ</t>
  </si>
  <si>
    <t>А/Ц</t>
  </si>
  <si>
    <t>Сумма</t>
  </si>
  <si>
    <t>дина</t>
  </si>
  <si>
    <t>ВШ</t>
  </si>
  <si>
    <t>В.Ш.</t>
  </si>
  <si>
    <t>Наименование</t>
  </si>
  <si>
    <t>коллич.</t>
  </si>
  <si>
    <t>ед.изм.</t>
  </si>
  <si>
    <t>№</t>
  </si>
  <si>
    <t>+</t>
  </si>
  <si>
    <t>№ участк</t>
  </si>
  <si>
    <t>Номера используемых участков</t>
  </si>
  <si>
    <t>Звено</t>
  </si>
  <si>
    <t>Месяц</t>
  </si>
  <si>
    <t>Здесь нужны номера участков которые я выбрал, конечно их
 можно набрать и вручную. Но если как-то можно 
автоматизировать этот процес покажите пожалуйста!</t>
  </si>
  <si>
    <t>В оранжевую клетку поставить "+" на против требуемого участка и получить значения в таблице находящейся на строках 7-44, буквы В-E. Сами данные от участков находятся начиная с 53 строки и ниже, их может быть от 150 до 200. Правее этих участков находятся поля для исходных данных , которые я беру с чертежей, а ещё правее рассчёт конструкции. Если это очень сложная задача, то подскажите как это дело обыграть. Но саму таблицу с участком переделывать на другой лад не хотелось бы потому что целую неделю набивал кучу простых формул, но с целоё кучей значений из проэкта.</t>
  </si>
  <si>
    <t>Добрый день. Подскажите мне пожалуйста, как мне решить мою проблему. Я работаю прорабом,
в конце каждого месяца необходимо получить данные с количеством использованного материала.
Я создал таблицу состоящую из 34 пунктов. И расчёт к этой таблице. Одна такая таблица содержит информацию о одной конструкции. 
Те материалы которые были затрачены на её изготовление.
Объект который я рассчитываю, жилой дом длинной 100 м. Поэтому стен там очень много. И к каждой стене будет сделана такая таблица.
В общем итоге количество таблиц может дойти до 150-200. Номер таблицы соответствует номеру моей конструкции(стене). 
Эти таблицы находятся в одном файле друг под другом. Все материалы в таблице одинаковые, только значения раз.
В начале файла создал аналогичную ОБЩУЮ таблицу с пустыми клетками и рядом создал таблицу  №участка(стена). Возможно ли сделать так чтобы  поставив в таблице с номерами участков допустим "+" , получить в общей таблице сумму значений необходимых мне участков(стен)?
И как сделать чтобы над таблицей были прописаны участки которые я выбрал, чтобы я мог доказать начальнику, что взял только требуемый объём.
Приложил файл, с пометками.</t>
  </si>
  <si>
    <t>участок</t>
  </si>
  <si>
    <t>Общий итог</t>
  </si>
  <si>
    <t>Сумма по полю коллич.</t>
  </si>
  <si>
    <t>(несколько элементов)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</si>
</sst>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Arial Black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 applyAlignment="1">
      <alignment horizontal="left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 applyAlignment="1">
      <alignment horizontal="left" vertic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left" vertical="center"/>
    </xf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/>
    <xf numFmtId="0" fontId="0" fillId="2" borderId="9" xfId="0" applyFill="1" applyBorder="1"/>
    <xf numFmtId="0" fontId="0" fillId="0" borderId="9" xfId="0" applyFill="1" applyBorder="1" applyAlignment="1">
      <alignment horizontal="center"/>
    </xf>
    <xf numFmtId="0" fontId="0" fillId="2" borderId="3" xfId="0" applyFill="1" applyBorder="1"/>
    <xf numFmtId="0" fontId="0" fillId="0" borderId="11" xfId="0" applyBorder="1"/>
    <xf numFmtId="0" fontId="0" fillId="0" borderId="12" xfId="0" applyBorder="1"/>
    <xf numFmtId="0" fontId="0" fillId="0" borderId="1" xfId="0" applyBorder="1"/>
    <xf numFmtId="0" fontId="0" fillId="2" borderId="12" xfId="0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2" fontId="0" fillId="0" borderId="16" xfId="0" applyNumberFormat="1" applyBorder="1"/>
    <xf numFmtId="2" fontId="0" fillId="0" borderId="9" xfId="0" applyNumberFormat="1" applyBorder="1"/>
    <xf numFmtId="164" fontId="0" fillId="0" borderId="9" xfId="0" applyNumberFormat="1" applyBorder="1"/>
    <xf numFmtId="2" fontId="0" fillId="0" borderId="12" xfId="0" applyNumberForma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2" borderId="23" xfId="0" applyFill="1" applyBorder="1"/>
    <xf numFmtId="2" fontId="0" fillId="0" borderId="23" xfId="0" applyNumberFormat="1" applyBorder="1"/>
    <xf numFmtId="0" fontId="0" fillId="0" borderId="29" xfId="0" applyFill="1" applyBorder="1"/>
    <xf numFmtId="0" fontId="0" fillId="2" borderId="15" xfId="0" applyFill="1" applyBorder="1"/>
    <xf numFmtId="0" fontId="0" fillId="2" borderId="32" xfId="0" applyFill="1" applyBorder="1"/>
    <xf numFmtId="0" fontId="0" fillId="0" borderId="33" xfId="0" applyBorder="1"/>
    <xf numFmtId="0" fontId="0" fillId="0" borderId="34" xfId="0" applyBorder="1"/>
    <xf numFmtId="0" fontId="1" fillId="0" borderId="6" xfId="0" applyFont="1" applyBorder="1" applyAlignment="1">
      <alignment horizontal="center" vertical="center"/>
    </xf>
    <xf numFmtId="0" fontId="1" fillId="0" borderId="1" xfId="0" applyFont="1" applyBorder="1"/>
    <xf numFmtId="0" fontId="0" fillId="0" borderId="23" xfId="0" applyFill="1" applyBorder="1"/>
    <xf numFmtId="0" fontId="1" fillId="0" borderId="25" xfId="0" applyFont="1" applyBorder="1" applyAlignment="1">
      <alignment horizontal="center" vertical="center"/>
    </xf>
    <xf numFmtId="1" fontId="0" fillId="0" borderId="12" xfId="0" applyNumberFormat="1" applyBorder="1"/>
    <xf numFmtId="1" fontId="0" fillId="0" borderId="20" xfId="0" applyNumberFormat="1" applyBorder="1"/>
    <xf numFmtId="1" fontId="0" fillId="0" borderId="21" xfId="0" applyNumberFormat="1" applyBorder="1"/>
    <xf numFmtId="0" fontId="1" fillId="2" borderId="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5" xfId="0" applyBorder="1"/>
    <xf numFmtId="0" fontId="0" fillId="0" borderId="36" xfId="0" applyBorder="1"/>
    <xf numFmtId="0" fontId="0" fillId="0" borderId="9" xfId="0" applyFill="1" applyBorder="1"/>
    <xf numFmtId="0" fontId="0" fillId="0" borderId="5" xfId="0" applyFill="1" applyBorder="1"/>
    <xf numFmtId="0" fontId="0" fillId="0" borderId="0" xfId="0" applyFill="1" applyBorder="1"/>
    <xf numFmtId="0" fontId="0" fillId="0" borderId="10" xfId="0" applyFill="1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7" xfId="0" applyBorder="1"/>
    <xf numFmtId="0" fontId="0" fillId="0" borderId="9" xfId="0" applyBorder="1" applyAlignment="1">
      <alignment horizontal="center"/>
    </xf>
    <xf numFmtId="0" fontId="0" fillId="0" borderId="48" xfId="0" applyBorder="1"/>
    <xf numFmtId="0" fontId="0" fillId="0" borderId="12" xfId="0" applyFill="1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0" fillId="0" borderId="38" xfId="0" applyBorder="1"/>
    <xf numFmtId="0" fontId="0" fillId="0" borderId="58" xfId="0" applyBorder="1"/>
    <xf numFmtId="0" fontId="0" fillId="2" borderId="59" xfId="0" applyFill="1" applyBorder="1"/>
    <xf numFmtId="0" fontId="0" fillId="0" borderId="0" xfId="0" applyAlignment="1">
      <alignment horizontal="center"/>
    </xf>
    <xf numFmtId="0" fontId="0" fillId="0" borderId="60" xfId="0" applyBorder="1"/>
    <xf numFmtId="0" fontId="0" fillId="0" borderId="19" xfId="0" applyFill="1" applyBorder="1"/>
    <xf numFmtId="164" fontId="0" fillId="0" borderId="0" xfId="0" applyNumberFormat="1" applyBorder="1"/>
    <xf numFmtId="0" fontId="0" fillId="0" borderId="0" xfId="0" applyFill="1" applyBorder="1" applyAlignment="1">
      <alignment horizontal="center"/>
    </xf>
    <xf numFmtId="0" fontId="0" fillId="0" borderId="37" xfId="0" applyBorder="1"/>
    <xf numFmtId="0" fontId="0" fillId="0" borderId="61" xfId="0" applyFill="1" applyBorder="1"/>
    <xf numFmtId="0" fontId="0" fillId="0" borderId="62" xfId="0" applyBorder="1"/>
    <xf numFmtId="0" fontId="0" fillId="0" borderId="63" xfId="0" applyBorder="1"/>
    <xf numFmtId="0" fontId="0" fillId="0" borderId="25" xfId="0" applyBorder="1"/>
    <xf numFmtId="0" fontId="0" fillId="0" borderId="55" xfId="0" applyBorder="1" applyAlignment="1">
      <alignment horizontal="center"/>
    </xf>
    <xf numFmtId="0" fontId="0" fillId="0" borderId="9" xfId="0" applyBorder="1" applyAlignment="1"/>
    <xf numFmtId="0" fontId="0" fillId="0" borderId="12" xfId="0" applyBorder="1" applyAlignment="1"/>
    <xf numFmtId="0" fontId="0" fillId="2" borderId="17" xfId="0" applyFill="1" applyBorder="1"/>
    <xf numFmtId="0" fontId="0" fillId="3" borderId="2" xfId="0" applyFill="1" applyBorder="1"/>
    <xf numFmtId="0" fontId="0" fillId="0" borderId="1" xfId="0" applyBorder="1" applyAlignment="1">
      <alignment horizontal="left" vertical="center"/>
    </xf>
    <xf numFmtId="0" fontId="0" fillId="0" borderId="26" xfId="0" applyBorder="1"/>
    <xf numFmtId="0" fontId="0" fillId="0" borderId="61" xfId="0" applyBorder="1"/>
    <xf numFmtId="0" fontId="0" fillId="0" borderId="43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44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7" xfId="0" applyBorder="1" applyAlignment="1">
      <alignment horizontal="left" vertical="center"/>
    </xf>
    <xf numFmtId="0" fontId="0" fillId="4" borderId="9" xfId="0" applyFill="1" applyBorder="1" applyAlignment="1">
      <alignment horizontal="center"/>
    </xf>
    <xf numFmtId="0" fontId="0" fillId="4" borderId="9" xfId="0" quotePrefix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5" borderId="13" xfId="0" applyFill="1" applyBorder="1" applyAlignment="1">
      <alignment horizontal="left" vertical="top" wrapText="1"/>
    </xf>
    <xf numFmtId="0" fontId="0" fillId="5" borderId="14" xfId="0" applyFill="1" applyBorder="1" applyAlignment="1">
      <alignment horizontal="left" vertical="top"/>
    </xf>
    <xf numFmtId="0" fontId="0" fillId="5" borderId="15" xfId="0" applyFill="1" applyBorder="1" applyAlignment="1">
      <alignment horizontal="left" vertical="top"/>
    </xf>
    <xf numFmtId="0" fontId="0" fillId="0" borderId="0" xfId="0" applyAlignment="1">
      <alignment horizontal="center" wrapText="1"/>
    </xf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444.416885416664" createdVersion="4" refreshedVersion="4" minRefreshableVersion="3" recordCount="175">
  <cacheSource type="worksheet">
    <worksheetSource ref="A56:E231" sheet="Лист1"/>
  </cacheSource>
  <cacheFields count="5">
    <cacheField name="участок" numFmtId="0">
      <sharedItems containsString="0" containsBlank="1" containsNumber="1" containsInteger="1" minValue="1" maxValue="4" count="5">
        <n v="1"/>
        <m/>
        <n v="2"/>
        <n v="3"/>
        <n v="4"/>
      </sharedItems>
    </cacheField>
    <cacheField name="№" numFmtId="0">
      <sharedItems containsString="0" containsBlank="1" containsNumber="1" containsInteger="1" minValue="1" maxValue="34" count="34">
        <n v="1"/>
        <n v="2"/>
        <n v="3"/>
        <n v="4"/>
        <n v="6"/>
        <n v="7"/>
        <n v="8"/>
        <n v="9"/>
        <n v="10"/>
        <n v="11"/>
        <n v="12"/>
        <n v="13"/>
        <n v="14"/>
        <n v="15"/>
        <n v="16"/>
        <n v="17"/>
        <m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</sharedItems>
    </cacheField>
    <cacheField name="Наименование" numFmtId="0">
      <sharedItems containsBlank="1" count="38">
        <s v="Площадь стен из ПГП"/>
        <s v="Площадь стен из СКЦ 90"/>
        <s v="Площадь стен из СКЦ190"/>
        <s v="Объём стен из Блок 200 Блок 300"/>
        <s v="Площадь стен из Пол-ый 120"/>
        <s v="Площадь стен из Пол-ый 65"/>
        <s v="Выравнивающий слой из раствора"/>
        <s v="Длина шва г. ПГП"/>
        <s v="Зачиканка г.шва ПГП мин.плитой"/>
        <s v="Длина шва г. СКЦ,полнотелый"/>
        <s v="Зачиканка г.шва мин.плитой,скц полн."/>
        <s v="Замазка г.шва раствором, скц полнот"/>
        <s v="Зачиканка в.шва мин.плитой"/>
        <s v="Мин.плита мажквартирная 3 см"/>
        <s v="Пробка "/>
        <s v="Сетка базальтовая"/>
        <s v="ВШ"/>
        <s v="А/Ц лист"/>
        <s v="Уголок 75х5"/>
        <s v="Закладные верт. (28 см)"/>
        <s v="арматура 8 диам."/>
        <s v="Закладные гор."/>
        <s v="арматура 6 диам."/>
        <s v="арматура 8 диам. "/>
        <s v="полоса 50х50х4 мм"/>
        <s v="Перемычки"/>
        <s v="Уголок 100х7"/>
        <s v="Уголок 50х5"/>
        <s v="Арматура 16"/>
        <s v="Арматура 12"/>
        <s v="Сетка тканная"/>
        <s v="Площадь ошт.пов-ти перемычки СКЦ"/>
        <s v="Объём раствора в перемычках СКЦ"/>
        <s v="Площадь ошт.пов-ти перемычки ПГП"/>
        <s v="Объём клея в перемычках ПГП"/>
        <s v="Окраска мет. Перем+Закладные"/>
        <m/>
        <s v="Участок №"/>
      </sharedItems>
    </cacheField>
    <cacheField name="коллич." numFmtId="0">
      <sharedItems containsString="0" containsBlank="1" containsNumber="1" minValue="0" maxValue="54.073499999999996" count="39">
        <n v="26.058499999999999"/>
        <n v="0"/>
        <n v="1.4704E-2"/>
        <n v="10"/>
        <n v="1.4000000000000002E-2"/>
        <m/>
        <n v="1.1060000000000002E-3"/>
        <n v="3.81876E-3"/>
        <n v="0.27224999999999999"/>
        <n v="6.480000000000001E-2"/>
        <n v="1.9440000000000002E-3"/>
        <n v="7.669136"/>
        <n v="2"/>
        <n v="54.073499999999996"/>
        <n v="1.7360999999999998E-2"/>
        <n v="20"/>
        <n v="2.8000000000000004E-2"/>
        <n v="8.0000000000000002E-3"/>
        <n v="5.6000000000000005"/>
        <n v="1.4746666666666669E-3"/>
        <n v="3.9449999999999997E-3"/>
        <n v="0.30625000000000002"/>
        <n v="0.81900000000000006"/>
        <n v="2.4570000000000002E-2"/>
        <n v="0.21938133333333334"/>
        <n v="3"/>
        <n v="25.598199999999999"/>
        <n v="1.7080999999999999E-2"/>
        <n v="3.4000000000000002E-2"/>
        <n v="4.0000000000000001E-3"/>
        <n v="6.8000000000000007"/>
        <n v="7.3733333333333344E-4"/>
        <n v="8.5211999999999996E-3"/>
        <n v="0.60075000000000001"/>
        <n v="0.19190000000000002"/>
        <n v="5.757E-3"/>
        <n v="0.31818666666666673"/>
        <n v="4"/>
        <n v="0.83399999999999985"/>
      </sharedItems>
    </cacheField>
    <cacheField name="ед.изм." numFmtId="0">
      <sharedItems containsBlank="1" count="5">
        <s v="м2"/>
        <s v="м3"/>
        <s v="м"/>
        <m/>
        <s v="тн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5">
  <r>
    <x v="0"/>
    <x v="0"/>
    <x v="0"/>
    <x v="0"/>
    <x v="0"/>
  </r>
  <r>
    <x v="0"/>
    <x v="1"/>
    <x v="1"/>
    <x v="1"/>
    <x v="0"/>
  </r>
  <r>
    <x v="0"/>
    <x v="2"/>
    <x v="2"/>
    <x v="1"/>
    <x v="0"/>
  </r>
  <r>
    <x v="0"/>
    <x v="3"/>
    <x v="3"/>
    <x v="1"/>
    <x v="1"/>
  </r>
  <r>
    <x v="0"/>
    <x v="4"/>
    <x v="4"/>
    <x v="1"/>
    <x v="0"/>
  </r>
  <r>
    <x v="0"/>
    <x v="5"/>
    <x v="5"/>
    <x v="1"/>
    <x v="0"/>
  </r>
  <r>
    <x v="0"/>
    <x v="6"/>
    <x v="6"/>
    <x v="2"/>
    <x v="1"/>
  </r>
  <r>
    <x v="0"/>
    <x v="7"/>
    <x v="7"/>
    <x v="3"/>
    <x v="2"/>
  </r>
  <r>
    <x v="0"/>
    <x v="8"/>
    <x v="8"/>
    <x v="4"/>
    <x v="1"/>
  </r>
  <r>
    <x v="0"/>
    <x v="9"/>
    <x v="9"/>
    <x v="1"/>
    <x v="2"/>
  </r>
  <r>
    <x v="0"/>
    <x v="10"/>
    <x v="10"/>
    <x v="1"/>
    <x v="1"/>
  </r>
  <r>
    <x v="0"/>
    <x v="11"/>
    <x v="11"/>
    <x v="1"/>
    <x v="1"/>
  </r>
  <r>
    <x v="0"/>
    <x v="12"/>
    <x v="12"/>
    <x v="1"/>
    <x v="1"/>
  </r>
  <r>
    <x v="0"/>
    <x v="13"/>
    <x v="13"/>
    <x v="1"/>
    <x v="1"/>
  </r>
  <r>
    <x v="0"/>
    <x v="14"/>
    <x v="14"/>
    <x v="1"/>
    <x v="0"/>
  </r>
  <r>
    <x v="0"/>
    <x v="15"/>
    <x v="15"/>
    <x v="1"/>
    <x v="0"/>
  </r>
  <r>
    <x v="0"/>
    <x v="16"/>
    <x v="16"/>
    <x v="5"/>
    <x v="3"/>
  </r>
  <r>
    <x v="0"/>
    <x v="17"/>
    <x v="17"/>
    <x v="1"/>
    <x v="0"/>
  </r>
  <r>
    <x v="0"/>
    <x v="18"/>
    <x v="18"/>
    <x v="1"/>
    <x v="4"/>
  </r>
  <r>
    <x v="0"/>
    <x v="16"/>
    <x v="19"/>
    <x v="5"/>
    <x v="3"/>
  </r>
  <r>
    <x v="0"/>
    <x v="19"/>
    <x v="20"/>
    <x v="6"/>
    <x v="4"/>
  </r>
  <r>
    <x v="0"/>
    <x v="16"/>
    <x v="21"/>
    <x v="5"/>
    <x v="3"/>
  </r>
  <r>
    <x v="0"/>
    <x v="20"/>
    <x v="22"/>
    <x v="1"/>
    <x v="4"/>
  </r>
  <r>
    <x v="0"/>
    <x v="21"/>
    <x v="23"/>
    <x v="1"/>
    <x v="4"/>
  </r>
  <r>
    <x v="0"/>
    <x v="22"/>
    <x v="24"/>
    <x v="1"/>
    <x v="4"/>
  </r>
  <r>
    <x v="0"/>
    <x v="16"/>
    <x v="25"/>
    <x v="5"/>
    <x v="3"/>
  </r>
  <r>
    <x v="0"/>
    <x v="23"/>
    <x v="26"/>
    <x v="1"/>
    <x v="4"/>
  </r>
  <r>
    <x v="0"/>
    <x v="24"/>
    <x v="18"/>
    <x v="1"/>
    <x v="4"/>
  </r>
  <r>
    <x v="0"/>
    <x v="25"/>
    <x v="27"/>
    <x v="1"/>
    <x v="4"/>
  </r>
  <r>
    <x v="0"/>
    <x v="26"/>
    <x v="28"/>
    <x v="7"/>
    <x v="4"/>
  </r>
  <r>
    <x v="0"/>
    <x v="27"/>
    <x v="29"/>
    <x v="1"/>
    <x v="4"/>
  </r>
  <r>
    <x v="0"/>
    <x v="28"/>
    <x v="30"/>
    <x v="8"/>
    <x v="0"/>
  </r>
  <r>
    <x v="0"/>
    <x v="29"/>
    <x v="31"/>
    <x v="1"/>
    <x v="0"/>
  </r>
  <r>
    <x v="0"/>
    <x v="30"/>
    <x v="32"/>
    <x v="1"/>
    <x v="1"/>
  </r>
  <r>
    <x v="0"/>
    <x v="31"/>
    <x v="33"/>
    <x v="9"/>
    <x v="0"/>
  </r>
  <r>
    <x v="0"/>
    <x v="32"/>
    <x v="34"/>
    <x v="10"/>
    <x v="1"/>
  </r>
  <r>
    <x v="0"/>
    <x v="33"/>
    <x v="35"/>
    <x v="11"/>
    <x v="0"/>
  </r>
  <r>
    <x v="1"/>
    <x v="16"/>
    <x v="36"/>
    <x v="5"/>
    <x v="3"/>
  </r>
  <r>
    <x v="1"/>
    <x v="16"/>
    <x v="36"/>
    <x v="5"/>
    <x v="3"/>
  </r>
  <r>
    <x v="1"/>
    <x v="16"/>
    <x v="36"/>
    <x v="5"/>
    <x v="3"/>
  </r>
  <r>
    <x v="1"/>
    <x v="16"/>
    <x v="36"/>
    <x v="5"/>
    <x v="3"/>
  </r>
  <r>
    <x v="1"/>
    <x v="16"/>
    <x v="36"/>
    <x v="5"/>
    <x v="3"/>
  </r>
  <r>
    <x v="1"/>
    <x v="16"/>
    <x v="36"/>
    <x v="5"/>
    <x v="3"/>
  </r>
  <r>
    <x v="1"/>
    <x v="16"/>
    <x v="37"/>
    <x v="12"/>
    <x v="3"/>
  </r>
  <r>
    <x v="1"/>
    <x v="16"/>
    <x v="36"/>
    <x v="5"/>
    <x v="3"/>
  </r>
  <r>
    <x v="1"/>
    <x v="16"/>
    <x v="36"/>
    <x v="5"/>
    <x v="3"/>
  </r>
  <r>
    <x v="2"/>
    <x v="0"/>
    <x v="0"/>
    <x v="1"/>
    <x v="0"/>
  </r>
  <r>
    <x v="2"/>
    <x v="1"/>
    <x v="1"/>
    <x v="13"/>
    <x v="0"/>
  </r>
  <r>
    <x v="2"/>
    <x v="2"/>
    <x v="2"/>
    <x v="1"/>
    <x v="0"/>
  </r>
  <r>
    <x v="2"/>
    <x v="3"/>
    <x v="3"/>
    <x v="1"/>
    <x v="1"/>
  </r>
  <r>
    <x v="2"/>
    <x v="4"/>
    <x v="4"/>
    <x v="1"/>
    <x v="0"/>
  </r>
  <r>
    <x v="2"/>
    <x v="5"/>
    <x v="5"/>
    <x v="1"/>
    <x v="0"/>
  </r>
  <r>
    <x v="2"/>
    <x v="6"/>
    <x v="6"/>
    <x v="14"/>
    <x v="1"/>
  </r>
  <r>
    <x v="2"/>
    <x v="7"/>
    <x v="7"/>
    <x v="1"/>
    <x v="2"/>
  </r>
  <r>
    <x v="2"/>
    <x v="8"/>
    <x v="8"/>
    <x v="1"/>
    <x v="1"/>
  </r>
  <r>
    <x v="2"/>
    <x v="9"/>
    <x v="9"/>
    <x v="15"/>
    <x v="2"/>
  </r>
  <r>
    <x v="2"/>
    <x v="10"/>
    <x v="10"/>
    <x v="16"/>
    <x v="1"/>
  </r>
  <r>
    <x v="2"/>
    <x v="11"/>
    <x v="11"/>
    <x v="17"/>
    <x v="1"/>
  </r>
  <r>
    <x v="2"/>
    <x v="12"/>
    <x v="12"/>
    <x v="1"/>
    <x v="1"/>
  </r>
  <r>
    <x v="2"/>
    <x v="13"/>
    <x v="13"/>
    <x v="1"/>
    <x v="1"/>
  </r>
  <r>
    <x v="2"/>
    <x v="14"/>
    <x v="14"/>
    <x v="1"/>
    <x v="0"/>
  </r>
  <r>
    <x v="2"/>
    <x v="15"/>
    <x v="15"/>
    <x v="18"/>
    <x v="0"/>
  </r>
  <r>
    <x v="2"/>
    <x v="16"/>
    <x v="16"/>
    <x v="5"/>
    <x v="3"/>
  </r>
  <r>
    <x v="2"/>
    <x v="17"/>
    <x v="17"/>
    <x v="1"/>
    <x v="0"/>
  </r>
  <r>
    <x v="2"/>
    <x v="18"/>
    <x v="18"/>
    <x v="1"/>
    <x v="4"/>
  </r>
  <r>
    <x v="2"/>
    <x v="16"/>
    <x v="19"/>
    <x v="5"/>
    <x v="3"/>
  </r>
  <r>
    <x v="2"/>
    <x v="19"/>
    <x v="20"/>
    <x v="19"/>
    <x v="4"/>
  </r>
  <r>
    <x v="2"/>
    <x v="16"/>
    <x v="21"/>
    <x v="5"/>
    <x v="3"/>
  </r>
  <r>
    <x v="2"/>
    <x v="20"/>
    <x v="22"/>
    <x v="1"/>
    <x v="4"/>
  </r>
  <r>
    <x v="2"/>
    <x v="21"/>
    <x v="23"/>
    <x v="1"/>
    <x v="4"/>
  </r>
  <r>
    <x v="2"/>
    <x v="22"/>
    <x v="24"/>
    <x v="1"/>
    <x v="4"/>
  </r>
  <r>
    <x v="2"/>
    <x v="16"/>
    <x v="25"/>
    <x v="5"/>
    <x v="3"/>
  </r>
  <r>
    <x v="2"/>
    <x v="23"/>
    <x v="26"/>
    <x v="1"/>
    <x v="4"/>
  </r>
  <r>
    <x v="2"/>
    <x v="24"/>
    <x v="18"/>
    <x v="1"/>
    <x v="4"/>
  </r>
  <r>
    <x v="2"/>
    <x v="25"/>
    <x v="27"/>
    <x v="1"/>
    <x v="4"/>
  </r>
  <r>
    <x v="2"/>
    <x v="26"/>
    <x v="28"/>
    <x v="20"/>
    <x v="4"/>
  </r>
  <r>
    <x v="2"/>
    <x v="27"/>
    <x v="29"/>
    <x v="1"/>
    <x v="4"/>
  </r>
  <r>
    <x v="2"/>
    <x v="28"/>
    <x v="30"/>
    <x v="21"/>
    <x v="0"/>
  </r>
  <r>
    <x v="2"/>
    <x v="29"/>
    <x v="31"/>
    <x v="22"/>
    <x v="0"/>
  </r>
  <r>
    <x v="2"/>
    <x v="30"/>
    <x v="32"/>
    <x v="23"/>
    <x v="1"/>
  </r>
  <r>
    <x v="2"/>
    <x v="31"/>
    <x v="33"/>
    <x v="1"/>
    <x v="0"/>
  </r>
  <r>
    <x v="2"/>
    <x v="32"/>
    <x v="34"/>
    <x v="1"/>
    <x v="1"/>
  </r>
  <r>
    <x v="2"/>
    <x v="33"/>
    <x v="35"/>
    <x v="24"/>
    <x v="0"/>
  </r>
  <r>
    <x v="1"/>
    <x v="16"/>
    <x v="36"/>
    <x v="5"/>
    <x v="3"/>
  </r>
  <r>
    <x v="1"/>
    <x v="16"/>
    <x v="36"/>
    <x v="5"/>
    <x v="3"/>
  </r>
  <r>
    <x v="1"/>
    <x v="16"/>
    <x v="36"/>
    <x v="5"/>
    <x v="3"/>
  </r>
  <r>
    <x v="1"/>
    <x v="16"/>
    <x v="36"/>
    <x v="5"/>
    <x v="3"/>
  </r>
  <r>
    <x v="1"/>
    <x v="16"/>
    <x v="36"/>
    <x v="5"/>
    <x v="3"/>
  </r>
  <r>
    <x v="1"/>
    <x v="16"/>
    <x v="36"/>
    <x v="5"/>
    <x v="3"/>
  </r>
  <r>
    <x v="1"/>
    <x v="16"/>
    <x v="37"/>
    <x v="25"/>
    <x v="3"/>
  </r>
  <r>
    <x v="1"/>
    <x v="16"/>
    <x v="36"/>
    <x v="5"/>
    <x v="3"/>
  </r>
  <r>
    <x v="1"/>
    <x v="16"/>
    <x v="36"/>
    <x v="5"/>
    <x v="3"/>
  </r>
  <r>
    <x v="3"/>
    <x v="0"/>
    <x v="0"/>
    <x v="1"/>
    <x v="0"/>
  </r>
  <r>
    <x v="3"/>
    <x v="1"/>
    <x v="1"/>
    <x v="1"/>
    <x v="0"/>
  </r>
  <r>
    <x v="3"/>
    <x v="2"/>
    <x v="2"/>
    <x v="26"/>
    <x v="0"/>
  </r>
  <r>
    <x v="3"/>
    <x v="3"/>
    <x v="3"/>
    <x v="1"/>
    <x v="1"/>
  </r>
  <r>
    <x v="3"/>
    <x v="4"/>
    <x v="4"/>
    <x v="1"/>
    <x v="0"/>
  </r>
  <r>
    <x v="3"/>
    <x v="5"/>
    <x v="5"/>
    <x v="1"/>
    <x v="0"/>
  </r>
  <r>
    <x v="3"/>
    <x v="6"/>
    <x v="6"/>
    <x v="27"/>
    <x v="1"/>
  </r>
  <r>
    <x v="3"/>
    <x v="7"/>
    <x v="7"/>
    <x v="1"/>
    <x v="2"/>
  </r>
  <r>
    <x v="3"/>
    <x v="8"/>
    <x v="8"/>
    <x v="1"/>
    <x v="1"/>
  </r>
  <r>
    <x v="3"/>
    <x v="9"/>
    <x v="9"/>
    <x v="3"/>
    <x v="2"/>
  </r>
  <r>
    <x v="3"/>
    <x v="10"/>
    <x v="10"/>
    <x v="28"/>
    <x v="1"/>
  </r>
  <r>
    <x v="3"/>
    <x v="11"/>
    <x v="11"/>
    <x v="29"/>
    <x v="1"/>
  </r>
  <r>
    <x v="3"/>
    <x v="12"/>
    <x v="12"/>
    <x v="1"/>
    <x v="1"/>
  </r>
  <r>
    <x v="3"/>
    <x v="13"/>
    <x v="13"/>
    <x v="1"/>
    <x v="1"/>
  </r>
  <r>
    <x v="3"/>
    <x v="14"/>
    <x v="14"/>
    <x v="1"/>
    <x v="0"/>
  </r>
  <r>
    <x v="3"/>
    <x v="15"/>
    <x v="15"/>
    <x v="30"/>
    <x v="0"/>
  </r>
  <r>
    <x v="3"/>
    <x v="16"/>
    <x v="16"/>
    <x v="5"/>
    <x v="3"/>
  </r>
  <r>
    <x v="3"/>
    <x v="17"/>
    <x v="17"/>
    <x v="1"/>
    <x v="0"/>
  </r>
  <r>
    <x v="3"/>
    <x v="18"/>
    <x v="18"/>
    <x v="1"/>
    <x v="4"/>
  </r>
  <r>
    <x v="3"/>
    <x v="16"/>
    <x v="19"/>
    <x v="5"/>
    <x v="3"/>
  </r>
  <r>
    <x v="3"/>
    <x v="19"/>
    <x v="20"/>
    <x v="31"/>
    <x v="4"/>
  </r>
  <r>
    <x v="3"/>
    <x v="16"/>
    <x v="21"/>
    <x v="5"/>
    <x v="3"/>
  </r>
  <r>
    <x v="3"/>
    <x v="20"/>
    <x v="22"/>
    <x v="1"/>
    <x v="4"/>
  </r>
  <r>
    <x v="3"/>
    <x v="21"/>
    <x v="23"/>
    <x v="1"/>
    <x v="4"/>
  </r>
  <r>
    <x v="3"/>
    <x v="22"/>
    <x v="24"/>
    <x v="1"/>
    <x v="4"/>
  </r>
  <r>
    <x v="3"/>
    <x v="16"/>
    <x v="25"/>
    <x v="5"/>
    <x v="3"/>
  </r>
  <r>
    <x v="3"/>
    <x v="23"/>
    <x v="26"/>
    <x v="1"/>
    <x v="4"/>
  </r>
  <r>
    <x v="3"/>
    <x v="24"/>
    <x v="18"/>
    <x v="1"/>
    <x v="4"/>
  </r>
  <r>
    <x v="3"/>
    <x v="25"/>
    <x v="27"/>
    <x v="1"/>
    <x v="4"/>
  </r>
  <r>
    <x v="3"/>
    <x v="26"/>
    <x v="28"/>
    <x v="32"/>
    <x v="4"/>
  </r>
  <r>
    <x v="3"/>
    <x v="27"/>
    <x v="29"/>
    <x v="1"/>
    <x v="4"/>
  </r>
  <r>
    <x v="3"/>
    <x v="28"/>
    <x v="30"/>
    <x v="33"/>
    <x v="0"/>
  </r>
  <r>
    <x v="3"/>
    <x v="29"/>
    <x v="31"/>
    <x v="34"/>
    <x v="0"/>
  </r>
  <r>
    <x v="3"/>
    <x v="30"/>
    <x v="32"/>
    <x v="35"/>
    <x v="1"/>
  </r>
  <r>
    <x v="3"/>
    <x v="31"/>
    <x v="33"/>
    <x v="1"/>
    <x v="0"/>
  </r>
  <r>
    <x v="3"/>
    <x v="32"/>
    <x v="34"/>
    <x v="1"/>
    <x v="1"/>
  </r>
  <r>
    <x v="3"/>
    <x v="33"/>
    <x v="35"/>
    <x v="36"/>
    <x v="0"/>
  </r>
  <r>
    <x v="1"/>
    <x v="16"/>
    <x v="36"/>
    <x v="5"/>
    <x v="3"/>
  </r>
  <r>
    <x v="1"/>
    <x v="16"/>
    <x v="36"/>
    <x v="5"/>
    <x v="3"/>
  </r>
  <r>
    <x v="1"/>
    <x v="16"/>
    <x v="36"/>
    <x v="5"/>
    <x v="3"/>
  </r>
  <r>
    <x v="1"/>
    <x v="16"/>
    <x v="36"/>
    <x v="5"/>
    <x v="3"/>
  </r>
  <r>
    <x v="1"/>
    <x v="16"/>
    <x v="36"/>
    <x v="5"/>
    <x v="3"/>
  </r>
  <r>
    <x v="1"/>
    <x v="16"/>
    <x v="36"/>
    <x v="5"/>
    <x v="3"/>
  </r>
  <r>
    <x v="1"/>
    <x v="16"/>
    <x v="37"/>
    <x v="37"/>
    <x v="3"/>
  </r>
  <r>
    <x v="1"/>
    <x v="16"/>
    <x v="36"/>
    <x v="5"/>
    <x v="3"/>
  </r>
  <r>
    <x v="1"/>
    <x v="16"/>
    <x v="36"/>
    <x v="5"/>
    <x v="3"/>
  </r>
  <r>
    <x v="4"/>
    <x v="0"/>
    <x v="0"/>
    <x v="1"/>
    <x v="0"/>
  </r>
  <r>
    <x v="4"/>
    <x v="1"/>
    <x v="1"/>
    <x v="1"/>
    <x v="0"/>
  </r>
  <r>
    <x v="4"/>
    <x v="2"/>
    <x v="2"/>
    <x v="1"/>
    <x v="0"/>
  </r>
  <r>
    <x v="4"/>
    <x v="3"/>
    <x v="3"/>
    <x v="1"/>
    <x v="1"/>
  </r>
  <r>
    <x v="4"/>
    <x v="4"/>
    <x v="4"/>
    <x v="1"/>
    <x v="0"/>
  </r>
  <r>
    <x v="4"/>
    <x v="5"/>
    <x v="5"/>
    <x v="1"/>
    <x v="0"/>
  </r>
  <r>
    <x v="4"/>
    <x v="6"/>
    <x v="6"/>
    <x v="1"/>
    <x v="1"/>
  </r>
  <r>
    <x v="4"/>
    <x v="7"/>
    <x v="7"/>
    <x v="1"/>
    <x v="2"/>
  </r>
  <r>
    <x v="4"/>
    <x v="8"/>
    <x v="8"/>
    <x v="1"/>
    <x v="1"/>
  </r>
  <r>
    <x v="4"/>
    <x v="9"/>
    <x v="9"/>
    <x v="1"/>
    <x v="2"/>
  </r>
  <r>
    <x v="4"/>
    <x v="10"/>
    <x v="10"/>
    <x v="1"/>
    <x v="1"/>
  </r>
  <r>
    <x v="4"/>
    <x v="11"/>
    <x v="11"/>
    <x v="1"/>
    <x v="1"/>
  </r>
  <r>
    <x v="4"/>
    <x v="12"/>
    <x v="12"/>
    <x v="1"/>
    <x v="1"/>
  </r>
  <r>
    <x v="4"/>
    <x v="13"/>
    <x v="13"/>
    <x v="38"/>
    <x v="1"/>
  </r>
  <r>
    <x v="4"/>
    <x v="14"/>
    <x v="14"/>
    <x v="1"/>
    <x v="0"/>
  </r>
  <r>
    <x v="4"/>
    <x v="15"/>
    <x v="15"/>
    <x v="1"/>
    <x v="0"/>
  </r>
  <r>
    <x v="4"/>
    <x v="16"/>
    <x v="16"/>
    <x v="5"/>
    <x v="3"/>
  </r>
  <r>
    <x v="4"/>
    <x v="17"/>
    <x v="17"/>
    <x v="1"/>
    <x v="0"/>
  </r>
  <r>
    <x v="4"/>
    <x v="18"/>
    <x v="18"/>
    <x v="1"/>
    <x v="4"/>
  </r>
  <r>
    <x v="4"/>
    <x v="16"/>
    <x v="19"/>
    <x v="5"/>
    <x v="3"/>
  </r>
  <r>
    <x v="4"/>
    <x v="19"/>
    <x v="20"/>
    <x v="1"/>
    <x v="4"/>
  </r>
  <r>
    <x v="4"/>
    <x v="16"/>
    <x v="21"/>
    <x v="5"/>
    <x v="3"/>
  </r>
  <r>
    <x v="4"/>
    <x v="20"/>
    <x v="22"/>
    <x v="1"/>
    <x v="4"/>
  </r>
  <r>
    <x v="4"/>
    <x v="21"/>
    <x v="23"/>
    <x v="1"/>
    <x v="4"/>
  </r>
  <r>
    <x v="4"/>
    <x v="22"/>
    <x v="24"/>
    <x v="1"/>
    <x v="4"/>
  </r>
  <r>
    <x v="4"/>
    <x v="16"/>
    <x v="25"/>
    <x v="5"/>
    <x v="3"/>
  </r>
  <r>
    <x v="4"/>
    <x v="23"/>
    <x v="26"/>
    <x v="1"/>
    <x v="4"/>
  </r>
  <r>
    <x v="4"/>
    <x v="24"/>
    <x v="18"/>
    <x v="1"/>
    <x v="4"/>
  </r>
  <r>
    <x v="4"/>
    <x v="25"/>
    <x v="27"/>
    <x v="1"/>
    <x v="4"/>
  </r>
  <r>
    <x v="4"/>
    <x v="26"/>
    <x v="28"/>
    <x v="1"/>
    <x v="4"/>
  </r>
  <r>
    <x v="4"/>
    <x v="27"/>
    <x v="29"/>
    <x v="1"/>
    <x v="4"/>
  </r>
  <r>
    <x v="4"/>
    <x v="28"/>
    <x v="30"/>
    <x v="1"/>
    <x v="0"/>
  </r>
  <r>
    <x v="4"/>
    <x v="29"/>
    <x v="31"/>
    <x v="1"/>
    <x v="0"/>
  </r>
  <r>
    <x v="4"/>
    <x v="30"/>
    <x v="32"/>
    <x v="1"/>
    <x v="1"/>
  </r>
  <r>
    <x v="4"/>
    <x v="31"/>
    <x v="33"/>
    <x v="1"/>
    <x v="0"/>
  </r>
  <r>
    <x v="4"/>
    <x v="32"/>
    <x v="34"/>
    <x v="1"/>
    <x v="1"/>
  </r>
  <r>
    <x v="4"/>
    <x v="33"/>
    <x v="35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6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>
  <location ref="A3:D37" firstHeaderRow="1" firstDataRow="1" firstDataCol="3" rowPageCount="1" colPageCount="1"/>
  <pivotFields count="5">
    <pivotField axis="axisPage" compact="0" outline="0" multipleItemSelectionAllowed="1" showAll="0" defaultSubtotal="0">
      <items count="5">
        <item x="0"/>
        <item x="2"/>
        <item x="3"/>
        <item x="4"/>
        <item h="1"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h="1" x="1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8">
        <item x="17"/>
        <item x="29"/>
        <item x="28"/>
        <item x="22"/>
        <item x="20"/>
        <item x="23"/>
        <item x="16"/>
        <item x="6"/>
        <item x="7"/>
        <item x="9"/>
        <item x="19"/>
        <item x="21"/>
        <item x="11"/>
        <item x="12"/>
        <item x="10"/>
        <item x="8"/>
        <item x="13"/>
        <item x="34"/>
        <item x="32"/>
        <item x="3"/>
        <item x="35"/>
        <item x="25"/>
        <item x="33"/>
        <item x="31"/>
        <item x="0"/>
        <item x="4"/>
        <item x="5"/>
        <item x="1"/>
        <item x="2"/>
        <item x="24"/>
        <item x="14"/>
        <item x="15"/>
        <item x="30"/>
        <item x="26"/>
        <item x="27"/>
        <item x="18"/>
        <item x="37"/>
        <item x="3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items count="39">
        <item x="1"/>
        <item x="31"/>
        <item x="6"/>
        <item x="19"/>
        <item x="10"/>
        <item x="7"/>
        <item x="20"/>
        <item x="29"/>
        <item x="35"/>
        <item x="17"/>
        <item x="32"/>
        <item x="4"/>
        <item x="2"/>
        <item x="27"/>
        <item x="14"/>
        <item x="23"/>
        <item x="16"/>
        <item x="28"/>
        <item x="9"/>
        <item x="34"/>
        <item x="24"/>
        <item x="8"/>
        <item x="21"/>
        <item x="36"/>
        <item x="33"/>
        <item x="22"/>
        <item x="38"/>
        <item x="12"/>
        <item x="25"/>
        <item x="37"/>
        <item x="18"/>
        <item x="30"/>
        <item x="11"/>
        <item x="3"/>
        <item x="15"/>
        <item x="26"/>
        <item x="0"/>
        <item x="13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2"/>
        <item x="0"/>
        <item x="1"/>
        <item x="4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1"/>
    <field x="2"/>
    <field x="4"/>
  </rowFields>
  <rowItems count="34">
    <i>
      <x/>
      <x v="24"/>
      <x v="1"/>
    </i>
    <i>
      <x v="1"/>
      <x v="27"/>
      <x v="1"/>
    </i>
    <i>
      <x v="2"/>
      <x v="28"/>
      <x v="1"/>
    </i>
    <i>
      <x v="3"/>
      <x v="19"/>
      <x v="2"/>
    </i>
    <i>
      <x v="4"/>
      <x v="25"/>
      <x v="1"/>
    </i>
    <i>
      <x v="5"/>
      <x v="26"/>
      <x v="1"/>
    </i>
    <i>
      <x v="6"/>
      <x v="7"/>
      <x v="2"/>
    </i>
    <i>
      <x v="7"/>
      <x v="8"/>
      <x/>
    </i>
    <i>
      <x v="8"/>
      <x v="15"/>
      <x v="2"/>
    </i>
    <i>
      <x v="9"/>
      <x v="9"/>
      <x/>
    </i>
    <i>
      <x v="10"/>
      <x v="14"/>
      <x v="2"/>
    </i>
    <i>
      <x v="11"/>
      <x v="12"/>
      <x v="2"/>
    </i>
    <i>
      <x v="12"/>
      <x v="13"/>
      <x v="2"/>
    </i>
    <i>
      <x v="13"/>
      <x v="16"/>
      <x v="2"/>
    </i>
    <i>
      <x v="14"/>
      <x v="30"/>
      <x v="1"/>
    </i>
    <i>
      <x v="15"/>
      <x v="31"/>
      <x v="1"/>
    </i>
    <i>
      <x v="16"/>
      <x/>
      <x v="1"/>
    </i>
    <i>
      <x v="17"/>
      <x v="35"/>
      <x v="3"/>
    </i>
    <i>
      <x v="18"/>
      <x v="4"/>
      <x v="3"/>
    </i>
    <i>
      <x v="19"/>
      <x v="3"/>
      <x v="3"/>
    </i>
    <i>
      <x v="20"/>
      <x v="5"/>
      <x v="3"/>
    </i>
    <i>
      <x v="21"/>
      <x v="29"/>
      <x v="3"/>
    </i>
    <i>
      <x v="22"/>
      <x v="33"/>
      <x v="3"/>
    </i>
    <i>
      <x v="23"/>
      <x v="35"/>
      <x v="3"/>
    </i>
    <i>
      <x v="24"/>
      <x v="34"/>
      <x v="3"/>
    </i>
    <i>
      <x v="25"/>
      <x v="2"/>
      <x v="3"/>
    </i>
    <i>
      <x v="26"/>
      <x v="1"/>
      <x v="3"/>
    </i>
    <i>
      <x v="27"/>
      <x v="32"/>
      <x v="1"/>
    </i>
    <i>
      <x v="28"/>
      <x v="23"/>
      <x v="1"/>
    </i>
    <i>
      <x v="29"/>
      <x v="18"/>
      <x v="2"/>
    </i>
    <i>
      <x v="30"/>
      <x v="22"/>
      <x v="1"/>
    </i>
    <i>
      <x v="31"/>
      <x v="17"/>
      <x v="2"/>
    </i>
    <i>
      <x v="32"/>
      <x v="20"/>
      <x v="1"/>
    </i>
    <i t="grand">
      <x/>
    </i>
  </rowItems>
  <colItems count="1">
    <i/>
  </colItems>
  <pageFields count="1">
    <pageField fld="0" hier="-1"/>
  </pageFields>
  <dataFields count="1">
    <dataField name="Сумма по полю коллич.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C5" sqref="C5"/>
    </sheetView>
  </sheetViews>
  <sheetFormatPr defaultRowHeight="15" x14ac:dyDescent="0.25"/>
  <cols>
    <col min="1" max="1" width="9.5703125" customWidth="1"/>
    <col min="2" max="2" width="38.85546875" bestFit="1" customWidth="1"/>
    <col min="3" max="3" width="10.42578125" customWidth="1"/>
    <col min="4" max="4" width="23.42578125" bestFit="1" customWidth="1"/>
  </cols>
  <sheetData>
    <row r="1" spans="1:4" x14ac:dyDescent="0.25">
      <c r="A1" s="146" t="s">
        <v>145</v>
      </c>
      <c r="B1" t="s">
        <v>148</v>
      </c>
    </row>
    <row r="3" spans="1:4" x14ac:dyDescent="0.25">
      <c r="A3" s="146" t="s">
        <v>136</v>
      </c>
      <c r="B3" s="146" t="s">
        <v>133</v>
      </c>
      <c r="C3" s="146" t="s">
        <v>135</v>
      </c>
      <c r="D3" t="s">
        <v>147</v>
      </c>
    </row>
    <row r="4" spans="1:4" x14ac:dyDescent="0.25">
      <c r="A4">
        <v>1</v>
      </c>
      <c r="B4" t="s">
        <v>0</v>
      </c>
      <c r="C4" t="s">
        <v>17</v>
      </c>
      <c r="D4" s="147">
        <v>26.058499999999999</v>
      </c>
    </row>
    <row r="5" spans="1:4" x14ac:dyDescent="0.25">
      <c r="A5">
        <v>2</v>
      </c>
      <c r="B5" t="s">
        <v>1</v>
      </c>
      <c r="C5" t="s">
        <v>17</v>
      </c>
      <c r="D5" s="147">
        <v>54.073499999999996</v>
      </c>
    </row>
    <row r="6" spans="1:4" x14ac:dyDescent="0.25">
      <c r="A6">
        <v>3</v>
      </c>
      <c r="B6" t="s">
        <v>2</v>
      </c>
      <c r="C6" t="s">
        <v>17</v>
      </c>
      <c r="D6" s="147">
        <v>25.598199999999999</v>
      </c>
    </row>
    <row r="7" spans="1:4" x14ac:dyDescent="0.25">
      <c r="A7">
        <v>4</v>
      </c>
      <c r="B7" t="s">
        <v>12</v>
      </c>
      <c r="C7" t="s">
        <v>18</v>
      </c>
      <c r="D7" s="147">
        <v>0</v>
      </c>
    </row>
    <row r="8" spans="1:4" x14ac:dyDescent="0.25">
      <c r="A8">
        <v>6</v>
      </c>
      <c r="B8" t="s">
        <v>3</v>
      </c>
      <c r="C8" t="s">
        <v>17</v>
      </c>
      <c r="D8" s="147">
        <v>0</v>
      </c>
    </row>
    <row r="9" spans="1:4" x14ac:dyDescent="0.25">
      <c r="A9">
        <v>7</v>
      </c>
      <c r="B9" t="s">
        <v>4</v>
      </c>
      <c r="C9" t="s">
        <v>17</v>
      </c>
      <c r="D9" s="147">
        <v>0</v>
      </c>
    </row>
    <row r="10" spans="1:4" x14ac:dyDescent="0.25">
      <c r="A10">
        <v>8</v>
      </c>
      <c r="B10" t="s">
        <v>5</v>
      </c>
      <c r="C10" t="s">
        <v>18</v>
      </c>
      <c r="D10" s="147">
        <v>4.9145999999999995E-2</v>
      </c>
    </row>
    <row r="11" spans="1:4" x14ac:dyDescent="0.25">
      <c r="A11">
        <v>9</v>
      </c>
      <c r="B11" t="s">
        <v>20</v>
      </c>
      <c r="C11" t="s">
        <v>21</v>
      </c>
      <c r="D11" s="147">
        <v>10</v>
      </c>
    </row>
    <row r="12" spans="1:4" x14ac:dyDescent="0.25">
      <c r="A12">
        <v>10</v>
      </c>
      <c r="B12" t="s">
        <v>62</v>
      </c>
      <c r="C12" t="s">
        <v>18</v>
      </c>
      <c r="D12" s="147">
        <v>1.4000000000000002E-2</v>
      </c>
    </row>
    <row r="13" spans="1:4" x14ac:dyDescent="0.25">
      <c r="A13">
        <v>11</v>
      </c>
      <c r="B13" t="s">
        <v>66</v>
      </c>
      <c r="C13" t="s">
        <v>21</v>
      </c>
      <c r="D13" s="147">
        <v>30</v>
      </c>
    </row>
    <row r="14" spans="1:4" x14ac:dyDescent="0.25">
      <c r="A14">
        <v>12</v>
      </c>
      <c r="B14" t="s">
        <v>67</v>
      </c>
      <c r="C14" t="s">
        <v>18</v>
      </c>
      <c r="D14" s="147">
        <v>6.2000000000000006E-2</v>
      </c>
    </row>
    <row r="15" spans="1:4" x14ac:dyDescent="0.25">
      <c r="A15">
        <v>13</v>
      </c>
      <c r="B15" t="s">
        <v>68</v>
      </c>
      <c r="C15" t="s">
        <v>18</v>
      </c>
      <c r="D15" s="147">
        <v>1.2E-2</v>
      </c>
    </row>
    <row r="16" spans="1:4" x14ac:dyDescent="0.25">
      <c r="A16">
        <v>14</v>
      </c>
      <c r="B16" t="s">
        <v>6</v>
      </c>
      <c r="C16" t="s">
        <v>18</v>
      </c>
      <c r="D16" s="147">
        <v>0</v>
      </c>
    </row>
    <row r="17" spans="1:4" x14ac:dyDescent="0.25">
      <c r="A17">
        <v>15</v>
      </c>
      <c r="B17" t="s">
        <v>37</v>
      </c>
      <c r="C17" t="s">
        <v>18</v>
      </c>
      <c r="D17" s="147">
        <v>0.83399999999999985</v>
      </c>
    </row>
    <row r="18" spans="1:4" x14ac:dyDescent="0.25">
      <c r="A18">
        <v>16</v>
      </c>
      <c r="B18" t="s">
        <v>10</v>
      </c>
      <c r="C18" t="s">
        <v>17</v>
      </c>
      <c r="D18" s="147">
        <v>0</v>
      </c>
    </row>
    <row r="19" spans="1:4" x14ac:dyDescent="0.25">
      <c r="A19">
        <v>17</v>
      </c>
      <c r="B19" t="s">
        <v>11</v>
      </c>
      <c r="C19" t="s">
        <v>17</v>
      </c>
      <c r="D19" s="147">
        <v>12.400000000000002</v>
      </c>
    </row>
    <row r="20" spans="1:4" x14ac:dyDescent="0.25">
      <c r="A20">
        <v>18</v>
      </c>
      <c r="B20" t="s">
        <v>115</v>
      </c>
      <c r="C20" t="s">
        <v>17</v>
      </c>
      <c r="D20" s="147">
        <v>0</v>
      </c>
    </row>
    <row r="21" spans="1:4" x14ac:dyDescent="0.25">
      <c r="A21">
        <v>19</v>
      </c>
      <c r="B21" t="s">
        <v>107</v>
      </c>
      <c r="C21" t="s">
        <v>19</v>
      </c>
      <c r="D21" s="147">
        <v>0</v>
      </c>
    </row>
    <row r="22" spans="1:4" x14ac:dyDescent="0.25">
      <c r="A22">
        <v>20</v>
      </c>
      <c r="B22" t="s">
        <v>13</v>
      </c>
      <c r="C22" t="s">
        <v>19</v>
      </c>
      <c r="D22" s="147">
        <v>3.3180000000000002E-3</v>
      </c>
    </row>
    <row r="23" spans="1:4" x14ac:dyDescent="0.25">
      <c r="A23">
        <v>21</v>
      </c>
      <c r="B23" t="s">
        <v>14</v>
      </c>
      <c r="C23" t="s">
        <v>19</v>
      </c>
      <c r="D23" s="147">
        <v>0</v>
      </c>
    </row>
    <row r="24" spans="1:4" x14ac:dyDescent="0.25">
      <c r="A24">
        <v>22</v>
      </c>
      <c r="B24" t="s">
        <v>95</v>
      </c>
      <c r="C24" t="s">
        <v>19</v>
      </c>
      <c r="D24" s="147">
        <v>0</v>
      </c>
    </row>
    <row r="25" spans="1:4" x14ac:dyDescent="0.25">
      <c r="A25">
        <v>23</v>
      </c>
      <c r="B25" t="s">
        <v>71</v>
      </c>
      <c r="C25" t="s">
        <v>19</v>
      </c>
      <c r="D25" s="147">
        <v>0</v>
      </c>
    </row>
    <row r="26" spans="1:4" x14ac:dyDescent="0.25">
      <c r="A26">
        <v>24</v>
      </c>
      <c r="B26" t="s">
        <v>103</v>
      </c>
      <c r="C26" t="s">
        <v>19</v>
      </c>
      <c r="D26" s="147">
        <v>0</v>
      </c>
    </row>
    <row r="27" spans="1:4" x14ac:dyDescent="0.25">
      <c r="A27">
        <v>25</v>
      </c>
      <c r="B27" t="s">
        <v>107</v>
      </c>
      <c r="C27" t="s">
        <v>19</v>
      </c>
      <c r="D27" s="147">
        <v>0</v>
      </c>
    </row>
    <row r="28" spans="1:4" x14ac:dyDescent="0.25">
      <c r="A28">
        <v>26</v>
      </c>
      <c r="B28" t="s">
        <v>111</v>
      </c>
      <c r="C28" t="s">
        <v>19</v>
      </c>
      <c r="D28" s="147">
        <v>0</v>
      </c>
    </row>
    <row r="29" spans="1:4" x14ac:dyDescent="0.25">
      <c r="A29">
        <v>27</v>
      </c>
      <c r="B29" t="s">
        <v>102</v>
      </c>
      <c r="C29" t="s">
        <v>19</v>
      </c>
      <c r="D29" s="147">
        <v>1.6284960000000001E-2</v>
      </c>
    </row>
    <row r="30" spans="1:4" x14ac:dyDescent="0.25">
      <c r="A30">
        <v>28</v>
      </c>
      <c r="B30" t="s">
        <v>110</v>
      </c>
      <c r="C30" t="s">
        <v>19</v>
      </c>
      <c r="D30" s="147">
        <v>0</v>
      </c>
    </row>
    <row r="31" spans="1:4" x14ac:dyDescent="0.25">
      <c r="A31">
        <v>29</v>
      </c>
      <c r="B31" t="s">
        <v>9</v>
      </c>
      <c r="C31" t="s">
        <v>17</v>
      </c>
      <c r="D31" s="147">
        <v>1.1792500000000001</v>
      </c>
    </row>
    <row r="32" spans="1:4" x14ac:dyDescent="0.25">
      <c r="A32">
        <v>30</v>
      </c>
      <c r="B32" t="s">
        <v>117</v>
      </c>
      <c r="C32" t="s">
        <v>17</v>
      </c>
      <c r="D32" s="147">
        <v>1.0109000000000001</v>
      </c>
    </row>
    <row r="33" spans="1:4" x14ac:dyDescent="0.25">
      <c r="A33">
        <v>31</v>
      </c>
      <c r="B33" t="s">
        <v>118</v>
      </c>
      <c r="C33" t="s">
        <v>18</v>
      </c>
      <c r="D33" s="147">
        <v>3.0327E-2</v>
      </c>
    </row>
    <row r="34" spans="1:4" x14ac:dyDescent="0.25">
      <c r="A34">
        <v>32</v>
      </c>
      <c r="B34" t="s">
        <v>119</v>
      </c>
      <c r="C34" t="s">
        <v>17</v>
      </c>
      <c r="D34" s="147">
        <v>6.480000000000001E-2</v>
      </c>
    </row>
    <row r="35" spans="1:4" x14ac:dyDescent="0.25">
      <c r="A35">
        <v>33</v>
      </c>
      <c r="B35" t="s">
        <v>120</v>
      </c>
      <c r="C35" t="s">
        <v>18</v>
      </c>
      <c r="D35" s="147">
        <v>1.9440000000000002E-3</v>
      </c>
    </row>
    <row r="36" spans="1:4" x14ac:dyDescent="0.25">
      <c r="A36">
        <v>34</v>
      </c>
      <c r="B36" t="s">
        <v>15</v>
      </c>
      <c r="C36" t="s">
        <v>17</v>
      </c>
      <c r="D36" s="147">
        <v>8.2067040000000002</v>
      </c>
    </row>
    <row r="37" spans="1:4" x14ac:dyDescent="0.25">
      <c r="A37" t="s">
        <v>146</v>
      </c>
      <c r="D37" s="147">
        <v>169.61487396000001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G236"/>
  <sheetViews>
    <sheetView topLeftCell="A181" workbookViewId="0">
      <selection activeCell="C235" sqref="C235"/>
    </sheetView>
  </sheetViews>
  <sheetFormatPr defaultRowHeight="15" x14ac:dyDescent="0.25"/>
  <cols>
    <col min="2" max="2" width="3" bestFit="1" customWidth="1"/>
    <col min="3" max="3" width="36" style="1" customWidth="1"/>
    <col min="6" max="6" width="14.5703125" customWidth="1"/>
    <col min="8" max="8" width="9" customWidth="1"/>
    <col min="9" max="9" width="7.5703125" bestFit="1" customWidth="1"/>
    <col min="10" max="10" width="9.42578125" customWidth="1"/>
    <col min="11" max="12" width="8.85546875" bestFit="1" customWidth="1"/>
    <col min="13" max="13" width="10.140625" bestFit="1" customWidth="1"/>
    <col min="14" max="14" width="8.7109375" bestFit="1" customWidth="1"/>
    <col min="15" max="15" width="11.28515625" customWidth="1"/>
    <col min="17" max="25" width="9.140625" customWidth="1"/>
    <col min="26" max="26" width="10.85546875" customWidth="1"/>
    <col min="27" max="33" width="9.140625" customWidth="1"/>
    <col min="37" max="54" width="9.140625" customWidth="1"/>
    <col min="55" max="55" width="9" customWidth="1"/>
  </cols>
  <sheetData>
    <row r="1" spans="2:21" ht="15.75" customHeight="1" thickBot="1" x14ac:dyDescent="0.3">
      <c r="G1" s="145" t="s">
        <v>144</v>
      </c>
      <c r="H1" s="145"/>
      <c r="I1" s="145"/>
      <c r="J1" s="145"/>
      <c r="K1" s="145"/>
      <c r="L1" s="145"/>
      <c r="M1" s="145"/>
      <c r="N1" s="145"/>
    </row>
    <row r="2" spans="2:21" ht="15.75" thickBot="1" x14ac:dyDescent="0.3">
      <c r="C2" s="98" t="s">
        <v>141</v>
      </c>
      <c r="D2" s="123" t="s">
        <v>140</v>
      </c>
      <c r="E2" s="133"/>
      <c r="G2" s="145"/>
      <c r="H2" s="145"/>
      <c r="I2" s="145"/>
      <c r="J2" s="145"/>
      <c r="K2" s="145"/>
      <c r="L2" s="145"/>
      <c r="M2" s="145"/>
      <c r="N2" s="145"/>
    </row>
    <row r="3" spans="2:21" ht="15.75" thickBot="1" x14ac:dyDescent="0.3">
      <c r="C3" s="107"/>
      <c r="D3" s="113"/>
      <c r="E3" s="115"/>
    </row>
    <row r="4" spans="2:21" ht="15.75" thickBot="1" x14ac:dyDescent="0.3">
      <c r="B4" s="139" t="s">
        <v>139</v>
      </c>
      <c r="C4" s="140"/>
      <c r="D4" s="140"/>
      <c r="E4" s="141"/>
    </row>
    <row r="5" spans="2:21" ht="86.25" customHeight="1" thickBot="1" x14ac:dyDescent="0.3">
      <c r="B5" s="142" t="s">
        <v>142</v>
      </c>
      <c r="C5" s="143"/>
      <c r="D5" s="143"/>
      <c r="E5" s="144"/>
      <c r="H5" s="112" t="s">
        <v>143</v>
      </c>
    </row>
    <row r="6" spans="2:21" ht="15.75" thickBot="1" x14ac:dyDescent="0.3">
      <c r="H6" s="57" t="s">
        <v>138</v>
      </c>
      <c r="I6" s="57" t="s">
        <v>137</v>
      </c>
      <c r="J6" s="83"/>
      <c r="K6" s="57" t="s">
        <v>138</v>
      </c>
      <c r="L6" s="57" t="s">
        <v>137</v>
      </c>
      <c r="M6" s="83"/>
      <c r="N6" s="57" t="s">
        <v>138</v>
      </c>
      <c r="O6" s="57" t="s">
        <v>137</v>
      </c>
      <c r="Q6" s="69" t="s">
        <v>138</v>
      </c>
      <c r="R6" s="69" t="s">
        <v>137</v>
      </c>
      <c r="T6" s="69" t="s">
        <v>138</v>
      </c>
      <c r="U6" s="69" t="s">
        <v>137</v>
      </c>
    </row>
    <row r="7" spans="2:21" ht="15.75" thickBot="1" x14ac:dyDescent="0.3">
      <c r="B7" s="92" t="s">
        <v>136</v>
      </c>
      <c r="C7" s="98" t="s">
        <v>133</v>
      </c>
      <c r="D7" s="99" t="s">
        <v>134</v>
      </c>
      <c r="E7" s="22" t="s">
        <v>135</v>
      </c>
      <c r="H7" s="15">
        <v>1</v>
      </c>
      <c r="I7" s="108"/>
      <c r="J7" s="83"/>
      <c r="K7" s="57">
        <v>38</v>
      </c>
      <c r="L7" s="108"/>
      <c r="M7" s="83"/>
      <c r="N7" s="57">
        <v>76</v>
      </c>
      <c r="O7" s="108"/>
      <c r="Q7" s="69">
        <v>114</v>
      </c>
      <c r="R7" s="108"/>
      <c r="T7" s="69">
        <v>152</v>
      </c>
      <c r="U7" s="108"/>
    </row>
    <row r="8" spans="2:21" x14ac:dyDescent="0.25">
      <c r="B8" s="90">
        <v>1</v>
      </c>
      <c r="C8" s="101" t="s">
        <v>0</v>
      </c>
      <c r="D8" s="73"/>
      <c r="E8" s="65" t="s">
        <v>17</v>
      </c>
      <c r="H8" s="15">
        <v>2</v>
      </c>
      <c r="I8" s="108"/>
      <c r="J8" s="83"/>
      <c r="K8" s="57">
        <v>39</v>
      </c>
      <c r="L8" s="108"/>
      <c r="M8" s="83"/>
      <c r="N8" s="57">
        <v>77</v>
      </c>
      <c r="O8" s="108"/>
      <c r="Q8" s="69">
        <v>115</v>
      </c>
      <c r="R8" s="108"/>
      <c r="T8" s="69">
        <v>153</v>
      </c>
      <c r="U8" s="108"/>
    </row>
    <row r="9" spans="2:21" x14ac:dyDescent="0.25">
      <c r="B9" s="59">
        <v>2</v>
      </c>
      <c r="C9" s="102" t="s">
        <v>1</v>
      </c>
      <c r="D9" s="74"/>
      <c r="E9" s="66" t="s">
        <v>17</v>
      </c>
      <c r="H9" s="15">
        <v>3</v>
      </c>
      <c r="I9" s="108"/>
      <c r="J9" s="83"/>
      <c r="K9" s="57">
        <v>40</v>
      </c>
      <c r="L9" s="108"/>
      <c r="M9" s="83"/>
      <c r="N9" s="57">
        <v>78</v>
      </c>
      <c r="O9" s="108"/>
      <c r="Q9" s="69">
        <v>116</v>
      </c>
      <c r="R9" s="108"/>
      <c r="T9" s="69">
        <v>154</v>
      </c>
      <c r="U9" s="108"/>
    </row>
    <row r="10" spans="2:21" x14ac:dyDescent="0.25">
      <c r="B10" s="59">
        <v>3</v>
      </c>
      <c r="C10" s="102" t="s">
        <v>2</v>
      </c>
      <c r="D10" s="74"/>
      <c r="E10" s="66" t="s">
        <v>17</v>
      </c>
      <c r="H10" s="15">
        <v>4</v>
      </c>
      <c r="I10" s="108"/>
      <c r="J10" s="83"/>
      <c r="K10" s="57">
        <v>41</v>
      </c>
      <c r="L10" s="108"/>
      <c r="M10" s="83"/>
      <c r="N10" s="57">
        <v>79</v>
      </c>
      <c r="O10" s="108"/>
      <c r="Q10" s="69">
        <v>117</v>
      </c>
      <c r="R10" s="108"/>
      <c r="T10" s="69">
        <v>155</v>
      </c>
      <c r="U10" s="108"/>
    </row>
    <row r="11" spans="2:21" x14ac:dyDescent="0.25">
      <c r="B11" s="59">
        <v>4</v>
      </c>
      <c r="C11" s="102" t="s">
        <v>12</v>
      </c>
      <c r="D11" s="74"/>
      <c r="E11" s="66" t="s">
        <v>18</v>
      </c>
      <c r="H11" s="15">
        <v>5</v>
      </c>
      <c r="I11" s="108"/>
      <c r="J11" s="83"/>
      <c r="K11" s="57">
        <v>42</v>
      </c>
      <c r="L11" s="108"/>
      <c r="M11" s="83"/>
      <c r="N11" s="57">
        <v>80</v>
      </c>
      <c r="O11" s="108"/>
      <c r="Q11" s="69">
        <v>118</v>
      </c>
      <c r="R11" s="108"/>
      <c r="T11" s="69">
        <v>156</v>
      </c>
      <c r="U11" s="108"/>
    </row>
    <row r="12" spans="2:21" x14ac:dyDescent="0.25">
      <c r="B12" s="59">
        <v>6</v>
      </c>
      <c r="C12" s="102" t="s">
        <v>3</v>
      </c>
      <c r="D12" s="74"/>
      <c r="E12" s="66" t="s">
        <v>17</v>
      </c>
      <c r="H12" s="15">
        <v>6</v>
      </c>
      <c r="I12" s="108"/>
      <c r="J12" s="83"/>
      <c r="K12" s="57">
        <v>43</v>
      </c>
      <c r="L12" s="108"/>
      <c r="M12" s="83"/>
      <c r="N12" s="57">
        <v>81</v>
      </c>
      <c r="O12" s="108"/>
      <c r="Q12" s="69">
        <v>119</v>
      </c>
      <c r="R12" s="108"/>
      <c r="T12" s="69">
        <v>157</v>
      </c>
      <c r="U12" s="108"/>
    </row>
    <row r="13" spans="2:21" x14ac:dyDescent="0.25">
      <c r="B13" s="59">
        <v>7</v>
      </c>
      <c r="C13" s="102" t="s">
        <v>4</v>
      </c>
      <c r="D13" s="74"/>
      <c r="E13" s="66" t="s">
        <v>17</v>
      </c>
      <c r="H13" s="15">
        <v>7</v>
      </c>
      <c r="I13" s="108"/>
      <c r="J13" s="83"/>
      <c r="K13" s="57">
        <v>44</v>
      </c>
      <c r="L13" s="108"/>
      <c r="M13" s="83"/>
      <c r="N13" s="57">
        <v>82</v>
      </c>
      <c r="O13" s="108"/>
      <c r="Q13" s="69">
        <v>120</v>
      </c>
      <c r="R13" s="108"/>
      <c r="T13" s="69">
        <v>158</v>
      </c>
      <c r="U13" s="108"/>
    </row>
    <row r="14" spans="2:21" x14ac:dyDescent="0.25">
      <c r="B14" s="59">
        <v>8</v>
      </c>
      <c r="C14" s="102" t="s">
        <v>5</v>
      </c>
      <c r="D14" s="74"/>
      <c r="E14" s="66" t="s">
        <v>18</v>
      </c>
      <c r="H14" s="15">
        <v>8</v>
      </c>
      <c r="I14" s="109"/>
      <c r="J14" s="83"/>
      <c r="K14" s="57">
        <v>45</v>
      </c>
      <c r="L14" s="108"/>
      <c r="M14" s="83"/>
      <c r="N14" s="57">
        <v>83</v>
      </c>
      <c r="O14" s="108"/>
      <c r="Q14" s="69">
        <v>121</v>
      </c>
      <c r="R14" s="108"/>
      <c r="T14" s="69">
        <v>159</v>
      </c>
      <c r="U14" s="108"/>
    </row>
    <row r="15" spans="2:21" x14ac:dyDescent="0.25">
      <c r="B15" s="59">
        <v>9</v>
      </c>
      <c r="C15" s="102" t="s">
        <v>20</v>
      </c>
      <c r="D15" s="74"/>
      <c r="E15" s="66" t="s">
        <v>21</v>
      </c>
      <c r="H15" s="15">
        <v>9</v>
      </c>
      <c r="I15" s="108"/>
      <c r="J15" s="83"/>
      <c r="K15" s="57">
        <v>46</v>
      </c>
      <c r="L15" s="108"/>
      <c r="M15" s="83"/>
      <c r="N15" s="57">
        <v>84</v>
      </c>
      <c r="O15" s="108"/>
      <c r="Q15" s="69">
        <v>122</v>
      </c>
      <c r="R15" s="108"/>
      <c r="T15" s="69">
        <v>160</v>
      </c>
      <c r="U15" s="108"/>
    </row>
    <row r="16" spans="2:21" x14ac:dyDescent="0.25">
      <c r="B16" s="59">
        <v>10</v>
      </c>
      <c r="C16" s="102" t="s">
        <v>62</v>
      </c>
      <c r="D16" s="74"/>
      <c r="E16" s="66" t="s">
        <v>18</v>
      </c>
      <c r="H16" s="15">
        <v>10</v>
      </c>
      <c r="I16" s="108"/>
      <c r="J16" s="83"/>
      <c r="K16" s="57">
        <v>47</v>
      </c>
      <c r="L16" s="108"/>
      <c r="M16" s="83"/>
      <c r="N16" s="57">
        <v>85</v>
      </c>
      <c r="O16" s="108"/>
      <c r="Q16" s="69">
        <v>123</v>
      </c>
      <c r="R16" s="108"/>
      <c r="T16" s="69">
        <v>161</v>
      </c>
      <c r="U16" s="108"/>
    </row>
    <row r="17" spans="2:21" x14ac:dyDescent="0.25">
      <c r="B17" s="59">
        <v>11</v>
      </c>
      <c r="C17" s="102" t="s">
        <v>66</v>
      </c>
      <c r="D17" s="74"/>
      <c r="E17" s="66" t="s">
        <v>21</v>
      </c>
      <c r="H17" s="15">
        <v>11</v>
      </c>
      <c r="I17" s="108"/>
      <c r="J17" s="83"/>
      <c r="K17" s="57">
        <v>48</v>
      </c>
      <c r="L17" s="108"/>
      <c r="M17" s="83"/>
      <c r="N17" s="57">
        <v>86</v>
      </c>
      <c r="O17" s="108"/>
      <c r="Q17" s="69">
        <v>124</v>
      </c>
      <c r="R17" s="108"/>
      <c r="T17" s="69">
        <v>162</v>
      </c>
      <c r="U17" s="108"/>
    </row>
    <row r="18" spans="2:21" x14ac:dyDescent="0.25">
      <c r="B18" s="59">
        <v>12</v>
      </c>
      <c r="C18" s="102" t="s">
        <v>67</v>
      </c>
      <c r="D18" s="74"/>
      <c r="E18" s="66" t="s">
        <v>18</v>
      </c>
      <c r="H18" s="15">
        <v>12</v>
      </c>
      <c r="I18" s="108"/>
      <c r="J18" s="83"/>
      <c r="K18" s="57">
        <v>49</v>
      </c>
      <c r="L18" s="108"/>
      <c r="M18" s="83"/>
      <c r="N18" s="57">
        <v>87</v>
      </c>
      <c r="O18" s="108"/>
      <c r="Q18" s="69">
        <v>125</v>
      </c>
      <c r="R18" s="108"/>
      <c r="T18" s="69">
        <v>163</v>
      </c>
      <c r="U18" s="108"/>
    </row>
    <row r="19" spans="2:21" x14ac:dyDescent="0.25">
      <c r="B19" s="59">
        <v>13</v>
      </c>
      <c r="C19" s="102" t="s">
        <v>68</v>
      </c>
      <c r="D19" s="74"/>
      <c r="E19" s="66" t="s">
        <v>18</v>
      </c>
      <c r="H19" s="15">
        <v>13</v>
      </c>
      <c r="I19" s="108"/>
      <c r="J19" s="83"/>
      <c r="K19" s="57">
        <v>50</v>
      </c>
      <c r="L19" s="108"/>
      <c r="M19" s="83"/>
      <c r="N19" s="57">
        <v>88</v>
      </c>
      <c r="O19" s="108"/>
      <c r="Q19" s="69">
        <v>126</v>
      </c>
      <c r="R19" s="108"/>
      <c r="T19" s="69">
        <v>164</v>
      </c>
      <c r="U19" s="108"/>
    </row>
    <row r="20" spans="2:21" x14ac:dyDescent="0.25">
      <c r="B20" s="59">
        <v>14</v>
      </c>
      <c r="C20" s="102" t="s">
        <v>6</v>
      </c>
      <c r="D20" s="74"/>
      <c r="E20" s="66" t="s">
        <v>18</v>
      </c>
      <c r="H20" s="15">
        <v>14</v>
      </c>
      <c r="I20" s="108"/>
      <c r="J20" s="83"/>
      <c r="K20" s="57">
        <v>51</v>
      </c>
      <c r="L20" s="108"/>
      <c r="M20" s="83"/>
      <c r="N20" s="57">
        <v>89</v>
      </c>
      <c r="O20" s="108"/>
      <c r="Q20" s="69">
        <v>127</v>
      </c>
      <c r="R20" s="108"/>
      <c r="T20" s="69">
        <v>165</v>
      </c>
      <c r="U20" s="108"/>
    </row>
    <row r="21" spans="2:21" x14ac:dyDescent="0.25">
      <c r="B21" s="59">
        <v>15</v>
      </c>
      <c r="C21" s="102" t="s">
        <v>37</v>
      </c>
      <c r="D21" s="74"/>
      <c r="E21" s="66" t="s">
        <v>18</v>
      </c>
      <c r="H21" s="15">
        <v>15</v>
      </c>
      <c r="I21" s="108"/>
      <c r="J21" s="83"/>
      <c r="K21" s="57">
        <v>52</v>
      </c>
      <c r="L21" s="108"/>
      <c r="M21" s="83"/>
      <c r="N21" s="57">
        <v>90</v>
      </c>
      <c r="O21" s="108"/>
      <c r="Q21" s="69">
        <v>128</v>
      </c>
      <c r="R21" s="108"/>
      <c r="T21" s="69">
        <v>166</v>
      </c>
      <c r="U21" s="108"/>
    </row>
    <row r="22" spans="2:21" x14ac:dyDescent="0.25">
      <c r="B22" s="59">
        <v>16</v>
      </c>
      <c r="C22" s="102" t="s">
        <v>10</v>
      </c>
      <c r="D22" s="74"/>
      <c r="E22" s="66" t="s">
        <v>17</v>
      </c>
      <c r="H22" s="15">
        <v>16</v>
      </c>
      <c r="I22" s="108"/>
      <c r="J22" s="83"/>
      <c r="K22" s="57">
        <v>53</v>
      </c>
      <c r="L22" s="108"/>
      <c r="M22" s="83"/>
      <c r="N22" s="57">
        <v>91</v>
      </c>
      <c r="O22" s="108"/>
      <c r="Q22" s="69">
        <v>129</v>
      </c>
      <c r="R22" s="108"/>
      <c r="T22" s="69">
        <v>167</v>
      </c>
      <c r="U22" s="108"/>
    </row>
    <row r="23" spans="2:21" x14ac:dyDescent="0.25">
      <c r="B23" s="59">
        <v>17</v>
      </c>
      <c r="C23" s="102" t="s">
        <v>11</v>
      </c>
      <c r="D23" s="74"/>
      <c r="E23" s="66" t="s">
        <v>17</v>
      </c>
      <c r="H23" s="15">
        <v>17</v>
      </c>
      <c r="I23" s="108"/>
      <c r="J23" s="83"/>
      <c r="K23" s="57">
        <v>54</v>
      </c>
      <c r="L23" s="108"/>
      <c r="M23" s="83"/>
      <c r="N23" s="57">
        <v>92</v>
      </c>
      <c r="O23" s="108"/>
      <c r="Q23" s="69">
        <v>130</v>
      </c>
      <c r="R23" s="108"/>
      <c r="T23" s="69">
        <v>168</v>
      </c>
      <c r="U23" s="108"/>
    </row>
    <row r="24" spans="2:21" x14ac:dyDescent="0.25">
      <c r="B24" s="59"/>
      <c r="C24" s="104" t="s">
        <v>131</v>
      </c>
      <c r="D24" s="74"/>
      <c r="E24" s="66"/>
      <c r="H24" s="15">
        <v>18</v>
      </c>
      <c r="I24" s="108"/>
      <c r="J24" s="83"/>
      <c r="K24" s="57">
        <v>55</v>
      </c>
      <c r="L24" s="108"/>
      <c r="M24" s="83"/>
      <c r="N24" s="57">
        <v>93</v>
      </c>
      <c r="O24" s="108"/>
      <c r="Q24" s="69">
        <v>131</v>
      </c>
      <c r="R24" s="108"/>
      <c r="T24" s="69">
        <v>169</v>
      </c>
      <c r="U24" s="108"/>
    </row>
    <row r="25" spans="2:21" x14ac:dyDescent="0.25">
      <c r="B25" s="59">
        <v>18</v>
      </c>
      <c r="C25" s="102" t="s">
        <v>115</v>
      </c>
      <c r="D25" s="74"/>
      <c r="E25" s="66" t="s">
        <v>17</v>
      </c>
      <c r="H25" s="15">
        <v>19</v>
      </c>
      <c r="I25" s="108"/>
      <c r="J25" s="83"/>
      <c r="K25" s="57">
        <v>56</v>
      </c>
      <c r="L25" s="108"/>
      <c r="M25" s="83"/>
      <c r="N25" s="57">
        <v>94</v>
      </c>
      <c r="O25" s="108"/>
      <c r="Q25" s="69">
        <v>132</v>
      </c>
      <c r="R25" s="108"/>
      <c r="T25" s="69">
        <v>170</v>
      </c>
      <c r="U25" s="108"/>
    </row>
    <row r="26" spans="2:21" x14ac:dyDescent="0.25">
      <c r="B26" s="59">
        <v>19</v>
      </c>
      <c r="C26" s="102" t="s">
        <v>107</v>
      </c>
      <c r="D26" s="74"/>
      <c r="E26" s="66" t="s">
        <v>19</v>
      </c>
      <c r="H26" s="15">
        <v>20</v>
      </c>
      <c r="I26" s="108"/>
      <c r="J26" s="83"/>
      <c r="K26" s="57">
        <v>57</v>
      </c>
      <c r="L26" s="108"/>
      <c r="M26" s="83"/>
      <c r="N26" s="57">
        <v>95</v>
      </c>
      <c r="O26" s="108"/>
      <c r="Q26" s="69">
        <v>133</v>
      </c>
      <c r="R26" s="108"/>
      <c r="T26" s="69">
        <v>171</v>
      </c>
      <c r="U26" s="108"/>
    </row>
    <row r="27" spans="2:21" x14ac:dyDescent="0.25">
      <c r="B27" s="59"/>
      <c r="C27" s="104" t="s">
        <v>16</v>
      </c>
      <c r="D27" s="74"/>
      <c r="E27" s="66"/>
      <c r="H27" s="15">
        <v>21</v>
      </c>
      <c r="I27" s="108"/>
      <c r="J27" s="83"/>
      <c r="K27" s="57">
        <v>58</v>
      </c>
      <c r="L27" s="108"/>
      <c r="M27" s="83"/>
      <c r="N27" s="57">
        <v>96</v>
      </c>
      <c r="O27" s="108"/>
      <c r="Q27" s="69">
        <v>134</v>
      </c>
      <c r="R27" s="108"/>
      <c r="T27" s="69">
        <v>172</v>
      </c>
      <c r="U27" s="108"/>
    </row>
    <row r="28" spans="2:21" x14ac:dyDescent="0.25">
      <c r="B28" s="59">
        <v>20</v>
      </c>
      <c r="C28" s="102" t="s">
        <v>13</v>
      </c>
      <c r="D28" s="74"/>
      <c r="E28" s="66" t="s">
        <v>19</v>
      </c>
      <c r="H28" s="15">
        <v>22</v>
      </c>
      <c r="I28" s="108"/>
      <c r="J28" s="83"/>
      <c r="K28" s="57">
        <v>59</v>
      </c>
      <c r="L28" s="108"/>
      <c r="M28" s="83"/>
      <c r="N28" s="57">
        <v>97</v>
      </c>
      <c r="O28" s="108"/>
      <c r="Q28" s="69">
        <v>135</v>
      </c>
      <c r="R28" s="108"/>
      <c r="T28" s="69">
        <v>173</v>
      </c>
      <c r="U28" s="108"/>
    </row>
    <row r="29" spans="2:21" x14ac:dyDescent="0.25">
      <c r="B29" s="59"/>
      <c r="C29" s="104" t="s">
        <v>7</v>
      </c>
      <c r="D29" s="74"/>
      <c r="E29" s="66"/>
      <c r="H29" s="15">
        <v>23</v>
      </c>
      <c r="I29" s="108"/>
      <c r="J29" s="83"/>
      <c r="K29" s="57">
        <v>60</v>
      </c>
      <c r="L29" s="108"/>
      <c r="M29" s="83"/>
      <c r="N29" s="57">
        <v>98</v>
      </c>
      <c r="O29" s="108"/>
      <c r="Q29" s="69">
        <v>136</v>
      </c>
      <c r="R29" s="108"/>
      <c r="T29" s="69">
        <v>174</v>
      </c>
      <c r="U29" s="108"/>
    </row>
    <row r="30" spans="2:21" x14ac:dyDescent="0.25">
      <c r="B30" s="59">
        <v>21</v>
      </c>
      <c r="C30" s="102" t="s">
        <v>14</v>
      </c>
      <c r="D30" s="74"/>
      <c r="E30" s="66" t="s">
        <v>19</v>
      </c>
      <c r="H30" s="15">
        <v>24</v>
      </c>
      <c r="I30" s="108"/>
      <c r="J30" s="83"/>
      <c r="K30" s="57">
        <v>61</v>
      </c>
      <c r="L30" s="108"/>
      <c r="M30" s="83"/>
      <c r="N30" s="57">
        <v>99</v>
      </c>
      <c r="O30" s="108"/>
      <c r="Q30" s="69">
        <v>137</v>
      </c>
      <c r="R30" s="108"/>
      <c r="T30" s="69">
        <v>175</v>
      </c>
      <c r="U30" s="108"/>
    </row>
    <row r="31" spans="2:21" x14ac:dyDescent="0.25">
      <c r="B31" s="59">
        <v>22</v>
      </c>
      <c r="C31" s="102" t="s">
        <v>95</v>
      </c>
      <c r="D31" s="74"/>
      <c r="E31" s="66" t="s">
        <v>19</v>
      </c>
      <c r="H31" s="15">
        <v>25</v>
      </c>
      <c r="I31" s="108"/>
      <c r="J31" s="83"/>
      <c r="K31" s="57">
        <v>62</v>
      </c>
      <c r="L31" s="108"/>
      <c r="M31" s="83"/>
      <c r="N31" s="57">
        <v>100</v>
      </c>
      <c r="O31" s="108"/>
      <c r="Q31" s="69">
        <v>138</v>
      </c>
      <c r="R31" s="108"/>
      <c r="T31" s="69">
        <v>176</v>
      </c>
      <c r="U31" s="108"/>
    </row>
    <row r="32" spans="2:21" x14ac:dyDescent="0.25">
      <c r="B32" s="59">
        <v>23</v>
      </c>
      <c r="C32" s="102" t="s">
        <v>71</v>
      </c>
      <c r="D32" s="74"/>
      <c r="E32" s="66" t="s">
        <v>19</v>
      </c>
      <c r="H32" s="15">
        <v>26</v>
      </c>
      <c r="I32" s="108"/>
      <c r="J32" s="83"/>
      <c r="K32" s="57">
        <v>63</v>
      </c>
      <c r="L32" s="108"/>
      <c r="M32" s="83"/>
      <c r="N32" s="57">
        <v>101</v>
      </c>
      <c r="O32" s="108"/>
      <c r="Q32" s="69">
        <v>139</v>
      </c>
      <c r="R32" s="108"/>
      <c r="T32" s="69">
        <v>177</v>
      </c>
      <c r="U32" s="108"/>
    </row>
    <row r="33" spans="2:21" x14ac:dyDescent="0.25">
      <c r="B33" s="59"/>
      <c r="C33" s="104" t="s">
        <v>8</v>
      </c>
      <c r="D33" s="74"/>
      <c r="E33" s="66"/>
      <c r="H33" s="15">
        <v>27</v>
      </c>
      <c r="I33" s="108"/>
      <c r="J33" s="83"/>
      <c r="K33" s="57">
        <v>64</v>
      </c>
      <c r="L33" s="108"/>
      <c r="M33" s="83"/>
      <c r="N33" s="57">
        <v>102</v>
      </c>
      <c r="O33" s="108"/>
      <c r="Q33" s="69">
        <v>140</v>
      </c>
      <c r="R33" s="108"/>
      <c r="T33" s="69">
        <v>178</v>
      </c>
      <c r="U33" s="108"/>
    </row>
    <row r="34" spans="2:21" x14ac:dyDescent="0.25">
      <c r="B34" s="59">
        <v>24</v>
      </c>
      <c r="C34" s="102" t="s">
        <v>103</v>
      </c>
      <c r="D34" s="74"/>
      <c r="E34" s="66" t="s">
        <v>19</v>
      </c>
      <c r="H34" s="15">
        <v>28</v>
      </c>
      <c r="I34" s="108"/>
      <c r="J34" s="83"/>
      <c r="K34" s="57">
        <v>65</v>
      </c>
      <c r="L34" s="108"/>
      <c r="M34" s="83"/>
      <c r="N34" s="57">
        <v>103</v>
      </c>
      <c r="O34" s="108"/>
      <c r="Q34" s="69">
        <v>141</v>
      </c>
      <c r="R34" s="108"/>
      <c r="T34" s="69">
        <v>179</v>
      </c>
      <c r="U34" s="108"/>
    </row>
    <row r="35" spans="2:21" x14ac:dyDescent="0.25">
      <c r="B35" s="59">
        <v>25</v>
      </c>
      <c r="C35" s="102" t="s">
        <v>107</v>
      </c>
      <c r="D35" s="74"/>
      <c r="E35" s="66" t="s">
        <v>19</v>
      </c>
      <c r="H35" s="15">
        <v>29</v>
      </c>
      <c r="I35" s="108"/>
      <c r="J35" s="83"/>
      <c r="K35" s="57">
        <v>66</v>
      </c>
      <c r="L35" s="108"/>
      <c r="M35" s="83"/>
      <c r="N35" s="57">
        <v>104</v>
      </c>
      <c r="O35" s="108"/>
      <c r="Q35" s="69">
        <v>142</v>
      </c>
      <c r="R35" s="108"/>
      <c r="T35" s="69">
        <v>180</v>
      </c>
      <c r="U35" s="108"/>
    </row>
    <row r="36" spans="2:21" x14ac:dyDescent="0.25">
      <c r="B36" s="59">
        <v>26</v>
      </c>
      <c r="C36" s="102" t="s">
        <v>111</v>
      </c>
      <c r="D36" s="74"/>
      <c r="E36" s="66" t="s">
        <v>19</v>
      </c>
      <c r="H36" s="15">
        <v>30</v>
      </c>
      <c r="I36" s="108"/>
      <c r="J36" s="83"/>
      <c r="K36" s="57">
        <v>67</v>
      </c>
      <c r="L36" s="108"/>
      <c r="M36" s="83"/>
      <c r="N36" s="57">
        <v>105</v>
      </c>
      <c r="O36" s="108"/>
      <c r="Q36" s="69">
        <v>143</v>
      </c>
      <c r="R36" s="108"/>
      <c r="T36" s="69">
        <v>181</v>
      </c>
      <c r="U36" s="108"/>
    </row>
    <row r="37" spans="2:21" x14ac:dyDescent="0.25">
      <c r="B37" s="59">
        <v>27</v>
      </c>
      <c r="C37" s="102" t="s">
        <v>102</v>
      </c>
      <c r="D37" s="74"/>
      <c r="E37" s="66" t="s">
        <v>19</v>
      </c>
      <c r="H37" s="15">
        <v>31</v>
      </c>
      <c r="I37" s="108"/>
      <c r="J37" s="83"/>
      <c r="K37" s="57">
        <v>68</v>
      </c>
      <c r="L37" s="108"/>
      <c r="M37" s="83"/>
      <c r="N37" s="57">
        <v>106</v>
      </c>
      <c r="O37" s="108"/>
      <c r="Q37" s="69">
        <v>144</v>
      </c>
      <c r="R37" s="108"/>
      <c r="T37" s="69">
        <v>182</v>
      </c>
      <c r="U37" s="108"/>
    </row>
    <row r="38" spans="2:21" x14ac:dyDescent="0.25">
      <c r="B38" s="59">
        <v>28</v>
      </c>
      <c r="C38" s="102" t="s">
        <v>110</v>
      </c>
      <c r="D38" s="74"/>
      <c r="E38" s="66" t="s">
        <v>19</v>
      </c>
      <c r="H38" s="15">
        <v>32</v>
      </c>
      <c r="I38" s="108"/>
      <c r="J38" s="83"/>
      <c r="K38" s="57">
        <v>69</v>
      </c>
      <c r="L38" s="108"/>
      <c r="M38" s="83"/>
      <c r="N38" s="57">
        <v>107</v>
      </c>
      <c r="O38" s="108"/>
      <c r="Q38" s="69">
        <v>145</v>
      </c>
      <c r="R38" s="108"/>
      <c r="T38" s="69">
        <v>183</v>
      </c>
      <c r="U38" s="108"/>
    </row>
    <row r="39" spans="2:21" x14ac:dyDescent="0.25">
      <c r="B39" s="59">
        <v>29</v>
      </c>
      <c r="C39" s="102" t="s">
        <v>9</v>
      </c>
      <c r="D39" s="74"/>
      <c r="E39" s="66" t="s">
        <v>17</v>
      </c>
      <c r="H39" s="15">
        <v>33</v>
      </c>
      <c r="I39" s="108"/>
      <c r="J39" s="83"/>
      <c r="K39" s="57">
        <v>70</v>
      </c>
      <c r="L39" s="108"/>
      <c r="M39" s="83"/>
      <c r="N39" s="57">
        <v>108</v>
      </c>
      <c r="O39" s="108"/>
      <c r="Q39" s="69">
        <v>146</v>
      </c>
      <c r="R39" s="108"/>
      <c r="T39" s="69">
        <v>184</v>
      </c>
      <c r="U39" s="108"/>
    </row>
    <row r="40" spans="2:21" x14ac:dyDescent="0.25">
      <c r="B40" s="59">
        <v>30</v>
      </c>
      <c r="C40" s="102" t="s">
        <v>117</v>
      </c>
      <c r="D40" s="74"/>
      <c r="E40" s="66" t="s">
        <v>17</v>
      </c>
      <c r="H40" s="15">
        <v>34</v>
      </c>
      <c r="I40" s="108"/>
      <c r="J40" s="83"/>
      <c r="K40" s="57">
        <v>71</v>
      </c>
      <c r="L40" s="108"/>
      <c r="M40" s="83"/>
      <c r="N40" s="57">
        <v>109</v>
      </c>
      <c r="O40" s="108"/>
      <c r="Q40" s="69">
        <v>147</v>
      </c>
      <c r="R40" s="108"/>
      <c r="T40" s="69">
        <v>185</v>
      </c>
      <c r="U40" s="108"/>
    </row>
    <row r="41" spans="2:21" x14ac:dyDescent="0.25">
      <c r="B41" s="59">
        <v>31</v>
      </c>
      <c r="C41" s="102" t="s">
        <v>118</v>
      </c>
      <c r="D41" s="74"/>
      <c r="E41" s="66" t="s">
        <v>18</v>
      </c>
      <c r="H41" s="15">
        <v>35</v>
      </c>
      <c r="I41" s="108"/>
      <c r="J41" s="83"/>
      <c r="K41" s="57">
        <v>72</v>
      </c>
      <c r="L41" s="108"/>
      <c r="M41" s="83"/>
      <c r="N41" s="57">
        <v>110</v>
      </c>
      <c r="O41" s="108"/>
      <c r="Q41" s="69">
        <v>148</v>
      </c>
      <c r="R41" s="108"/>
      <c r="T41" s="69">
        <v>186</v>
      </c>
      <c r="U41" s="108"/>
    </row>
    <row r="42" spans="2:21" x14ac:dyDescent="0.25">
      <c r="B42" s="59">
        <v>32</v>
      </c>
      <c r="C42" s="102" t="s">
        <v>119</v>
      </c>
      <c r="D42" s="74"/>
      <c r="E42" s="66" t="s">
        <v>17</v>
      </c>
      <c r="H42" s="15">
        <v>36</v>
      </c>
      <c r="I42" s="108"/>
      <c r="J42" s="83"/>
      <c r="K42" s="57">
        <v>73</v>
      </c>
      <c r="L42" s="108"/>
      <c r="M42" s="83"/>
      <c r="N42" s="57">
        <v>111</v>
      </c>
      <c r="O42" s="108"/>
      <c r="Q42" s="69">
        <v>149</v>
      </c>
      <c r="R42" s="108"/>
      <c r="T42" s="69">
        <v>187</v>
      </c>
      <c r="U42" s="108"/>
    </row>
    <row r="43" spans="2:21" x14ac:dyDescent="0.25">
      <c r="B43" s="59">
        <v>33</v>
      </c>
      <c r="C43" s="102" t="s">
        <v>120</v>
      </c>
      <c r="D43" s="74"/>
      <c r="E43" s="66" t="s">
        <v>18</v>
      </c>
      <c r="H43" s="15">
        <v>37</v>
      </c>
      <c r="I43" s="108"/>
      <c r="J43" s="83"/>
      <c r="K43" s="57">
        <v>74</v>
      </c>
      <c r="L43" s="108"/>
      <c r="M43" s="83"/>
      <c r="N43" s="57">
        <v>112</v>
      </c>
      <c r="O43" s="108"/>
      <c r="Q43" s="69">
        <v>150</v>
      </c>
      <c r="R43" s="108"/>
      <c r="T43" s="69">
        <v>188</v>
      </c>
      <c r="U43" s="108"/>
    </row>
    <row r="44" spans="2:21" ht="15.75" thickBot="1" x14ac:dyDescent="0.3">
      <c r="B44" s="100">
        <v>34</v>
      </c>
      <c r="C44" s="103" t="s">
        <v>15</v>
      </c>
      <c r="D44" s="81"/>
      <c r="E44" s="67" t="s">
        <v>17</v>
      </c>
      <c r="H44" s="15">
        <v>38</v>
      </c>
      <c r="I44" s="108"/>
      <c r="J44" s="83"/>
      <c r="K44" s="57">
        <v>75</v>
      </c>
      <c r="L44" s="108"/>
      <c r="M44" s="83"/>
      <c r="N44" s="57">
        <v>113</v>
      </c>
      <c r="O44" s="108"/>
      <c r="Q44" s="69">
        <v>151</v>
      </c>
      <c r="R44" s="108"/>
      <c r="T44" s="69">
        <v>189</v>
      </c>
      <c r="U44" s="108"/>
    </row>
    <row r="45" spans="2:21" x14ac:dyDescent="0.25">
      <c r="B45" s="105"/>
      <c r="C45" s="105"/>
      <c r="D45" s="105"/>
      <c r="E45" s="105"/>
    </row>
    <row r="46" spans="2:21" ht="18" customHeight="1" x14ac:dyDescent="0.25">
      <c r="B46" s="106"/>
      <c r="C46" s="106"/>
      <c r="D46" s="106"/>
      <c r="E46" s="106"/>
    </row>
    <row r="52" spans="1:59" ht="15.75" thickBot="1" x14ac:dyDescent="0.3"/>
    <row r="53" spans="1:59" ht="15.75" thickBot="1" x14ac:dyDescent="0.3">
      <c r="B53" s="2"/>
      <c r="C53" s="3"/>
      <c r="D53" s="4"/>
      <c r="E53" s="4"/>
      <c r="F53" s="5"/>
      <c r="G53" s="2"/>
      <c r="H53" s="19" t="s">
        <v>22</v>
      </c>
      <c r="I53" s="19"/>
      <c r="J53" s="19"/>
      <c r="K53" s="4"/>
      <c r="L53" s="4"/>
      <c r="M53" s="4"/>
      <c r="N53" s="4"/>
      <c r="O53" s="4"/>
      <c r="P53" s="5"/>
      <c r="Q53" s="97" t="s">
        <v>109</v>
      </c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5"/>
    </row>
    <row r="54" spans="1:59" ht="19.5" thickBot="1" x14ac:dyDescent="0.45">
      <c r="A54" s="111"/>
      <c r="B54" s="6"/>
      <c r="C54" s="52" t="s">
        <v>80</v>
      </c>
      <c r="D54" s="56">
        <v>1</v>
      </c>
      <c r="E54" s="8"/>
      <c r="F54" s="50" t="s">
        <v>69</v>
      </c>
      <c r="G54" s="6"/>
      <c r="H54" s="113" t="s">
        <v>58</v>
      </c>
      <c r="I54" s="114"/>
      <c r="J54" s="114"/>
      <c r="K54" s="114"/>
      <c r="L54" s="114"/>
      <c r="M54" s="114"/>
      <c r="N54" s="114"/>
      <c r="O54" s="115"/>
      <c r="P54" s="9"/>
      <c r="Q54" s="6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9"/>
    </row>
    <row r="55" spans="1:59" ht="19.5" thickBot="1" x14ac:dyDescent="0.3">
      <c r="B55" s="6"/>
      <c r="C55" s="7"/>
      <c r="D55" s="8"/>
      <c r="E55" s="8"/>
      <c r="F55" s="49" t="str">
        <f>IF(H63&gt;0,H55,0)</f>
        <v>ПГП</v>
      </c>
      <c r="G55" s="6"/>
      <c r="H55" s="33" t="s">
        <v>23</v>
      </c>
      <c r="I55" s="33" t="s">
        <v>24</v>
      </c>
      <c r="J55" s="33" t="s">
        <v>25</v>
      </c>
      <c r="K55" s="33" t="s">
        <v>26</v>
      </c>
      <c r="L55" s="33" t="s">
        <v>27</v>
      </c>
      <c r="M55" s="33" t="s">
        <v>28</v>
      </c>
      <c r="N55" s="33" t="s">
        <v>29</v>
      </c>
      <c r="O55" s="51" t="s">
        <v>38</v>
      </c>
      <c r="P55" s="9"/>
      <c r="Q55" s="6"/>
      <c r="R55" s="113" t="s">
        <v>59</v>
      </c>
      <c r="S55" s="114"/>
      <c r="T55" s="114"/>
      <c r="U55" s="114"/>
      <c r="V55" s="114"/>
      <c r="W55" s="114"/>
      <c r="X55" s="115"/>
      <c r="Y55" s="8"/>
      <c r="Z55" s="116" t="s">
        <v>81</v>
      </c>
      <c r="AA55" s="116"/>
      <c r="AB55" s="13" t="s">
        <v>82</v>
      </c>
      <c r="AC55" s="8"/>
      <c r="AD55" s="8"/>
      <c r="AE55" s="8"/>
      <c r="AF55" s="8"/>
      <c r="AG55" s="8"/>
      <c r="AH55" s="8"/>
      <c r="AI55" s="8"/>
      <c r="AJ55" s="65"/>
      <c r="AK55" s="80"/>
      <c r="AL55" s="130" t="s">
        <v>102</v>
      </c>
      <c r="AM55" s="131"/>
      <c r="AN55" s="132"/>
      <c r="AO55" s="127" t="s">
        <v>110</v>
      </c>
      <c r="AP55" s="128"/>
      <c r="AQ55" s="129"/>
      <c r="AR55" s="130" t="s">
        <v>103</v>
      </c>
      <c r="AS55" s="131"/>
      <c r="AT55" s="132"/>
      <c r="AU55" s="130" t="s">
        <v>107</v>
      </c>
      <c r="AV55" s="131"/>
      <c r="AW55" s="132"/>
      <c r="AX55" s="130" t="s">
        <v>111</v>
      </c>
      <c r="AY55" s="131"/>
      <c r="AZ55" s="132"/>
      <c r="BA55" s="88" t="s">
        <v>104</v>
      </c>
      <c r="BB55" s="65" t="s">
        <v>116</v>
      </c>
      <c r="BC55" s="123" t="s">
        <v>121</v>
      </c>
      <c r="BD55" s="123"/>
      <c r="BE55" s="133"/>
      <c r="BF55" s="8"/>
      <c r="BG55" s="9"/>
    </row>
    <row r="56" spans="1:59" ht="19.5" thickBot="1" x14ac:dyDescent="0.3">
      <c r="A56" t="s">
        <v>145</v>
      </c>
      <c r="B56" s="92" t="s">
        <v>136</v>
      </c>
      <c r="C56" s="98" t="s">
        <v>133</v>
      </c>
      <c r="D56" s="99" t="s">
        <v>134</v>
      </c>
      <c r="E56" s="22" t="s">
        <v>135</v>
      </c>
      <c r="F56" s="49">
        <f>IF(I63&gt;0,I55,0)</f>
        <v>0</v>
      </c>
      <c r="G56" s="6"/>
      <c r="H56" s="17">
        <v>10</v>
      </c>
      <c r="I56" s="17"/>
      <c r="J56" s="17"/>
      <c r="K56" s="17"/>
      <c r="L56" s="17"/>
      <c r="M56" s="17"/>
      <c r="N56" s="17"/>
      <c r="O56" s="17"/>
      <c r="P56" s="9"/>
      <c r="Q56" s="6"/>
      <c r="R56" s="32" t="s">
        <v>23</v>
      </c>
      <c r="S56" s="33" t="s">
        <v>24</v>
      </c>
      <c r="T56" s="33" t="s">
        <v>25</v>
      </c>
      <c r="U56" s="33" t="s">
        <v>26</v>
      </c>
      <c r="V56" s="33" t="s">
        <v>27</v>
      </c>
      <c r="W56" s="33" t="s">
        <v>28</v>
      </c>
      <c r="X56" s="34" t="s">
        <v>29</v>
      </c>
      <c r="Y56" s="8"/>
      <c r="Z56" s="116" t="s">
        <v>83</v>
      </c>
      <c r="AA56" s="116"/>
      <c r="AB56" s="13">
        <f>0.222/1000</f>
        <v>2.22E-4</v>
      </c>
      <c r="AC56" s="8"/>
      <c r="AD56" s="8"/>
      <c r="AE56" s="8"/>
      <c r="AF56" s="8"/>
      <c r="AG56" s="8"/>
      <c r="AH56" s="8"/>
      <c r="AI56" s="8"/>
      <c r="AJ56" s="67"/>
      <c r="AK56" s="81" t="s">
        <v>105</v>
      </c>
      <c r="AL56" s="28" t="s">
        <v>21</v>
      </c>
      <c r="AM56" s="20" t="s">
        <v>105</v>
      </c>
      <c r="AN56" s="29" t="s">
        <v>19</v>
      </c>
      <c r="AO56" s="28" t="s">
        <v>21</v>
      </c>
      <c r="AP56" s="20" t="s">
        <v>105</v>
      </c>
      <c r="AQ56" s="29" t="s">
        <v>19</v>
      </c>
      <c r="AR56" s="28" t="s">
        <v>21</v>
      </c>
      <c r="AS56" s="20" t="s">
        <v>105</v>
      </c>
      <c r="AT56" s="29" t="s">
        <v>19</v>
      </c>
      <c r="AU56" s="28" t="s">
        <v>21</v>
      </c>
      <c r="AV56" s="20" t="s">
        <v>105</v>
      </c>
      <c r="AW56" s="29" t="s">
        <v>19</v>
      </c>
      <c r="AX56" s="28" t="s">
        <v>21</v>
      </c>
      <c r="AY56" s="20" t="s">
        <v>105</v>
      </c>
      <c r="AZ56" s="29" t="s">
        <v>19</v>
      </c>
      <c r="BA56" s="89" t="s">
        <v>17</v>
      </c>
      <c r="BB56" s="67" t="s">
        <v>17</v>
      </c>
      <c r="BC56" s="93" t="s">
        <v>126</v>
      </c>
      <c r="BD56" s="20" t="s">
        <v>63</v>
      </c>
      <c r="BE56" s="85" t="s">
        <v>122</v>
      </c>
      <c r="BF56" s="8"/>
      <c r="BG56" s="9"/>
    </row>
    <row r="57" spans="1:59" ht="19.5" thickBot="1" x14ac:dyDescent="0.3">
      <c r="A57">
        <v>1</v>
      </c>
      <c r="B57" s="16">
        <v>1</v>
      </c>
      <c r="C57" s="14" t="s">
        <v>0</v>
      </c>
      <c r="D57" s="37">
        <f>(H63*M65)-IF(H63&gt;0,N73,0)</f>
        <v>26.058499999999999</v>
      </c>
      <c r="E57" s="57" t="s">
        <v>17</v>
      </c>
      <c r="F57" s="49">
        <f>IF(J63&gt;4,J55,0)</f>
        <v>0</v>
      </c>
      <c r="G57" s="6"/>
      <c r="H57" s="17"/>
      <c r="I57" s="17"/>
      <c r="J57" s="17"/>
      <c r="K57" s="17"/>
      <c r="L57" s="17"/>
      <c r="M57" s="17"/>
      <c r="N57" s="17"/>
      <c r="O57" s="17"/>
      <c r="P57" s="9"/>
      <c r="Q57" s="6"/>
      <c r="R57" s="30">
        <v>0.02</v>
      </c>
      <c r="S57" s="21">
        <v>0.01</v>
      </c>
      <c r="T57" s="21">
        <v>0.01</v>
      </c>
      <c r="U57" s="21">
        <v>0.02</v>
      </c>
      <c r="V57" s="21">
        <v>0.02</v>
      </c>
      <c r="W57" s="21">
        <v>0.01</v>
      </c>
      <c r="X57" s="31">
        <v>0.01</v>
      </c>
      <c r="Y57" s="8"/>
      <c r="Z57" s="116" t="s">
        <v>84</v>
      </c>
      <c r="AA57" s="116"/>
      <c r="AB57" s="13">
        <f>0.395/1000</f>
        <v>3.9500000000000001E-4</v>
      </c>
      <c r="AC57" s="8"/>
      <c r="AD57" s="8"/>
      <c r="AE57" s="8"/>
      <c r="AF57" s="8"/>
      <c r="AG57" s="8"/>
      <c r="AH57" s="8"/>
      <c r="AI57" s="8">
        <v>90</v>
      </c>
      <c r="AJ57" s="68" t="s">
        <v>43</v>
      </c>
      <c r="AK57" s="73">
        <f>IF(I63&gt;0,I70,0)</f>
        <v>0</v>
      </c>
      <c r="AL57" s="32">
        <v>1.05</v>
      </c>
      <c r="AM57" s="33">
        <v>2</v>
      </c>
      <c r="AN57" s="34">
        <f>AL57*AM57*AK57*AB59</f>
        <v>0</v>
      </c>
      <c r="AO57" s="32"/>
      <c r="AP57" s="33"/>
      <c r="AQ57" s="34"/>
      <c r="AR57" s="32"/>
      <c r="AS57" s="33"/>
      <c r="AT57" s="34"/>
      <c r="AU57" s="32"/>
      <c r="AV57" s="33"/>
      <c r="AW57" s="34"/>
      <c r="AX57" s="32"/>
      <c r="AY57" s="33"/>
      <c r="AZ57" s="34"/>
      <c r="BA57" s="90">
        <f>0.245*AL57*AK57</f>
        <v>0</v>
      </c>
      <c r="BB57" s="68">
        <f>3.14*0.016*AL57*AM57*AK57</f>
        <v>0</v>
      </c>
      <c r="BC57" s="78">
        <v>0.71</v>
      </c>
      <c r="BD57" s="33">
        <v>0.9</v>
      </c>
      <c r="BE57" s="34">
        <f>BC57*BD57*AK57</f>
        <v>0</v>
      </c>
      <c r="BF57" s="8"/>
      <c r="BG57" s="9"/>
    </row>
    <row r="58" spans="1:59" ht="19.5" thickBot="1" x14ac:dyDescent="0.3">
      <c r="A58">
        <v>1</v>
      </c>
      <c r="B58" s="16">
        <v>2</v>
      </c>
      <c r="C58" s="14" t="s">
        <v>1</v>
      </c>
      <c r="D58" s="37">
        <f>(I63*M65)-IF(I63&gt;0,N73,0)</f>
        <v>0</v>
      </c>
      <c r="E58" s="57" t="s">
        <v>17</v>
      </c>
      <c r="F58" s="49">
        <f>IF(K63&gt;0,K55,0)</f>
        <v>0</v>
      </c>
      <c r="G58" s="6"/>
      <c r="H58" s="17"/>
      <c r="I58" s="17"/>
      <c r="J58" s="17"/>
      <c r="K58" s="17"/>
      <c r="L58" s="17"/>
      <c r="M58" s="17"/>
      <c r="N58" s="17"/>
      <c r="O58" s="17"/>
      <c r="P58" s="9"/>
      <c r="Q58" s="6"/>
      <c r="R58" s="113" t="s">
        <v>127</v>
      </c>
      <c r="S58" s="114"/>
      <c r="T58" s="114"/>
      <c r="U58" s="114"/>
      <c r="V58" s="114"/>
      <c r="W58" s="114"/>
      <c r="X58" s="115"/>
      <c r="Y58" s="8"/>
      <c r="Z58" s="116" t="s">
        <v>89</v>
      </c>
      <c r="AA58" s="116"/>
      <c r="AB58" s="13">
        <f>1.57/1000</f>
        <v>1.57E-3</v>
      </c>
      <c r="AC58" s="8"/>
      <c r="AD58" s="8"/>
      <c r="AE58" s="8"/>
      <c r="AF58" s="8"/>
      <c r="AG58" s="8"/>
      <c r="AH58" s="8"/>
      <c r="AI58" s="8">
        <v>90</v>
      </c>
      <c r="AJ58" s="66" t="s">
        <v>44</v>
      </c>
      <c r="AK58" s="74">
        <f>IF(I63&gt;0,I71,0)</f>
        <v>0</v>
      </c>
      <c r="AL58" s="16">
        <v>1.1499999999999999</v>
      </c>
      <c r="AM58" s="13">
        <v>2</v>
      </c>
      <c r="AN58" s="34">
        <f>AL58*AM58*AK58*AB59</f>
        <v>0</v>
      </c>
      <c r="AO58" s="16"/>
      <c r="AP58" s="13"/>
      <c r="AQ58" s="27"/>
      <c r="AR58" s="16"/>
      <c r="AS58" s="13"/>
      <c r="AT58" s="27"/>
      <c r="AU58" s="16"/>
      <c r="AV58" s="13"/>
      <c r="AW58" s="27"/>
      <c r="AX58" s="16"/>
      <c r="AY58" s="13"/>
      <c r="AZ58" s="27"/>
      <c r="BA58" s="90">
        <f>0.245*AL58*AK58</f>
        <v>0</v>
      </c>
      <c r="BB58" s="68">
        <f t="shared" ref="BB58:BB59" si="0">3.14*0.016*AL58*AM58*AK58</f>
        <v>0</v>
      </c>
      <c r="BC58" s="79">
        <v>0.81</v>
      </c>
      <c r="BD58" s="13">
        <v>0.9</v>
      </c>
      <c r="BE58" s="34">
        <f t="shared" ref="BE58:BE63" si="1">BC58*BD58*AK58</f>
        <v>0</v>
      </c>
      <c r="BF58" s="8"/>
      <c r="BG58" s="9"/>
    </row>
    <row r="59" spans="1:59" ht="18.75" x14ac:dyDescent="0.25">
      <c r="A59">
        <v>1</v>
      </c>
      <c r="B59" s="16">
        <v>3</v>
      </c>
      <c r="C59" s="14" t="s">
        <v>2</v>
      </c>
      <c r="D59" s="37">
        <f>(J63*M65)-IF(J63&gt;0,N73,0)</f>
        <v>0</v>
      </c>
      <c r="E59" s="57" t="s">
        <v>17</v>
      </c>
      <c r="F59" s="49">
        <f>IF(L63&gt;0,L55,0)</f>
        <v>0</v>
      </c>
      <c r="G59" s="6"/>
      <c r="H59" s="17"/>
      <c r="I59" s="17"/>
      <c r="J59" s="17"/>
      <c r="K59" s="17"/>
      <c r="L59" s="17"/>
      <c r="M59" s="17"/>
      <c r="N59" s="17"/>
      <c r="O59" s="17"/>
      <c r="P59" s="9"/>
      <c r="Q59" s="6"/>
      <c r="R59" s="32" t="s">
        <v>60</v>
      </c>
      <c r="S59" s="33" t="s">
        <v>24</v>
      </c>
      <c r="T59" s="33" t="s">
        <v>25</v>
      </c>
      <c r="U59" s="33" t="s">
        <v>26</v>
      </c>
      <c r="V59" s="33" t="s">
        <v>27</v>
      </c>
      <c r="W59" s="33" t="s">
        <v>28</v>
      </c>
      <c r="X59" s="34" t="s">
        <v>29</v>
      </c>
      <c r="Y59" s="8"/>
      <c r="Z59" s="116" t="s">
        <v>112</v>
      </c>
      <c r="AA59" s="116"/>
      <c r="AB59" s="13">
        <f>1.578/1000</f>
        <v>1.578E-3</v>
      </c>
      <c r="AC59" s="8"/>
      <c r="AD59" s="8"/>
      <c r="AE59" s="8"/>
      <c r="AF59" s="8"/>
      <c r="AG59" s="8"/>
      <c r="AH59" s="8"/>
      <c r="AI59" s="8">
        <v>90</v>
      </c>
      <c r="AJ59" s="66" t="s">
        <v>45</v>
      </c>
      <c r="AK59" s="74">
        <f>IF(I63&gt;0,I72,0)</f>
        <v>0</v>
      </c>
      <c r="AL59" s="16">
        <v>1.25</v>
      </c>
      <c r="AM59" s="13">
        <v>2</v>
      </c>
      <c r="AN59" s="34">
        <f>AL59*AM59*AK59*AB59</f>
        <v>0</v>
      </c>
      <c r="AO59" s="16"/>
      <c r="AP59" s="13"/>
      <c r="AQ59" s="27"/>
      <c r="AR59" s="16"/>
      <c r="AS59" s="13"/>
      <c r="AT59" s="27"/>
      <c r="AU59" s="16"/>
      <c r="AV59" s="13"/>
      <c r="AW59" s="27"/>
      <c r="AX59" s="16"/>
      <c r="AY59" s="13"/>
      <c r="AZ59" s="27"/>
      <c r="BA59" s="90">
        <f t="shared" ref="BA59" si="2">0.245*AL59*AK59</f>
        <v>0</v>
      </c>
      <c r="BB59" s="68">
        <f t="shared" si="0"/>
        <v>0</v>
      </c>
      <c r="BC59" s="79">
        <v>0.91</v>
      </c>
      <c r="BD59" s="13">
        <v>0.9</v>
      </c>
      <c r="BE59" s="34">
        <f t="shared" si="1"/>
        <v>0</v>
      </c>
      <c r="BF59" s="8"/>
      <c r="BG59" s="9"/>
    </row>
    <row r="60" spans="1:59" ht="19.5" thickBot="1" x14ac:dyDescent="0.3">
      <c r="A60">
        <v>1</v>
      </c>
      <c r="B60" s="16">
        <v>4</v>
      </c>
      <c r="C60" s="14" t="s">
        <v>12</v>
      </c>
      <c r="D60" s="37">
        <f>K63*M65*0.2+L63*M65*0.3</f>
        <v>0</v>
      </c>
      <c r="E60" s="57" t="s">
        <v>18</v>
      </c>
      <c r="F60" s="49">
        <f>IF(M63&gt;0,M55,0)</f>
        <v>0</v>
      </c>
      <c r="G60" s="6"/>
      <c r="H60" s="17"/>
      <c r="I60" s="17"/>
      <c r="J60" s="17"/>
      <c r="K60" s="17"/>
      <c r="L60" s="17"/>
      <c r="M60" s="17"/>
      <c r="N60" s="17"/>
      <c r="O60" s="17"/>
      <c r="P60" s="9"/>
      <c r="Q60" s="6"/>
      <c r="R60" s="28">
        <f>0.08*R57*(H63-O73)</f>
        <v>1.4704E-2</v>
      </c>
      <c r="S60" s="20">
        <f>0.09*S57*(I63-O73)</f>
        <v>-7.2900000000000005E-4</v>
      </c>
      <c r="T60" s="20">
        <f>0.19*T57*(J63-O73)</f>
        <v>-1.539E-3</v>
      </c>
      <c r="U60" s="20">
        <f>0.2*U57*K63</f>
        <v>0</v>
      </c>
      <c r="V60" s="20">
        <f>0.3*V57*L63</f>
        <v>0</v>
      </c>
      <c r="W60" s="20">
        <f>0.12*W57*M63</f>
        <v>0</v>
      </c>
      <c r="X60" s="29">
        <f>0.065*X57*N63</f>
        <v>0</v>
      </c>
      <c r="Y60" s="8"/>
      <c r="Z60" s="116" t="s">
        <v>113</v>
      </c>
      <c r="AA60" s="116"/>
      <c r="AB60" s="13">
        <f>0.888/1000</f>
        <v>8.8800000000000001E-4</v>
      </c>
      <c r="AC60" s="8"/>
      <c r="AD60" s="8"/>
      <c r="AE60" s="8"/>
      <c r="AF60" s="8"/>
      <c r="AG60" s="8"/>
      <c r="AH60" s="8"/>
      <c r="AI60" s="8">
        <v>190</v>
      </c>
      <c r="AJ60" s="66" t="s">
        <v>46</v>
      </c>
      <c r="AK60" s="74">
        <f>IF(J63&gt;0,I73,0)</f>
        <v>0</v>
      </c>
      <c r="AL60" s="16"/>
      <c r="AM60" s="13"/>
      <c r="AN60" s="34"/>
      <c r="AO60" s="16"/>
      <c r="AP60" s="13"/>
      <c r="AQ60" s="27"/>
      <c r="AR60" s="16">
        <v>0.19</v>
      </c>
      <c r="AS60" s="13">
        <v>1</v>
      </c>
      <c r="AT60" s="27">
        <f>AR60*AS60*AK60*AB61</f>
        <v>0</v>
      </c>
      <c r="AU60" s="16">
        <v>1.35</v>
      </c>
      <c r="AV60" s="13">
        <v>2</v>
      </c>
      <c r="AW60" s="27">
        <f>AU60*AV60*AK60*AB62</f>
        <v>0</v>
      </c>
      <c r="AX60" s="16"/>
      <c r="AY60" s="13"/>
      <c r="AZ60" s="27"/>
      <c r="BA60" s="59">
        <f>(0.325*AU60*AV60+0.425*AR60*AS60)*AK60</f>
        <v>0</v>
      </c>
      <c r="BB60" s="66">
        <f>(0.4*AR60*AS60+0.3*AU60*AV60)*AK60</f>
        <v>0</v>
      </c>
      <c r="BC60" s="79"/>
      <c r="BD60" s="13"/>
      <c r="BE60" s="34"/>
      <c r="BF60" s="8"/>
      <c r="BG60" s="9"/>
    </row>
    <row r="61" spans="1:59" ht="19.5" thickBot="1" x14ac:dyDescent="0.3">
      <c r="A61">
        <v>1</v>
      </c>
      <c r="B61" s="16">
        <v>6</v>
      </c>
      <c r="C61" s="14" t="s">
        <v>3</v>
      </c>
      <c r="D61" s="37">
        <f>M63*M65</f>
        <v>0</v>
      </c>
      <c r="E61" s="57" t="s">
        <v>17</v>
      </c>
      <c r="F61" s="49">
        <f>IF(N63&gt;0,N55,0)</f>
        <v>0</v>
      </c>
      <c r="G61" s="6"/>
      <c r="H61" s="17"/>
      <c r="I61" s="17"/>
      <c r="J61" s="17"/>
      <c r="K61" s="17"/>
      <c r="L61" s="17"/>
      <c r="M61" s="17"/>
      <c r="N61" s="17"/>
      <c r="O61" s="17"/>
      <c r="P61" s="9"/>
      <c r="Q61" s="6"/>
      <c r="R61" s="8"/>
      <c r="S61" s="8"/>
      <c r="T61" s="8"/>
      <c r="U61" s="8"/>
      <c r="V61" s="8"/>
      <c r="W61" s="8"/>
      <c r="X61" s="8"/>
      <c r="Y61" s="8"/>
      <c r="Z61" s="116" t="s">
        <v>103</v>
      </c>
      <c r="AA61" s="116"/>
      <c r="AB61" s="13">
        <f>10.79/1000</f>
        <v>1.0789999999999999E-2</v>
      </c>
      <c r="AC61" s="8"/>
      <c r="AD61" s="8"/>
      <c r="AE61" s="8"/>
      <c r="AF61" s="8"/>
      <c r="AG61" s="8"/>
      <c r="AH61" s="8"/>
      <c r="AI61" s="8">
        <v>190</v>
      </c>
      <c r="AJ61" s="66" t="s">
        <v>47</v>
      </c>
      <c r="AK61" s="74">
        <f t="shared" ref="AK61" si="3">IF(I65&gt;0,I74,0)</f>
        <v>0</v>
      </c>
      <c r="AL61" s="16"/>
      <c r="AM61" s="13"/>
      <c r="AN61" s="34"/>
      <c r="AO61" s="16"/>
      <c r="AP61" s="13"/>
      <c r="AQ61" s="27"/>
      <c r="AR61" s="16">
        <v>0.19</v>
      </c>
      <c r="AS61" s="13">
        <v>1</v>
      </c>
      <c r="AT61" s="27">
        <f>AR61*AS61*AK61*AB61</f>
        <v>0</v>
      </c>
      <c r="AU61" s="16">
        <v>1.1499999999999999</v>
      </c>
      <c r="AV61" s="13">
        <v>2</v>
      </c>
      <c r="AW61" s="27">
        <f>AU61*AV61*AK61*AB62</f>
        <v>0</v>
      </c>
      <c r="AX61" s="16"/>
      <c r="AY61" s="13"/>
      <c r="AZ61" s="27"/>
      <c r="BA61" s="59">
        <f>(0.325*AU61*AV61+0.425*AR61*AS61)*AK61</f>
        <v>0</v>
      </c>
      <c r="BB61" s="66">
        <f>(0.4*AR61*AS61+0.3*AU61*AV61)*AK61</f>
        <v>0</v>
      </c>
      <c r="BC61" s="79"/>
      <c r="BD61" s="13"/>
      <c r="BE61" s="34"/>
      <c r="BF61" s="8"/>
      <c r="BG61" s="9"/>
    </row>
    <row r="62" spans="1:59" ht="19.5" thickBot="1" x14ac:dyDescent="0.3">
      <c r="A62">
        <v>1</v>
      </c>
      <c r="B62" s="16">
        <v>7</v>
      </c>
      <c r="C62" s="14" t="s">
        <v>4</v>
      </c>
      <c r="D62" s="37">
        <f>N63*M65-IF(N63&gt;0,N79,0)</f>
        <v>0</v>
      </c>
      <c r="E62" s="57" t="s">
        <v>17</v>
      </c>
      <c r="F62" s="49">
        <f>IF(O63&gt;0,O55,0)</f>
        <v>0</v>
      </c>
      <c r="G62" s="6"/>
      <c r="H62" s="23"/>
      <c r="I62" s="23"/>
      <c r="J62" s="23"/>
      <c r="K62" s="23"/>
      <c r="L62" s="23"/>
      <c r="M62" s="23"/>
      <c r="N62" s="23"/>
      <c r="O62" s="23"/>
      <c r="P62" s="9"/>
      <c r="Q62" s="6"/>
      <c r="R62" s="113" t="s">
        <v>64</v>
      </c>
      <c r="S62" s="114"/>
      <c r="T62" s="114"/>
      <c r="U62" s="114"/>
      <c r="V62" s="114"/>
      <c r="W62" s="114"/>
      <c r="X62" s="115"/>
      <c r="Y62" s="8"/>
      <c r="Z62" s="116" t="s">
        <v>114</v>
      </c>
      <c r="AA62" s="116"/>
      <c r="AB62" s="13">
        <f>5.8/1000</f>
        <v>5.7999999999999996E-3</v>
      </c>
      <c r="AC62" s="8"/>
      <c r="AD62" s="8"/>
      <c r="AE62" s="8"/>
      <c r="AF62" s="8"/>
      <c r="AG62" s="8"/>
      <c r="AH62" s="8"/>
      <c r="AI62" s="8">
        <v>190</v>
      </c>
      <c r="AJ62" s="66" t="s">
        <v>48</v>
      </c>
      <c r="AK62" s="74">
        <f>IF(J63&gt;0,I75,0)</f>
        <v>0</v>
      </c>
      <c r="AL62" s="16">
        <v>1.35</v>
      </c>
      <c r="AM62" s="13">
        <v>4</v>
      </c>
      <c r="AN62" s="34">
        <f>AL62*AM62*AK62*AB59</f>
        <v>0</v>
      </c>
      <c r="AO62" s="16"/>
      <c r="AP62" s="13"/>
      <c r="AQ62" s="27"/>
      <c r="AR62" s="16"/>
      <c r="AS62" s="13"/>
      <c r="AT62" s="27"/>
      <c r="AU62" s="16"/>
      <c r="AV62" s="13"/>
      <c r="AW62" s="27"/>
      <c r="AX62" s="16"/>
      <c r="AY62" s="13"/>
      <c r="AZ62" s="27"/>
      <c r="BA62" s="59">
        <f>0.445*AL62*AK62</f>
        <v>0</v>
      </c>
      <c r="BB62" s="68">
        <f>3.14*0.016*AL62*AM62*AK62</f>
        <v>0</v>
      </c>
      <c r="BC62" s="79">
        <v>1.01</v>
      </c>
      <c r="BD62" s="13">
        <v>0.19</v>
      </c>
      <c r="BE62" s="34">
        <f t="shared" si="1"/>
        <v>0</v>
      </c>
      <c r="BF62" s="8"/>
      <c r="BG62" s="9"/>
    </row>
    <row r="63" spans="1:59" ht="15.75" thickBot="1" x14ac:dyDescent="0.3">
      <c r="A63">
        <v>1</v>
      </c>
      <c r="B63" s="16">
        <v>8</v>
      </c>
      <c r="C63" s="14" t="s">
        <v>5</v>
      </c>
      <c r="D63" s="37">
        <f>IF(H63&gt;0,R60,0)+IF(I63&gt;0,S60,0)+IF(J63&gt;0,T60,0)+IF(K63&gt;0,U60,0)+IF(L63&gt;0,V60,0)+IF(M63&gt;0,W60,0)+IF(N63&gt;0,X60,0)</f>
        <v>1.4704E-2</v>
      </c>
      <c r="E63" s="57" t="s">
        <v>18</v>
      </c>
      <c r="F63" s="9"/>
      <c r="G63" s="6" t="s">
        <v>32</v>
      </c>
      <c r="H63" s="24">
        <f>SUM(H56:H62)</f>
        <v>10</v>
      </c>
      <c r="I63" s="25">
        <f t="shared" ref="I63:N63" si="4">SUM(I56:I62)</f>
        <v>0</v>
      </c>
      <c r="J63" s="25">
        <f t="shared" si="4"/>
        <v>0</v>
      </c>
      <c r="K63" s="25">
        <f t="shared" si="4"/>
        <v>0</v>
      </c>
      <c r="L63" s="25">
        <f t="shared" si="4"/>
        <v>0</v>
      </c>
      <c r="M63" s="25">
        <f t="shared" si="4"/>
        <v>0</v>
      </c>
      <c r="N63" s="25">
        <f t="shared" si="4"/>
        <v>0</v>
      </c>
      <c r="O63" s="26">
        <f>SUM(O56:O62)</f>
        <v>0</v>
      </c>
      <c r="P63" s="9"/>
      <c r="Q63" s="6"/>
      <c r="R63" s="33" t="s">
        <v>23</v>
      </c>
      <c r="S63" s="33" t="s">
        <v>24</v>
      </c>
      <c r="T63" s="33" t="s">
        <v>25</v>
      </c>
      <c r="U63" s="33" t="s">
        <v>26</v>
      </c>
      <c r="V63" s="33" t="s">
        <v>27</v>
      </c>
      <c r="W63" s="33" t="s">
        <v>28</v>
      </c>
      <c r="X63" s="33" t="s">
        <v>29</v>
      </c>
      <c r="Y63" s="8"/>
      <c r="Z63" s="116" t="s">
        <v>111</v>
      </c>
      <c r="AA63" s="116"/>
      <c r="AB63" s="13">
        <f>3.77/1000</f>
        <v>3.7699999999999999E-3</v>
      </c>
      <c r="AC63" s="8"/>
      <c r="AD63" s="8"/>
      <c r="AE63" s="8"/>
      <c r="AF63" s="8"/>
      <c r="AG63" s="8"/>
      <c r="AH63" s="8"/>
      <c r="AI63" s="8">
        <v>190</v>
      </c>
      <c r="AJ63" s="66" t="s">
        <v>49</v>
      </c>
      <c r="AK63" s="74">
        <f>IF(J63&gt;0,I76,0)</f>
        <v>0</v>
      </c>
      <c r="AL63" s="16">
        <v>1.35</v>
      </c>
      <c r="AM63" s="13">
        <v>4</v>
      </c>
      <c r="AN63" s="34">
        <f>AL63*AM63*AK63*AB59</f>
        <v>0</v>
      </c>
      <c r="AO63" s="16"/>
      <c r="AP63" s="13"/>
      <c r="AQ63" s="27"/>
      <c r="AR63" s="16"/>
      <c r="AS63" s="13"/>
      <c r="AT63" s="27"/>
      <c r="AU63" s="16"/>
      <c r="AV63" s="13"/>
      <c r="AW63" s="27"/>
      <c r="AX63" s="16"/>
      <c r="AY63" s="13"/>
      <c r="AZ63" s="27"/>
      <c r="BA63" s="59">
        <f>0.445*AL63*AK63</f>
        <v>0</v>
      </c>
      <c r="BB63" s="68">
        <f>3.14*0.016*AL63*AM63*AK63</f>
        <v>0</v>
      </c>
      <c r="BC63" s="79">
        <v>1.01</v>
      </c>
      <c r="BD63" s="13">
        <v>0.19</v>
      </c>
      <c r="BE63" s="34">
        <f t="shared" si="1"/>
        <v>0</v>
      </c>
      <c r="BF63" s="8"/>
      <c r="BG63" s="9"/>
    </row>
    <row r="64" spans="1:59" ht="15.75" thickBot="1" x14ac:dyDescent="0.3">
      <c r="A64">
        <v>1</v>
      </c>
      <c r="B64" s="16">
        <v>9</v>
      </c>
      <c r="C64" s="14" t="s">
        <v>20</v>
      </c>
      <c r="D64" s="37">
        <f>H63</f>
        <v>10</v>
      </c>
      <c r="E64" s="57" t="s">
        <v>21</v>
      </c>
      <c r="F64" s="9"/>
      <c r="G64" s="6"/>
      <c r="H64" s="8"/>
      <c r="I64" s="8"/>
      <c r="J64" s="8"/>
      <c r="K64" s="8"/>
      <c r="L64" s="8"/>
      <c r="M64" s="8"/>
      <c r="N64" s="8"/>
      <c r="O64" s="8"/>
      <c r="P64" s="9"/>
      <c r="Q64" s="6" t="s">
        <v>63</v>
      </c>
      <c r="R64" s="13">
        <v>7.0000000000000007E-2</v>
      </c>
      <c r="S64" s="13">
        <v>7.0000000000000007E-2</v>
      </c>
      <c r="T64" s="13">
        <v>0.17</v>
      </c>
      <c r="U64" s="13"/>
      <c r="V64" s="13"/>
      <c r="W64" s="13">
        <v>0.1</v>
      </c>
      <c r="X64" s="13">
        <v>4.4999999999999998E-2</v>
      </c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>
        <v>120</v>
      </c>
      <c r="AJ64" s="66" t="s">
        <v>106</v>
      </c>
      <c r="AK64" s="74">
        <f>IF(M63&gt;0,I77,0)</f>
        <v>0</v>
      </c>
      <c r="AL64" s="16"/>
      <c r="AM64" s="13"/>
      <c r="AN64" s="34"/>
      <c r="AO64" s="16"/>
      <c r="AP64" s="13"/>
      <c r="AQ64" s="27"/>
      <c r="AR64" s="16">
        <v>1.25</v>
      </c>
      <c r="AS64" s="13">
        <v>1</v>
      </c>
      <c r="AT64" s="27">
        <f>AR64*AS64*AK64*AB61</f>
        <v>0</v>
      </c>
      <c r="AU64" s="16"/>
      <c r="AV64" s="13"/>
      <c r="AW64" s="27"/>
      <c r="AX64" s="16"/>
      <c r="AY64" s="13"/>
      <c r="AZ64" s="27"/>
      <c r="BA64" s="59">
        <f>0.425*AR64*AS64*AK64</f>
        <v>0</v>
      </c>
      <c r="BB64" s="66">
        <f>0.4*AR64*AS64*AK64</f>
        <v>0</v>
      </c>
      <c r="BC64" s="79"/>
      <c r="BD64" s="13"/>
      <c r="BE64" s="27"/>
      <c r="BF64" s="8"/>
      <c r="BG64" s="9"/>
    </row>
    <row r="65" spans="1:59" ht="15.75" thickBot="1" x14ac:dyDescent="0.3">
      <c r="A65">
        <v>1</v>
      </c>
      <c r="B65" s="16">
        <v>10</v>
      </c>
      <c r="C65" s="14" t="s">
        <v>62</v>
      </c>
      <c r="D65" s="37">
        <f>IF(H63&gt;0,R65,0)</f>
        <v>1.4000000000000002E-2</v>
      </c>
      <c r="E65" s="57" t="s">
        <v>18</v>
      </c>
      <c r="F65" s="9"/>
      <c r="G65" s="6"/>
      <c r="H65" s="122" t="s">
        <v>39</v>
      </c>
      <c r="I65" s="123"/>
      <c r="J65" s="123"/>
      <c r="K65" s="123"/>
      <c r="L65" s="124"/>
      <c r="M65" s="46">
        <v>2.78</v>
      </c>
      <c r="N65" s="8"/>
      <c r="O65" s="8"/>
      <c r="P65" s="9"/>
      <c r="Q65" s="6" t="s">
        <v>65</v>
      </c>
      <c r="R65" s="13">
        <f>0.02*R64*H63</f>
        <v>1.4000000000000002E-2</v>
      </c>
      <c r="S65" s="13">
        <f t="shared" ref="S65:X65" si="5">0.02*S64*I63</f>
        <v>0</v>
      </c>
      <c r="T65" s="13">
        <f>0.02*T64*J63</f>
        <v>0</v>
      </c>
      <c r="U65" s="13"/>
      <c r="V65" s="13"/>
      <c r="W65" s="13">
        <f t="shared" si="5"/>
        <v>0</v>
      </c>
      <c r="X65" s="13">
        <f t="shared" si="5"/>
        <v>0</v>
      </c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66"/>
      <c r="AK65" s="74"/>
      <c r="AL65" s="16"/>
      <c r="AM65" s="13"/>
      <c r="AN65" s="34"/>
      <c r="AO65" s="16"/>
      <c r="AP65" s="13"/>
      <c r="AQ65" s="27"/>
      <c r="AR65" s="16"/>
      <c r="AS65" s="13"/>
      <c r="AT65" s="27"/>
      <c r="AU65" s="16"/>
      <c r="AV65" s="13"/>
      <c r="AW65" s="27"/>
      <c r="AX65" s="16"/>
      <c r="AY65" s="13"/>
      <c r="AZ65" s="27"/>
      <c r="BA65" s="59"/>
      <c r="BB65" s="66"/>
      <c r="BC65" s="79"/>
      <c r="BD65" s="13"/>
      <c r="BE65" s="27"/>
      <c r="BF65" s="8"/>
      <c r="BG65" s="9"/>
    </row>
    <row r="66" spans="1:59" ht="15.75" thickBot="1" x14ac:dyDescent="0.3">
      <c r="A66">
        <v>1</v>
      </c>
      <c r="B66" s="16">
        <v>11</v>
      </c>
      <c r="C66" s="14" t="s">
        <v>66</v>
      </c>
      <c r="D66" s="37">
        <f>I63+J63+M63</f>
        <v>0</v>
      </c>
      <c r="E66" s="57" t="s">
        <v>21</v>
      </c>
      <c r="F66" s="9"/>
      <c r="G66" s="6"/>
      <c r="H66" s="113" t="s">
        <v>74</v>
      </c>
      <c r="I66" s="114"/>
      <c r="J66" s="114"/>
      <c r="K66" s="114"/>
      <c r="L66" s="121"/>
      <c r="M66" s="45"/>
      <c r="N66" s="113" t="s">
        <v>73</v>
      </c>
      <c r="O66" s="115"/>
      <c r="P66" s="9"/>
      <c r="Q66" s="6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>
        <v>120</v>
      </c>
      <c r="AJ66" s="66" t="s">
        <v>50</v>
      </c>
      <c r="AK66" s="74">
        <f>IF(M63&gt;0,I79,0)</f>
        <v>0</v>
      </c>
      <c r="AL66" s="16"/>
      <c r="AM66" s="13"/>
      <c r="AN66" s="34"/>
      <c r="AO66" s="16">
        <v>0.45</v>
      </c>
      <c r="AP66" s="13">
        <v>2</v>
      </c>
      <c r="AQ66" s="27">
        <f>AO66*AP66*AK66*AB60</f>
        <v>0</v>
      </c>
      <c r="AR66" s="16">
        <v>0.12</v>
      </c>
      <c r="AS66" s="61">
        <v>1</v>
      </c>
      <c r="AT66" s="27">
        <f>AR66*AS66*AK66*AB61</f>
        <v>0</v>
      </c>
      <c r="AU66" s="16"/>
      <c r="AV66" s="13"/>
      <c r="AW66" s="27"/>
      <c r="AX66" s="16"/>
      <c r="AY66" s="13"/>
      <c r="AZ66" s="27"/>
      <c r="BA66" s="59">
        <f>(0.305*AO66+0.425*AR66)*AK66</f>
        <v>0</v>
      </c>
      <c r="BB66" s="66">
        <f>(3.14*0.012*AO66*AP66+0.4*AR66*AS66)*AK66</f>
        <v>0</v>
      </c>
      <c r="BC66" s="79"/>
      <c r="BD66" s="13"/>
      <c r="BE66" s="27"/>
      <c r="BF66" s="8"/>
      <c r="BG66" s="9"/>
    </row>
    <row r="67" spans="1:59" ht="15.75" thickBot="1" x14ac:dyDescent="0.3">
      <c r="A67">
        <v>1</v>
      </c>
      <c r="B67" s="16">
        <v>12</v>
      </c>
      <c r="C67" s="14" t="s">
        <v>67</v>
      </c>
      <c r="D67" s="37">
        <f>IF(I63&gt;0,S65,0)+IF(J63&gt;0,T65,0)+IF(M63&gt;0,W65,0)+IF(N63&gt;0,X65,0)</f>
        <v>0</v>
      </c>
      <c r="E67" s="57" t="s">
        <v>18</v>
      </c>
      <c r="F67" s="9"/>
      <c r="G67" s="6"/>
      <c r="H67" s="118" t="s">
        <v>70</v>
      </c>
      <c r="I67" s="119"/>
      <c r="J67" s="119"/>
      <c r="K67" s="119"/>
      <c r="L67" s="119"/>
      <c r="M67" s="82"/>
      <c r="N67" s="118" t="s">
        <v>72</v>
      </c>
      <c r="O67" s="120"/>
      <c r="P67" s="9"/>
      <c r="Q67" s="6"/>
      <c r="R67" s="113" t="s">
        <v>75</v>
      </c>
      <c r="S67" s="114"/>
      <c r="T67" s="114"/>
      <c r="U67" s="114"/>
      <c r="V67" s="114"/>
      <c r="W67" s="114"/>
      <c r="X67" s="115"/>
      <c r="Y67" s="58"/>
      <c r="Z67" s="2"/>
      <c r="AA67" s="113" t="s">
        <v>98</v>
      </c>
      <c r="AB67" s="114"/>
      <c r="AC67" s="114"/>
      <c r="AD67" s="114"/>
      <c r="AE67" s="114"/>
      <c r="AF67" s="114"/>
      <c r="AG67" s="115"/>
      <c r="AH67" s="8"/>
      <c r="AI67" s="8">
        <v>65</v>
      </c>
      <c r="AJ67" s="66" t="s">
        <v>51</v>
      </c>
      <c r="AK67" s="74">
        <f>IF(N63&gt;0,I80,0)</f>
        <v>0</v>
      </c>
      <c r="AL67" s="16"/>
      <c r="AM67" s="13"/>
      <c r="AN67" s="34"/>
      <c r="AO67" s="16"/>
      <c r="AP67" s="13"/>
      <c r="AQ67" s="27"/>
      <c r="AR67" s="16"/>
      <c r="AS67" s="13"/>
      <c r="AT67" s="27"/>
      <c r="AU67" s="16"/>
      <c r="AV67" s="13"/>
      <c r="AW67" s="27"/>
      <c r="AX67" s="16">
        <f>0.94+0.8+0.43</f>
        <v>2.17</v>
      </c>
      <c r="AY67" s="13">
        <v>1</v>
      </c>
      <c r="AZ67" s="27">
        <f>AX67*AY67*AK67*AB63</f>
        <v>0</v>
      </c>
      <c r="BA67" s="59">
        <f>0.225*AX67*AY67*AK67</f>
        <v>0</v>
      </c>
      <c r="BB67" s="66">
        <f>0.2*AX67*AY67*AK67</f>
        <v>0</v>
      </c>
      <c r="BC67" s="79"/>
      <c r="BD67" s="13"/>
      <c r="BE67" s="27"/>
      <c r="BF67" s="8"/>
      <c r="BG67" s="9"/>
    </row>
    <row r="68" spans="1:59" ht="15.75" thickBot="1" x14ac:dyDescent="0.3">
      <c r="A68">
        <v>1</v>
      </c>
      <c r="B68" s="16">
        <v>13</v>
      </c>
      <c r="C68" s="14" t="s">
        <v>68</v>
      </c>
      <c r="D68" s="37">
        <f>D66*0.02*0.01*2</f>
        <v>0</v>
      </c>
      <c r="E68" s="57" t="s">
        <v>18</v>
      </c>
      <c r="F68" s="9"/>
      <c r="G68" s="6"/>
      <c r="H68" s="125" t="s">
        <v>40</v>
      </c>
      <c r="I68" s="126"/>
      <c r="J68" s="8"/>
      <c r="K68" s="8"/>
      <c r="L68" s="39" t="s">
        <v>30</v>
      </c>
      <c r="M68" s="40" t="s">
        <v>31</v>
      </c>
      <c r="N68" s="40" t="s">
        <v>33</v>
      </c>
      <c r="O68" s="44" t="s">
        <v>34</v>
      </c>
      <c r="P68" s="9"/>
      <c r="Q68" s="6"/>
      <c r="R68" s="16" t="s">
        <v>23</v>
      </c>
      <c r="S68" s="13" t="s">
        <v>24</v>
      </c>
      <c r="T68" s="13" t="s">
        <v>25</v>
      </c>
      <c r="U68" s="13" t="s">
        <v>26</v>
      </c>
      <c r="V68" s="13" t="s">
        <v>27</v>
      </c>
      <c r="W68" s="13" t="s">
        <v>28</v>
      </c>
      <c r="X68" s="27" t="s">
        <v>29</v>
      </c>
      <c r="Y68" s="8"/>
      <c r="Z68" s="6"/>
      <c r="AA68" s="16" t="s">
        <v>23</v>
      </c>
      <c r="AB68" s="13" t="s">
        <v>24</v>
      </c>
      <c r="AC68" s="13" t="s">
        <v>25</v>
      </c>
      <c r="AD68" s="13" t="s">
        <v>26</v>
      </c>
      <c r="AE68" s="13" t="s">
        <v>27</v>
      </c>
      <c r="AF68" s="13" t="s">
        <v>28</v>
      </c>
      <c r="AG68" s="27" t="s">
        <v>29</v>
      </c>
      <c r="AH68" s="8"/>
      <c r="AI68" s="8">
        <v>120</v>
      </c>
      <c r="AJ68" s="66" t="s">
        <v>52</v>
      </c>
      <c r="AK68" s="74">
        <f>IF(M63&gt;0,I81,0)</f>
        <v>0</v>
      </c>
      <c r="AL68" s="16">
        <v>1</v>
      </c>
      <c r="AM68" s="13">
        <v>2</v>
      </c>
      <c r="AN68" s="34">
        <f>AL68*AM68*AK68*AB59</f>
        <v>0</v>
      </c>
      <c r="AO68" s="16"/>
      <c r="AP68" s="13"/>
      <c r="AQ68" s="27"/>
      <c r="AR68" s="64">
        <v>0.12</v>
      </c>
      <c r="AS68" s="61">
        <v>1</v>
      </c>
      <c r="AT68" s="27">
        <f>AR68*AS68*AK68*AB61</f>
        <v>0</v>
      </c>
      <c r="AU68" s="16"/>
      <c r="AV68" s="13"/>
      <c r="AW68" s="27"/>
      <c r="AX68" s="16"/>
      <c r="AY68" s="13"/>
      <c r="AZ68" s="27"/>
      <c r="BA68" s="59">
        <f>(0.305*AL68+0.425*AR68)*AK68</f>
        <v>0</v>
      </c>
      <c r="BB68" s="66">
        <f>(3.14*AL68*AM68+0.4*AR68*AS68)*AK68</f>
        <v>0</v>
      </c>
      <c r="BC68" s="79"/>
      <c r="BD68" s="13"/>
      <c r="BE68" s="27"/>
      <c r="BF68" s="8"/>
      <c r="BG68" s="9"/>
    </row>
    <row r="69" spans="1:59" ht="15.75" thickBot="1" x14ac:dyDescent="0.3">
      <c r="A69">
        <v>1</v>
      </c>
      <c r="B69" s="16">
        <v>14</v>
      </c>
      <c r="C69" s="14" t="s">
        <v>6</v>
      </c>
      <c r="D69" s="37">
        <f>IF(I63&gt;0,S71,0)+IF(J63&gt;0,T71,0)+IF(M63&gt;0,W71,0)+IF(N63&gt;0,X71,0)</f>
        <v>0</v>
      </c>
      <c r="E69" s="57" t="s">
        <v>18</v>
      </c>
      <c r="F69" s="9"/>
      <c r="G69" s="6"/>
      <c r="H69" s="33" t="s">
        <v>41</v>
      </c>
      <c r="I69" s="33" t="s">
        <v>42</v>
      </c>
      <c r="J69" s="8"/>
      <c r="K69" s="8"/>
      <c r="L69" s="33">
        <v>0.71</v>
      </c>
      <c r="M69" s="42"/>
      <c r="N69" s="43">
        <f>IF(H63&gt;0,L69*2.15*M69,0)+IF(I63&gt;0,L69*2.15*M69,0)+IF(J63&gt;0,L69*2.18*M69,0)</f>
        <v>0</v>
      </c>
      <c r="O69" s="33">
        <f>L69*M69</f>
        <v>0</v>
      </c>
      <c r="P69" s="9"/>
      <c r="Q69" s="6"/>
      <c r="R69" s="30">
        <v>7.4999999999999997E-2</v>
      </c>
      <c r="S69" s="21">
        <v>7.0000000000000007E-2</v>
      </c>
      <c r="T69" s="21">
        <v>0.17</v>
      </c>
      <c r="U69" s="21"/>
      <c r="V69" s="21"/>
      <c r="W69" s="21">
        <v>0.1</v>
      </c>
      <c r="X69" s="31">
        <v>4.4999999999999998E-2</v>
      </c>
      <c r="Y69" s="8"/>
      <c r="Z69" s="6"/>
      <c r="AA69" s="116" t="s">
        <v>93</v>
      </c>
      <c r="AB69" s="116"/>
      <c r="AC69" s="116"/>
      <c r="AD69" s="116"/>
      <c r="AE69" s="116"/>
      <c r="AF69" s="116"/>
      <c r="AG69" s="117"/>
      <c r="AH69" s="8"/>
      <c r="AI69" s="8">
        <v>190</v>
      </c>
      <c r="AJ69" s="66" t="s">
        <v>53</v>
      </c>
      <c r="AK69" s="74">
        <f>IF(J63&gt;0,I82,0)</f>
        <v>0</v>
      </c>
      <c r="AL69" s="16">
        <v>0.95</v>
      </c>
      <c r="AM69" s="13">
        <v>1</v>
      </c>
      <c r="AN69" s="34">
        <f>AL69*AM69*AK69*AB59</f>
        <v>0</v>
      </c>
      <c r="AO69" s="16"/>
      <c r="AP69" s="13"/>
      <c r="AQ69" s="27"/>
      <c r="AR69" s="16">
        <v>0.19</v>
      </c>
      <c r="AS69" s="13">
        <v>1</v>
      </c>
      <c r="AT69" s="27">
        <f>AR69*AS69*AK69*AB61</f>
        <v>0</v>
      </c>
      <c r="AU69" s="16"/>
      <c r="AV69" s="13"/>
      <c r="AW69" s="27"/>
      <c r="AX69" s="16"/>
      <c r="AY69" s="13"/>
      <c r="AZ69" s="27"/>
      <c r="BA69" s="59">
        <f>(0.445*AL69+0.425*AR69)*AK69</f>
        <v>0</v>
      </c>
      <c r="BB69" s="66">
        <f t="shared" ref="BB69:BB70" si="6">(3.14*AL69*AM69+0.4*AR69*AS69)*AK69</f>
        <v>0</v>
      </c>
      <c r="BC69" s="79"/>
      <c r="BD69" s="13"/>
      <c r="BE69" s="27"/>
      <c r="BF69" s="8"/>
      <c r="BG69" s="9"/>
    </row>
    <row r="70" spans="1:59" ht="15.75" thickBot="1" x14ac:dyDescent="0.3">
      <c r="A70">
        <v>1</v>
      </c>
      <c r="B70" s="16">
        <v>15</v>
      </c>
      <c r="C70" s="14" t="s">
        <v>37</v>
      </c>
      <c r="D70" s="37">
        <f>O63*M65*0.03</f>
        <v>0</v>
      </c>
      <c r="E70" s="18" t="s">
        <v>18</v>
      </c>
      <c r="F70" s="9"/>
      <c r="G70" s="6">
        <v>90</v>
      </c>
      <c r="H70" s="13" t="s">
        <v>43</v>
      </c>
      <c r="I70" s="17"/>
      <c r="J70" s="8"/>
      <c r="K70" s="8"/>
      <c r="L70" s="13">
        <v>0.81</v>
      </c>
      <c r="M70" s="17">
        <v>1</v>
      </c>
      <c r="N70" s="36">
        <f>IF(H63&gt;0,L70*2.15*M70,0)+IF(I63&gt;0,L70*2.15*M70,0)+IF(J63&gt;0,L70*2.18*M70,0)</f>
        <v>1.7415</v>
      </c>
      <c r="O70" s="13">
        <f t="shared" ref="O70:O72" si="7">L70*M70</f>
        <v>0.81</v>
      </c>
      <c r="P70" s="9"/>
      <c r="Q70" s="6"/>
      <c r="R70" s="118" t="s">
        <v>76</v>
      </c>
      <c r="S70" s="119"/>
      <c r="T70" s="119"/>
      <c r="U70" s="119"/>
      <c r="V70" s="119"/>
      <c r="W70" s="119"/>
      <c r="X70" s="120"/>
      <c r="Y70" s="58"/>
      <c r="Z70" s="6"/>
      <c r="AA70" s="21">
        <v>3</v>
      </c>
      <c r="AB70" s="21">
        <v>3</v>
      </c>
      <c r="AC70" s="21">
        <v>3</v>
      </c>
      <c r="AD70" s="21">
        <v>3</v>
      </c>
      <c r="AE70" s="21">
        <v>3</v>
      </c>
      <c r="AF70" s="21">
        <v>4</v>
      </c>
      <c r="AG70" s="31">
        <v>4</v>
      </c>
      <c r="AH70" s="8"/>
      <c r="AI70" s="8">
        <v>190</v>
      </c>
      <c r="AJ70" s="66" t="s">
        <v>108</v>
      </c>
      <c r="AK70" s="74">
        <f>IF(J63&gt;0,I83,0)</f>
        <v>0</v>
      </c>
      <c r="AL70" s="16">
        <v>0.65</v>
      </c>
      <c r="AM70" s="13">
        <v>1</v>
      </c>
      <c r="AN70" s="34">
        <f>AL70*AM70*AK70*AB59</f>
        <v>0</v>
      </c>
      <c r="AO70" s="16"/>
      <c r="AP70" s="13"/>
      <c r="AQ70" s="27"/>
      <c r="AR70" s="16">
        <v>0.19</v>
      </c>
      <c r="AS70" s="61">
        <v>1</v>
      </c>
      <c r="AT70" s="27">
        <f>AR70*AS70*AK70*AB61</f>
        <v>0</v>
      </c>
      <c r="AU70" s="16"/>
      <c r="AV70" s="13"/>
      <c r="AW70" s="27"/>
      <c r="AX70" s="16"/>
      <c r="AY70" s="13"/>
      <c r="AZ70" s="27"/>
      <c r="BA70" s="59">
        <f>(0.445*AL70+0.425*AR70)*AK70</f>
        <v>0</v>
      </c>
      <c r="BB70" s="66">
        <f t="shared" si="6"/>
        <v>0</v>
      </c>
      <c r="BC70" s="79"/>
      <c r="BD70" s="13"/>
      <c r="BE70" s="27"/>
      <c r="BF70" s="8"/>
      <c r="BG70" s="9"/>
    </row>
    <row r="71" spans="1:59" ht="15.75" thickBot="1" x14ac:dyDescent="0.3">
      <c r="A71">
        <v>1</v>
      </c>
      <c r="B71" s="16">
        <v>16</v>
      </c>
      <c r="C71" s="14" t="s">
        <v>10</v>
      </c>
      <c r="D71" s="37">
        <f>IF(H63&gt;0,R71,0)</f>
        <v>0</v>
      </c>
      <c r="E71" s="57" t="s">
        <v>17</v>
      </c>
      <c r="F71" s="9"/>
      <c r="G71" s="6">
        <v>90</v>
      </c>
      <c r="H71" s="13" t="s">
        <v>44</v>
      </c>
      <c r="I71" s="17"/>
      <c r="J71" s="8"/>
      <c r="K71" s="8"/>
      <c r="L71" s="13">
        <v>0.91</v>
      </c>
      <c r="M71" s="17"/>
      <c r="N71" s="36">
        <f>IF(H63&gt;0,L71*2.15*M71,0)+IF(I63&gt;0,L71*2.15*M71,0)+IF(J63&gt;0,L71*2.18*M71,0)</f>
        <v>0</v>
      </c>
      <c r="O71" s="13">
        <f t="shared" si="7"/>
        <v>0</v>
      </c>
      <c r="P71" s="9"/>
      <c r="Q71" s="6"/>
      <c r="R71" s="39">
        <f>IF(H63&gt;0,R69*M65,0)*M66</f>
        <v>0</v>
      </c>
      <c r="S71" s="40">
        <f>IF(I63&gt;0,S69*0.02*M65,0)*M66</f>
        <v>0</v>
      </c>
      <c r="T71" s="40">
        <f>IF(J63&gt;0,T69*0.02*M65,0)*M66</f>
        <v>0</v>
      </c>
      <c r="U71" s="40"/>
      <c r="V71" s="40"/>
      <c r="W71" s="40">
        <f>IF(M63&gt;0,W69*0.02*M65,0)*M66</f>
        <v>0</v>
      </c>
      <c r="X71" s="41">
        <f>IF(N63&gt;0,X69*0.02*M65,0)*M66</f>
        <v>0</v>
      </c>
      <c r="Y71" s="8"/>
      <c r="Z71" s="59"/>
      <c r="AA71" s="118" t="s">
        <v>92</v>
      </c>
      <c r="AB71" s="119"/>
      <c r="AC71" s="119"/>
      <c r="AD71" s="119"/>
      <c r="AE71" s="119"/>
      <c r="AF71" s="119"/>
      <c r="AG71" s="120"/>
      <c r="AH71" s="8"/>
      <c r="AI71" s="8"/>
      <c r="AJ71" s="66"/>
      <c r="AK71" s="74"/>
      <c r="AL71" s="16"/>
      <c r="AM71" s="13"/>
      <c r="AN71" s="34"/>
      <c r="AO71" s="16"/>
      <c r="AP71" s="13"/>
      <c r="AQ71" s="27"/>
      <c r="AR71" s="16"/>
      <c r="AS71" s="13"/>
      <c r="AT71" s="27"/>
      <c r="AU71" s="16"/>
      <c r="AV71" s="13"/>
      <c r="AW71" s="27"/>
      <c r="AX71" s="16"/>
      <c r="AY71" s="13"/>
      <c r="AZ71" s="27"/>
      <c r="BA71" s="59"/>
      <c r="BB71" s="66"/>
      <c r="BC71" s="79"/>
      <c r="BD71" s="13"/>
      <c r="BE71" s="27"/>
      <c r="BF71" s="8"/>
      <c r="BG71" s="9"/>
    </row>
    <row r="72" spans="1:59" ht="15.75" thickBot="1" x14ac:dyDescent="0.3">
      <c r="A72">
        <v>1</v>
      </c>
      <c r="B72" s="16">
        <v>17</v>
      </c>
      <c r="C72" s="14" t="s">
        <v>11</v>
      </c>
      <c r="D72" s="37">
        <f>IF(I63&gt;0,S79,0)+IF(J63&gt;0,T79,0)+IF(M63&gt;0,W79,0)+IF(N63&gt;0,X79,0)</f>
        <v>0</v>
      </c>
      <c r="E72" s="57" t="s">
        <v>17</v>
      </c>
      <c r="F72" s="9"/>
      <c r="G72" s="6">
        <v>90</v>
      </c>
      <c r="H72" s="13" t="s">
        <v>45</v>
      </c>
      <c r="I72" s="17"/>
      <c r="J72" s="8"/>
      <c r="K72" s="8"/>
      <c r="L72" s="13">
        <v>1.01</v>
      </c>
      <c r="M72" s="17"/>
      <c r="N72" s="38">
        <f>IF(H63&gt;0,L72*2.15*M72,0)+IF(I63&gt;0,L72*2.15*M72,0)+IF(J63&gt;0,L72*2.18*M72,0)</f>
        <v>0</v>
      </c>
      <c r="O72" s="21">
        <f t="shared" si="7"/>
        <v>0</v>
      </c>
      <c r="P72" s="9"/>
      <c r="Q72" s="6"/>
      <c r="R72" s="8"/>
      <c r="S72" s="8"/>
      <c r="T72" s="8"/>
      <c r="U72" s="8"/>
      <c r="V72" s="8"/>
      <c r="W72" s="8"/>
      <c r="X72" s="8"/>
      <c r="Y72" s="8"/>
      <c r="Z72" s="16" t="s">
        <v>90</v>
      </c>
      <c r="AA72" s="33"/>
      <c r="AB72" s="33">
        <v>0.05</v>
      </c>
      <c r="AC72" s="33">
        <v>0.05</v>
      </c>
      <c r="AD72" s="33">
        <v>0.05</v>
      </c>
      <c r="AE72" s="33">
        <v>0.05</v>
      </c>
      <c r="AF72" s="33">
        <v>0.05</v>
      </c>
      <c r="AG72" s="34">
        <v>0.05</v>
      </c>
      <c r="AH72" s="8"/>
      <c r="AI72" s="8">
        <v>80</v>
      </c>
      <c r="AJ72" s="66" t="s">
        <v>54</v>
      </c>
      <c r="AK72" s="74">
        <f>IF(H63&gt;0,I85,0)</f>
        <v>0</v>
      </c>
      <c r="AL72" s="16">
        <f>0.71+0.4</f>
        <v>1.1099999999999999</v>
      </c>
      <c r="AM72" s="61">
        <v>2</v>
      </c>
      <c r="AN72" s="34">
        <f>AL72*AM72*AK72*AB59</f>
        <v>0</v>
      </c>
      <c r="AO72" s="16"/>
      <c r="AP72" s="13"/>
      <c r="AQ72" s="27"/>
      <c r="AR72" s="16"/>
      <c r="AS72" s="13"/>
      <c r="AT72" s="27"/>
      <c r="AU72" s="16"/>
      <c r="AV72" s="13"/>
      <c r="AW72" s="27"/>
      <c r="AX72" s="16"/>
      <c r="AY72" s="13"/>
      <c r="AZ72" s="27"/>
      <c r="BA72" s="59">
        <f>0.225*AL72*AK72</f>
        <v>0</v>
      </c>
      <c r="BB72" s="66">
        <f>3.14*AL72*AM72*AK72</f>
        <v>0</v>
      </c>
      <c r="BC72" s="79">
        <v>0.71</v>
      </c>
      <c r="BD72" s="13">
        <v>0.08</v>
      </c>
      <c r="BE72" s="27">
        <f>BC72*BD72*AK72</f>
        <v>0</v>
      </c>
      <c r="BF72" s="8"/>
      <c r="BG72" s="9"/>
    </row>
    <row r="73" spans="1:59" ht="15.75" thickBot="1" x14ac:dyDescent="0.3">
      <c r="A73">
        <v>1</v>
      </c>
      <c r="B73" s="16"/>
      <c r="C73" s="15" t="s">
        <v>131</v>
      </c>
      <c r="D73" s="37"/>
      <c r="E73" s="57"/>
      <c r="F73" s="9"/>
      <c r="G73" s="6">
        <v>190</v>
      </c>
      <c r="H73" s="13" t="s">
        <v>46</v>
      </c>
      <c r="I73" s="17"/>
      <c r="J73" s="8"/>
      <c r="K73" s="8"/>
      <c r="L73" s="8"/>
      <c r="M73" s="13" t="s">
        <v>61</v>
      </c>
      <c r="N73" s="35">
        <f>SUM(N69:N72)</f>
        <v>1.7415</v>
      </c>
      <c r="O73" s="22">
        <f>SUM(O69:O72)</f>
        <v>0.81</v>
      </c>
      <c r="P73" s="9"/>
      <c r="Q73" s="6"/>
      <c r="R73" s="113" t="s">
        <v>77</v>
      </c>
      <c r="S73" s="114"/>
      <c r="T73" s="114"/>
      <c r="U73" s="114"/>
      <c r="V73" s="114"/>
      <c r="W73" s="114"/>
      <c r="X73" s="115"/>
      <c r="Y73" s="58"/>
      <c r="Z73" s="16" t="s">
        <v>91</v>
      </c>
      <c r="AA73" s="13"/>
      <c r="AB73" s="13">
        <v>0.68</v>
      </c>
      <c r="AC73" s="13">
        <v>1.37</v>
      </c>
      <c r="AD73" s="13"/>
      <c r="AE73" s="13"/>
      <c r="AF73" s="13">
        <v>0.68</v>
      </c>
      <c r="AG73" s="27">
        <v>0.93</v>
      </c>
      <c r="AH73" s="8"/>
      <c r="AI73" s="8">
        <v>80</v>
      </c>
      <c r="AJ73" s="66" t="s">
        <v>55</v>
      </c>
      <c r="AK73" s="74">
        <f>IF(H63&gt;0,I86,0)</f>
        <v>1</v>
      </c>
      <c r="AL73" s="16">
        <f>0.81+0.4</f>
        <v>1.21</v>
      </c>
      <c r="AM73" s="61">
        <v>2</v>
      </c>
      <c r="AN73" s="34">
        <f>AL73*AM73*AK73*AB59</f>
        <v>3.81876E-3</v>
      </c>
      <c r="AO73" s="16"/>
      <c r="AP73" s="13"/>
      <c r="AQ73" s="27"/>
      <c r="AR73" s="16"/>
      <c r="AS73" s="13"/>
      <c r="AT73" s="27"/>
      <c r="AU73" s="16"/>
      <c r="AV73" s="13"/>
      <c r="AW73" s="27"/>
      <c r="AX73" s="16"/>
      <c r="AY73" s="13"/>
      <c r="AZ73" s="27"/>
      <c r="BA73" s="59">
        <f t="shared" ref="BA73:BA75" si="8">0.225*AL73*AK73</f>
        <v>0.27224999999999999</v>
      </c>
      <c r="BB73" s="66">
        <f t="shared" ref="BB73:BB75" si="9">3.14*AL73*AM73*AK73</f>
        <v>7.5987999999999998</v>
      </c>
      <c r="BC73" s="79">
        <v>0.81</v>
      </c>
      <c r="BD73" s="13">
        <v>0.08</v>
      </c>
      <c r="BE73" s="27">
        <f t="shared" ref="BE73:BE75" si="10">BC73*BD73*AK73</f>
        <v>6.480000000000001E-2</v>
      </c>
      <c r="BF73" s="8"/>
      <c r="BG73" s="9"/>
    </row>
    <row r="74" spans="1:59" ht="15.75" thickBot="1" x14ac:dyDescent="0.3">
      <c r="A74">
        <v>1</v>
      </c>
      <c r="B74" s="16">
        <v>18</v>
      </c>
      <c r="C74" s="14" t="s">
        <v>115</v>
      </c>
      <c r="D74" s="37">
        <f>AJ87</f>
        <v>0</v>
      </c>
      <c r="E74" s="57" t="s">
        <v>17</v>
      </c>
      <c r="F74" s="9"/>
      <c r="G74" s="6">
        <v>190</v>
      </c>
      <c r="H74" s="13" t="s">
        <v>47</v>
      </c>
      <c r="I74" s="17"/>
      <c r="J74" s="8"/>
      <c r="K74" s="8"/>
      <c r="L74" s="8"/>
      <c r="M74" s="8"/>
      <c r="N74" s="8"/>
      <c r="O74" s="8"/>
      <c r="P74" s="9"/>
      <c r="Q74" s="6"/>
      <c r="R74" s="16" t="s">
        <v>23</v>
      </c>
      <c r="S74" s="13" t="s">
        <v>24</v>
      </c>
      <c r="T74" s="13" t="s">
        <v>25</v>
      </c>
      <c r="U74" s="13" t="s">
        <v>26</v>
      </c>
      <c r="V74" s="13" t="s">
        <v>27</v>
      </c>
      <c r="W74" s="13" t="s">
        <v>28</v>
      </c>
      <c r="X74" s="27" t="s">
        <v>29</v>
      </c>
      <c r="Y74" s="8"/>
      <c r="Z74" s="16" t="s">
        <v>96</v>
      </c>
      <c r="AA74" s="21">
        <v>0.28000000000000003</v>
      </c>
      <c r="AB74" s="21"/>
      <c r="AC74" s="21"/>
      <c r="AD74" s="21">
        <v>0.36</v>
      </c>
      <c r="AE74" s="21">
        <v>0.36</v>
      </c>
      <c r="AF74" s="21"/>
      <c r="AG74" s="31"/>
      <c r="AH74" s="8"/>
      <c r="AI74" s="63">
        <v>80</v>
      </c>
      <c r="AJ74" s="66" t="s">
        <v>56</v>
      </c>
      <c r="AK74" s="74">
        <f>IF(H63&gt;0,I87,0)</f>
        <v>0</v>
      </c>
      <c r="AL74" s="16">
        <f>0.91+0.4</f>
        <v>1.31</v>
      </c>
      <c r="AM74" s="61">
        <v>2</v>
      </c>
      <c r="AN74" s="34">
        <f>AL74*AM74*AK74*AB59</f>
        <v>0</v>
      </c>
      <c r="AO74" s="16"/>
      <c r="AP74" s="13"/>
      <c r="AQ74" s="27"/>
      <c r="AR74" s="16"/>
      <c r="AS74" s="13"/>
      <c r="AT74" s="27"/>
      <c r="AU74" s="16"/>
      <c r="AV74" s="13"/>
      <c r="AW74" s="27"/>
      <c r="AX74" s="16"/>
      <c r="AY74" s="13"/>
      <c r="AZ74" s="27"/>
      <c r="BA74" s="59">
        <f t="shared" si="8"/>
        <v>0</v>
      </c>
      <c r="BB74" s="66">
        <f t="shared" si="9"/>
        <v>0</v>
      </c>
      <c r="BC74" s="79">
        <v>0.91</v>
      </c>
      <c r="BD74" s="13">
        <v>0.08</v>
      </c>
      <c r="BE74" s="27">
        <f t="shared" si="10"/>
        <v>0</v>
      </c>
      <c r="BF74" s="8"/>
      <c r="BG74" s="9"/>
    </row>
    <row r="75" spans="1:59" ht="15.75" thickBot="1" x14ac:dyDescent="0.3">
      <c r="A75">
        <v>1</v>
      </c>
      <c r="B75" s="16">
        <v>19</v>
      </c>
      <c r="C75" s="14" t="s">
        <v>107</v>
      </c>
      <c r="D75" s="37">
        <f>AK87</f>
        <v>0</v>
      </c>
      <c r="E75" s="57" t="s">
        <v>19</v>
      </c>
      <c r="F75" s="9"/>
      <c r="G75" s="6">
        <v>190</v>
      </c>
      <c r="H75" s="13" t="s">
        <v>48</v>
      </c>
      <c r="I75" s="17"/>
      <c r="J75" s="8"/>
      <c r="K75" s="8"/>
      <c r="L75" s="8"/>
      <c r="M75" s="8" t="s">
        <v>35</v>
      </c>
      <c r="N75" s="8"/>
      <c r="O75" s="8"/>
      <c r="P75" s="9"/>
      <c r="Q75" s="6"/>
      <c r="R75" s="6"/>
      <c r="S75" s="21">
        <v>7.0000000000000007E-2</v>
      </c>
      <c r="T75" s="21">
        <v>0.17</v>
      </c>
      <c r="U75" s="8"/>
      <c r="V75" s="8"/>
      <c r="W75" s="21">
        <v>0.1</v>
      </c>
      <c r="X75" s="31">
        <v>4.4999999999999998E-2</v>
      </c>
      <c r="Y75" s="8"/>
      <c r="Z75" s="6"/>
      <c r="AA75" s="113" t="s">
        <v>94</v>
      </c>
      <c r="AB75" s="114"/>
      <c r="AC75" s="114"/>
      <c r="AD75" s="114"/>
      <c r="AE75" s="114"/>
      <c r="AF75" s="114"/>
      <c r="AG75" s="115"/>
      <c r="AH75" s="8"/>
      <c r="AI75" s="63">
        <v>80</v>
      </c>
      <c r="AJ75" s="70" t="s">
        <v>57</v>
      </c>
      <c r="AK75" s="75">
        <f>IF(H63&gt;0,I88,0)</f>
        <v>0</v>
      </c>
      <c r="AL75" s="30">
        <f>0.91+0.4</f>
        <v>1.31</v>
      </c>
      <c r="AM75" s="71">
        <v>2</v>
      </c>
      <c r="AN75" s="48">
        <f>AL75*AM75*AK75*AB59</f>
        <v>0</v>
      </c>
      <c r="AO75" s="30"/>
      <c r="AP75" s="21"/>
      <c r="AQ75" s="31"/>
      <c r="AR75" s="30"/>
      <c r="AS75" s="21"/>
      <c r="AT75" s="31"/>
      <c r="AU75" s="30"/>
      <c r="AV75" s="21"/>
      <c r="AW75" s="31"/>
      <c r="AX75" s="30"/>
      <c r="AY75" s="21"/>
      <c r="AZ75" s="31"/>
      <c r="BA75" s="91">
        <f t="shared" si="8"/>
        <v>0</v>
      </c>
      <c r="BB75" s="66">
        <f t="shared" si="9"/>
        <v>0</v>
      </c>
      <c r="BC75" s="79">
        <v>0.91</v>
      </c>
      <c r="BD75" s="13">
        <v>0.08</v>
      </c>
      <c r="BE75" s="27">
        <f t="shared" si="10"/>
        <v>0</v>
      </c>
      <c r="BF75" s="8"/>
      <c r="BG75" s="9"/>
    </row>
    <row r="76" spans="1:59" ht="15.75" thickBot="1" x14ac:dyDescent="0.3">
      <c r="A76">
        <v>1</v>
      </c>
      <c r="B76" s="16"/>
      <c r="C76" s="15" t="s">
        <v>16</v>
      </c>
      <c r="D76" s="37"/>
      <c r="E76" s="57"/>
      <c r="F76" s="9"/>
      <c r="G76" s="6">
        <v>190</v>
      </c>
      <c r="H76" s="13" t="s">
        <v>49</v>
      </c>
      <c r="I76" s="17"/>
      <c r="J76" s="8"/>
      <c r="K76" s="8"/>
      <c r="L76" s="8"/>
      <c r="M76" s="13" t="s">
        <v>31</v>
      </c>
      <c r="N76" s="57" t="s">
        <v>36</v>
      </c>
      <c r="O76" s="8"/>
      <c r="P76" s="9"/>
      <c r="Q76" s="6"/>
      <c r="R76" s="118" t="s">
        <v>78</v>
      </c>
      <c r="S76" s="119"/>
      <c r="T76" s="119"/>
      <c r="U76" s="119"/>
      <c r="V76" s="119"/>
      <c r="W76" s="119"/>
      <c r="X76" s="120"/>
      <c r="Y76" s="8"/>
      <c r="Z76" s="16" t="s">
        <v>90</v>
      </c>
      <c r="AA76" s="33"/>
      <c r="AB76" s="33">
        <f>IF(I63&gt;0,AB72*AB58*AB70,0)*M67</f>
        <v>0</v>
      </c>
      <c r="AC76" s="33">
        <f>IF(J63&gt;0,AC72*AB58*AC70,0)*M67</f>
        <v>0</v>
      </c>
      <c r="AD76" s="33">
        <f>IF(K63&gt;0,AD72*AB58*AD70,0)*M67</f>
        <v>0</v>
      </c>
      <c r="AE76" s="33">
        <f>IF(L63&gt;0,AE72*AB58*AE70,0)*M67</f>
        <v>0</v>
      </c>
      <c r="AF76" s="33">
        <f>IF(M63&gt;0,AF72*AB58*AF70,0)*M67</f>
        <v>0</v>
      </c>
      <c r="AG76" s="34">
        <f>IF(N63&gt;0,AG72*AB58*AG70,0)*M67</f>
        <v>0</v>
      </c>
      <c r="AH76" s="8"/>
      <c r="AI76" s="8"/>
      <c r="AJ76" s="66"/>
      <c r="AK76" s="74"/>
      <c r="AL76" s="16"/>
      <c r="AM76" s="13"/>
      <c r="AN76" s="27"/>
      <c r="AO76" s="16"/>
      <c r="AP76" s="13"/>
      <c r="AQ76" s="27"/>
      <c r="AR76" s="16"/>
      <c r="AS76" s="13"/>
      <c r="AT76" s="27"/>
      <c r="AU76" s="16"/>
      <c r="AV76" s="13"/>
      <c r="AW76" s="27"/>
      <c r="AX76" s="16"/>
      <c r="AY76" s="13"/>
      <c r="AZ76" s="27"/>
      <c r="BA76" s="59"/>
      <c r="BB76" s="66"/>
      <c r="BC76" s="79"/>
      <c r="BD76" s="13"/>
      <c r="BE76" s="27"/>
      <c r="BF76" s="8"/>
      <c r="BG76" s="9"/>
    </row>
    <row r="77" spans="1:59" ht="15.75" thickBot="1" x14ac:dyDescent="0.3">
      <c r="A77">
        <v>1</v>
      </c>
      <c r="B77" s="16">
        <v>20</v>
      </c>
      <c r="C77" s="14" t="s">
        <v>13</v>
      </c>
      <c r="D77" s="37">
        <f>IF(H63&gt;0,R86,0)+IF(I63&gt;0,S86,0)+IF(J63&gt;0,T86,0)+IF(K63&gt;0,U86,0)+IF(L63&gt;0,V86,0)+IF(M63&gt;0,W86,0)+IF(N63&gt;0,X86,0)</f>
        <v>1.1060000000000002E-3</v>
      </c>
      <c r="E77" s="57" t="s">
        <v>19</v>
      </c>
      <c r="F77" s="9"/>
      <c r="G77" s="6">
        <v>120</v>
      </c>
      <c r="H77" s="13" t="s">
        <v>106</v>
      </c>
      <c r="I77" s="17"/>
      <c r="J77" s="8"/>
      <c r="K77" s="8"/>
      <c r="L77" s="8"/>
      <c r="M77" s="17"/>
      <c r="N77" s="17"/>
      <c r="O77" s="8"/>
      <c r="P77" s="9"/>
      <c r="Q77" s="6"/>
      <c r="R77" s="6"/>
      <c r="S77" s="47">
        <v>4</v>
      </c>
      <c r="T77" s="47">
        <v>4</v>
      </c>
      <c r="U77" s="8"/>
      <c r="V77" s="8"/>
      <c r="W77" s="47">
        <v>5</v>
      </c>
      <c r="X77" s="48">
        <v>5</v>
      </c>
      <c r="Y77" s="8"/>
      <c r="Z77" s="16" t="s">
        <v>91</v>
      </c>
      <c r="AA77" s="13"/>
      <c r="AB77" s="13">
        <f>IF(I63&gt;0,AB73*AB70*AB56,0)*M67</f>
        <v>0</v>
      </c>
      <c r="AC77" s="13">
        <f>IF(J63&gt;0,AC73*AC70*AB56,0)*M67</f>
        <v>0</v>
      </c>
      <c r="AD77" s="13"/>
      <c r="AE77" s="13"/>
      <c r="AF77" s="13">
        <f>IF(M63&gt;0,AF73*AF70*AB56,0)*M67</f>
        <v>0</v>
      </c>
      <c r="AG77" s="27">
        <f>IF(N63&gt;0,AG73*AG70*AB56,0)*M67</f>
        <v>0</v>
      </c>
      <c r="AH77" s="8"/>
      <c r="AI77" s="8"/>
      <c r="AJ77" s="66"/>
      <c r="AK77" s="74"/>
      <c r="AL77" s="16"/>
      <c r="AM77" s="13"/>
      <c r="AN77" s="27"/>
      <c r="AO77" s="16"/>
      <c r="AP77" s="13"/>
      <c r="AQ77" s="27"/>
      <c r="AR77" s="16"/>
      <c r="AS77" s="13"/>
      <c r="AT77" s="27"/>
      <c r="AU77" s="16"/>
      <c r="AV77" s="13"/>
      <c r="AW77" s="27"/>
      <c r="AX77" s="16"/>
      <c r="AY77" s="13"/>
      <c r="AZ77" s="27"/>
      <c r="BA77" s="59"/>
      <c r="BB77" s="66"/>
      <c r="BC77" s="79"/>
      <c r="BD77" s="13"/>
      <c r="BE77" s="27"/>
      <c r="BF77" s="8"/>
      <c r="BG77" s="9"/>
    </row>
    <row r="78" spans="1:59" ht="15.75" thickBot="1" x14ac:dyDescent="0.3">
      <c r="A78">
        <v>1</v>
      </c>
      <c r="B78" s="16"/>
      <c r="C78" s="15" t="s">
        <v>7</v>
      </c>
      <c r="D78" s="37"/>
      <c r="E78" s="57"/>
      <c r="F78" s="9"/>
      <c r="G78" s="6"/>
      <c r="H78" s="13"/>
      <c r="I78" s="13"/>
      <c r="J78" s="8"/>
      <c r="K78" s="8"/>
      <c r="L78" s="8"/>
      <c r="M78" s="17"/>
      <c r="N78" s="17"/>
      <c r="O78" s="8"/>
      <c r="P78" s="9"/>
      <c r="Q78" s="6"/>
      <c r="R78" s="113" t="s">
        <v>79</v>
      </c>
      <c r="S78" s="114"/>
      <c r="T78" s="114"/>
      <c r="U78" s="114"/>
      <c r="V78" s="114"/>
      <c r="W78" s="114"/>
      <c r="X78" s="115"/>
      <c r="Y78" s="8"/>
      <c r="Z78" s="28" t="s">
        <v>96</v>
      </c>
      <c r="AA78" s="20">
        <f>IF(H63&gt;0,AA74*AA70*AB57,0)*M67</f>
        <v>0</v>
      </c>
      <c r="AB78" s="20"/>
      <c r="AC78" s="20"/>
      <c r="AD78" s="20">
        <f>IF(K63&gt;0,AD74*AD70*AB57,0)*M67</f>
        <v>0</v>
      </c>
      <c r="AE78" s="20">
        <f>IF(L63&gt;0,AE74*AE70*AB57,0)*M67</f>
        <v>0</v>
      </c>
      <c r="AF78" s="20"/>
      <c r="AG78" s="29">
        <f>IF(N63&gt;0,AG74*AG70*AB57,0)*M67</f>
        <v>0</v>
      </c>
      <c r="AH78" s="8"/>
      <c r="AI78" s="8"/>
      <c r="AJ78" s="66"/>
      <c r="AK78" s="74"/>
      <c r="AL78" s="16"/>
      <c r="AM78" s="13"/>
      <c r="AN78" s="27"/>
      <c r="AO78" s="16"/>
      <c r="AP78" s="13"/>
      <c r="AQ78" s="27"/>
      <c r="AR78" s="16"/>
      <c r="AS78" s="13"/>
      <c r="AT78" s="27"/>
      <c r="AU78" s="16"/>
      <c r="AV78" s="13"/>
      <c r="AW78" s="27"/>
      <c r="AX78" s="16"/>
      <c r="AY78" s="13"/>
      <c r="AZ78" s="27"/>
      <c r="BA78" s="59"/>
      <c r="BB78" s="66"/>
      <c r="BC78" s="79"/>
      <c r="BD78" s="13"/>
      <c r="BE78" s="31"/>
      <c r="BF78" s="8"/>
      <c r="BG78" s="9"/>
    </row>
    <row r="79" spans="1:59" ht="15.75" thickBot="1" x14ac:dyDescent="0.3">
      <c r="A79">
        <v>1</v>
      </c>
      <c r="B79" s="16">
        <v>21</v>
      </c>
      <c r="C79" s="14" t="s">
        <v>14</v>
      </c>
      <c r="D79" s="37">
        <f>SUM(AA77:AG77)</f>
        <v>0</v>
      </c>
      <c r="E79" s="57" t="s">
        <v>19</v>
      </c>
      <c r="F79" s="9"/>
      <c r="G79" s="6">
        <v>120</v>
      </c>
      <c r="H79" s="13" t="s">
        <v>50</v>
      </c>
      <c r="I79" s="17"/>
      <c r="J79" s="8"/>
      <c r="K79" s="8"/>
      <c r="L79" s="8"/>
      <c r="M79" s="13" t="s">
        <v>61</v>
      </c>
      <c r="N79" s="13">
        <f>M77*N77+M78*N78</f>
        <v>0</v>
      </c>
      <c r="O79" s="8"/>
      <c r="P79" s="9"/>
      <c r="Q79" s="6"/>
      <c r="R79" s="10"/>
      <c r="S79" s="40">
        <f>IF(I63&gt;0,S75*I63*S77,0)</f>
        <v>0</v>
      </c>
      <c r="T79" s="40">
        <f>IF(J63&gt;0,T75*J63*T77,0)</f>
        <v>0</v>
      </c>
      <c r="U79" s="12"/>
      <c r="V79" s="12"/>
      <c r="W79" s="40">
        <f t="shared" ref="W79:X79" si="11">IF(M63&gt;0,W75*M63*W77,0)</f>
        <v>0</v>
      </c>
      <c r="X79" s="41">
        <f t="shared" si="11"/>
        <v>0</v>
      </c>
      <c r="Y79" s="8"/>
      <c r="Z79" s="2"/>
      <c r="AA79" s="113" t="s">
        <v>97</v>
      </c>
      <c r="AB79" s="114"/>
      <c r="AC79" s="114"/>
      <c r="AD79" s="114"/>
      <c r="AE79" s="114"/>
      <c r="AF79" s="114"/>
      <c r="AG79" s="115"/>
      <c r="AH79" s="8"/>
      <c r="AI79" s="8"/>
      <c r="AJ79" s="67"/>
      <c r="AK79" s="75"/>
      <c r="AL79" s="30"/>
      <c r="AM79" s="21"/>
      <c r="AN79" s="31"/>
      <c r="AO79" s="30"/>
      <c r="AP79" s="21"/>
      <c r="AQ79" s="31"/>
      <c r="AR79" s="30"/>
      <c r="AS79" s="21"/>
      <c r="AT79" s="31"/>
      <c r="AU79" s="30"/>
      <c r="AV79" s="21"/>
      <c r="AW79" s="31"/>
      <c r="AX79" s="30"/>
      <c r="AY79" s="21"/>
      <c r="AZ79" s="31"/>
      <c r="BA79" s="91"/>
      <c r="BB79" s="70"/>
      <c r="BC79" s="79"/>
      <c r="BD79" s="76" t="s">
        <v>123</v>
      </c>
      <c r="BE79" s="22">
        <f>SUM(BE57:BE59)+SUM(BE62:BE63)</f>
        <v>0</v>
      </c>
      <c r="BF79" s="8"/>
      <c r="BG79" s="9"/>
    </row>
    <row r="80" spans="1:59" ht="15.75" thickBot="1" x14ac:dyDescent="0.3">
      <c r="A80">
        <v>1</v>
      </c>
      <c r="B80" s="16">
        <v>22</v>
      </c>
      <c r="C80" s="14" t="s">
        <v>95</v>
      </c>
      <c r="D80" s="37">
        <f>SUM(AA78:AG78)</f>
        <v>0</v>
      </c>
      <c r="E80" s="57" t="s">
        <v>19</v>
      </c>
      <c r="F80" s="9"/>
      <c r="G80" s="6">
        <v>65</v>
      </c>
      <c r="H80" s="13" t="s">
        <v>51</v>
      </c>
      <c r="I80" s="17"/>
      <c r="J80" s="8"/>
      <c r="K80" s="8"/>
      <c r="L80" s="8" t="s">
        <v>132</v>
      </c>
      <c r="M80" s="8"/>
      <c r="N80" s="8"/>
      <c r="O80" s="8"/>
      <c r="P80" s="9"/>
      <c r="Q80" s="6"/>
      <c r="R80" s="8"/>
      <c r="S80" s="8"/>
      <c r="T80" s="8"/>
      <c r="U80" s="8"/>
      <c r="V80" s="8"/>
      <c r="W80" s="8"/>
      <c r="X80" s="8"/>
      <c r="Y80" s="8"/>
      <c r="Z80" s="16" t="s">
        <v>90</v>
      </c>
      <c r="AA80" s="33"/>
      <c r="AB80" s="33">
        <f>(0.05*0.05*2+0.05*0.004*4)*AB70</f>
        <v>1.7400000000000006E-2</v>
      </c>
      <c r="AC80" s="33">
        <f t="shared" ref="AC80:AG80" si="12">(0.05*0.05*2+0.05*0.004*4)*AC70</f>
        <v>1.7400000000000006E-2</v>
      </c>
      <c r="AD80" s="33">
        <f t="shared" si="12"/>
        <v>1.7400000000000006E-2</v>
      </c>
      <c r="AE80" s="33">
        <f t="shared" si="12"/>
        <v>1.7400000000000006E-2</v>
      </c>
      <c r="AF80" s="33">
        <f t="shared" si="12"/>
        <v>2.3200000000000005E-2</v>
      </c>
      <c r="AG80" s="34">
        <f t="shared" si="12"/>
        <v>2.3200000000000005E-2</v>
      </c>
      <c r="AH80" s="8"/>
      <c r="AI80" s="8"/>
      <c r="AJ80" s="113" t="s">
        <v>61</v>
      </c>
      <c r="AK80" s="114"/>
      <c r="AL80" s="24"/>
      <c r="AM80" s="25"/>
      <c r="AN80" s="26">
        <f>SUM(AN57:AN79)</f>
        <v>3.81876E-3</v>
      </c>
      <c r="AO80" s="24"/>
      <c r="AP80" s="25"/>
      <c r="AQ80" s="26">
        <f t="shared" ref="AQ80:BA80" si="13">SUM(AQ57:AQ79)</f>
        <v>0</v>
      </c>
      <c r="AR80" s="24"/>
      <c r="AS80" s="25"/>
      <c r="AT80" s="26">
        <f t="shared" si="13"/>
        <v>0</v>
      </c>
      <c r="AU80" s="24"/>
      <c r="AV80" s="25"/>
      <c r="AW80" s="26">
        <f t="shared" si="13"/>
        <v>0</v>
      </c>
      <c r="AX80" s="24"/>
      <c r="AY80" s="25"/>
      <c r="AZ80" s="26"/>
      <c r="BA80" s="92">
        <f t="shared" si="13"/>
        <v>0.27224999999999999</v>
      </c>
      <c r="BB80" s="22">
        <f>SUM(BB57:BB79)</f>
        <v>7.5987999999999998</v>
      </c>
      <c r="BC80" s="77"/>
      <c r="BD80" s="72" t="s">
        <v>23</v>
      </c>
      <c r="BE80" s="22">
        <f>SUM(BE72:BE75)</f>
        <v>6.480000000000001E-2</v>
      </c>
      <c r="BF80" s="8"/>
      <c r="BG80" s="9"/>
    </row>
    <row r="81" spans="1:59" ht="15.75" thickBot="1" x14ac:dyDescent="0.3">
      <c r="A81">
        <v>1</v>
      </c>
      <c r="B81" s="16">
        <v>23</v>
      </c>
      <c r="C81" s="14" t="s">
        <v>71</v>
      </c>
      <c r="D81" s="37">
        <f>SUM(AA76:AG76)</f>
        <v>0</v>
      </c>
      <c r="E81" s="57" t="s">
        <v>19</v>
      </c>
      <c r="F81" s="9"/>
      <c r="G81" s="6">
        <v>120</v>
      </c>
      <c r="H81" s="13" t="s">
        <v>52</v>
      </c>
      <c r="I81" s="17"/>
      <c r="J81" s="8"/>
      <c r="K81" s="8"/>
      <c r="L81" s="116" t="s">
        <v>128</v>
      </c>
      <c r="M81" s="116"/>
      <c r="N81" s="116"/>
      <c r="O81" s="134" t="s">
        <v>107</v>
      </c>
      <c r="P81" s="138"/>
      <c r="Q81" s="6"/>
      <c r="R81" s="113" t="s">
        <v>85</v>
      </c>
      <c r="S81" s="114"/>
      <c r="T81" s="114"/>
      <c r="U81" s="114"/>
      <c r="V81" s="114"/>
      <c r="W81" s="114"/>
      <c r="X81" s="115"/>
      <c r="Y81" s="8"/>
      <c r="Z81" s="16" t="s">
        <v>91</v>
      </c>
      <c r="AA81" s="13"/>
      <c r="AB81" s="13">
        <f>3.14*0.006*AB73*AB70</f>
        <v>3.8433600000000012E-2</v>
      </c>
      <c r="AC81" s="13">
        <f t="shared" ref="AC81:AG81" si="14">3.14*0.006*AC73*AC70</f>
        <v>7.7432400000000012E-2</v>
      </c>
      <c r="AD81" s="13"/>
      <c r="AE81" s="13"/>
      <c r="AF81" s="13">
        <f t="shared" si="14"/>
        <v>5.1244800000000014E-2</v>
      </c>
      <c r="AG81" s="27">
        <f t="shared" si="14"/>
        <v>7.0084800000000017E-2</v>
      </c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9"/>
    </row>
    <row r="82" spans="1:59" ht="15.75" thickBot="1" x14ac:dyDescent="0.3">
      <c r="A82">
        <v>1</v>
      </c>
      <c r="B82" s="16"/>
      <c r="C82" s="15" t="s">
        <v>8</v>
      </c>
      <c r="D82" s="37"/>
      <c r="E82" s="57"/>
      <c r="F82" s="9"/>
      <c r="G82" s="6">
        <v>190</v>
      </c>
      <c r="H82" s="13" t="s">
        <v>53</v>
      </c>
      <c r="I82" s="17"/>
      <c r="J82" s="8"/>
      <c r="K82" s="8"/>
      <c r="L82" s="13" t="s">
        <v>125</v>
      </c>
      <c r="M82" s="13" t="s">
        <v>126</v>
      </c>
      <c r="N82" s="13" t="s">
        <v>63</v>
      </c>
      <c r="O82" s="61" t="s">
        <v>31</v>
      </c>
      <c r="P82" s="27" t="s">
        <v>130</v>
      </c>
      <c r="Q82" s="6"/>
      <c r="R82" s="16" t="s">
        <v>23</v>
      </c>
      <c r="S82" s="13" t="s">
        <v>24</v>
      </c>
      <c r="T82" s="13" t="s">
        <v>25</v>
      </c>
      <c r="U82" s="13" t="s">
        <v>26</v>
      </c>
      <c r="V82" s="13" t="s">
        <v>27</v>
      </c>
      <c r="W82" s="13" t="s">
        <v>28</v>
      </c>
      <c r="X82" s="27" t="s">
        <v>29</v>
      </c>
      <c r="Y82" s="8"/>
      <c r="Z82" s="16" t="s">
        <v>96</v>
      </c>
      <c r="AA82" s="21">
        <f>3.14*0.008*AA74*AA70</f>
        <v>2.1100800000000003E-2</v>
      </c>
      <c r="AB82" s="21"/>
      <c r="AC82" s="21"/>
      <c r="AD82" s="21">
        <f t="shared" ref="AD82:AE82" si="15">3.14*0.008*AD74*AD70</f>
        <v>2.7129599999999997E-2</v>
      </c>
      <c r="AE82" s="21">
        <f t="shared" si="15"/>
        <v>2.7129599999999997E-2</v>
      </c>
      <c r="AF82" s="21"/>
      <c r="AG82" s="31"/>
      <c r="AH82" s="8"/>
      <c r="AI82" s="8"/>
      <c r="AJ82" s="116" t="s">
        <v>124</v>
      </c>
      <c r="AK82" s="116"/>
      <c r="AL82" s="116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9"/>
    </row>
    <row r="83" spans="1:59" ht="15.75" thickBot="1" x14ac:dyDescent="0.3">
      <c r="A83">
        <v>1</v>
      </c>
      <c r="B83" s="16">
        <v>24</v>
      </c>
      <c r="C83" s="14" t="s">
        <v>103</v>
      </c>
      <c r="D83" s="37">
        <f>AT80</f>
        <v>0</v>
      </c>
      <c r="E83" s="57" t="s">
        <v>19</v>
      </c>
      <c r="F83" s="9"/>
      <c r="G83" s="6">
        <v>190</v>
      </c>
      <c r="H83" s="13" t="s">
        <v>108</v>
      </c>
      <c r="I83" s="17"/>
      <c r="J83" s="8"/>
      <c r="K83" s="8"/>
      <c r="L83" s="17"/>
      <c r="M83" s="17"/>
      <c r="N83" s="17"/>
      <c r="O83" s="17"/>
      <c r="P83" s="96"/>
      <c r="Q83" s="6" t="s">
        <v>86</v>
      </c>
      <c r="R83" s="16">
        <v>0.28000000000000003</v>
      </c>
      <c r="S83" s="13">
        <v>0.28000000000000003</v>
      </c>
      <c r="T83" s="13">
        <v>0.28000000000000003</v>
      </c>
      <c r="U83" s="13">
        <v>0.28000000000000003</v>
      </c>
      <c r="V83" s="13">
        <v>0.28000000000000003</v>
      </c>
      <c r="W83" s="13">
        <v>0.28000000000000003</v>
      </c>
      <c r="X83" s="27">
        <v>0.28000000000000003</v>
      </c>
      <c r="Y83" s="8"/>
      <c r="Z83" s="6"/>
      <c r="AA83" s="113" t="s">
        <v>100</v>
      </c>
      <c r="AB83" s="114"/>
      <c r="AC83" s="114"/>
      <c r="AD83" s="114"/>
      <c r="AE83" s="114"/>
      <c r="AF83" s="114"/>
      <c r="AG83" s="115"/>
      <c r="AH83" s="8"/>
      <c r="AI83" s="8"/>
      <c r="AJ83" s="13" t="s">
        <v>128</v>
      </c>
      <c r="AK83" s="116" t="s">
        <v>107</v>
      </c>
      <c r="AL83" s="134"/>
      <c r="AM83" s="13" t="s">
        <v>116</v>
      </c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9"/>
    </row>
    <row r="84" spans="1:59" ht="15.75" thickBot="1" x14ac:dyDescent="0.3">
      <c r="A84">
        <v>1</v>
      </c>
      <c r="B84" s="16">
        <v>25</v>
      </c>
      <c r="C84" s="14" t="s">
        <v>107</v>
      </c>
      <c r="D84" s="37">
        <f>AW80</f>
        <v>0</v>
      </c>
      <c r="E84" s="57" t="s">
        <v>19</v>
      </c>
      <c r="F84" s="9"/>
      <c r="G84" s="6"/>
      <c r="H84" s="61"/>
      <c r="I84" s="61"/>
      <c r="J84" s="8"/>
      <c r="K84" s="8"/>
      <c r="L84" s="17"/>
      <c r="M84" s="17"/>
      <c r="N84" s="17"/>
      <c r="O84" s="17"/>
      <c r="P84" s="96"/>
      <c r="Q84" s="6" t="s">
        <v>87</v>
      </c>
      <c r="R84" s="54">
        <f>IF(H63&gt;0,H63/1,0)</f>
        <v>10</v>
      </c>
      <c r="S84" s="53">
        <f>IF(I63&gt;0,I63/1.5,0)</f>
        <v>0</v>
      </c>
      <c r="T84" s="53">
        <f>IF(J63&gt;0,J63/1.5,0)</f>
        <v>0</v>
      </c>
      <c r="U84" s="53">
        <f>IF(K63&gt;0,K63/1.5,0)</f>
        <v>0</v>
      </c>
      <c r="V84" s="53">
        <f>IF(L63&gt;0,L63/1.5,0)</f>
        <v>0</v>
      </c>
      <c r="W84" s="53">
        <f t="shared" ref="W84:X84" si="16">IF(M63&gt;0,M63/1.5,0)</f>
        <v>0</v>
      </c>
      <c r="X84" s="55">
        <f t="shared" si="16"/>
        <v>0</v>
      </c>
      <c r="Y84" s="8"/>
      <c r="Z84" s="16" t="s">
        <v>90</v>
      </c>
      <c r="AA84" s="33"/>
      <c r="AB84" s="33">
        <f>IF(I63&gt;0,AB80*M67,0)</f>
        <v>0</v>
      </c>
      <c r="AC84" s="33">
        <f>IF(J63&gt;0,AC80*M67,0)</f>
        <v>0</v>
      </c>
      <c r="AD84" s="33">
        <f>IF(K63&gt;0,AD80*M67,0)</f>
        <v>0</v>
      </c>
      <c r="AE84" s="33">
        <f>IF(L63&gt;0,AE80*M67,0)</f>
        <v>0</v>
      </c>
      <c r="AF84" s="33">
        <f>IF(M63&gt;0,AF80*M67,0)</f>
        <v>0</v>
      </c>
      <c r="AG84" s="34">
        <f>IF(N63&gt;0,AG80*M67,0)</f>
        <v>0</v>
      </c>
      <c r="AH84" s="8"/>
      <c r="AI84" s="8"/>
      <c r="AJ84" s="94">
        <f>IF(I63&gt;0,N83*M83*L83,0)</f>
        <v>0</v>
      </c>
      <c r="AK84" s="116">
        <f>IF(I63&gt;0,P83*O83*AB62,0)</f>
        <v>0</v>
      </c>
      <c r="AL84" s="134"/>
      <c r="AM84" s="13">
        <f>IF(I63&gt;0,0.3*P83*O83,0)</f>
        <v>0</v>
      </c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9"/>
    </row>
    <row r="85" spans="1:59" ht="15.75" thickBot="1" x14ac:dyDescent="0.3">
      <c r="A85">
        <v>1</v>
      </c>
      <c r="B85" s="16">
        <v>26</v>
      </c>
      <c r="C85" s="14" t="s">
        <v>111</v>
      </c>
      <c r="D85" s="37">
        <f>AZ80</f>
        <v>0</v>
      </c>
      <c r="E85" s="57" t="s">
        <v>19</v>
      </c>
      <c r="F85" s="9"/>
      <c r="G85" s="6">
        <v>80</v>
      </c>
      <c r="H85" s="13" t="s">
        <v>54</v>
      </c>
      <c r="I85" s="17"/>
      <c r="J85" s="8"/>
      <c r="K85" s="8"/>
      <c r="L85" s="17"/>
      <c r="M85" s="17"/>
      <c r="N85" s="17"/>
      <c r="O85" s="17"/>
      <c r="P85" s="96"/>
      <c r="Q85" s="6"/>
      <c r="R85" s="113" t="s">
        <v>88</v>
      </c>
      <c r="S85" s="114"/>
      <c r="T85" s="114"/>
      <c r="U85" s="114"/>
      <c r="V85" s="114"/>
      <c r="W85" s="114"/>
      <c r="X85" s="115"/>
      <c r="Y85" s="8"/>
      <c r="Z85" s="16" t="s">
        <v>91</v>
      </c>
      <c r="AA85" s="13"/>
      <c r="AB85" s="13">
        <f>IF(I63&gt;0,AB81*M67,0)</f>
        <v>0</v>
      </c>
      <c r="AC85" s="13">
        <f>IF(J63&gt;0,AC81*M67,0)</f>
        <v>0</v>
      </c>
      <c r="AD85" s="13"/>
      <c r="AE85" s="13"/>
      <c r="AF85" s="13">
        <f>IF(M63&gt;0,AF81*M67,0)</f>
        <v>0</v>
      </c>
      <c r="AG85" s="27">
        <f>IF(N63&gt;0,AG81*M67,0)</f>
        <v>0</v>
      </c>
      <c r="AH85" s="8"/>
      <c r="AI85" s="8"/>
      <c r="AJ85" s="94">
        <f>IF(I63&gt;0,N84*M84*L84,0)</f>
        <v>0</v>
      </c>
      <c r="AK85" s="116">
        <f>IF(I63&gt;0,P84*O84*AB63,0)</f>
        <v>0</v>
      </c>
      <c r="AL85" s="134"/>
      <c r="AM85" s="13">
        <f>IF(I63&gt;0,0.3*P84*O84,0)</f>
        <v>0</v>
      </c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9"/>
    </row>
    <row r="86" spans="1:59" ht="15.75" thickBot="1" x14ac:dyDescent="0.3">
      <c r="A86">
        <v>1</v>
      </c>
      <c r="B86" s="16">
        <v>27</v>
      </c>
      <c r="C86" s="14" t="s">
        <v>102</v>
      </c>
      <c r="D86" s="37">
        <f>AN80</f>
        <v>3.81876E-3</v>
      </c>
      <c r="E86" s="57" t="s">
        <v>19</v>
      </c>
      <c r="F86" s="9"/>
      <c r="G86" s="6">
        <v>80</v>
      </c>
      <c r="H86" s="13" t="s">
        <v>55</v>
      </c>
      <c r="I86" s="17">
        <v>1</v>
      </c>
      <c r="J86" s="8"/>
      <c r="K86" s="8"/>
      <c r="L86" s="8"/>
      <c r="M86" s="8"/>
      <c r="N86" s="8"/>
      <c r="O86" s="8"/>
      <c r="P86" s="9"/>
      <c r="Q86" s="6"/>
      <c r="R86" s="60">
        <f>R83*R84*AB57</f>
        <v>1.1060000000000002E-3</v>
      </c>
      <c r="S86" s="47">
        <f>S83*S84*AB57</f>
        <v>0</v>
      </c>
      <c r="T86" s="47">
        <f>T83*T84*AB57</f>
        <v>0</v>
      </c>
      <c r="U86" s="47">
        <f>U83*U84*AC57</f>
        <v>0</v>
      </c>
      <c r="V86" s="47">
        <f>V83*V84*AB57</f>
        <v>0</v>
      </c>
      <c r="W86" s="47">
        <f>W83*W84*AB57</f>
        <v>0</v>
      </c>
      <c r="X86" s="48">
        <f>X83*X84*AB57</f>
        <v>0</v>
      </c>
      <c r="Y86" s="8"/>
      <c r="Z86" s="28" t="s">
        <v>96</v>
      </c>
      <c r="AA86" s="20">
        <f>IF(H63&gt;0,AA82*M67,0)</f>
        <v>0</v>
      </c>
      <c r="AB86" s="20"/>
      <c r="AC86" s="20"/>
      <c r="AD86" s="20">
        <f>IF(K63&gt;0,AD82*M67,0)</f>
        <v>0</v>
      </c>
      <c r="AE86" s="20">
        <f>IF(L63&gt;0,AE82*M67,0)</f>
        <v>0</v>
      </c>
      <c r="AF86" s="20"/>
      <c r="AG86" s="29"/>
      <c r="AH86" s="8"/>
      <c r="AI86" s="8"/>
      <c r="AJ86" s="95">
        <f>IF(I63&gt;0,N85*M85*L85,0)</f>
        <v>0</v>
      </c>
      <c r="AK86" s="135">
        <f>IF(I63&gt;0,P85*O85*AB64,0)</f>
        <v>0</v>
      </c>
      <c r="AL86" s="136"/>
      <c r="AM86" s="21">
        <f>IF(I63&gt;0,0.3*P85*O85,0)</f>
        <v>0</v>
      </c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9"/>
    </row>
    <row r="87" spans="1:59" ht="15.75" thickBot="1" x14ac:dyDescent="0.3">
      <c r="A87">
        <v>1</v>
      </c>
      <c r="B87" s="16">
        <v>28</v>
      </c>
      <c r="C87" s="14" t="s">
        <v>110</v>
      </c>
      <c r="D87" s="37">
        <f>AQ80</f>
        <v>0</v>
      </c>
      <c r="E87" s="57" t="s">
        <v>19</v>
      </c>
      <c r="F87" s="9"/>
      <c r="G87" s="62">
        <v>80</v>
      </c>
      <c r="H87" s="13" t="s">
        <v>56</v>
      </c>
      <c r="I87" s="17"/>
      <c r="J87" s="8"/>
      <c r="K87" s="8"/>
      <c r="L87" s="8"/>
      <c r="M87" s="8"/>
      <c r="N87" s="8"/>
      <c r="O87" s="8"/>
      <c r="P87" s="9"/>
      <c r="Q87" s="6"/>
      <c r="R87" s="116" t="s">
        <v>99</v>
      </c>
      <c r="S87" s="116"/>
      <c r="T87" s="116"/>
      <c r="U87" s="116"/>
      <c r="V87" s="116"/>
      <c r="W87" s="116"/>
      <c r="X87" s="116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24" t="s">
        <v>129</v>
      </c>
      <c r="AJ87" s="25">
        <f>SUM(AJ84:AJ86)</f>
        <v>0</v>
      </c>
      <c r="AK87" s="119">
        <f>SUM(AK84:AL86)</f>
        <v>0</v>
      </c>
      <c r="AL87" s="137"/>
      <c r="AM87" s="22">
        <f>SUM(AM84:AM86)</f>
        <v>0</v>
      </c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9"/>
    </row>
    <row r="88" spans="1:59" x14ac:dyDescent="0.25">
      <c r="A88">
        <v>1</v>
      </c>
      <c r="B88" s="16">
        <v>29</v>
      </c>
      <c r="C88" s="14" t="s">
        <v>9</v>
      </c>
      <c r="D88" s="37">
        <f>BA80</f>
        <v>0.27224999999999999</v>
      </c>
      <c r="E88" s="57" t="s">
        <v>17</v>
      </c>
      <c r="F88" s="9"/>
      <c r="G88" s="62">
        <v>80</v>
      </c>
      <c r="H88" s="13" t="s">
        <v>57</v>
      </c>
      <c r="I88" s="17"/>
      <c r="J88" s="8"/>
      <c r="K88" s="8"/>
      <c r="L88" s="8"/>
      <c r="M88" s="8"/>
      <c r="N88" s="8"/>
      <c r="O88" s="8"/>
      <c r="P88" s="9"/>
      <c r="Q88" s="6" t="s">
        <v>101</v>
      </c>
      <c r="R88" s="13">
        <f>IF(H63&gt;0,3.14*0.008*R83*R84,0)</f>
        <v>7.033600000000001E-2</v>
      </c>
      <c r="S88" s="13">
        <f t="shared" ref="S88:X88" si="17">IF(I63&gt;0,3.14*0.008*S83*S84,0)</f>
        <v>0</v>
      </c>
      <c r="T88" s="13">
        <f t="shared" si="17"/>
        <v>0</v>
      </c>
      <c r="U88" s="13">
        <f t="shared" si="17"/>
        <v>0</v>
      </c>
      <c r="V88" s="13">
        <f t="shared" si="17"/>
        <v>0</v>
      </c>
      <c r="W88" s="13">
        <f t="shared" si="17"/>
        <v>0</v>
      </c>
      <c r="X88" s="13">
        <f t="shared" si="17"/>
        <v>0</v>
      </c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9"/>
    </row>
    <row r="89" spans="1:59" x14ac:dyDescent="0.25">
      <c r="A89">
        <v>1</v>
      </c>
      <c r="B89" s="16">
        <v>30</v>
      </c>
      <c r="C89" s="14" t="s">
        <v>117</v>
      </c>
      <c r="D89" s="37">
        <f>BE79</f>
        <v>0</v>
      </c>
      <c r="E89" s="57" t="s">
        <v>17</v>
      </c>
      <c r="F89" s="9"/>
      <c r="G89" s="6"/>
      <c r="H89" s="8"/>
      <c r="I89" s="8"/>
      <c r="J89" s="8"/>
      <c r="K89" s="8"/>
      <c r="L89" s="8"/>
      <c r="M89" s="8"/>
      <c r="N89" s="8"/>
      <c r="O89" s="8"/>
      <c r="P89" s="9"/>
      <c r="Q89" s="6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9"/>
    </row>
    <row r="90" spans="1:59" x14ac:dyDescent="0.25">
      <c r="A90">
        <v>1</v>
      </c>
      <c r="B90" s="16">
        <v>31</v>
      </c>
      <c r="C90" s="14" t="s">
        <v>118</v>
      </c>
      <c r="D90" s="37">
        <f>D89*0.03</f>
        <v>0</v>
      </c>
      <c r="E90" s="57" t="s">
        <v>18</v>
      </c>
      <c r="F90" s="9"/>
      <c r="G90" s="6"/>
      <c r="H90" s="8"/>
      <c r="I90" s="8"/>
      <c r="J90" s="8"/>
      <c r="K90" s="8"/>
      <c r="L90" s="8"/>
      <c r="M90" s="8"/>
      <c r="N90" s="8"/>
      <c r="O90" s="8"/>
      <c r="P90" s="9"/>
      <c r="Q90" s="6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9"/>
    </row>
    <row r="91" spans="1:59" x14ac:dyDescent="0.25">
      <c r="A91">
        <v>1</v>
      </c>
      <c r="B91" s="16">
        <v>32</v>
      </c>
      <c r="C91" s="14" t="s">
        <v>119</v>
      </c>
      <c r="D91" s="37">
        <f>BE80</f>
        <v>6.480000000000001E-2</v>
      </c>
      <c r="E91" s="57" t="s">
        <v>17</v>
      </c>
      <c r="F91" s="9"/>
      <c r="G91" s="6"/>
      <c r="H91" s="8"/>
      <c r="I91" s="8"/>
      <c r="J91" s="8"/>
      <c r="K91" s="8"/>
      <c r="L91" s="8"/>
      <c r="M91" s="8"/>
      <c r="N91" s="8"/>
      <c r="O91" s="8"/>
      <c r="P91" s="9"/>
      <c r="Q91" s="6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9"/>
    </row>
    <row r="92" spans="1:59" x14ac:dyDescent="0.25">
      <c r="A92">
        <v>1</v>
      </c>
      <c r="B92" s="16">
        <v>33</v>
      </c>
      <c r="C92" s="14" t="s">
        <v>120</v>
      </c>
      <c r="D92" s="37">
        <f>D91*0.03</f>
        <v>1.9440000000000002E-3</v>
      </c>
      <c r="E92" s="57" t="s">
        <v>18</v>
      </c>
      <c r="F92" s="9"/>
      <c r="G92" s="6"/>
      <c r="H92" s="8"/>
      <c r="I92" s="8"/>
      <c r="J92" s="8"/>
      <c r="K92" s="8"/>
      <c r="L92" s="8"/>
      <c r="M92" s="8"/>
      <c r="N92" s="8"/>
      <c r="O92" s="8"/>
      <c r="P92" s="9"/>
      <c r="Q92" s="6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9"/>
    </row>
    <row r="93" spans="1:59" x14ac:dyDescent="0.25">
      <c r="A93">
        <v>1</v>
      </c>
      <c r="B93" s="16">
        <v>34</v>
      </c>
      <c r="C93" s="14" t="s">
        <v>15</v>
      </c>
      <c r="D93" s="37">
        <f>SUM(AA84:AG86)+SUM(R88:X88)+BB80+AM87</f>
        <v>7.669136</v>
      </c>
      <c r="E93" s="57" t="s">
        <v>17</v>
      </c>
      <c r="F93" s="9"/>
      <c r="G93" s="6"/>
      <c r="H93" s="8"/>
      <c r="I93" s="8"/>
      <c r="J93" s="8"/>
      <c r="K93" s="8"/>
      <c r="L93" s="8"/>
      <c r="M93" s="8"/>
      <c r="N93" s="8"/>
      <c r="O93" s="8"/>
      <c r="P93" s="9"/>
      <c r="Q93" s="6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9"/>
    </row>
    <row r="94" spans="1:59" x14ac:dyDescent="0.25">
      <c r="B94" s="6"/>
      <c r="C94" s="7"/>
      <c r="D94" s="86"/>
      <c r="E94" s="87"/>
      <c r="F94" s="9"/>
      <c r="G94" s="6"/>
      <c r="H94" s="8"/>
      <c r="I94" s="8"/>
      <c r="J94" s="8"/>
      <c r="K94" s="8"/>
      <c r="L94" s="8"/>
      <c r="M94" s="8"/>
      <c r="N94" s="8"/>
      <c r="O94" s="8"/>
      <c r="P94" s="9"/>
      <c r="Q94" s="6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9"/>
    </row>
    <row r="95" spans="1:59" x14ac:dyDescent="0.25">
      <c r="B95" s="6"/>
      <c r="C95" s="7"/>
      <c r="D95" s="8"/>
      <c r="E95" s="8"/>
      <c r="F95" s="9"/>
      <c r="G95" s="6"/>
      <c r="H95" s="8"/>
      <c r="I95" s="8"/>
      <c r="J95" s="8"/>
      <c r="K95" s="8"/>
      <c r="L95" s="8"/>
      <c r="M95" s="8"/>
      <c r="N95" s="8"/>
      <c r="O95" s="8"/>
      <c r="P95" s="9"/>
      <c r="Q95" s="6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9"/>
    </row>
    <row r="96" spans="1:59" x14ac:dyDescent="0.25">
      <c r="B96" s="6"/>
      <c r="C96" s="7"/>
      <c r="D96" s="8"/>
      <c r="E96" s="8"/>
      <c r="F96" s="9"/>
      <c r="G96" s="6"/>
      <c r="H96" s="8"/>
      <c r="I96" s="8"/>
      <c r="J96" s="8"/>
      <c r="K96" s="8"/>
      <c r="L96" s="8"/>
      <c r="M96" s="8"/>
      <c r="N96" s="8"/>
      <c r="O96" s="8"/>
      <c r="P96" s="9"/>
      <c r="Q96" s="6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9"/>
    </row>
    <row r="97" spans="1:59" x14ac:dyDescent="0.25">
      <c r="B97" s="6"/>
      <c r="C97" s="7"/>
      <c r="D97" s="8"/>
      <c r="E97" s="8"/>
      <c r="F97" s="9"/>
      <c r="G97" s="6"/>
      <c r="H97" s="8"/>
      <c r="I97" s="8"/>
      <c r="J97" s="8"/>
      <c r="K97" s="8"/>
      <c r="L97" s="8"/>
      <c r="M97" s="8"/>
      <c r="N97" s="8"/>
      <c r="O97" s="8"/>
      <c r="P97" s="9"/>
      <c r="Q97" s="6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9"/>
    </row>
    <row r="98" spans="1:59" ht="15.75" thickBot="1" x14ac:dyDescent="0.3">
      <c r="B98" s="10"/>
      <c r="C98" s="11"/>
      <c r="D98" s="12"/>
      <c r="E98" s="12"/>
      <c r="F98" s="84"/>
      <c r="G98" s="10"/>
      <c r="H98" s="12"/>
      <c r="I98" s="12"/>
      <c r="J98" s="12"/>
      <c r="K98" s="12"/>
      <c r="L98" s="12"/>
      <c r="M98" s="12"/>
      <c r="N98" s="12"/>
      <c r="O98" s="12"/>
      <c r="P98" s="84"/>
      <c r="Q98" s="10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84"/>
    </row>
    <row r="99" spans="1:59" ht="15.75" thickBot="1" x14ac:dyDescent="0.3">
      <c r="B99" s="2"/>
      <c r="C99" s="3"/>
      <c r="D99" s="4"/>
      <c r="E99" s="4"/>
      <c r="F99" s="5"/>
      <c r="G99" s="2"/>
      <c r="H99" s="19" t="s">
        <v>22</v>
      </c>
      <c r="I99" s="19"/>
      <c r="J99" s="19"/>
      <c r="K99" s="4"/>
      <c r="L99" s="4"/>
      <c r="M99" s="4"/>
      <c r="N99" s="4"/>
      <c r="O99" s="4"/>
      <c r="P99" s="5"/>
      <c r="Q99" s="2" t="s">
        <v>109</v>
      </c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5"/>
    </row>
    <row r="100" spans="1:59" ht="19.5" thickBot="1" x14ac:dyDescent="0.45">
      <c r="A100" s="110"/>
      <c r="B100" s="6"/>
      <c r="C100" s="52" t="s">
        <v>80</v>
      </c>
      <c r="D100" s="56">
        <f>D54+1</f>
        <v>2</v>
      </c>
      <c r="E100" s="8"/>
      <c r="F100" s="50" t="s">
        <v>69</v>
      </c>
      <c r="G100" s="6"/>
      <c r="H100" s="113" t="s">
        <v>58</v>
      </c>
      <c r="I100" s="114"/>
      <c r="J100" s="114"/>
      <c r="K100" s="114"/>
      <c r="L100" s="114"/>
      <c r="M100" s="114"/>
      <c r="N100" s="114"/>
      <c r="O100" s="115"/>
      <c r="P100" s="9"/>
      <c r="Q100" s="6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9"/>
    </row>
    <row r="101" spans="1:59" ht="19.5" thickBot="1" x14ac:dyDescent="0.3">
      <c r="B101" s="6"/>
      <c r="C101" s="7"/>
      <c r="D101" s="8"/>
      <c r="E101" s="8"/>
      <c r="F101" s="49">
        <f>IF(H109&gt;0,H101,0)</f>
        <v>0</v>
      </c>
      <c r="G101" s="6"/>
      <c r="H101" s="33" t="s">
        <v>23</v>
      </c>
      <c r="I101" s="33" t="s">
        <v>24</v>
      </c>
      <c r="J101" s="33" t="s">
        <v>25</v>
      </c>
      <c r="K101" s="33" t="s">
        <v>26</v>
      </c>
      <c r="L101" s="33" t="s">
        <v>27</v>
      </c>
      <c r="M101" s="33" t="s">
        <v>28</v>
      </c>
      <c r="N101" s="33" t="s">
        <v>29</v>
      </c>
      <c r="O101" s="51" t="s">
        <v>38</v>
      </c>
      <c r="P101" s="9"/>
      <c r="Q101" s="6"/>
      <c r="R101" s="113" t="s">
        <v>59</v>
      </c>
      <c r="S101" s="114"/>
      <c r="T101" s="114"/>
      <c r="U101" s="114"/>
      <c r="V101" s="114"/>
      <c r="W101" s="114"/>
      <c r="X101" s="115"/>
      <c r="Y101" s="8"/>
      <c r="Z101" s="116" t="s">
        <v>81</v>
      </c>
      <c r="AA101" s="116"/>
      <c r="AB101" s="13" t="s">
        <v>82</v>
      </c>
      <c r="AC101" s="8"/>
      <c r="AD101" s="8"/>
      <c r="AE101" s="8"/>
      <c r="AF101" s="8"/>
      <c r="AG101" s="8"/>
      <c r="AH101" s="8"/>
      <c r="AI101" s="8"/>
      <c r="AJ101" s="65"/>
      <c r="AK101" s="80"/>
      <c r="AL101" s="130" t="s">
        <v>102</v>
      </c>
      <c r="AM101" s="131"/>
      <c r="AN101" s="132"/>
      <c r="AO101" s="127" t="s">
        <v>110</v>
      </c>
      <c r="AP101" s="128"/>
      <c r="AQ101" s="129"/>
      <c r="AR101" s="130" t="s">
        <v>103</v>
      </c>
      <c r="AS101" s="131"/>
      <c r="AT101" s="132"/>
      <c r="AU101" s="130" t="s">
        <v>107</v>
      </c>
      <c r="AV101" s="131"/>
      <c r="AW101" s="132"/>
      <c r="AX101" s="130" t="s">
        <v>111</v>
      </c>
      <c r="AY101" s="131"/>
      <c r="AZ101" s="132"/>
      <c r="BA101" s="88" t="s">
        <v>104</v>
      </c>
      <c r="BB101" s="65" t="s">
        <v>116</v>
      </c>
      <c r="BC101" s="123" t="s">
        <v>121</v>
      </c>
      <c r="BD101" s="123"/>
      <c r="BE101" s="133"/>
      <c r="BF101" s="8"/>
      <c r="BG101" s="9"/>
    </row>
    <row r="102" spans="1:59" ht="19.5" thickBot="1" x14ac:dyDescent="0.3">
      <c r="B102" s="6"/>
      <c r="C102" s="7"/>
      <c r="D102" s="8"/>
      <c r="E102" s="8"/>
      <c r="F102" s="49" t="str">
        <f>IF(I109&gt;0,I101,0)</f>
        <v xml:space="preserve">СКЦ 90 </v>
      </c>
      <c r="G102" s="6"/>
      <c r="H102" s="17"/>
      <c r="I102" s="17"/>
      <c r="J102" s="17"/>
      <c r="K102" s="17"/>
      <c r="L102" s="17"/>
      <c r="M102" s="17"/>
      <c r="N102" s="17"/>
      <c r="O102" s="17"/>
      <c r="P102" s="9"/>
      <c r="Q102" s="6"/>
      <c r="R102" s="32" t="s">
        <v>23</v>
      </c>
      <c r="S102" s="33" t="s">
        <v>24</v>
      </c>
      <c r="T102" s="33" t="s">
        <v>25</v>
      </c>
      <c r="U102" s="33" t="s">
        <v>26</v>
      </c>
      <c r="V102" s="33" t="s">
        <v>27</v>
      </c>
      <c r="W102" s="33" t="s">
        <v>28</v>
      </c>
      <c r="X102" s="34" t="s">
        <v>29</v>
      </c>
      <c r="Y102" s="8"/>
      <c r="Z102" s="116" t="s">
        <v>83</v>
      </c>
      <c r="AA102" s="116"/>
      <c r="AB102" s="13">
        <f>0.222/1000</f>
        <v>2.22E-4</v>
      </c>
      <c r="AC102" s="8"/>
      <c r="AD102" s="8"/>
      <c r="AE102" s="8"/>
      <c r="AF102" s="8"/>
      <c r="AG102" s="8"/>
      <c r="AH102" s="8"/>
      <c r="AI102" s="8"/>
      <c r="AJ102" s="67"/>
      <c r="AK102" s="81" t="s">
        <v>105</v>
      </c>
      <c r="AL102" s="28" t="s">
        <v>21</v>
      </c>
      <c r="AM102" s="20" t="s">
        <v>105</v>
      </c>
      <c r="AN102" s="29" t="s">
        <v>19</v>
      </c>
      <c r="AO102" s="28" t="s">
        <v>21</v>
      </c>
      <c r="AP102" s="20" t="s">
        <v>105</v>
      </c>
      <c r="AQ102" s="29" t="s">
        <v>19</v>
      </c>
      <c r="AR102" s="28" t="s">
        <v>21</v>
      </c>
      <c r="AS102" s="20" t="s">
        <v>105</v>
      </c>
      <c r="AT102" s="29" t="s">
        <v>19</v>
      </c>
      <c r="AU102" s="28" t="s">
        <v>21</v>
      </c>
      <c r="AV102" s="20" t="s">
        <v>105</v>
      </c>
      <c r="AW102" s="29" t="s">
        <v>19</v>
      </c>
      <c r="AX102" s="28" t="s">
        <v>21</v>
      </c>
      <c r="AY102" s="20" t="s">
        <v>105</v>
      </c>
      <c r="AZ102" s="29" t="s">
        <v>19</v>
      </c>
      <c r="BA102" s="89" t="s">
        <v>17</v>
      </c>
      <c r="BB102" s="67" t="s">
        <v>17</v>
      </c>
      <c r="BC102" s="93" t="s">
        <v>126</v>
      </c>
      <c r="BD102" s="20" t="s">
        <v>63</v>
      </c>
      <c r="BE102" s="85" t="s">
        <v>122</v>
      </c>
      <c r="BF102" s="8"/>
      <c r="BG102" s="9"/>
    </row>
    <row r="103" spans="1:59" ht="19.5" thickBot="1" x14ac:dyDescent="0.3">
      <c r="A103">
        <v>2</v>
      </c>
      <c r="B103" s="16">
        <v>1</v>
      </c>
      <c r="C103" s="14" t="s">
        <v>0</v>
      </c>
      <c r="D103" s="37">
        <f>(H109*M111)-IF(H109&gt;0,N119,0)</f>
        <v>0</v>
      </c>
      <c r="E103" s="57" t="s">
        <v>17</v>
      </c>
      <c r="F103" s="49">
        <f>IF(J109&gt;4,J101,0)</f>
        <v>0</v>
      </c>
      <c r="G103" s="6"/>
      <c r="H103" s="17"/>
      <c r="I103" s="17">
        <v>10</v>
      </c>
      <c r="J103" s="17"/>
      <c r="K103" s="17"/>
      <c r="L103" s="17"/>
      <c r="M103" s="17"/>
      <c r="N103" s="17"/>
      <c r="O103" s="17"/>
      <c r="P103" s="9"/>
      <c r="Q103" s="6"/>
      <c r="R103" s="30">
        <v>0.02</v>
      </c>
      <c r="S103" s="21">
        <v>0.01</v>
      </c>
      <c r="T103" s="21">
        <v>0.01</v>
      </c>
      <c r="U103" s="21">
        <v>0.02</v>
      </c>
      <c r="V103" s="21">
        <v>0.02</v>
      </c>
      <c r="W103" s="21">
        <v>0.01</v>
      </c>
      <c r="X103" s="31">
        <v>0.01</v>
      </c>
      <c r="Y103" s="8"/>
      <c r="Z103" s="116" t="s">
        <v>84</v>
      </c>
      <c r="AA103" s="116"/>
      <c r="AB103" s="13">
        <f>0.395/1000</f>
        <v>3.9500000000000001E-4</v>
      </c>
      <c r="AC103" s="8"/>
      <c r="AD103" s="8"/>
      <c r="AE103" s="8"/>
      <c r="AF103" s="8"/>
      <c r="AG103" s="8"/>
      <c r="AH103" s="8"/>
      <c r="AI103" s="8">
        <v>90</v>
      </c>
      <c r="AJ103" s="68" t="s">
        <v>43</v>
      </c>
      <c r="AK103" s="73">
        <f>IF(I109&gt;0,I116,0)</f>
        <v>0</v>
      </c>
      <c r="AL103" s="32">
        <v>1.05</v>
      </c>
      <c r="AM103" s="33">
        <v>2</v>
      </c>
      <c r="AN103" s="34">
        <f>AL103*AM103*AK103*AB105</f>
        <v>0</v>
      </c>
      <c r="AO103" s="32"/>
      <c r="AP103" s="33"/>
      <c r="AQ103" s="34"/>
      <c r="AR103" s="32"/>
      <c r="AS103" s="33"/>
      <c r="AT103" s="34"/>
      <c r="AU103" s="32"/>
      <c r="AV103" s="33"/>
      <c r="AW103" s="34"/>
      <c r="AX103" s="32"/>
      <c r="AY103" s="33"/>
      <c r="AZ103" s="34"/>
      <c r="BA103" s="90">
        <f>0.245*AL103*AK103</f>
        <v>0</v>
      </c>
      <c r="BB103" s="68">
        <f>3.14*0.016*AL103*AM103*AK103</f>
        <v>0</v>
      </c>
      <c r="BC103" s="78">
        <v>0.71</v>
      </c>
      <c r="BD103" s="33">
        <v>0.9</v>
      </c>
      <c r="BE103" s="34">
        <f>BC103*BD103*AK103</f>
        <v>0</v>
      </c>
      <c r="BF103" s="8"/>
      <c r="BG103" s="9"/>
    </row>
    <row r="104" spans="1:59" ht="19.5" thickBot="1" x14ac:dyDescent="0.3">
      <c r="A104">
        <v>2</v>
      </c>
      <c r="B104" s="16">
        <v>2</v>
      </c>
      <c r="C104" s="14" t="s">
        <v>1</v>
      </c>
      <c r="D104" s="37">
        <f>(I109*M111)-IF(I109&gt;0,N119,0)</f>
        <v>54.073499999999996</v>
      </c>
      <c r="E104" s="57" t="s">
        <v>17</v>
      </c>
      <c r="F104" s="49">
        <f>IF(K109&gt;0,K101,0)</f>
        <v>0</v>
      </c>
      <c r="G104" s="6"/>
      <c r="H104" s="17"/>
      <c r="I104" s="17">
        <v>10</v>
      </c>
      <c r="J104" s="17"/>
      <c r="K104" s="17"/>
      <c r="L104" s="17"/>
      <c r="M104" s="17"/>
      <c r="N104" s="17"/>
      <c r="O104" s="17"/>
      <c r="P104" s="9"/>
      <c r="Q104" s="6"/>
      <c r="R104" s="113" t="s">
        <v>127</v>
      </c>
      <c r="S104" s="114"/>
      <c r="T104" s="114"/>
      <c r="U104" s="114"/>
      <c r="V104" s="114"/>
      <c r="W104" s="114"/>
      <c r="X104" s="115"/>
      <c r="Y104" s="8"/>
      <c r="Z104" s="116" t="s">
        <v>89</v>
      </c>
      <c r="AA104" s="116"/>
      <c r="AB104" s="13">
        <f>1.57/1000</f>
        <v>1.57E-3</v>
      </c>
      <c r="AC104" s="8"/>
      <c r="AD104" s="8"/>
      <c r="AE104" s="8"/>
      <c r="AF104" s="8"/>
      <c r="AG104" s="8"/>
      <c r="AH104" s="8"/>
      <c r="AI104" s="8">
        <v>90</v>
      </c>
      <c r="AJ104" s="66" t="s">
        <v>44</v>
      </c>
      <c r="AK104" s="74">
        <f>IF(I109&gt;0,I117,0)</f>
        <v>0</v>
      </c>
      <c r="AL104" s="16">
        <v>1.1499999999999999</v>
      </c>
      <c r="AM104" s="13">
        <v>2</v>
      </c>
      <c r="AN104" s="34">
        <f>AL104*AM104*AK104*AB105</f>
        <v>0</v>
      </c>
      <c r="AO104" s="16"/>
      <c r="AP104" s="13"/>
      <c r="AQ104" s="27"/>
      <c r="AR104" s="16"/>
      <c r="AS104" s="13"/>
      <c r="AT104" s="27"/>
      <c r="AU104" s="16"/>
      <c r="AV104" s="13"/>
      <c r="AW104" s="27"/>
      <c r="AX104" s="16"/>
      <c r="AY104" s="13"/>
      <c r="AZ104" s="27"/>
      <c r="BA104" s="90">
        <f>0.245*AL104*AK104</f>
        <v>0</v>
      </c>
      <c r="BB104" s="68">
        <f t="shared" ref="BB104:BB105" si="18">3.14*0.016*AL104*AM104*AK104</f>
        <v>0</v>
      </c>
      <c r="BC104" s="79">
        <v>0.81</v>
      </c>
      <c r="BD104" s="13">
        <v>0.9</v>
      </c>
      <c r="BE104" s="34">
        <f t="shared" ref="BE104:BE105" si="19">BC104*BD104*AK104</f>
        <v>0</v>
      </c>
      <c r="BF104" s="8"/>
      <c r="BG104" s="9"/>
    </row>
    <row r="105" spans="1:59" ht="18.75" x14ac:dyDescent="0.25">
      <c r="A105">
        <v>2</v>
      </c>
      <c r="B105" s="16">
        <v>3</v>
      </c>
      <c r="C105" s="14" t="s">
        <v>2</v>
      </c>
      <c r="D105" s="37">
        <f>(J109*M111)-IF(J109&gt;0,N119,0)</f>
        <v>0</v>
      </c>
      <c r="E105" s="57" t="s">
        <v>17</v>
      </c>
      <c r="F105" s="49">
        <f>IF(L109&gt;0,L101,0)</f>
        <v>0</v>
      </c>
      <c r="G105" s="6"/>
      <c r="H105" s="17"/>
      <c r="I105" s="17"/>
      <c r="J105" s="17"/>
      <c r="K105" s="17"/>
      <c r="L105" s="17"/>
      <c r="M105" s="17"/>
      <c r="N105" s="17"/>
      <c r="O105" s="17"/>
      <c r="P105" s="9"/>
      <c r="Q105" s="6"/>
      <c r="R105" s="32" t="s">
        <v>60</v>
      </c>
      <c r="S105" s="33" t="s">
        <v>24</v>
      </c>
      <c r="T105" s="33" t="s">
        <v>25</v>
      </c>
      <c r="U105" s="33" t="s">
        <v>26</v>
      </c>
      <c r="V105" s="33" t="s">
        <v>27</v>
      </c>
      <c r="W105" s="33" t="s">
        <v>28</v>
      </c>
      <c r="X105" s="34" t="s">
        <v>29</v>
      </c>
      <c r="Y105" s="8"/>
      <c r="Z105" s="116" t="s">
        <v>112</v>
      </c>
      <c r="AA105" s="116"/>
      <c r="AB105" s="13">
        <f>1.578/1000</f>
        <v>1.578E-3</v>
      </c>
      <c r="AC105" s="8"/>
      <c r="AD105" s="8"/>
      <c r="AE105" s="8"/>
      <c r="AF105" s="8"/>
      <c r="AG105" s="8"/>
      <c r="AH105" s="8"/>
      <c r="AI105" s="8">
        <v>90</v>
      </c>
      <c r="AJ105" s="66" t="s">
        <v>45</v>
      </c>
      <c r="AK105" s="74">
        <f>IF(I109&gt;0,I118,0)</f>
        <v>1</v>
      </c>
      <c r="AL105" s="16">
        <v>1.25</v>
      </c>
      <c r="AM105" s="13">
        <v>2</v>
      </c>
      <c r="AN105" s="34">
        <f>AL105*AM105*AK105*AB105</f>
        <v>3.9449999999999997E-3</v>
      </c>
      <c r="AO105" s="16"/>
      <c r="AP105" s="13"/>
      <c r="AQ105" s="27"/>
      <c r="AR105" s="16"/>
      <c r="AS105" s="13"/>
      <c r="AT105" s="27"/>
      <c r="AU105" s="16"/>
      <c r="AV105" s="13"/>
      <c r="AW105" s="27"/>
      <c r="AX105" s="16"/>
      <c r="AY105" s="13"/>
      <c r="AZ105" s="27"/>
      <c r="BA105" s="90">
        <f t="shared" ref="BA105" si="20">0.245*AL105*AK105</f>
        <v>0.30625000000000002</v>
      </c>
      <c r="BB105" s="68">
        <f t="shared" si="18"/>
        <v>0.12559999999999999</v>
      </c>
      <c r="BC105" s="79">
        <v>0.91</v>
      </c>
      <c r="BD105" s="13">
        <v>0.9</v>
      </c>
      <c r="BE105" s="34">
        <f t="shared" si="19"/>
        <v>0.81900000000000006</v>
      </c>
      <c r="BF105" s="8"/>
      <c r="BG105" s="9"/>
    </row>
    <row r="106" spans="1:59" ht="19.5" thickBot="1" x14ac:dyDescent="0.3">
      <c r="A106">
        <v>2</v>
      </c>
      <c r="B106" s="16">
        <v>4</v>
      </c>
      <c r="C106" s="14" t="s">
        <v>12</v>
      </c>
      <c r="D106" s="37">
        <f>K109*M111*0.2+L109*M111*0.3</f>
        <v>0</v>
      </c>
      <c r="E106" s="57" t="s">
        <v>18</v>
      </c>
      <c r="F106" s="49">
        <f>IF(M109&gt;0,M101,0)</f>
        <v>0</v>
      </c>
      <c r="G106" s="6"/>
      <c r="H106" s="17"/>
      <c r="I106" s="17"/>
      <c r="J106" s="17"/>
      <c r="K106" s="17"/>
      <c r="L106" s="17"/>
      <c r="M106" s="17"/>
      <c r="N106" s="17"/>
      <c r="O106" s="17"/>
      <c r="P106" s="9"/>
      <c r="Q106" s="6"/>
      <c r="R106" s="28">
        <f>0.08*R103*(H109-O119)</f>
        <v>-1.1360000000000001E-3</v>
      </c>
      <c r="S106" s="20">
        <f>0.09*S103*(I109-O119)</f>
        <v>1.7360999999999998E-2</v>
      </c>
      <c r="T106" s="20">
        <f>0.19*T103*(J109-O119)</f>
        <v>-1.3489999999999999E-3</v>
      </c>
      <c r="U106" s="20">
        <f>0.2*U103*K109</f>
        <v>0</v>
      </c>
      <c r="V106" s="20">
        <f>0.3*V103*L109</f>
        <v>0</v>
      </c>
      <c r="W106" s="20">
        <f>0.12*W103*M109</f>
        <v>0</v>
      </c>
      <c r="X106" s="29">
        <f>0.065*X103*N109</f>
        <v>0</v>
      </c>
      <c r="Y106" s="8"/>
      <c r="Z106" s="116" t="s">
        <v>113</v>
      </c>
      <c r="AA106" s="116"/>
      <c r="AB106" s="13">
        <f>0.888/1000</f>
        <v>8.8800000000000001E-4</v>
      </c>
      <c r="AC106" s="8"/>
      <c r="AD106" s="8"/>
      <c r="AE106" s="8"/>
      <c r="AF106" s="8"/>
      <c r="AG106" s="8"/>
      <c r="AH106" s="8"/>
      <c r="AI106" s="8">
        <v>190</v>
      </c>
      <c r="AJ106" s="66" t="s">
        <v>46</v>
      </c>
      <c r="AK106" s="74">
        <f>IF(J109&gt;0,I119,0)</f>
        <v>0</v>
      </c>
      <c r="AL106" s="16"/>
      <c r="AM106" s="13"/>
      <c r="AN106" s="34"/>
      <c r="AO106" s="16"/>
      <c r="AP106" s="13"/>
      <c r="AQ106" s="27"/>
      <c r="AR106" s="16">
        <v>0.19</v>
      </c>
      <c r="AS106" s="13">
        <v>1</v>
      </c>
      <c r="AT106" s="27">
        <f>AR106*AS106*AK106*AB107</f>
        <v>0</v>
      </c>
      <c r="AU106" s="16">
        <v>1.35</v>
      </c>
      <c r="AV106" s="13">
        <v>2</v>
      </c>
      <c r="AW106" s="27">
        <f>AU106*AV106*AK106*AB108</f>
        <v>0</v>
      </c>
      <c r="AX106" s="16"/>
      <c r="AY106" s="13"/>
      <c r="AZ106" s="27"/>
      <c r="BA106" s="59">
        <f>(0.325*AU106*AV106+0.425*AR106*AS106)*AK106</f>
        <v>0</v>
      </c>
      <c r="BB106" s="66">
        <f>(0.4*AR106*AS106+0.3*AU106*AV106)*AK106</f>
        <v>0</v>
      </c>
      <c r="BC106" s="79"/>
      <c r="BD106" s="13"/>
      <c r="BE106" s="34"/>
      <c r="BF106" s="8"/>
      <c r="BG106" s="9"/>
    </row>
    <row r="107" spans="1:59" ht="19.5" thickBot="1" x14ac:dyDescent="0.3">
      <c r="A107">
        <v>2</v>
      </c>
      <c r="B107" s="16">
        <v>6</v>
      </c>
      <c r="C107" s="14" t="s">
        <v>3</v>
      </c>
      <c r="D107" s="37">
        <f>M109*M111</f>
        <v>0</v>
      </c>
      <c r="E107" s="57" t="s">
        <v>17</v>
      </c>
      <c r="F107" s="49">
        <f>IF(N109&gt;0,N101,0)</f>
        <v>0</v>
      </c>
      <c r="G107" s="6"/>
      <c r="H107" s="17"/>
      <c r="I107" s="17"/>
      <c r="J107" s="17"/>
      <c r="K107" s="17"/>
      <c r="L107" s="17"/>
      <c r="M107" s="17"/>
      <c r="N107" s="17"/>
      <c r="O107" s="17"/>
      <c r="P107" s="9"/>
      <c r="Q107" s="6"/>
      <c r="R107" s="8"/>
      <c r="S107" s="8"/>
      <c r="T107" s="8"/>
      <c r="U107" s="8"/>
      <c r="V107" s="8"/>
      <c r="W107" s="8"/>
      <c r="X107" s="8"/>
      <c r="Y107" s="8"/>
      <c r="Z107" s="116" t="s">
        <v>103</v>
      </c>
      <c r="AA107" s="116"/>
      <c r="AB107" s="13">
        <f>10.79/1000</f>
        <v>1.0789999999999999E-2</v>
      </c>
      <c r="AC107" s="8"/>
      <c r="AD107" s="8"/>
      <c r="AE107" s="8"/>
      <c r="AF107" s="8"/>
      <c r="AG107" s="8"/>
      <c r="AH107" s="8"/>
      <c r="AI107" s="8">
        <v>190</v>
      </c>
      <c r="AJ107" s="66" t="s">
        <v>47</v>
      </c>
      <c r="AK107" s="74">
        <f t="shared" ref="AK107" si="21">IF(I111&gt;0,I120,0)</f>
        <v>0</v>
      </c>
      <c r="AL107" s="16"/>
      <c r="AM107" s="13"/>
      <c r="AN107" s="34"/>
      <c r="AO107" s="16"/>
      <c r="AP107" s="13"/>
      <c r="AQ107" s="27"/>
      <c r="AR107" s="16">
        <v>0.19</v>
      </c>
      <c r="AS107" s="13">
        <v>1</v>
      </c>
      <c r="AT107" s="27">
        <f>AR107*AS107*AK107*AB107</f>
        <v>0</v>
      </c>
      <c r="AU107" s="16">
        <v>1.1499999999999999</v>
      </c>
      <c r="AV107" s="13">
        <v>2</v>
      </c>
      <c r="AW107" s="27">
        <f>AU107*AV107*AK107*AB108</f>
        <v>0</v>
      </c>
      <c r="AX107" s="16"/>
      <c r="AY107" s="13"/>
      <c r="AZ107" s="27"/>
      <c r="BA107" s="59">
        <f>(0.325*AU107*AV107+0.425*AR107*AS107)*AK107</f>
        <v>0</v>
      </c>
      <c r="BB107" s="66">
        <f>(0.4*AR107*AS107+0.3*AU107*AV107)*AK107</f>
        <v>0</v>
      </c>
      <c r="BC107" s="79"/>
      <c r="BD107" s="13"/>
      <c r="BE107" s="34"/>
      <c r="BF107" s="8"/>
      <c r="BG107" s="9"/>
    </row>
    <row r="108" spans="1:59" ht="19.5" thickBot="1" x14ac:dyDescent="0.3">
      <c r="A108">
        <v>2</v>
      </c>
      <c r="B108" s="16">
        <v>7</v>
      </c>
      <c r="C108" s="14" t="s">
        <v>4</v>
      </c>
      <c r="D108" s="37">
        <f>N109*M111-IF(N109&gt;0,N125,0)</f>
        <v>0</v>
      </c>
      <c r="E108" s="57" t="s">
        <v>17</v>
      </c>
      <c r="F108" s="49">
        <f>IF(O109&gt;0,O101,0)</f>
        <v>0</v>
      </c>
      <c r="G108" s="6"/>
      <c r="H108" s="23"/>
      <c r="I108" s="23"/>
      <c r="J108" s="23"/>
      <c r="K108" s="23"/>
      <c r="L108" s="23"/>
      <c r="M108" s="23"/>
      <c r="N108" s="23"/>
      <c r="O108" s="23"/>
      <c r="P108" s="9"/>
      <c r="Q108" s="6"/>
      <c r="R108" s="113" t="s">
        <v>64</v>
      </c>
      <c r="S108" s="114"/>
      <c r="T108" s="114"/>
      <c r="U108" s="114"/>
      <c r="V108" s="114"/>
      <c r="W108" s="114"/>
      <c r="X108" s="115"/>
      <c r="Y108" s="8"/>
      <c r="Z108" s="116" t="s">
        <v>114</v>
      </c>
      <c r="AA108" s="116"/>
      <c r="AB108" s="13">
        <f>5.8/1000</f>
        <v>5.7999999999999996E-3</v>
      </c>
      <c r="AC108" s="8"/>
      <c r="AD108" s="8"/>
      <c r="AE108" s="8"/>
      <c r="AF108" s="8"/>
      <c r="AG108" s="8"/>
      <c r="AH108" s="8"/>
      <c r="AI108" s="8">
        <v>190</v>
      </c>
      <c r="AJ108" s="66" t="s">
        <v>48</v>
      </c>
      <c r="AK108" s="74">
        <f>IF(J109&gt;0,I121,0)</f>
        <v>0</v>
      </c>
      <c r="AL108" s="16">
        <v>1.35</v>
      </c>
      <c r="AM108" s="13">
        <v>4</v>
      </c>
      <c r="AN108" s="34">
        <f>AL108*AM108*AK108*AB105</f>
        <v>0</v>
      </c>
      <c r="AO108" s="16"/>
      <c r="AP108" s="13"/>
      <c r="AQ108" s="27"/>
      <c r="AR108" s="16"/>
      <c r="AS108" s="13"/>
      <c r="AT108" s="27"/>
      <c r="AU108" s="16"/>
      <c r="AV108" s="13"/>
      <c r="AW108" s="27"/>
      <c r="AX108" s="16"/>
      <c r="AY108" s="13"/>
      <c r="AZ108" s="27"/>
      <c r="BA108" s="59">
        <f>0.445*AL108*AK108</f>
        <v>0</v>
      </c>
      <c r="BB108" s="68">
        <f>3.14*0.016*AL108*AM108*AK108</f>
        <v>0</v>
      </c>
      <c r="BC108" s="79">
        <v>1.01</v>
      </c>
      <c r="BD108" s="13">
        <v>0.19</v>
      </c>
      <c r="BE108" s="34">
        <f t="shared" ref="BE108:BE109" si="22">BC108*BD108*AK108</f>
        <v>0</v>
      </c>
      <c r="BF108" s="8"/>
      <c r="BG108" s="9"/>
    </row>
    <row r="109" spans="1:59" ht="15.75" thickBot="1" x14ac:dyDescent="0.3">
      <c r="A109">
        <v>2</v>
      </c>
      <c r="B109" s="16">
        <v>8</v>
      </c>
      <c r="C109" s="14" t="s">
        <v>5</v>
      </c>
      <c r="D109" s="37">
        <f>IF(H109&gt;0,R106,0)+IF(I109&gt;0,S106,0)+IF(J109&gt;0,T106,0)+IF(K109&gt;0,U106,0)+IF(L109&gt;0,V106,0)+IF(M109&gt;0,W106,0)+IF(N109&gt;0,X106,0)</f>
        <v>1.7360999999999998E-2</v>
      </c>
      <c r="E109" s="57" t="s">
        <v>18</v>
      </c>
      <c r="F109" s="9"/>
      <c r="G109" s="6" t="s">
        <v>32</v>
      </c>
      <c r="H109" s="24">
        <f>SUM(H102:H108)</f>
        <v>0</v>
      </c>
      <c r="I109" s="25">
        <f t="shared" ref="I109:N109" si="23">SUM(I102:I108)</f>
        <v>20</v>
      </c>
      <c r="J109" s="25">
        <f t="shared" si="23"/>
        <v>0</v>
      </c>
      <c r="K109" s="25">
        <f t="shared" si="23"/>
        <v>0</v>
      </c>
      <c r="L109" s="25">
        <f t="shared" si="23"/>
        <v>0</v>
      </c>
      <c r="M109" s="25">
        <f t="shared" si="23"/>
        <v>0</v>
      </c>
      <c r="N109" s="25">
        <f t="shared" si="23"/>
        <v>0</v>
      </c>
      <c r="O109" s="26">
        <f>SUM(O102:O108)</f>
        <v>0</v>
      </c>
      <c r="P109" s="9"/>
      <c r="Q109" s="6"/>
      <c r="R109" s="33" t="s">
        <v>23</v>
      </c>
      <c r="S109" s="33" t="s">
        <v>24</v>
      </c>
      <c r="T109" s="33" t="s">
        <v>25</v>
      </c>
      <c r="U109" s="33" t="s">
        <v>26</v>
      </c>
      <c r="V109" s="33" t="s">
        <v>27</v>
      </c>
      <c r="W109" s="33" t="s">
        <v>28</v>
      </c>
      <c r="X109" s="33" t="s">
        <v>29</v>
      </c>
      <c r="Y109" s="8"/>
      <c r="Z109" s="116" t="s">
        <v>111</v>
      </c>
      <c r="AA109" s="116"/>
      <c r="AB109" s="13">
        <f>3.77/1000</f>
        <v>3.7699999999999999E-3</v>
      </c>
      <c r="AC109" s="8"/>
      <c r="AD109" s="8"/>
      <c r="AE109" s="8"/>
      <c r="AF109" s="8"/>
      <c r="AG109" s="8"/>
      <c r="AH109" s="8"/>
      <c r="AI109" s="8">
        <v>190</v>
      </c>
      <c r="AJ109" s="66" t="s">
        <v>49</v>
      </c>
      <c r="AK109" s="74">
        <f>IF(J109&gt;0,I122,0)</f>
        <v>0</v>
      </c>
      <c r="AL109" s="16">
        <v>1.35</v>
      </c>
      <c r="AM109" s="13">
        <v>4</v>
      </c>
      <c r="AN109" s="34">
        <f>AL109*AM109*AK109*AB105</f>
        <v>0</v>
      </c>
      <c r="AO109" s="16"/>
      <c r="AP109" s="13"/>
      <c r="AQ109" s="27"/>
      <c r="AR109" s="16"/>
      <c r="AS109" s="13"/>
      <c r="AT109" s="27"/>
      <c r="AU109" s="16"/>
      <c r="AV109" s="13"/>
      <c r="AW109" s="27"/>
      <c r="AX109" s="16"/>
      <c r="AY109" s="13"/>
      <c r="AZ109" s="27"/>
      <c r="BA109" s="59">
        <f>0.445*AL109*AK109</f>
        <v>0</v>
      </c>
      <c r="BB109" s="68">
        <f>3.14*0.016*AL109*AM109*AK109</f>
        <v>0</v>
      </c>
      <c r="BC109" s="79">
        <v>1.01</v>
      </c>
      <c r="BD109" s="13">
        <v>0.19</v>
      </c>
      <c r="BE109" s="34">
        <f t="shared" si="22"/>
        <v>0</v>
      </c>
      <c r="BF109" s="8"/>
      <c r="BG109" s="9"/>
    </row>
    <row r="110" spans="1:59" ht="15.75" thickBot="1" x14ac:dyDescent="0.3">
      <c r="A110">
        <v>2</v>
      </c>
      <c r="B110" s="16">
        <v>9</v>
      </c>
      <c r="C110" s="14" t="s">
        <v>20</v>
      </c>
      <c r="D110" s="37">
        <f>H109</f>
        <v>0</v>
      </c>
      <c r="E110" s="57" t="s">
        <v>21</v>
      </c>
      <c r="F110" s="9"/>
      <c r="G110" s="6"/>
      <c r="H110" s="8"/>
      <c r="I110" s="8"/>
      <c r="J110" s="8"/>
      <c r="K110" s="8"/>
      <c r="L110" s="8"/>
      <c r="M110" s="8"/>
      <c r="N110" s="8"/>
      <c r="O110" s="8"/>
      <c r="P110" s="9"/>
      <c r="Q110" s="6" t="s">
        <v>63</v>
      </c>
      <c r="R110" s="13">
        <v>7.0000000000000007E-2</v>
      </c>
      <c r="S110" s="13">
        <v>7.0000000000000007E-2</v>
      </c>
      <c r="T110" s="13">
        <v>0.17</v>
      </c>
      <c r="U110" s="13"/>
      <c r="V110" s="13"/>
      <c r="W110" s="13">
        <v>0.1</v>
      </c>
      <c r="X110" s="13">
        <v>4.4999999999999998E-2</v>
      </c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>
        <v>120</v>
      </c>
      <c r="AJ110" s="66" t="s">
        <v>106</v>
      </c>
      <c r="AK110" s="74">
        <f>IF(M109&gt;0,I123,0)</f>
        <v>0</v>
      </c>
      <c r="AL110" s="16"/>
      <c r="AM110" s="13"/>
      <c r="AN110" s="34"/>
      <c r="AO110" s="16"/>
      <c r="AP110" s="13"/>
      <c r="AQ110" s="27"/>
      <c r="AR110" s="16">
        <v>1.25</v>
      </c>
      <c r="AS110" s="13">
        <v>1</v>
      </c>
      <c r="AT110" s="27">
        <f>AR110*AS110*AK110*AB107</f>
        <v>0</v>
      </c>
      <c r="AU110" s="16"/>
      <c r="AV110" s="13"/>
      <c r="AW110" s="27"/>
      <c r="AX110" s="16"/>
      <c r="AY110" s="13"/>
      <c r="AZ110" s="27"/>
      <c r="BA110" s="59">
        <f>0.425*AR110*AS110*AK110</f>
        <v>0</v>
      </c>
      <c r="BB110" s="66">
        <f>0.4*AR110*AS110*AK110</f>
        <v>0</v>
      </c>
      <c r="BC110" s="79"/>
      <c r="BD110" s="13"/>
      <c r="BE110" s="27"/>
      <c r="BF110" s="8"/>
      <c r="BG110" s="9"/>
    </row>
    <row r="111" spans="1:59" ht="15.75" thickBot="1" x14ac:dyDescent="0.3">
      <c r="A111">
        <v>2</v>
      </c>
      <c r="B111" s="16">
        <v>10</v>
      </c>
      <c r="C111" s="14" t="s">
        <v>62</v>
      </c>
      <c r="D111" s="37">
        <f>IF(H109&gt;0,R111,0)</f>
        <v>0</v>
      </c>
      <c r="E111" s="57" t="s">
        <v>18</v>
      </c>
      <c r="F111" s="9"/>
      <c r="G111" s="6"/>
      <c r="H111" s="122" t="s">
        <v>39</v>
      </c>
      <c r="I111" s="123"/>
      <c r="J111" s="123"/>
      <c r="K111" s="123"/>
      <c r="L111" s="124"/>
      <c r="M111" s="46">
        <v>2.78</v>
      </c>
      <c r="N111" s="8"/>
      <c r="O111" s="8"/>
      <c r="P111" s="9"/>
      <c r="Q111" s="6" t="s">
        <v>65</v>
      </c>
      <c r="R111" s="13">
        <f>0.02*R110*H109</f>
        <v>0</v>
      </c>
      <c r="S111" s="13">
        <f t="shared" ref="S111" si="24">0.02*S110*I109</f>
        <v>2.8000000000000004E-2</v>
      </c>
      <c r="T111" s="13">
        <f>0.02*T110*J109</f>
        <v>0</v>
      </c>
      <c r="U111" s="13"/>
      <c r="V111" s="13"/>
      <c r="W111" s="13">
        <f t="shared" ref="W111" si="25">0.02*W110*M109</f>
        <v>0</v>
      </c>
      <c r="X111" s="13">
        <f t="shared" ref="X111" si="26">0.02*X110*N109</f>
        <v>0</v>
      </c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66"/>
      <c r="AK111" s="74"/>
      <c r="AL111" s="16"/>
      <c r="AM111" s="13"/>
      <c r="AN111" s="34"/>
      <c r="AO111" s="16"/>
      <c r="AP111" s="13"/>
      <c r="AQ111" s="27"/>
      <c r="AR111" s="16"/>
      <c r="AS111" s="13"/>
      <c r="AT111" s="27"/>
      <c r="AU111" s="16"/>
      <c r="AV111" s="13"/>
      <c r="AW111" s="27"/>
      <c r="AX111" s="16"/>
      <c r="AY111" s="13"/>
      <c r="AZ111" s="27"/>
      <c r="BA111" s="59"/>
      <c r="BB111" s="66"/>
      <c r="BC111" s="79"/>
      <c r="BD111" s="13"/>
      <c r="BE111" s="27"/>
      <c r="BF111" s="8"/>
      <c r="BG111" s="9"/>
    </row>
    <row r="112" spans="1:59" ht="15.75" thickBot="1" x14ac:dyDescent="0.3">
      <c r="A112">
        <v>2</v>
      </c>
      <c r="B112" s="16">
        <v>11</v>
      </c>
      <c r="C112" s="14" t="s">
        <v>66</v>
      </c>
      <c r="D112" s="37">
        <f>I109+J109+M109</f>
        <v>20</v>
      </c>
      <c r="E112" s="57" t="s">
        <v>21</v>
      </c>
      <c r="F112" s="9"/>
      <c r="G112" s="6"/>
      <c r="H112" s="113" t="s">
        <v>74</v>
      </c>
      <c r="I112" s="114"/>
      <c r="J112" s="114"/>
      <c r="K112" s="114"/>
      <c r="L112" s="121"/>
      <c r="M112" s="45"/>
      <c r="N112" s="113" t="s">
        <v>73</v>
      </c>
      <c r="O112" s="115"/>
      <c r="P112" s="9"/>
      <c r="Q112" s="6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>
        <v>120</v>
      </c>
      <c r="AJ112" s="66" t="s">
        <v>50</v>
      </c>
      <c r="AK112" s="74">
        <f>IF(M109&gt;0,I125,0)</f>
        <v>0</v>
      </c>
      <c r="AL112" s="16"/>
      <c r="AM112" s="13"/>
      <c r="AN112" s="34"/>
      <c r="AO112" s="16">
        <v>0.45</v>
      </c>
      <c r="AP112" s="13">
        <v>2</v>
      </c>
      <c r="AQ112" s="27">
        <f>AO112*AP112*AK112*AB106</f>
        <v>0</v>
      </c>
      <c r="AR112" s="16">
        <v>0.12</v>
      </c>
      <c r="AS112" s="61">
        <v>1</v>
      </c>
      <c r="AT112" s="27">
        <f>AR112*AS112*AK112*AB107</f>
        <v>0</v>
      </c>
      <c r="AU112" s="16"/>
      <c r="AV112" s="13"/>
      <c r="AW112" s="27"/>
      <c r="AX112" s="16"/>
      <c r="AY112" s="13"/>
      <c r="AZ112" s="27"/>
      <c r="BA112" s="59">
        <f>(0.305*AO112+0.425*AR112)*AK112</f>
        <v>0</v>
      </c>
      <c r="BB112" s="66">
        <f>(3.14*0.012*AO112*AP112+0.4*AR112*AS112)*AK112</f>
        <v>0</v>
      </c>
      <c r="BC112" s="79"/>
      <c r="BD112" s="13"/>
      <c r="BE112" s="27"/>
      <c r="BF112" s="8"/>
      <c r="BG112" s="9"/>
    </row>
    <row r="113" spans="1:59" ht="15.75" thickBot="1" x14ac:dyDescent="0.3">
      <c r="A113">
        <v>2</v>
      </c>
      <c r="B113" s="16">
        <v>12</v>
      </c>
      <c r="C113" s="14" t="s">
        <v>67</v>
      </c>
      <c r="D113" s="37">
        <f>IF(I109&gt;0,S111,0)+IF(J109&gt;0,T111,0)+IF(M109&gt;0,W111,0)+IF(N109&gt;0,X111,0)</f>
        <v>2.8000000000000004E-2</v>
      </c>
      <c r="E113" s="57" t="s">
        <v>18</v>
      </c>
      <c r="F113" s="9"/>
      <c r="G113" s="6"/>
      <c r="H113" s="118" t="s">
        <v>70</v>
      </c>
      <c r="I113" s="119"/>
      <c r="J113" s="119"/>
      <c r="K113" s="119"/>
      <c r="L113" s="119"/>
      <c r="M113" s="82"/>
      <c r="N113" s="118" t="s">
        <v>72</v>
      </c>
      <c r="O113" s="120"/>
      <c r="P113" s="9"/>
      <c r="Q113" s="6"/>
      <c r="R113" s="113" t="s">
        <v>75</v>
      </c>
      <c r="S113" s="114"/>
      <c r="T113" s="114"/>
      <c r="U113" s="114"/>
      <c r="V113" s="114"/>
      <c r="W113" s="114"/>
      <c r="X113" s="115"/>
      <c r="Y113" s="58"/>
      <c r="Z113" s="2"/>
      <c r="AA113" s="113" t="s">
        <v>98</v>
      </c>
      <c r="AB113" s="114"/>
      <c r="AC113" s="114"/>
      <c r="AD113" s="114"/>
      <c r="AE113" s="114"/>
      <c r="AF113" s="114"/>
      <c r="AG113" s="115"/>
      <c r="AH113" s="8"/>
      <c r="AI113" s="8">
        <v>65</v>
      </c>
      <c r="AJ113" s="66" t="s">
        <v>51</v>
      </c>
      <c r="AK113" s="74">
        <f>IF(N109&gt;0,I126,0)</f>
        <v>0</v>
      </c>
      <c r="AL113" s="16"/>
      <c r="AM113" s="13"/>
      <c r="AN113" s="34"/>
      <c r="AO113" s="16"/>
      <c r="AP113" s="13"/>
      <c r="AQ113" s="27"/>
      <c r="AR113" s="16"/>
      <c r="AS113" s="13"/>
      <c r="AT113" s="27"/>
      <c r="AU113" s="16"/>
      <c r="AV113" s="13"/>
      <c r="AW113" s="27"/>
      <c r="AX113" s="16">
        <f>0.94+0.8+0.43</f>
        <v>2.17</v>
      </c>
      <c r="AY113" s="13">
        <v>1</v>
      </c>
      <c r="AZ113" s="27">
        <f>AX113*AY113*AK113*AB109</f>
        <v>0</v>
      </c>
      <c r="BA113" s="59">
        <f>0.225*AX113*AY113*AK113</f>
        <v>0</v>
      </c>
      <c r="BB113" s="66">
        <f>0.2*AX113*AY113*AK113</f>
        <v>0</v>
      </c>
      <c r="BC113" s="79"/>
      <c r="BD113" s="13"/>
      <c r="BE113" s="27"/>
      <c r="BF113" s="8"/>
      <c r="BG113" s="9"/>
    </row>
    <row r="114" spans="1:59" ht="15.75" thickBot="1" x14ac:dyDescent="0.3">
      <c r="A114">
        <v>2</v>
      </c>
      <c r="B114" s="16">
        <v>13</v>
      </c>
      <c r="C114" s="14" t="s">
        <v>68</v>
      </c>
      <c r="D114" s="37">
        <f>D112*0.02*0.01*2</f>
        <v>8.0000000000000002E-3</v>
      </c>
      <c r="E114" s="57" t="s">
        <v>18</v>
      </c>
      <c r="F114" s="9"/>
      <c r="G114" s="6"/>
      <c r="H114" s="125" t="s">
        <v>40</v>
      </c>
      <c r="I114" s="126"/>
      <c r="J114" s="8"/>
      <c r="K114" s="8"/>
      <c r="L114" s="39" t="s">
        <v>30</v>
      </c>
      <c r="M114" s="40" t="s">
        <v>31</v>
      </c>
      <c r="N114" s="40" t="s">
        <v>33</v>
      </c>
      <c r="O114" s="44" t="s">
        <v>34</v>
      </c>
      <c r="P114" s="9"/>
      <c r="Q114" s="6"/>
      <c r="R114" s="16" t="s">
        <v>23</v>
      </c>
      <c r="S114" s="13" t="s">
        <v>24</v>
      </c>
      <c r="T114" s="13" t="s">
        <v>25</v>
      </c>
      <c r="U114" s="13" t="s">
        <v>26</v>
      </c>
      <c r="V114" s="13" t="s">
        <v>27</v>
      </c>
      <c r="W114" s="13" t="s">
        <v>28</v>
      </c>
      <c r="X114" s="27" t="s">
        <v>29</v>
      </c>
      <c r="Y114" s="8"/>
      <c r="Z114" s="6"/>
      <c r="AA114" s="16" t="s">
        <v>23</v>
      </c>
      <c r="AB114" s="13" t="s">
        <v>24</v>
      </c>
      <c r="AC114" s="13" t="s">
        <v>25</v>
      </c>
      <c r="AD114" s="13" t="s">
        <v>26</v>
      </c>
      <c r="AE114" s="13" t="s">
        <v>27</v>
      </c>
      <c r="AF114" s="13" t="s">
        <v>28</v>
      </c>
      <c r="AG114" s="27" t="s">
        <v>29</v>
      </c>
      <c r="AH114" s="8"/>
      <c r="AI114" s="8">
        <v>120</v>
      </c>
      <c r="AJ114" s="66" t="s">
        <v>52</v>
      </c>
      <c r="AK114" s="74">
        <f>IF(M109&gt;0,I127,0)</f>
        <v>0</v>
      </c>
      <c r="AL114" s="16">
        <v>1</v>
      </c>
      <c r="AM114" s="13">
        <v>2</v>
      </c>
      <c r="AN114" s="34">
        <f>AL114*AM114*AK114*AB105</f>
        <v>0</v>
      </c>
      <c r="AO114" s="16"/>
      <c r="AP114" s="13"/>
      <c r="AQ114" s="27"/>
      <c r="AR114" s="64">
        <v>0.12</v>
      </c>
      <c r="AS114" s="61">
        <v>1</v>
      </c>
      <c r="AT114" s="27">
        <f>AR114*AS114*AK114*AB107</f>
        <v>0</v>
      </c>
      <c r="AU114" s="16"/>
      <c r="AV114" s="13"/>
      <c r="AW114" s="27"/>
      <c r="AX114" s="16"/>
      <c r="AY114" s="13"/>
      <c r="AZ114" s="27"/>
      <c r="BA114" s="59">
        <f>(0.305*AL114+0.425*AR114)*AK114</f>
        <v>0</v>
      </c>
      <c r="BB114" s="66">
        <f>(3.14*AL114*AM114+0.4*AR114*AS114)*AK114</f>
        <v>0</v>
      </c>
      <c r="BC114" s="79"/>
      <c r="BD114" s="13"/>
      <c r="BE114" s="27"/>
      <c r="BF114" s="8"/>
      <c r="BG114" s="9"/>
    </row>
    <row r="115" spans="1:59" ht="15.75" thickBot="1" x14ac:dyDescent="0.3">
      <c r="A115">
        <v>2</v>
      </c>
      <c r="B115" s="16">
        <v>14</v>
      </c>
      <c r="C115" s="14" t="s">
        <v>6</v>
      </c>
      <c r="D115" s="37">
        <f>IF(I109&gt;0,S117,0)+IF(J109&gt;0,T117,0)+IF(M109&gt;0,W117,0)+IF(N109&gt;0,X117,0)</f>
        <v>0</v>
      </c>
      <c r="E115" s="57" t="s">
        <v>18</v>
      </c>
      <c r="F115" s="9"/>
      <c r="G115" s="6"/>
      <c r="H115" s="33" t="s">
        <v>41</v>
      </c>
      <c r="I115" s="33" t="s">
        <v>42</v>
      </c>
      <c r="J115" s="8"/>
      <c r="K115" s="8"/>
      <c r="L115" s="33">
        <v>0.71</v>
      </c>
      <c r="M115" s="42">
        <v>1</v>
      </c>
      <c r="N115" s="43">
        <f>IF(H109&gt;0,L115*2.15*M115,0)+IF(I109&gt;0,L115*2.15*M115,0)+IF(J109&gt;0,L115*2.18*M115,0)</f>
        <v>1.5265</v>
      </c>
      <c r="O115" s="33">
        <f>L115*M115</f>
        <v>0.71</v>
      </c>
      <c r="P115" s="9"/>
      <c r="Q115" s="6"/>
      <c r="R115" s="30">
        <v>7.4999999999999997E-2</v>
      </c>
      <c r="S115" s="21">
        <v>7.0000000000000007E-2</v>
      </c>
      <c r="T115" s="21">
        <v>0.17</v>
      </c>
      <c r="U115" s="21"/>
      <c r="V115" s="21"/>
      <c r="W115" s="21">
        <v>0.1</v>
      </c>
      <c r="X115" s="31">
        <v>4.4999999999999998E-2</v>
      </c>
      <c r="Y115" s="8"/>
      <c r="Z115" s="6"/>
      <c r="AA115" s="116" t="s">
        <v>93</v>
      </c>
      <c r="AB115" s="116"/>
      <c r="AC115" s="116"/>
      <c r="AD115" s="116"/>
      <c r="AE115" s="116"/>
      <c r="AF115" s="116"/>
      <c r="AG115" s="117"/>
      <c r="AH115" s="8"/>
      <c r="AI115" s="8">
        <v>190</v>
      </c>
      <c r="AJ115" s="66" t="s">
        <v>53</v>
      </c>
      <c r="AK115" s="74">
        <f>IF(J109&gt;0,I128,0)</f>
        <v>0</v>
      </c>
      <c r="AL115" s="16">
        <v>0.95</v>
      </c>
      <c r="AM115" s="13">
        <v>1</v>
      </c>
      <c r="AN115" s="34">
        <f>AL115*AM115*AK115*AB105</f>
        <v>0</v>
      </c>
      <c r="AO115" s="16"/>
      <c r="AP115" s="13"/>
      <c r="AQ115" s="27"/>
      <c r="AR115" s="16">
        <v>0.19</v>
      </c>
      <c r="AS115" s="13">
        <v>1</v>
      </c>
      <c r="AT115" s="27">
        <f>AR115*AS115*AK115*AB107</f>
        <v>0</v>
      </c>
      <c r="AU115" s="16"/>
      <c r="AV115" s="13"/>
      <c r="AW115" s="27"/>
      <c r="AX115" s="16"/>
      <c r="AY115" s="13"/>
      <c r="AZ115" s="27"/>
      <c r="BA115" s="59">
        <f>(0.445*AL115+0.425*AR115)*AK115</f>
        <v>0</v>
      </c>
      <c r="BB115" s="66">
        <f t="shared" ref="BB115:BB116" si="27">(3.14*AL115*AM115+0.4*AR115*AS115)*AK115</f>
        <v>0</v>
      </c>
      <c r="BC115" s="79"/>
      <c r="BD115" s="13"/>
      <c r="BE115" s="27"/>
      <c r="BF115" s="8"/>
      <c r="BG115" s="9"/>
    </row>
    <row r="116" spans="1:59" ht="15.75" thickBot="1" x14ac:dyDescent="0.3">
      <c r="A116">
        <v>2</v>
      </c>
      <c r="B116" s="16">
        <v>15</v>
      </c>
      <c r="C116" s="14" t="s">
        <v>37</v>
      </c>
      <c r="D116" s="37">
        <f>O109*M111*0.03</f>
        <v>0</v>
      </c>
      <c r="E116" s="18" t="s">
        <v>18</v>
      </c>
      <c r="F116" s="9"/>
      <c r="G116" s="6">
        <v>90</v>
      </c>
      <c r="H116" s="13" t="s">
        <v>43</v>
      </c>
      <c r="I116" s="17"/>
      <c r="J116" s="8"/>
      <c r="K116" s="8"/>
      <c r="L116" s="13">
        <v>0.81</v>
      </c>
      <c r="M116" s="17"/>
      <c r="N116" s="36">
        <f>IF(H109&gt;0,L116*2.15*M116,0)+IF(I109&gt;0,L116*2.15*M116,0)+IF(J109&gt;0,L116*2.18*M116,0)</f>
        <v>0</v>
      </c>
      <c r="O116" s="13">
        <f t="shared" ref="O116:O118" si="28">L116*M116</f>
        <v>0</v>
      </c>
      <c r="P116" s="9"/>
      <c r="Q116" s="6"/>
      <c r="R116" s="118" t="s">
        <v>76</v>
      </c>
      <c r="S116" s="119"/>
      <c r="T116" s="119"/>
      <c r="U116" s="119"/>
      <c r="V116" s="119"/>
      <c r="W116" s="119"/>
      <c r="X116" s="120"/>
      <c r="Y116" s="58"/>
      <c r="Z116" s="6"/>
      <c r="AA116" s="21">
        <v>3</v>
      </c>
      <c r="AB116" s="21">
        <v>3</v>
      </c>
      <c r="AC116" s="21">
        <v>3</v>
      </c>
      <c r="AD116" s="21">
        <v>3</v>
      </c>
      <c r="AE116" s="21">
        <v>3</v>
      </c>
      <c r="AF116" s="21">
        <v>4</v>
      </c>
      <c r="AG116" s="31">
        <v>4</v>
      </c>
      <c r="AH116" s="8"/>
      <c r="AI116" s="8">
        <v>190</v>
      </c>
      <c r="AJ116" s="66" t="s">
        <v>108</v>
      </c>
      <c r="AK116" s="74">
        <f>IF(J109&gt;0,I129,0)</f>
        <v>0</v>
      </c>
      <c r="AL116" s="16">
        <v>0.65</v>
      </c>
      <c r="AM116" s="13">
        <v>1</v>
      </c>
      <c r="AN116" s="34">
        <f>AL116*AM116*AK116*AB105</f>
        <v>0</v>
      </c>
      <c r="AO116" s="16"/>
      <c r="AP116" s="13"/>
      <c r="AQ116" s="27"/>
      <c r="AR116" s="16">
        <v>0.19</v>
      </c>
      <c r="AS116" s="61">
        <v>1</v>
      </c>
      <c r="AT116" s="27">
        <f>AR116*AS116*AK116*AB107</f>
        <v>0</v>
      </c>
      <c r="AU116" s="16"/>
      <c r="AV116" s="13"/>
      <c r="AW116" s="27"/>
      <c r="AX116" s="16"/>
      <c r="AY116" s="13"/>
      <c r="AZ116" s="27"/>
      <c r="BA116" s="59">
        <f>(0.445*AL116+0.425*AR116)*AK116</f>
        <v>0</v>
      </c>
      <c r="BB116" s="66">
        <f t="shared" si="27"/>
        <v>0</v>
      </c>
      <c r="BC116" s="79"/>
      <c r="BD116" s="13"/>
      <c r="BE116" s="27"/>
      <c r="BF116" s="8"/>
      <c r="BG116" s="9"/>
    </row>
    <row r="117" spans="1:59" ht="15.75" thickBot="1" x14ac:dyDescent="0.3">
      <c r="A117">
        <v>2</v>
      </c>
      <c r="B117" s="16">
        <v>16</v>
      </c>
      <c r="C117" s="14" t="s">
        <v>10</v>
      </c>
      <c r="D117" s="37">
        <f>IF(H109&gt;0,R117,0)</f>
        <v>0</v>
      </c>
      <c r="E117" s="57" t="s">
        <v>17</v>
      </c>
      <c r="F117" s="9"/>
      <c r="G117" s="6">
        <v>90</v>
      </c>
      <c r="H117" s="13" t="s">
        <v>44</v>
      </c>
      <c r="I117" s="17"/>
      <c r="J117" s="8"/>
      <c r="K117" s="8"/>
      <c r="L117" s="13">
        <v>0.91</v>
      </c>
      <c r="M117" s="17"/>
      <c r="N117" s="36">
        <f>IF(H109&gt;0,L117*2.15*M117,0)+IF(I109&gt;0,L117*2.15*M117,0)+IF(J109&gt;0,L117*2.18*M117,0)</f>
        <v>0</v>
      </c>
      <c r="O117" s="13">
        <f t="shared" si="28"/>
        <v>0</v>
      </c>
      <c r="P117" s="9"/>
      <c r="Q117" s="6"/>
      <c r="R117" s="39">
        <f>IF(H109&gt;0,R115*M111,0)*M112</f>
        <v>0</v>
      </c>
      <c r="S117" s="40">
        <f>IF(I109&gt;0,S115*0.02*M111,0)*M112</f>
        <v>0</v>
      </c>
      <c r="T117" s="40">
        <f>IF(J109&gt;0,T115*0.02*M111,0)*M112</f>
        <v>0</v>
      </c>
      <c r="U117" s="40"/>
      <c r="V117" s="40"/>
      <c r="W117" s="40">
        <f>IF(M109&gt;0,W115*0.02*M111,0)*M112</f>
        <v>0</v>
      </c>
      <c r="X117" s="41">
        <f>IF(N109&gt;0,X115*0.02*M111,0)*M112</f>
        <v>0</v>
      </c>
      <c r="Y117" s="8"/>
      <c r="Z117" s="59"/>
      <c r="AA117" s="118" t="s">
        <v>92</v>
      </c>
      <c r="AB117" s="119"/>
      <c r="AC117" s="119"/>
      <c r="AD117" s="119"/>
      <c r="AE117" s="119"/>
      <c r="AF117" s="119"/>
      <c r="AG117" s="120"/>
      <c r="AH117" s="8"/>
      <c r="AI117" s="8"/>
      <c r="AJ117" s="66"/>
      <c r="AK117" s="74"/>
      <c r="AL117" s="16"/>
      <c r="AM117" s="13"/>
      <c r="AN117" s="34"/>
      <c r="AO117" s="16"/>
      <c r="AP117" s="13"/>
      <c r="AQ117" s="27"/>
      <c r="AR117" s="16"/>
      <c r="AS117" s="13"/>
      <c r="AT117" s="27"/>
      <c r="AU117" s="16"/>
      <c r="AV117" s="13"/>
      <c r="AW117" s="27"/>
      <c r="AX117" s="16"/>
      <c r="AY117" s="13"/>
      <c r="AZ117" s="27"/>
      <c r="BA117" s="59"/>
      <c r="BB117" s="66"/>
      <c r="BC117" s="79"/>
      <c r="BD117" s="13"/>
      <c r="BE117" s="27"/>
      <c r="BF117" s="8"/>
      <c r="BG117" s="9"/>
    </row>
    <row r="118" spans="1:59" ht="15.75" thickBot="1" x14ac:dyDescent="0.3">
      <c r="A118">
        <v>2</v>
      </c>
      <c r="B118" s="16">
        <v>17</v>
      </c>
      <c r="C118" s="14" t="s">
        <v>11</v>
      </c>
      <c r="D118" s="37">
        <f>IF(I109&gt;0,S125,0)+IF(J109&gt;0,T125,0)+IF(M109&gt;0,W125,0)+IF(N109&gt;0,X125,0)</f>
        <v>5.6000000000000005</v>
      </c>
      <c r="E118" s="57" t="s">
        <v>17</v>
      </c>
      <c r="F118" s="9"/>
      <c r="G118" s="6">
        <v>90</v>
      </c>
      <c r="H118" s="13" t="s">
        <v>45</v>
      </c>
      <c r="I118" s="17">
        <v>1</v>
      </c>
      <c r="J118" s="8"/>
      <c r="K118" s="8"/>
      <c r="L118" s="13">
        <v>1.01</v>
      </c>
      <c r="M118" s="17"/>
      <c r="N118" s="38">
        <f>IF(H109&gt;0,L118*2.15*M118,0)+IF(I109&gt;0,L118*2.15*M118,0)+IF(J109&gt;0,L118*2.18*M118,0)</f>
        <v>0</v>
      </c>
      <c r="O118" s="21">
        <f t="shared" si="28"/>
        <v>0</v>
      </c>
      <c r="P118" s="9"/>
      <c r="Q118" s="6"/>
      <c r="R118" s="8"/>
      <c r="S118" s="8"/>
      <c r="T118" s="8"/>
      <c r="U118" s="8"/>
      <c r="V118" s="8"/>
      <c r="W118" s="8"/>
      <c r="X118" s="8"/>
      <c r="Y118" s="8"/>
      <c r="Z118" s="16" t="s">
        <v>90</v>
      </c>
      <c r="AA118" s="33"/>
      <c r="AB118" s="33">
        <v>0.05</v>
      </c>
      <c r="AC118" s="33">
        <v>0.05</v>
      </c>
      <c r="AD118" s="33">
        <v>0.05</v>
      </c>
      <c r="AE118" s="33">
        <v>0.05</v>
      </c>
      <c r="AF118" s="33">
        <v>0.05</v>
      </c>
      <c r="AG118" s="34">
        <v>0.05</v>
      </c>
      <c r="AH118" s="8"/>
      <c r="AI118" s="8">
        <v>80</v>
      </c>
      <c r="AJ118" s="66" t="s">
        <v>54</v>
      </c>
      <c r="AK118" s="74">
        <f>IF(H109&gt;0,I131,0)</f>
        <v>0</v>
      </c>
      <c r="AL118" s="16">
        <f>0.71+0.4</f>
        <v>1.1099999999999999</v>
      </c>
      <c r="AM118" s="61">
        <v>2</v>
      </c>
      <c r="AN118" s="34">
        <f>AL118*AM118*AK118*AB105</f>
        <v>0</v>
      </c>
      <c r="AO118" s="16"/>
      <c r="AP118" s="13"/>
      <c r="AQ118" s="27"/>
      <c r="AR118" s="16"/>
      <c r="AS118" s="13"/>
      <c r="AT118" s="27"/>
      <c r="AU118" s="16"/>
      <c r="AV118" s="13"/>
      <c r="AW118" s="27"/>
      <c r="AX118" s="16"/>
      <c r="AY118" s="13"/>
      <c r="AZ118" s="27"/>
      <c r="BA118" s="59">
        <f>0.225*AL118*AK118</f>
        <v>0</v>
      </c>
      <c r="BB118" s="66">
        <f>3.14*AL118*AM118*AK118</f>
        <v>0</v>
      </c>
      <c r="BC118" s="79">
        <v>0.71</v>
      </c>
      <c r="BD118" s="13">
        <v>0.08</v>
      </c>
      <c r="BE118" s="27">
        <f>BC118*BD118*AK118</f>
        <v>0</v>
      </c>
      <c r="BF118" s="8"/>
      <c r="BG118" s="9"/>
    </row>
    <row r="119" spans="1:59" ht="15.75" thickBot="1" x14ac:dyDescent="0.3">
      <c r="A119">
        <v>2</v>
      </c>
      <c r="B119" s="16"/>
      <c r="C119" s="15" t="s">
        <v>131</v>
      </c>
      <c r="D119" s="37"/>
      <c r="E119" s="57"/>
      <c r="F119" s="9"/>
      <c r="G119" s="6">
        <v>190</v>
      </c>
      <c r="H119" s="13" t="s">
        <v>46</v>
      </c>
      <c r="I119" s="17"/>
      <c r="J119" s="8"/>
      <c r="K119" s="8"/>
      <c r="L119" s="8"/>
      <c r="M119" s="13" t="s">
        <v>61</v>
      </c>
      <c r="N119" s="35">
        <f>SUM(N115:N118)</f>
        <v>1.5265</v>
      </c>
      <c r="O119" s="22">
        <f>SUM(O115:O118)</f>
        <v>0.71</v>
      </c>
      <c r="P119" s="9"/>
      <c r="Q119" s="6"/>
      <c r="R119" s="113" t="s">
        <v>77</v>
      </c>
      <c r="S119" s="114"/>
      <c r="T119" s="114"/>
      <c r="U119" s="114"/>
      <c r="V119" s="114"/>
      <c r="W119" s="114"/>
      <c r="X119" s="115"/>
      <c r="Y119" s="58"/>
      <c r="Z119" s="16" t="s">
        <v>91</v>
      </c>
      <c r="AA119" s="13"/>
      <c r="AB119" s="13">
        <v>0.68</v>
      </c>
      <c r="AC119" s="13">
        <v>1.37</v>
      </c>
      <c r="AD119" s="13"/>
      <c r="AE119" s="13"/>
      <c r="AF119" s="13">
        <v>0.68</v>
      </c>
      <c r="AG119" s="27">
        <v>0.93</v>
      </c>
      <c r="AH119" s="8"/>
      <c r="AI119" s="8">
        <v>80</v>
      </c>
      <c r="AJ119" s="66" t="s">
        <v>55</v>
      </c>
      <c r="AK119" s="74">
        <f>IF(H109&gt;0,I132,0)</f>
        <v>0</v>
      </c>
      <c r="AL119" s="16">
        <f>0.81+0.4</f>
        <v>1.21</v>
      </c>
      <c r="AM119" s="61">
        <v>2</v>
      </c>
      <c r="AN119" s="34">
        <f>AL119*AM119*AK119*AB105</f>
        <v>0</v>
      </c>
      <c r="AO119" s="16"/>
      <c r="AP119" s="13"/>
      <c r="AQ119" s="27"/>
      <c r="AR119" s="16"/>
      <c r="AS119" s="13"/>
      <c r="AT119" s="27"/>
      <c r="AU119" s="16"/>
      <c r="AV119" s="13"/>
      <c r="AW119" s="27"/>
      <c r="AX119" s="16"/>
      <c r="AY119" s="13"/>
      <c r="AZ119" s="27"/>
      <c r="BA119" s="59">
        <f t="shared" ref="BA119:BA121" si="29">0.225*AL119*AK119</f>
        <v>0</v>
      </c>
      <c r="BB119" s="66">
        <f t="shared" ref="BB119:BB121" si="30">3.14*AL119*AM119*AK119</f>
        <v>0</v>
      </c>
      <c r="BC119" s="79">
        <v>0.81</v>
      </c>
      <c r="BD119" s="13">
        <v>0.08</v>
      </c>
      <c r="BE119" s="27">
        <f t="shared" ref="BE119:BE121" si="31">BC119*BD119*AK119</f>
        <v>0</v>
      </c>
      <c r="BF119" s="8"/>
      <c r="BG119" s="9"/>
    </row>
    <row r="120" spans="1:59" ht="15.75" thickBot="1" x14ac:dyDescent="0.3">
      <c r="A120">
        <v>2</v>
      </c>
      <c r="B120" s="16">
        <v>18</v>
      </c>
      <c r="C120" s="14" t="s">
        <v>115</v>
      </c>
      <c r="D120" s="37">
        <f>AJ133</f>
        <v>0</v>
      </c>
      <c r="E120" s="57" t="s">
        <v>17</v>
      </c>
      <c r="F120" s="9"/>
      <c r="G120" s="6">
        <v>190</v>
      </c>
      <c r="H120" s="13" t="s">
        <v>47</v>
      </c>
      <c r="I120" s="17"/>
      <c r="J120" s="8"/>
      <c r="K120" s="8"/>
      <c r="L120" s="8"/>
      <c r="M120" s="8"/>
      <c r="N120" s="8"/>
      <c r="O120" s="8"/>
      <c r="P120" s="9"/>
      <c r="Q120" s="6"/>
      <c r="R120" s="16" t="s">
        <v>23</v>
      </c>
      <c r="S120" s="13" t="s">
        <v>24</v>
      </c>
      <c r="T120" s="13" t="s">
        <v>25</v>
      </c>
      <c r="U120" s="13" t="s">
        <v>26</v>
      </c>
      <c r="V120" s="13" t="s">
        <v>27</v>
      </c>
      <c r="W120" s="13" t="s">
        <v>28</v>
      </c>
      <c r="X120" s="27" t="s">
        <v>29</v>
      </c>
      <c r="Y120" s="8"/>
      <c r="Z120" s="16" t="s">
        <v>96</v>
      </c>
      <c r="AA120" s="21">
        <v>0.28000000000000003</v>
      </c>
      <c r="AB120" s="21"/>
      <c r="AC120" s="21"/>
      <c r="AD120" s="21">
        <v>0.36</v>
      </c>
      <c r="AE120" s="21">
        <v>0.36</v>
      </c>
      <c r="AF120" s="21"/>
      <c r="AG120" s="31"/>
      <c r="AH120" s="8"/>
      <c r="AI120" s="63">
        <v>80</v>
      </c>
      <c r="AJ120" s="66" t="s">
        <v>56</v>
      </c>
      <c r="AK120" s="74">
        <f>IF(H109&gt;0,I133,0)</f>
        <v>0</v>
      </c>
      <c r="AL120" s="16">
        <f>0.91+0.4</f>
        <v>1.31</v>
      </c>
      <c r="AM120" s="61">
        <v>2</v>
      </c>
      <c r="AN120" s="34">
        <f>AL120*AM120*AK120*AB105</f>
        <v>0</v>
      </c>
      <c r="AO120" s="16"/>
      <c r="AP120" s="13"/>
      <c r="AQ120" s="27"/>
      <c r="AR120" s="16"/>
      <c r="AS120" s="13"/>
      <c r="AT120" s="27"/>
      <c r="AU120" s="16"/>
      <c r="AV120" s="13"/>
      <c r="AW120" s="27"/>
      <c r="AX120" s="16"/>
      <c r="AY120" s="13"/>
      <c r="AZ120" s="27"/>
      <c r="BA120" s="59">
        <f t="shared" si="29"/>
        <v>0</v>
      </c>
      <c r="BB120" s="66">
        <f t="shared" si="30"/>
        <v>0</v>
      </c>
      <c r="BC120" s="79">
        <v>0.91</v>
      </c>
      <c r="BD120" s="13">
        <v>0.08</v>
      </c>
      <c r="BE120" s="27">
        <f t="shared" si="31"/>
        <v>0</v>
      </c>
      <c r="BF120" s="8"/>
      <c r="BG120" s="9"/>
    </row>
    <row r="121" spans="1:59" ht="15.75" thickBot="1" x14ac:dyDescent="0.3">
      <c r="A121">
        <v>2</v>
      </c>
      <c r="B121" s="16">
        <v>19</v>
      </c>
      <c r="C121" s="14" t="s">
        <v>107</v>
      </c>
      <c r="D121" s="37">
        <f>AK133</f>
        <v>0</v>
      </c>
      <c r="E121" s="57" t="s">
        <v>19</v>
      </c>
      <c r="F121" s="9"/>
      <c r="G121" s="6">
        <v>190</v>
      </c>
      <c r="H121" s="13" t="s">
        <v>48</v>
      </c>
      <c r="I121" s="17"/>
      <c r="J121" s="8"/>
      <c r="K121" s="8"/>
      <c r="L121" s="8"/>
      <c r="M121" s="8" t="s">
        <v>35</v>
      </c>
      <c r="N121" s="8"/>
      <c r="O121" s="8"/>
      <c r="P121" s="9"/>
      <c r="Q121" s="6"/>
      <c r="R121" s="6"/>
      <c r="S121" s="21">
        <v>7.0000000000000007E-2</v>
      </c>
      <c r="T121" s="21">
        <v>0.17</v>
      </c>
      <c r="U121" s="8"/>
      <c r="V121" s="8"/>
      <c r="W121" s="21">
        <v>0.1</v>
      </c>
      <c r="X121" s="31">
        <v>4.4999999999999998E-2</v>
      </c>
      <c r="Y121" s="8"/>
      <c r="Z121" s="6"/>
      <c r="AA121" s="113" t="s">
        <v>94</v>
      </c>
      <c r="AB121" s="114"/>
      <c r="AC121" s="114"/>
      <c r="AD121" s="114"/>
      <c r="AE121" s="114"/>
      <c r="AF121" s="114"/>
      <c r="AG121" s="115"/>
      <c r="AH121" s="8"/>
      <c r="AI121" s="63">
        <v>80</v>
      </c>
      <c r="AJ121" s="70" t="s">
        <v>57</v>
      </c>
      <c r="AK121" s="75">
        <f>IF(H109&gt;0,I134,0)</f>
        <v>0</v>
      </c>
      <c r="AL121" s="30">
        <f>0.91+0.4</f>
        <v>1.31</v>
      </c>
      <c r="AM121" s="71">
        <v>2</v>
      </c>
      <c r="AN121" s="48">
        <f>AL121*AM121*AK121*AB105</f>
        <v>0</v>
      </c>
      <c r="AO121" s="30"/>
      <c r="AP121" s="21"/>
      <c r="AQ121" s="31"/>
      <c r="AR121" s="30"/>
      <c r="AS121" s="21"/>
      <c r="AT121" s="31"/>
      <c r="AU121" s="30"/>
      <c r="AV121" s="21"/>
      <c r="AW121" s="31"/>
      <c r="AX121" s="30"/>
      <c r="AY121" s="21"/>
      <c r="AZ121" s="31"/>
      <c r="BA121" s="91">
        <f t="shared" si="29"/>
        <v>0</v>
      </c>
      <c r="BB121" s="66">
        <f t="shared" si="30"/>
        <v>0</v>
      </c>
      <c r="BC121" s="79">
        <v>0.91</v>
      </c>
      <c r="BD121" s="13">
        <v>0.08</v>
      </c>
      <c r="BE121" s="27">
        <f t="shared" si="31"/>
        <v>0</v>
      </c>
      <c r="BF121" s="8"/>
      <c r="BG121" s="9"/>
    </row>
    <row r="122" spans="1:59" ht="15.75" thickBot="1" x14ac:dyDescent="0.3">
      <c r="A122">
        <v>2</v>
      </c>
      <c r="B122" s="16"/>
      <c r="C122" s="15" t="s">
        <v>16</v>
      </c>
      <c r="D122" s="37"/>
      <c r="E122" s="57"/>
      <c r="F122" s="9"/>
      <c r="G122" s="6">
        <v>190</v>
      </c>
      <c r="H122" s="13" t="s">
        <v>49</v>
      </c>
      <c r="I122" s="17"/>
      <c r="J122" s="8"/>
      <c r="K122" s="8"/>
      <c r="L122" s="8"/>
      <c r="M122" s="13" t="s">
        <v>31</v>
      </c>
      <c r="N122" s="57" t="s">
        <v>36</v>
      </c>
      <c r="O122" s="8"/>
      <c r="P122" s="9"/>
      <c r="Q122" s="6"/>
      <c r="R122" s="118" t="s">
        <v>78</v>
      </c>
      <c r="S122" s="119"/>
      <c r="T122" s="119"/>
      <c r="U122" s="119"/>
      <c r="V122" s="119"/>
      <c r="W122" s="119"/>
      <c r="X122" s="120"/>
      <c r="Y122" s="8"/>
      <c r="Z122" s="16" t="s">
        <v>90</v>
      </c>
      <c r="AA122" s="33"/>
      <c r="AB122" s="33">
        <f>IF(I109&gt;0,AB118*AB104*AB116,0)*M113</f>
        <v>0</v>
      </c>
      <c r="AC122" s="33">
        <f>IF(J109&gt;0,AC118*AB104*AC116,0)*M113</f>
        <v>0</v>
      </c>
      <c r="AD122" s="33">
        <f>IF(K109&gt;0,AD118*AB104*AD116,0)*M113</f>
        <v>0</v>
      </c>
      <c r="AE122" s="33">
        <f>IF(L109&gt;0,AE118*AB104*AE116,0)*M113</f>
        <v>0</v>
      </c>
      <c r="AF122" s="33">
        <f>IF(M109&gt;0,AF118*AB104*AF116,0)*M113</f>
        <v>0</v>
      </c>
      <c r="AG122" s="34">
        <f>IF(N109&gt;0,AG118*AB104*AG116,0)*M113</f>
        <v>0</v>
      </c>
      <c r="AH122" s="8"/>
      <c r="AI122" s="8"/>
      <c r="AJ122" s="66"/>
      <c r="AK122" s="74"/>
      <c r="AL122" s="16"/>
      <c r="AM122" s="13"/>
      <c r="AN122" s="27"/>
      <c r="AO122" s="16"/>
      <c r="AP122" s="13"/>
      <c r="AQ122" s="27"/>
      <c r="AR122" s="16"/>
      <c r="AS122" s="13"/>
      <c r="AT122" s="27"/>
      <c r="AU122" s="16"/>
      <c r="AV122" s="13"/>
      <c r="AW122" s="27"/>
      <c r="AX122" s="16"/>
      <c r="AY122" s="13"/>
      <c r="AZ122" s="27"/>
      <c r="BA122" s="59"/>
      <c r="BB122" s="66"/>
      <c r="BC122" s="79"/>
      <c r="BD122" s="13"/>
      <c r="BE122" s="27"/>
      <c r="BF122" s="8"/>
      <c r="BG122" s="9"/>
    </row>
    <row r="123" spans="1:59" ht="15.75" thickBot="1" x14ac:dyDescent="0.3">
      <c r="A123">
        <v>2</v>
      </c>
      <c r="B123" s="16">
        <v>20</v>
      </c>
      <c r="C123" s="14" t="s">
        <v>13</v>
      </c>
      <c r="D123" s="37">
        <f>IF(H109&gt;0,R132,0)+IF(I109&gt;0,S132,0)+IF(J109&gt;0,T132,0)+IF(K109&gt;0,U132,0)+IF(L109&gt;0,V132,0)+IF(M109&gt;0,W132,0)+IF(N109&gt;0,X132,0)</f>
        <v>1.4746666666666669E-3</v>
      </c>
      <c r="E123" s="57" t="s">
        <v>19</v>
      </c>
      <c r="F123" s="9"/>
      <c r="G123" s="6">
        <v>120</v>
      </c>
      <c r="H123" s="13" t="s">
        <v>106</v>
      </c>
      <c r="I123" s="17"/>
      <c r="J123" s="8"/>
      <c r="K123" s="8"/>
      <c r="L123" s="8"/>
      <c r="M123" s="17"/>
      <c r="N123" s="17"/>
      <c r="O123" s="8"/>
      <c r="P123" s="9"/>
      <c r="Q123" s="6"/>
      <c r="R123" s="6"/>
      <c r="S123" s="47">
        <v>4</v>
      </c>
      <c r="T123" s="47">
        <v>4</v>
      </c>
      <c r="U123" s="8"/>
      <c r="V123" s="8"/>
      <c r="W123" s="47">
        <v>5</v>
      </c>
      <c r="X123" s="48">
        <v>5</v>
      </c>
      <c r="Y123" s="8"/>
      <c r="Z123" s="16" t="s">
        <v>91</v>
      </c>
      <c r="AA123" s="13"/>
      <c r="AB123" s="13">
        <f>IF(I109&gt;0,AB119*AB116*AB102,0)*M113</f>
        <v>0</v>
      </c>
      <c r="AC123" s="13">
        <f>IF(J109&gt;0,AC119*AC116*AB102,0)*M113</f>
        <v>0</v>
      </c>
      <c r="AD123" s="13"/>
      <c r="AE123" s="13"/>
      <c r="AF123" s="13">
        <f>IF(M109&gt;0,AF119*AF116*AB102,0)*M113</f>
        <v>0</v>
      </c>
      <c r="AG123" s="27">
        <f>IF(N109&gt;0,AG119*AG116*AB102,0)*M113</f>
        <v>0</v>
      </c>
      <c r="AH123" s="8"/>
      <c r="AI123" s="8"/>
      <c r="AJ123" s="66"/>
      <c r="AK123" s="74"/>
      <c r="AL123" s="16"/>
      <c r="AM123" s="13"/>
      <c r="AN123" s="27"/>
      <c r="AO123" s="16"/>
      <c r="AP123" s="13"/>
      <c r="AQ123" s="27"/>
      <c r="AR123" s="16"/>
      <c r="AS123" s="13"/>
      <c r="AT123" s="27"/>
      <c r="AU123" s="16"/>
      <c r="AV123" s="13"/>
      <c r="AW123" s="27"/>
      <c r="AX123" s="16"/>
      <c r="AY123" s="13"/>
      <c r="AZ123" s="27"/>
      <c r="BA123" s="59"/>
      <c r="BB123" s="66"/>
      <c r="BC123" s="79"/>
      <c r="BD123" s="13"/>
      <c r="BE123" s="27"/>
      <c r="BF123" s="8"/>
      <c r="BG123" s="9"/>
    </row>
    <row r="124" spans="1:59" ht="15.75" thickBot="1" x14ac:dyDescent="0.3">
      <c r="A124">
        <v>2</v>
      </c>
      <c r="B124" s="16"/>
      <c r="C124" s="15" t="s">
        <v>7</v>
      </c>
      <c r="D124" s="37"/>
      <c r="E124" s="57"/>
      <c r="F124" s="9"/>
      <c r="G124" s="6"/>
      <c r="H124" s="13"/>
      <c r="I124" s="13"/>
      <c r="J124" s="8"/>
      <c r="K124" s="8"/>
      <c r="L124" s="8"/>
      <c r="M124" s="17"/>
      <c r="N124" s="17"/>
      <c r="O124" s="8"/>
      <c r="P124" s="9"/>
      <c r="Q124" s="6"/>
      <c r="R124" s="113" t="s">
        <v>79</v>
      </c>
      <c r="S124" s="114"/>
      <c r="T124" s="114"/>
      <c r="U124" s="114"/>
      <c r="V124" s="114"/>
      <c r="W124" s="114"/>
      <c r="X124" s="115"/>
      <c r="Y124" s="8"/>
      <c r="Z124" s="28" t="s">
        <v>96</v>
      </c>
      <c r="AA124" s="20">
        <f>IF(H109&gt;0,AA120*AA116*AB103,0)*M113</f>
        <v>0</v>
      </c>
      <c r="AB124" s="20"/>
      <c r="AC124" s="20"/>
      <c r="AD124" s="20">
        <f>IF(K109&gt;0,AD120*AD116*AB103,0)*M113</f>
        <v>0</v>
      </c>
      <c r="AE124" s="20">
        <f>IF(L109&gt;0,AE120*AE116*AB103,0)*M113</f>
        <v>0</v>
      </c>
      <c r="AF124" s="20"/>
      <c r="AG124" s="29">
        <f>IF(N109&gt;0,AG120*AG116*AB103,0)*M113</f>
        <v>0</v>
      </c>
      <c r="AH124" s="8"/>
      <c r="AI124" s="8"/>
      <c r="AJ124" s="66"/>
      <c r="AK124" s="74"/>
      <c r="AL124" s="16"/>
      <c r="AM124" s="13"/>
      <c r="AN124" s="27"/>
      <c r="AO124" s="16"/>
      <c r="AP124" s="13"/>
      <c r="AQ124" s="27"/>
      <c r="AR124" s="16"/>
      <c r="AS124" s="13"/>
      <c r="AT124" s="27"/>
      <c r="AU124" s="16"/>
      <c r="AV124" s="13"/>
      <c r="AW124" s="27"/>
      <c r="AX124" s="16"/>
      <c r="AY124" s="13"/>
      <c r="AZ124" s="27"/>
      <c r="BA124" s="59"/>
      <c r="BB124" s="66"/>
      <c r="BC124" s="79"/>
      <c r="BD124" s="13"/>
      <c r="BE124" s="31"/>
      <c r="BF124" s="8"/>
      <c r="BG124" s="9"/>
    </row>
    <row r="125" spans="1:59" ht="15.75" thickBot="1" x14ac:dyDescent="0.3">
      <c r="A125">
        <v>2</v>
      </c>
      <c r="B125" s="16">
        <v>21</v>
      </c>
      <c r="C125" s="14" t="s">
        <v>14</v>
      </c>
      <c r="D125" s="37">
        <f>SUM(AA123:AG123)</f>
        <v>0</v>
      </c>
      <c r="E125" s="57" t="s">
        <v>19</v>
      </c>
      <c r="F125" s="9"/>
      <c r="G125" s="6">
        <v>120</v>
      </c>
      <c r="H125" s="13" t="s">
        <v>50</v>
      </c>
      <c r="I125" s="17"/>
      <c r="J125" s="8"/>
      <c r="K125" s="8"/>
      <c r="L125" s="8"/>
      <c r="M125" s="13" t="s">
        <v>61</v>
      </c>
      <c r="N125" s="13">
        <f>M123*N123+M124*N124</f>
        <v>0</v>
      </c>
      <c r="O125" s="8"/>
      <c r="P125" s="9"/>
      <c r="Q125" s="6"/>
      <c r="R125" s="10"/>
      <c r="S125" s="40">
        <f>IF(I109&gt;0,S121*I109*S123,0)</f>
        <v>5.6000000000000005</v>
      </c>
      <c r="T125" s="40">
        <f>IF(J109&gt;0,T121*J109*T123,0)</f>
        <v>0</v>
      </c>
      <c r="U125" s="12"/>
      <c r="V125" s="12"/>
      <c r="W125" s="40">
        <f t="shared" ref="W125" si="32">IF(M109&gt;0,W121*M109*W123,0)</f>
        <v>0</v>
      </c>
      <c r="X125" s="41">
        <f t="shared" ref="X125" si="33">IF(N109&gt;0,X121*N109*X123,0)</f>
        <v>0</v>
      </c>
      <c r="Y125" s="8"/>
      <c r="Z125" s="2"/>
      <c r="AA125" s="113" t="s">
        <v>97</v>
      </c>
      <c r="AB125" s="114"/>
      <c r="AC125" s="114"/>
      <c r="AD125" s="114"/>
      <c r="AE125" s="114"/>
      <c r="AF125" s="114"/>
      <c r="AG125" s="115"/>
      <c r="AH125" s="8"/>
      <c r="AI125" s="8"/>
      <c r="AJ125" s="67"/>
      <c r="AK125" s="75"/>
      <c r="AL125" s="30"/>
      <c r="AM125" s="21"/>
      <c r="AN125" s="31"/>
      <c r="AO125" s="30"/>
      <c r="AP125" s="21"/>
      <c r="AQ125" s="31"/>
      <c r="AR125" s="30"/>
      <c r="AS125" s="21"/>
      <c r="AT125" s="31"/>
      <c r="AU125" s="30"/>
      <c r="AV125" s="21"/>
      <c r="AW125" s="31"/>
      <c r="AX125" s="30"/>
      <c r="AY125" s="21"/>
      <c r="AZ125" s="31"/>
      <c r="BA125" s="91"/>
      <c r="BB125" s="70"/>
      <c r="BC125" s="79"/>
      <c r="BD125" s="76" t="s">
        <v>123</v>
      </c>
      <c r="BE125" s="22">
        <f>SUM(BE103:BE105)+SUM(BE108:BE109)</f>
        <v>0.81900000000000006</v>
      </c>
      <c r="BF125" s="8"/>
      <c r="BG125" s="9"/>
    </row>
    <row r="126" spans="1:59" ht="15.75" thickBot="1" x14ac:dyDescent="0.3">
      <c r="A126">
        <v>2</v>
      </c>
      <c r="B126" s="16">
        <v>22</v>
      </c>
      <c r="C126" s="14" t="s">
        <v>95</v>
      </c>
      <c r="D126" s="37">
        <f>SUM(AA124:AG124)</f>
        <v>0</v>
      </c>
      <c r="E126" s="57" t="s">
        <v>19</v>
      </c>
      <c r="F126" s="9"/>
      <c r="G126" s="6">
        <v>65</v>
      </c>
      <c r="H126" s="13" t="s">
        <v>51</v>
      </c>
      <c r="I126" s="17"/>
      <c r="J126" s="8"/>
      <c r="K126" s="8"/>
      <c r="L126" s="8" t="s">
        <v>132</v>
      </c>
      <c r="M126" s="8"/>
      <c r="N126" s="8"/>
      <c r="O126" s="8"/>
      <c r="P126" s="9"/>
      <c r="Q126" s="6"/>
      <c r="R126" s="8"/>
      <c r="S126" s="8"/>
      <c r="T126" s="8"/>
      <c r="U126" s="8"/>
      <c r="V126" s="8"/>
      <c r="W126" s="8"/>
      <c r="X126" s="8"/>
      <c r="Y126" s="8"/>
      <c r="Z126" s="16" t="s">
        <v>90</v>
      </c>
      <c r="AA126" s="33"/>
      <c r="AB126" s="33">
        <f>(0.05*0.05*2+0.05*0.004*4)*AB116</f>
        <v>1.7400000000000006E-2</v>
      </c>
      <c r="AC126" s="33">
        <f t="shared" ref="AC126:AG126" si="34">(0.05*0.05*2+0.05*0.004*4)*AC116</f>
        <v>1.7400000000000006E-2</v>
      </c>
      <c r="AD126" s="33">
        <f t="shared" si="34"/>
        <v>1.7400000000000006E-2</v>
      </c>
      <c r="AE126" s="33">
        <f t="shared" si="34"/>
        <v>1.7400000000000006E-2</v>
      </c>
      <c r="AF126" s="33">
        <f t="shared" si="34"/>
        <v>2.3200000000000005E-2</v>
      </c>
      <c r="AG126" s="34">
        <f t="shared" si="34"/>
        <v>2.3200000000000005E-2</v>
      </c>
      <c r="AH126" s="8"/>
      <c r="AI126" s="8"/>
      <c r="AJ126" s="113" t="s">
        <v>61</v>
      </c>
      <c r="AK126" s="114"/>
      <c r="AL126" s="24"/>
      <c r="AM126" s="25"/>
      <c r="AN126" s="26">
        <f>SUM(AN103:AN125)</f>
        <v>3.9449999999999997E-3</v>
      </c>
      <c r="AO126" s="24"/>
      <c r="AP126" s="25"/>
      <c r="AQ126" s="26">
        <f t="shared" ref="AQ126" si="35">SUM(AQ103:AQ125)</f>
        <v>0</v>
      </c>
      <c r="AR126" s="24"/>
      <c r="AS126" s="25"/>
      <c r="AT126" s="26">
        <f t="shared" ref="AT126" si="36">SUM(AT103:AT125)</f>
        <v>0</v>
      </c>
      <c r="AU126" s="24"/>
      <c r="AV126" s="25"/>
      <c r="AW126" s="26">
        <f t="shared" ref="AW126" si="37">SUM(AW103:AW125)</f>
        <v>0</v>
      </c>
      <c r="AX126" s="24"/>
      <c r="AY126" s="25"/>
      <c r="AZ126" s="26"/>
      <c r="BA126" s="92">
        <f t="shared" ref="BA126" si="38">SUM(BA103:BA125)</f>
        <v>0.30625000000000002</v>
      </c>
      <c r="BB126" s="22">
        <f>SUM(BB103:BB125)</f>
        <v>0.12559999999999999</v>
      </c>
      <c r="BC126" s="77"/>
      <c r="BD126" s="72" t="s">
        <v>23</v>
      </c>
      <c r="BE126" s="22">
        <f>SUM(BE118:BE121)</f>
        <v>0</v>
      </c>
      <c r="BF126" s="8"/>
      <c r="BG126" s="9"/>
    </row>
    <row r="127" spans="1:59" ht="15.75" thickBot="1" x14ac:dyDescent="0.3">
      <c r="A127">
        <v>2</v>
      </c>
      <c r="B127" s="16">
        <v>23</v>
      </c>
      <c r="C127" s="14" t="s">
        <v>71</v>
      </c>
      <c r="D127" s="37">
        <f>SUM(AA122:AG122)</f>
        <v>0</v>
      </c>
      <c r="E127" s="57" t="s">
        <v>19</v>
      </c>
      <c r="F127" s="9"/>
      <c r="G127" s="6">
        <v>120</v>
      </c>
      <c r="H127" s="13" t="s">
        <v>52</v>
      </c>
      <c r="I127" s="17"/>
      <c r="J127" s="8"/>
      <c r="K127" s="8"/>
      <c r="L127" s="116" t="s">
        <v>128</v>
      </c>
      <c r="M127" s="116"/>
      <c r="N127" s="116"/>
      <c r="O127" s="134" t="s">
        <v>107</v>
      </c>
      <c r="P127" s="138"/>
      <c r="Q127" s="6"/>
      <c r="R127" s="113" t="s">
        <v>85</v>
      </c>
      <c r="S127" s="114"/>
      <c r="T127" s="114"/>
      <c r="U127" s="114"/>
      <c r="V127" s="114"/>
      <c r="W127" s="114"/>
      <c r="X127" s="115"/>
      <c r="Y127" s="8"/>
      <c r="Z127" s="16" t="s">
        <v>91</v>
      </c>
      <c r="AA127" s="13"/>
      <c r="AB127" s="13">
        <f>3.14*0.006*AB119*AB116</f>
        <v>3.8433600000000012E-2</v>
      </c>
      <c r="AC127" s="13">
        <f t="shared" ref="AC127" si="39">3.14*0.006*AC119*AC116</f>
        <v>7.7432400000000012E-2</v>
      </c>
      <c r="AD127" s="13"/>
      <c r="AE127" s="13"/>
      <c r="AF127" s="13">
        <f t="shared" ref="AF127:AG127" si="40">3.14*0.006*AF119*AF116</f>
        <v>5.1244800000000014E-2</v>
      </c>
      <c r="AG127" s="27">
        <f t="shared" si="40"/>
        <v>7.0084800000000017E-2</v>
      </c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9"/>
    </row>
    <row r="128" spans="1:59" ht="15.75" thickBot="1" x14ac:dyDescent="0.3">
      <c r="A128">
        <v>2</v>
      </c>
      <c r="B128" s="16"/>
      <c r="C128" s="15" t="s">
        <v>8</v>
      </c>
      <c r="D128" s="37"/>
      <c r="E128" s="57"/>
      <c r="F128" s="9"/>
      <c r="G128" s="6">
        <v>190</v>
      </c>
      <c r="H128" s="13" t="s">
        <v>53</v>
      </c>
      <c r="I128" s="17"/>
      <c r="J128" s="8"/>
      <c r="K128" s="8"/>
      <c r="L128" s="13" t="s">
        <v>125</v>
      </c>
      <c r="M128" s="13" t="s">
        <v>126</v>
      </c>
      <c r="N128" s="13" t="s">
        <v>63</v>
      </c>
      <c r="O128" s="61" t="s">
        <v>31</v>
      </c>
      <c r="P128" s="27" t="s">
        <v>130</v>
      </c>
      <c r="Q128" s="6"/>
      <c r="R128" s="16" t="s">
        <v>23</v>
      </c>
      <c r="S128" s="13" t="s">
        <v>24</v>
      </c>
      <c r="T128" s="13" t="s">
        <v>25</v>
      </c>
      <c r="U128" s="13" t="s">
        <v>26</v>
      </c>
      <c r="V128" s="13" t="s">
        <v>27</v>
      </c>
      <c r="W128" s="13" t="s">
        <v>28</v>
      </c>
      <c r="X128" s="27" t="s">
        <v>29</v>
      </c>
      <c r="Y128" s="8"/>
      <c r="Z128" s="16" t="s">
        <v>96</v>
      </c>
      <c r="AA128" s="21">
        <f>3.14*0.008*AA120*AA116</f>
        <v>2.1100800000000003E-2</v>
      </c>
      <c r="AB128" s="21"/>
      <c r="AC128" s="21"/>
      <c r="AD128" s="21">
        <f t="shared" ref="AD128:AE128" si="41">3.14*0.008*AD120*AD116</f>
        <v>2.7129599999999997E-2</v>
      </c>
      <c r="AE128" s="21">
        <f t="shared" si="41"/>
        <v>2.7129599999999997E-2</v>
      </c>
      <c r="AF128" s="21"/>
      <c r="AG128" s="31"/>
      <c r="AH128" s="8"/>
      <c r="AI128" s="8"/>
      <c r="AJ128" s="116" t="s">
        <v>124</v>
      </c>
      <c r="AK128" s="116"/>
      <c r="AL128" s="116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9"/>
    </row>
    <row r="129" spans="1:59" ht="15.75" thickBot="1" x14ac:dyDescent="0.3">
      <c r="A129">
        <v>2</v>
      </c>
      <c r="B129" s="16">
        <v>24</v>
      </c>
      <c r="C129" s="14" t="s">
        <v>103</v>
      </c>
      <c r="D129" s="37">
        <f>AT126</f>
        <v>0</v>
      </c>
      <c r="E129" s="57" t="s">
        <v>19</v>
      </c>
      <c r="F129" s="9"/>
      <c r="G129" s="6">
        <v>190</v>
      </c>
      <c r="H129" s="13" t="s">
        <v>108</v>
      </c>
      <c r="I129" s="17"/>
      <c r="J129" s="8"/>
      <c r="K129" s="8"/>
      <c r="L129" s="17"/>
      <c r="M129" s="17"/>
      <c r="N129" s="17"/>
      <c r="O129" s="17"/>
      <c r="P129" s="96"/>
      <c r="Q129" s="6" t="s">
        <v>86</v>
      </c>
      <c r="R129" s="16">
        <v>0.28000000000000003</v>
      </c>
      <c r="S129" s="13">
        <v>0.28000000000000003</v>
      </c>
      <c r="T129" s="13">
        <v>0.28000000000000003</v>
      </c>
      <c r="U129" s="13">
        <v>0.28000000000000003</v>
      </c>
      <c r="V129" s="13">
        <v>0.28000000000000003</v>
      </c>
      <c r="W129" s="13">
        <v>0.28000000000000003</v>
      </c>
      <c r="X129" s="27">
        <v>0.28000000000000003</v>
      </c>
      <c r="Y129" s="8"/>
      <c r="Z129" s="6"/>
      <c r="AA129" s="113" t="s">
        <v>100</v>
      </c>
      <c r="AB129" s="114"/>
      <c r="AC129" s="114"/>
      <c r="AD129" s="114"/>
      <c r="AE129" s="114"/>
      <c r="AF129" s="114"/>
      <c r="AG129" s="115"/>
      <c r="AH129" s="8"/>
      <c r="AI129" s="8"/>
      <c r="AJ129" s="13" t="s">
        <v>128</v>
      </c>
      <c r="AK129" s="116" t="s">
        <v>107</v>
      </c>
      <c r="AL129" s="134"/>
      <c r="AM129" s="13" t="s">
        <v>116</v>
      </c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9"/>
    </row>
    <row r="130" spans="1:59" ht="15.75" thickBot="1" x14ac:dyDescent="0.3">
      <c r="A130">
        <v>2</v>
      </c>
      <c r="B130" s="16">
        <v>25</v>
      </c>
      <c r="C130" s="14" t="s">
        <v>107</v>
      </c>
      <c r="D130" s="37">
        <f>AW126</f>
        <v>0</v>
      </c>
      <c r="E130" s="57" t="s">
        <v>19</v>
      </c>
      <c r="F130" s="9"/>
      <c r="G130" s="6"/>
      <c r="H130" s="61"/>
      <c r="I130" s="61"/>
      <c r="J130" s="8"/>
      <c r="K130" s="8"/>
      <c r="L130" s="17"/>
      <c r="M130" s="17"/>
      <c r="N130" s="17"/>
      <c r="O130" s="17"/>
      <c r="P130" s="96"/>
      <c r="Q130" s="6" t="s">
        <v>87</v>
      </c>
      <c r="R130" s="54">
        <f>IF(H109&gt;0,H109/1,0)</f>
        <v>0</v>
      </c>
      <c r="S130" s="53">
        <f>IF(I109&gt;0,I109/1.5,0)</f>
        <v>13.333333333333334</v>
      </c>
      <c r="T130" s="53">
        <f>IF(J109&gt;0,J109/1.5,0)</f>
        <v>0</v>
      </c>
      <c r="U130" s="53">
        <f>IF(K109&gt;0,K109/1.5,0)</f>
        <v>0</v>
      </c>
      <c r="V130" s="53">
        <f>IF(L109&gt;0,L109/1.5,0)</f>
        <v>0</v>
      </c>
      <c r="W130" s="53">
        <f t="shared" ref="W130" si="42">IF(M109&gt;0,M109/1.5,0)</f>
        <v>0</v>
      </c>
      <c r="X130" s="55">
        <f t="shared" ref="X130" si="43">IF(N109&gt;0,N109/1.5,0)</f>
        <v>0</v>
      </c>
      <c r="Y130" s="8"/>
      <c r="Z130" s="16" t="s">
        <v>90</v>
      </c>
      <c r="AA130" s="33"/>
      <c r="AB130" s="33">
        <f>IF(I109&gt;0,AB126*M113,0)</f>
        <v>0</v>
      </c>
      <c r="AC130" s="33">
        <f>IF(J109&gt;0,AC126*M113,0)</f>
        <v>0</v>
      </c>
      <c r="AD130" s="33">
        <f>IF(K109&gt;0,AD126*M113,0)</f>
        <v>0</v>
      </c>
      <c r="AE130" s="33">
        <f>IF(L109&gt;0,AE126*M113,0)</f>
        <v>0</v>
      </c>
      <c r="AF130" s="33">
        <f>IF(M109&gt;0,AF126*M113,0)</f>
        <v>0</v>
      </c>
      <c r="AG130" s="34">
        <f>IF(N109&gt;0,AG126*M113,0)</f>
        <v>0</v>
      </c>
      <c r="AH130" s="8"/>
      <c r="AI130" s="8"/>
      <c r="AJ130" s="94">
        <f>IF(I109&gt;0,N129*M129*L129,0)</f>
        <v>0</v>
      </c>
      <c r="AK130" s="116">
        <f>IF(I109&gt;0,P129*O129*AB108,0)</f>
        <v>0</v>
      </c>
      <c r="AL130" s="134"/>
      <c r="AM130" s="13">
        <f>IF(I109&gt;0,0.3*P129*O129,0)</f>
        <v>0</v>
      </c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9"/>
    </row>
    <row r="131" spans="1:59" ht="15.75" thickBot="1" x14ac:dyDescent="0.3">
      <c r="A131">
        <v>2</v>
      </c>
      <c r="B131" s="16">
        <v>26</v>
      </c>
      <c r="C131" s="14" t="s">
        <v>111</v>
      </c>
      <c r="D131" s="37">
        <f>AZ126</f>
        <v>0</v>
      </c>
      <c r="E131" s="57" t="s">
        <v>19</v>
      </c>
      <c r="F131" s="9"/>
      <c r="G131" s="6">
        <v>80</v>
      </c>
      <c r="H131" s="13" t="s">
        <v>54</v>
      </c>
      <c r="I131" s="17"/>
      <c r="J131" s="8"/>
      <c r="K131" s="8"/>
      <c r="L131" s="17"/>
      <c r="M131" s="17"/>
      <c r="N131" s="17"/>
      <c r="O131" s="17"/>
      <c r="P131" s="96"/>
      <c r="Q131" s="6"/>
      <c r="R131" s="113" t="s">
        <v>88</v>
      </c>
      <c r="S131" s="114"/>
      <c r="T131" s="114"/>
      <c r="U131" s="114"/>
      <c r="V131" s="114"/>
      <c r="W131" s="114"/>
      <c r="X131" s="115"/>
      <c r="Y131" s="8"/>
      <c r="Z131" s="16" t="s">
        <v>91</v>
      </c>
      <c r="AA131" s="13"/>
      <c r="AB131" s="13">
        <f>IF(I109&gt;0,AB127*M113,0)</f>
        <v>0</v>
      </c>
      <c r="AC131" s="13">
        <f>IF(J109&gt;0,AC127*M113,0)</f>
        <v>0</v>
      </c>
      <c r="AD131" s="13"/>
      <c r="AE131" s="13"/>
      <c r="AF131" s="13">
        <f>IF(M109&gt;0,AF127*M113,0)</f>
        <v>0</v>
      </c>
      <c r="AG131" s="27">
        <f>IF(N109&gt;0,AG127*M113,0)</f>
        <v>0</v>
      </c>
      <c r="AH131" s="8"/>
      <c r="AI131" s="8"/>
      <c r="AJ131" s="94">
        <f>IF(I109&gt;0,N130*M130*L130,0)</f>
        <v>0</v>
      </c>
      <c r="AK131" s="116">
        <f>IF(I109&gt;0,P130*O130*AB109,0)</f>
        <v>0</v>
      </c>
      <c r="AL131" s="134"/>
      <c r="AM131" s="13">
        <f>IF(I109&gt;0,0.3*P130*O130,0)</f>
        <v>0</v>
      </c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9"/>
    </row>
    <row r="132" spans="1:59" ht="15.75" thickBot="1" x14ac:dyDescent="0.3">
      <c r="A132">
        <v>2</v>
      </c>
      <c r="B132" s="16">
        <v>27</v>
      </c>
      <c r="C132" s="14" t="s">
        <v>102</v>
      </c>
      <c r="D132" s="37">
        <f>AN126</f>
        <v>3.9449999999999997E-3</v>
      </c>
      <c r="E132" s="57" t="s">
        <v>19</v>
      </c>
      <c r="F132" s="9"/>
      <c r="G132" s="6">
        <v>80</v>
      </c>
      <c r="H132" s="13" t="s">
        <v>55</v>
      </c>
      <c r="I132" s="17"/>
      <c r="J132" s="8"/>
      <c r="K132" s="8"/>
      <c r="L132" s="8"/>
      <c r="M132" s="8"/>
      <c r="N132" s="8"/>
      <c r="O132" s="8"/>
      <c r="P132" s="9"/>
      <c r="Q132" s="6"/>
      <c r="R132" s="60">
        <f>R129*R130*AB103</f>
        <v>0</v>
      </c>
      <c r="S132" s="47">
        <f>S129*S130*AB103</f>
        <v>1.4746666666666669E-3</v>
      </c>
      <c r="T132" s="47">
        <f>T129*T130*AB103</f>
        <v>0</v>
      </c>
      <c r="U132" s="47">
        <f>U129*U130*AC103</f>
        <v>0</v>
      </c>
      <c r="V132" s="47">
        <f>V129*V130*AB103</f>
        <v>0</v>
      </c>
      <c r="W132" s="47">
        <f>W129*W130*AB103</f>
        <v>0</v>
      </c>
      <c r="X132" s="48">
        <f>X129*X130*AB103</f>
        <v>0</v>
      </c>
      <c r="Y132" s="8"/>
      <c r="Z132" s="28" t="s">
        <v>96</v>
      </c>
      <c r="AA132" s="20">
        <f>IF(H109&gt;0,AA128*M113,0)</f>
        <v>0</v>
      </c>
      <c r="AB132" s="20"/>
      <c r="AC132" s="20"/>
      <c r="AD132" s="20">
        <f>IF(K109&gt;0,AD128*M113,0)</f>
        <v>0</v>
      </c>
      <c r="AE132" s="20">
        <f>IF(L109&gt;0,AE128*M113,0)</f>
        <v>0</v>
      </c>
      <c r="AF132" s="20"/>
      <c r="AG132" s="29"/>
      <c r="AH132" s="8"/>
      <c r="AI132" s="8"/>
      <c r="AJ132" s="95">
        <f>IF(I109&gt;0,N131*M131*L131,0)</f>
        <v>0</v>
      </c>
      <c r="AK132" s="135">
        <f>IF(I109&gt;0,P131*O131*AB110,0)</f>
        <v>0</v>
      </c>
      <c r="AL132" s="136"/>
      <c r="AM132" s="21">
        <f>IF(I109&gt;0,0.3*P131*O131,0)</f>
        <v>0</v>
      </c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9"/>
    </row>
    <row r="133" spans="1:59" ht="15.75" thickBot="1" x14ac:dyDescent="0.3">
      <c r="A133">
        <v>2</v>
      </c>
      <c r="B133" s="16">
        <v>28</v>
      </c>
      <c r="C133" s="14" t="s">
        <v>110</v>
      </c>
      <c r="D133" s="37">
        <f>AQ126</f>
        <v>0</v>
      </c>
      <c r="E133" s="57" t="s">
        <v>19</v>
      </c>
      <c r="F133" s="9"/>
      <c r="G133" s="62">
        <v>80</v>
      </c>
      <c r="H133" s="13" t="s">
        <v>56</v>
      </c>
      <c r="I133" s="17"/>
      <c r="J133" s="8"/>
      <c r="K133" s="8"/>
      <c r="L133" s="8"/>
      <c r="M133" s="8"/>
      <c r="N133" s="8"/>
      <c r="O133" s="8"/>
      <c r="P133" s="9"/>
      <c r="Q133" s="6"/>
      <c r="R133" s="116" t="s">
        <v>99</v>
      </c>
      <c r="S133" s="116"/>
      <c r="T133" s="116"/>
      <c r="U133" s="116"/>
      <c r="V133" s="116"/>
      <c r="W133" s="116"/>
      <c r="X133" s="116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24" t="s">
        <v>129</v>
      </c>
      <c r="AJ133" s="25">
        <f>SUM(AJ130:AJ132)</f>
        <v>0</v>
      </c>
      <c r="AK133" s="119">
        <f>SUM(AK130:AL132)</f>
        <v>0</v>
      </c>
      <c r="AL133" s="137"/>
      <c r="AM133" s="22">
        <f>SUM(AM130:AM132)</f>
        <v>0</v>
      </c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9"/>
    </row>
    <row r="134" spans="1:59" x14ac:dyDescent="0.25">
      <c r="A134">
        <v>2</v>
      </c>
      <c r="B134" s="16">
        <v>29</v>
      </c>
      <c r="C134" s="14" t="s">
        <v>9</v>
      </c>
      <c r="D134" s="37">
        <f>BA126</f>
        <v>0.30625000000000002</v>
      </c>
      <c r="E134" s="57" t="s">
        <v>17</v>
      </c>
      <c r="F134" s="9"/>
      <c r="G134" s="62">
        <v>80</v>
      </c>
      <c r="H134" s="13" t="s">
        <v>57</v>
      </c>
      <c r="I134" s="17"/>
      <c r="J134" s="8"/>
      <c r="K134" s="8"/>
      <c r="L134" s="8"/>
      <c r="M134" s="8"/>
      <c r="N134" s="8"/>
      <c r="O134" s="8"/>
      <c r="P134" s="9"/>
      <c r="Q134" s="6" t="s">
        <v>101</v>
      </c>
      <c r="R134" s="13">
        <f>IF(H109&gt;0,3.14*0.008*R129*R130,0)</f>
        <v>0</v>
      </c>
      <c r="S134" s="13">
        <f t="shared" ref="S134" si="44">IF(I109&gt;0,3.14*0.008*S129*S130,0)</f>
        <v>9.3781333333333355E-2</v>
      </c>
      <c r="T134" s="13">
        <f t="shared" ref="T134" si="45">IF(J109&gt;0,3.14*0.008*T129*T130,0)</f>
        <v>0</v>
      </c>
      <c r="U134" s="13">
        <f t="shared" ref="U134" si="46">IF(K109&gt;0,3.14*0.008*U129*U130,0)</f>
        <v>0</v>
      </c>
      <c r="V134" s="13">
        <f t="shared" ref="V134" si="47">IF(L109&gt;0,3.14*0.008*V129*V130,0)</f>
        <v>0</v>
      </c>
      <c r="W134" s="13">
        <f t="shared" ref="W134" si="48">IF(M109&gt;0,3.14*0.008*W129*W130,0)</f>
        <v>0</v>
      </c>
      <c r="X134" s="13">
        <f t="shared" ref="X134" si="49">IF(N109&gt;0,3.14*0.008*X129*X130,0)</f>
        <v>0</v>
      </c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9"/>
    </row>
    <row r="135" spans="1:59" x14ac:dyDescent="0.25">
      <c r="A135">
        <v>2</v>
      </c>
      <c r="B135" s="16">
        <v>30</v>
      </c>
      <c r="C135" s="14" t="s">
        <v>117</v>
      </c>
      <c r="D135" s="37">
        <f>BE125</f>
        <v>0.81900000000000006</v>
      </c>
      <c r="E135" s="57" t="s">
        <v>17</v>
      </c>
      <c r="F135" s="9"/>
      <c r="G135" s="6"/>
      <c r="H135" s="8"/>
      <c r="I135" s="8"/>
      <c r="J135" s="8"/>
      <c r="K135" s="8"/>
      <c r="L135" s="8"/>
      <c r="M135" s="8"/>
      <c r="N135" s="8"/>
      <c r="O135" s="8"/>
      <c r="P135" s="9"/>
      <c r="Q135" s="6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9"/>
    </row>
    <row r="136" spans="1:59" x14ac:dyDescent="0.25">
      <c r="A136">
        <v>2</v>
      </c>
      <c r="B136" s="16">
        <v>31</v>
      </c>
      <c r="C136" s="14" t="s">
        <v>118</v>
      </c>
      <c r="D136" s="37">
        <f>D135*0.03</f>
        <v>2.4570000000000002E-2</v>
      </c>
      <c r="E136" s="57" t="s">
        <v>18</v>
      </c>
      <c r="F136" s="9"/>
      <c r="G136" s="6"/>
      <c r="H136" s="8"/>
      <c r="I136" s="8"/>
      <c r="J136" s="8"/>
      <c r="K136" s="8"/>
      <c r="L136" s="8"/>
      <c r="M136" s="8"/>
      <c r="N136" s="8"/>
      <c r="O136" s="8"/>
      <c r="P136" s="9"/>
      <c r="Q136" s="6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9"/>
    </row>
    <row r="137" spans="1:59" x14ac:dyDescent="0.25">
      <c r="A137">
        <v>2</v>
      </c>
      <c r="B137" s="16">
        <v>32</v>
      </c>
      <c r="C137" s="14" t="s">
        <v>119</v>
      </c>
      <c r="D137" s="37">
        <f>BE126</f>
        <v>0</v>
      </c>
      <c r="E137" s="57" t="s">
        <v>17</v>
      </c>
      <c r="F137" s="9"/>
      <c r="G137" s="6"/>
      <c r="H137" s="8"/>
      <c r="I137" s="8"/>
      <c r="J137" s="8"/>
      <c r="K137" s="8"/>
      <c r="L137" s="8"/>
      <c r="M137" s="8"/>
      <c r="N137" s="8"/>
      <c r="O137" s="8"/>
      <c r="P137" s="9"/>
      <c r="Q137" s="6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9"/>
    </row>
    <row r="138" spans="1:59" x14ac:dyDescent="0.25">
      <c r="A138">
        <v>2</v>
      </c>
      <c r="B138" s="16">
        <v>33</v>
      </c>
      <c r="C138" s="14" t="s">
        <v>120</v>
      </c>
      <c r="D138" s="37">
        <f>D137*0.03</f>
        <v>0</v>
      </c>
      <c r="E138" s="57" t="s">
        <v>18</v>
      </c>
      <c r="F138" s="9"/>
      <c r="G138" s="6"/>
      <c r="H138" s="8"/>
      <c r="I138" s="8"/>
      <c r="J138" s="8"/>
      <c r="K138" s="8"/>
      <c r="L138" s="8"/>
      <c r="M138" s="8"/>
      <c r="N138" s="8"/>
      <c r="O138" s="8"/>
      <c r="P138" s="9"/>
      <c r="Q138" s="6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9"/>
    </row>
    <row r="139" spans="1:59" x14ac:dyDescent="0.25">
      <c r="A139">
        <v>2</v>
      </c>
      <c r="B139" s="16">
        <v>34</v>
      </c>
      <c r="C139" s="14" t="s">
        <v>15</v>
      </c>
      <c r="D139" s="37">
        <f>SUM(AA130:AG132)+SUM(R134:X134)+BB126+AM133</f>
        <v>0.21938133333333334</v>
      </c>
      <c r="E139" s="57" t="s">
        <v>17</v>
      </c>
      <c r="F139" s="9"/>
      <c r="G139" s="6"/>
      <c r="H139" s="8"/>
      <c r="I139" s="8"/>
      <c r="J139" s="8"/>
      <c r="K139" s="8"/>
      <c r="L139" s="8"/>
      <c r="M139" s="8"/>
      <c r="N139" s="8"/>
      <c r="O139" s="8"/>
      <c r="P139" s="9"/>
      <c r="Q139" s="6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9"/>
    </row>
    <row r="140" spans="1:59" x14ac:dyDescent="0.25">
      <c r="B140" s="6"/>
      <c r="C140" s="7"/>
      <c r="D140" s="86"/>
      <c r="E140" s="87"/>
      <c r="F140" s="9"/>
      <c r="G140" s="6"/>
      <c r="H140" s="8"/>
      <c r="I140" s="8"/>
      <c r="J140" s="8"/>
      <c r="K140" s="8"/>
      <c r="L140" s="8"/>
      <c r="M140" s="8"/>
      <c r="N140" s="8"/>
      <c r="O140" s="8"/>
      <c r="P140" s="9"/>
      <c r="Q140" s="6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9"/>
    </row>
    <row r="141" spans="1:59" x14ac:dyDescent="0.25">
      <c r="B141" s="6"/>
      <c r="C141" s="7"/>
      <c r="D141" s="8"/>
      <c r="E141" s="8"/>
      <c r="F141" s="9"/>
      <c r="G141" s="6"/>
      <c r="H141" s="8"/>
      <c r="I141" s="8"/>
      <c r="J141" s="8"/>
      <c r="K141" s="8"/>
      <c r="L141" s="8"/>
      <c r="M141" s="8"/>
      <c r="N141" s="8"/>
      <c r="O141" s="8"/>
      <c r="P141" s="9"/>
      <c r="Q141" s="6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9"/>
    </row>
    <row r="142" spans="1:59" x14ac:dyDescent="0.25">
      <c r="B142" s="6"/>
      <c r="C142" s="7"/>
      <c r="D142" s="8"/>
      <c r="E142" s="8"/>
      <c r="F142" s="9"/>
      <c r="G142" s="6"/>
      <c r="H142" s="8"/>
      <c r="I142" s="8"/>
      <c r="J142" s="8"/>
      <c r="K142" s="8"/>
      <c r="L142" s="8"/>
      <c r="M142" s="8"/>
      <c r="N142" s="8"/>
      <c r="O142" s="8"/>
      <c r="P142" s="9"/>
      <c r="Q142" s="6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9"/>
    </row>
    <row r="143" spans="1:59" x14ac:dyDescent="0.25">
      <c r="B143" s="6"/>
      <c r="C143" s="7"/>
      <c r="D143" s="8"/>
      <c r="E143" s="8"/>
      <c r="F143" s="9"/>
      <c r="G143" s="6"/>
      <c r="H143" s="8"/>
      <c r="I143" s="8"/>
      <c r="J143" s="8"/>
      <c r="K143" s="8"/>
      <c r="L143" s="8"/>
      <c r="M143" s="8"/>
      <c r="N143" s="8"/>
      <c r="O143" s="8"/>
      <c r="P143" s="9"/>
      <c r="Q143" s="6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9"/>
    </row>
    <row r="144" spans="1:59" ht="15.75" thickBot="1" x14ac:dyDescent="0.3">
      <c r="B144" s="10"/>
      <c r="C144" s="11"/>
      <c r="D144" s="12"/>
      <c r="E144" s="12"/>
      <c r="F144" s="84"/>
      <c r="G144" s="10"/>
      <c r="H144" s="12"/>
      <c r="I144" s="12"/>
      <c r="J144" s="12"/>
      <c r="K144" s="12"/>
      <c r="L144" s="12"/>
      <c r="M144" s="12"/>
      <c r="N144" s="12"/>
      <c r="O144" s="12"/>
      <c r="P144" s="84"/>
      <c r="Q144" s="10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84"/>
    </row>
    <row r="145" spans="1:59" ht="15.75" thickBot="1" x14ac:dyDescent="0.3">
      <c r="B145" s="2"/>
      <c r="C145" s="3"/>
      <c r="D145" s="4"/>
      <c r="E145" s="4"/>
      <c r="F145" s="5"/>
      <c r="G145" s="2"/>
      <c r="H145" s="19" t="s">
        <v>22</v>
      </c>
      <c r="I145" s="19"/>
      <c r="J145" s="19"/>
      <c r="K145" s="4"/>
      <c r="L145" s="4"/>
      <c r="M145" s="4"/>
      <c r="N145" s="4"/>
      <c r="O145" s="4"/>
      <c r="P145" s="5"/>
      <c r="Q145" s="2" t="s">
        <v>109</v>
      </c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5"/>
    </row>
    <row r="146" spans="1:59" ht="19.5" thickBot="1" x14ac:dyDescent="0.45">
      <c r="A146" s="110"/>
      <c r="B146" s="6"/>
      <c r="C146" s="52" t="s">
        <v>80</v>
      </c>
      <c r="D146" s="56">
        <f>D100+1</f>
        <v>3</v>
      </c>
      <c r="E146" s="8"/>
      <c r="F146" s="50" t="s">
        <v>69</v>
      </c>
      <c r="G146" s="6"/>
      <c r="H146" s="113" t="s">
        <v>58</v>
      </c>
      <c r="I146" s="114"/>
      <c r="J146" s="114"/>
      <c r="K146" s="114"/>
      <c r="L146" s="114"/>
      <c r="M146" s="114"/>
      <c r="N146" s="114"/>
      <c r="O146" s="115"/>
      <c r="P146" s="9"/>
      <c r="Q146" s="6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9"/>
    </row>
    <row r="147" spans="1:59" ht="19.5" thickBot="1" x14ac:dyDescent="0.3">
      <c r="B147" s="6"/>
      <c r="C147" s="7"/>
      <c r="D147" s="8"/>
      <c r="E147" s="8"/>
      <c r="F147" s="49">
        <f>IF(H155&gt;0,H147,0)</f>
        <v>0</v>
      </c>
      <c r="G147" s="6"/>
      <c r="H147" s="33" t="s">
        <v>23</v>
      </c>
      <c r="I147" s="33" t="s">
        <v>24</v>
      </c>
      <c r="J147" s="33" t="s">
        <v>25</v>
      </c>
      <c r="K147" s="33" t="s">
        <v>26</v>
      </c>
      <c r="L147" s="33" t="s">
        <v>27</v>
      </c>
      <c r="M147" s="33" t="s">
        <v>28</v>
      </c>
      <c r="N147" s="33" t="s">
        <v>29</v>
      </c>
      <c r="O147" s="51" t="s">
        <v>38</v>
      </c>
      <c r="P147" s="9"/>
      <c r="Q147" s="6"/>
      <c r="R147" s="113" t="s">
        <v>59</v>
      </c>
      <c r="S147" s="114"/>
      <c r="T147" s="114"/>
      <c r="U147" s="114"/>
      <c r="V147" s="114"/>
      <c r="W147" s="114"/>
      <c r="X147" s="115"/>
      <c r="Y147" s="8"/>
      <c r="Z147" s="116" t="s">
        <v>81</v>
      </c>
      <c r="AA147" s="116"/>
      <c r="AB147" s="13" t="s">
        <v>82</v>
      </c>
      <c r="AC147" s="8"/>
      <c r="AD147" s="8"/>
      <c r="AE147" s="8"/>
      <c r="AF147" s="8"/>
      <c r="AG147" s="8"/>
      <c r="AH147" s="8"/>
      <c r="AI147" s="8"/>
      <c r="AJ147" s="65"/>
      <c r="AK147" s="80"/>
      <c r="AL147" s="130" t="s">
        <v>102</v>
      </c>
      <c r="AM147" s="131"/>
      <c r="AN147" s="132"/>
      <c r="AO147" s="127" t="s">
        <v>110</v>
      </c>
      <c r="AP147" s="128"/>
      <c r="AQ147" s="129"/>
      <c r="AR147" s="130" t="s">
        <v>103</v>
      </c>
      <c r="AS147" s="131"/>
      <c r="AT147" s="132"/>
      <c r="AU147" s="130" t="s">
        <v>107</v>
      </c>
      <c r="AV147" s="131"/>
      <c r="AW147" s="132"/>
      <c r="AX147" s="130" t="s">
        <v>111</v>
      </c>
      <c r="AY147" s="131"/>
      <c r="AZ147" s="132"/>
      <c r="BA147" s="88" t="s">
        <v>104</v>
      </c>
      <c r="BB147" s="65" t="s">
        <v>116</v>
      </c>
      <c r="BC147" s="123" t="s">
        <v>121</v>
      </c>
      <c r="BD147" s="123"/>
      <c r="BE147" s="133"/>
      <c r="BF147" s="8"/>
      <c r="BG147" s="9"/>
    </row>
    <row r="148" spans="1:59" ht="19.5" thickBot="1" x14ac:dyDescent="0.3">
      <c r="B148" s="6"/>
      <c r="C148" s="7"/>
      <c r="D148" s="8"/>
      <c r="E148" s="8"/>
      <c r="F148" s="49">
        <f>IF(I155&gt;0,I147,0)</f>
        <v>0</v>
      </c>
      <c r="G148" s="6"/>
      <c r="H148" s="17"/>
      <c r="I148" s="17"/>
      <c r="J148" s="17"/>
      <c r="K148" s="17"/>
      <c r="L148" s="17"/>
      <c r="M148" s="17"/>
      <c r="N148" s="17"/>
      <c r="O148" s="17"/>
      <c r="P148" s="9"/>
      <c r="Q148" s="6"/>
      <c r="R148" s="32" t="s">
        <v>23</v>
      </c>
      <c r="S148" s="33" t="s">
        <v>24</v>
      </c>
      <c r="T148" s="33" t="s">
        <v>25</v>
      </c>
      <c r="U148" s="33" t="s">
        <v>26</v>
      </c>
      <c r="V148" s="33" t="s">
        <v>27</v>
      </c>
      <c r="W148" s="33" t="s">
        <v>28</v>
      </c>
      <c r="X148" s="34" t="s">
        <v>29</v>
      </c>
      <c r="Y148" s="8"/>
      <c r="Z148" s="116" t="s">
        <v>83</v>
      </c>
      <c r="AA148" s="116"/>
      <c r="AB148" s="13">
        <f>0.222/1000</f>
        <v>2.22E-4</v>
      </c>
      <c r="AC148" s="8"/>
      <c r="AD148" s="8"/>
      <c r="AE148" s="8"/>
      <c r="AF148" s="8"/>
      <c r="AG148" s="8"/>
      <c r="AH148" s="8"/>
      <c r="AI148" s="8"/>
      <c r="AJ148" s="67"/>
      <c r="AK148" s="81" t="s">
        <v>105</v>
      </c>
      <c r="AL148" s="28" t="s">
        <v>21</v>
      </c>
      <c r="AM148" s="20" t="s">
        <v>105</v>
      </c>
      <c r="AN148" s="29" t="s">
        <v>19</v>
      </c>
      <c r="AO148" s="28" t="s">
        <v>21</v>
      </c>
      <c r="AP148" s="20" t="s">
        <v>105</v>
      </c>
      <c r="AQ148" s="29" t="s">
        <v>19</v>
      </c>
      <c r="AR148" s="28" t="s">
        <v>21</v>
      </c>
      <c r="AS148" s="20" t="s">
        <v>105</v>
      </c>
      <c r="AT148" s="29" t="s">
        <v>19</v>
      </c>
      <c r="AU148" s="28" t="s">
        <v>21</v>
      </c>
      <c r="AV148" s="20" t="s">
        <v>105</v>
      </c>
      <c r="AW148" s="29" t="s">
        <v>19</v>
      </c>
      <c r="AX148" s="28" t="s">
        <v>21</v>
      </c>
      <c r="AY148" s="20" t="s">
        <v>105</v>
      </c>
      <c r="AZ148" s="29" t="s">
        <v>19</v>
      </c>
      <c r="BA148" s="89" t="s">
        <v>17</v>
      </c>
      <c r="BB148" s="67" t="s">
        <v>17</v>
      </c>
      <c r="BC148" s="93" t="s">
        <v>126</v>
      </c>
      <c r="BD148" s="20" t="s">
        <v>63</v>
      </c>
      <c r="BE148" s="85" t="s">
        <v>122</v>
      </c>
      <c r="BF148" s="8"/>
      <c r="BG148" s="9"/>
    </row>
    <row r="149" spans="1:59" ht="19.5" thickBot="1" x14ac:dyDescent="0.3">
      <c r="A149">
        <v>3</v>
      </c>
      <c r="B149" s="16">
        <v>1</v>
      </c>
      <c r="C149" s="14" t="s">
        <v>0</v>
      </c>
      <c r="D149" s="37">
        <f>(H155*M157)-IF(H155&gt;0,N165,0)</f>
        <v>0</v>
      </c>
      <c r="E149" s="69" t="s">
        <v>17</v>
      </c>
      <c r="F149" s="49" t="str">
        <f>IF(J155&gt;4,J147,0)</f>
        <v>СКЦ 190</v>
      </c>
      <c r="G149" s="6"/>
      <c r="H149" s="17"/>
      <c r="I149" s="17"/>
      <c r="J149" s="17"/>
      <c r="K149" s="17"/>
      <c r="L149" s="17"/>
      <c r="M149" s="17"/>
      <c r="N149" s="17"/>
      <c r="O149" s="17"/>
      <c r="P149" s="9"/>
      <c r="Q149" s="6"/>
      <c r="R149" s="30">
        <v>0.02</v>
      </c>
      <c r="S149" s="21">
        <v>0.01</v>
      </c>
      <c r="T149" s="21">
        <v>0.01</v>
      </c>
      <c r="U149" s="21">
        <v>0.02</v>
      </c>
      <c r="V149" s="21">
        <v>0.02</v>
      </c>
      <c r="W149" s="21">
        <v>0.01</v>
      </c>
      <c r="X149" s="31">
        <v>0.01</v>
      </c>
      <c r="Y149" s="8"/>
      <c r="Z149" s="116" t="s">
        <v>84</v>
      </c>
      <c r="AA149" s="116"/>
      <c r="AB149" s="13">
        <f>0.395/1000</f>
        <v>3.9500000000000001E-4</v>
      </c>
      <c r="AC149" s="8"/>
      <c r="AD149" s="8"/>
      <c r="AE149" s="8"/>
      <c r="AF149" s="8"/>
      <c r="AG149" s="8"/>
      <c r="AH149" s="8"/>
      <c r="AI149" s="8">
        <v>90</v>
      </c>
      <c r="AJ149" s="68" t="s">
        <v>43</v>
      </c>
      <c r="AK149" s="73">
        <f>IF(I155&gt;0,I162,0)</f>
        <v>0</v>
      </c>
      <c r="AL149" s="32">
        <v>1.05</v>
      </c>
      <c r="AM149" s="33">
        <v>2</v>
      </c>
      <c r="AN149" s="34">
        <f>AL149*AM149*AK149*AB151</f>
        <v>0</v>
      </c>
      <c r="AO149" s="32"/>
      <c r="AP149" s="33"/>
      <c r="AQ149" s="34"/>
      <c r="AR149" s="32"/>
      <c r="AS149" s="33"/>
      <c r="AT149" s="34"/>
      <c r="AU149" s="32"/>
      <c r="AV149" s="33"/>
      <c r="AW149" s="34"/>
      <c r="AX149" s="32"/>
      <c r="AY149" s="33"/>
      <c r="AZ149" s="34"/>
      <c r="BA149" s="90">
        <f>0.245*AL149*AK149</f>
        <v>0</v>
      </c>
      <c r="BB149" s="68">
        <f>3.14*0.016*AL149*AM149*AK149</f>
        <v>0</v>
      </c>
      <c r="BC149" s="78">
        <v>0.71</v>
      </c>
      <c r="BD149" s="33">
        <v>0.9</v>
      </c>
      <c r="BE149" s="34">
        <f>BC149*BD149*AK149</f>
        <v>0</v>
      </c>
      <c r="BF149" s="8"/>
      <c r="BG149" s="9"/>
    </row>
    <row r="150" spans="1:59" ht="19.5" thickBot="1" x14ac:dyDescent="0.3">
      <c r="A150">
        <v>3</v>
      </c>
      <c r="B150" s="16">
        <v>2</v>
      </c>
      <c r="C150" s="14" t="s">
        <v>1</v>
      </c>
      <c r="D150" s="37">
        <f>(I155*M157)-IF(I155&gt;0,N165,0)</f>
        <v>0</v>
      </c>
      <c r="E150" s="69" t="s">
        <v>17</v>
      </c>
      <c r="F150" s="49">
        <f>IF(K155&gt;0,K147,0)</f>
        <v>0</v>
      </c>
      <c r="G150" s="6"/>
      <c r="H150" s="17"/>
      <c r="I150" s="17"/>
      <c r="J150" s="17">
        <v>10</v>
      </c>
      <c r="K150" s="17"/>
      <c r="L150" s="17"/>
      <c r="M150" s="17"/>
      <c r="N150" s="17"/>
      <c r="O150" s="17"/>
      <c r="P150" s="9"/>
      <c r="Q150" s="6"/>
      <c r="R150" s="113" t="s">
        <v>127</v>
      </c>
      <c r="S150" s="114"/>
      <c r="T150" s="114"/>
      <c r="U150" s="114"/>
      <c r="V150" s="114"/>
      <c r="W150" s="114"/>
      <c r="X150" s="115"/>
      <c r="Y150" s="8"/>
      <c r="Z150" s="116" t="s">
        <v>89</v>
      </c>
      <c r="AA150" s="116"/>
      <c r="AB150" s="13">
        <f>1.57/1000</f>
        <v>1.57E-3</v>
      </c>
      <c r="AC150" s="8"/>
      <c r="AD150" s="8"/>
      <c r="AE150" s="8"/>
      <c r="AF150" s="8"/>
      <c r="AG150" s="8"/>
      <c r="AH150" s="8"/>
      <c r="AI150" s="8">
        <v>90</v>
      </c>
      <c r="AJ150" s="66" t="s">
        <v>44</v>
      </c>
      <c r="AK150" s="74">
        <f>IF(I155&gt;0,I163,0)</f>
        <v>0</v>
      </c>
      <c r="AL150" s="16">
        <v>1.1499999999999999</v>
      </c>
      <c r="AM150" s="13">
        <v>2</v>
      </c>
      <c r="AN150" s="34">
        <f>AL150*AM150*AK150*AB151</f>
        <v>0</v>
      </c>
      <c r="AO150" s="16"/>
      <c r="AP150" s="13"/>
      <c r="AQ150" s="27"/>
      <c r="AR150" s="16"/>
      <c r="AS150" s="13"/>
      <c r="AT150" s="27"/>
      <c r="AU150" s="16"/>
      <c r="AV150" s="13"/>
      <c r="AW150" s="27"/>
      <c r="AX150" s="16"/>
      <c r="AY150" s="13"/>
      <c r="AZ150" s="27"/>
      <c r="BA150" s="90">
        <f>0.245*AL150*AK150</f>
        <v>0</v>
      </c>
      <c r="BB150" s="68">
        <f t="shared" ref="BB150:BB151" si="50">3.14*0.016*AL150*AM150*AK150</f>
        <v>0</v>
      </c>
      <c r="BC150" s="79">
        <v>0.81</v>
      </c>
      <c r="BD150" s="13">
        <v>0.9</v>
      </c>
      <c r="BE150" s="34">
        <f t="shared" ref="BE150:BE151" si="51">BC150*BD150*AK150</f>
        <v>0</v>
      </c>
      <c r="BF150" s="8"/>
      <c r="BG150" s="9"/>
    </row>
    <row r="151" spans="1:59" ht="18.75" x14ac:dyDescent="0.25">
      <c r="A151">
        <v>3</v>
      </c>
      <c r="B151" s="16">
        <v>3</v>
      </c>
      <c r="C151" s="14" t="s">
        <v>2</v>
      </c>
      <c r="D151" s="37">
        <f>(J155*M157)-IF(J155&gt;0,N165,0)</f>
        <v>25.598199999999999</v>
      </c>
      <c r="E151" s="69" t="s">
        <v>17</v>
      </c>
      <c r="F151" s="49">
        <f>IF(L155&gt;0,L147,0)</f>
        <v>0</v>
      </c>
      <c r="G151" s="6"/>
      <c r="H151" s="17"/>
      <c r="I151" s="17"/>
      <c r="J151" s="17"/>
      <c r="K151" s="17"/>
      <c r="L151" s="17"/>
      <c r="M151" s="17"/>
      <c r="N151" s="17"/>
      <c r="O151" s="17"/>
      <c r="P151" s="9"/>
      <c r="Q151" s="6"/>
      <c r="R151" s="32" t="s">
        <v>60</v>
      </c>
      <c r="S151" s="33" t="s">
        <v>24</v>
      </c>
      <c r="T151" s="33" t="s">
        <v>25</v>
      </c>
      <c r="U151" s="33" t="s">
        <v>26</v>
      </c>
      <c r="V151" s="33" t="s">
        <v>27</v>
      </c>
      <c r="W151" s="33" t="s">
        <v>28</v>
      </c>
      <c r="X151" s="34" t="s">
        <v>29</v>
      </c>
      <c r="Y151" s="8"/>
      <c r="Z151" s="116" t="s">
        <v>112</v>
      </c>
      <c r="AA151" s="116"/>
      <c r="AB151" s="13">
        <f>1.578/1000</f>
        <v>1.578E-3</v>
      </c>
      <c r="AC151" s="8"/>
      <c r="AD151" s="8"/>
      <c r="AE151" s="8"/>
      <c r="AF151" s="8"/>
      <c r="AG151" s="8"/>
      <c r="AH151" s="8"/>
      <c r="AI151" s="8">
        <v>90</v>
      </c>
      <c r="AJ151" s="66" t="s">
        <v>45</v>
      </c>
      <c r="AK151" s="74">
        <f>IF(I155&gt;0,I164,0)</f>
        <v>0</v>
      </c>
      <c r="AL151" s="16">
        <v>1.25</v>
      </c>
      <c r="AM151" s="13">
        <v>2</v>
      </c>
      <c r="AN151" s="34">
        <f>AL151*AM151*AK151*AB151</f>
        <v>0</v>
      </c>
      <c r="AO151" s="16"/>
      <c r="AP151" s="13"/>
      <c r="AQ151" s="27"/>
      <c r="AR151" s="16"/>
      <c r="AS151" s="13"/>
      <c r="AT151" s="27"/>
      <c r="AU151" s="16"/>
      <c r="AV151" s="13"/>
      <c r="AW151" s="27"/>
      <c r="AX151" s="16"/>
      <c r="AY151" s="13"/>
      <c r="AZ151" s="27"/>
      <c r="BA151" s="90">
        <f t="shared" ref="BA151" si="52">0.245*AL151*AK151</f>
        <v>0</v>
      </c>
      <c r="BB151" s="68">
        <f t="shared" si="50"/>
        <v>0</v>
      </c>
      <c r="BC151" s="79">
        <v>0.91</v>
      </c>
      <c r="BD151" s="13">
        <v>0.9</v>
      </c>
      <c r="BE151" s="34">
        <f t="shared" si="51"/>
        <v>0</v>
      </c>
      <c r="BF151" s="8"/>
      <c r="BG151" s="9"/>
    </row>
    <row r="152" spans="1:59" ht="19.5" thickBot="1" x14ac:dyDescent="0.3">
      <c r="A152">
        <v>3</v>
      </c>
      <c r="B152" s="16">
        <v>4</v>
      </c>
      <c r="C152" s="14" t="s">
        <v>12</v>
      </c>
      <c r="D152" s="37">
        <f>K155*M157*0.2+L155*M157*0.3</f>
        <v>0</v>
      </c>
      <c r="E152" s="69" t="s">
        <v>18</v>
      </c>
      <c r="F152" s="49">
        <f>IF(M155&gt;0,M147,0)</f>
        <v>0</v>
      </c>
      <c r="G152" s="6"/>
      <c r="H152" s="17"/>
      <c r="I152" s="17"/>
      <c r="J152" s="17"/>
      <c r="K152" s="17"/>
      <c r="L152" s="17"/>
      <c r="M152" s="17"/>
      <c r="N152" s="17"/>
      <c r="O152" s="17"/>
      <c r="P152" s="9"/>
      <c r="Q152" s="6"/>
      <c r="R152" s="28">
        <f>0.08*R149*(H155-O165)</f>
        <v>-1.616E-3</v>
      </c>
      <c r="S152" s="20">
        <f>0.09*S149*(I155-O165)</f>
        <v>-9.0899999999999998E-4</v>
      </c>
      <c r="T152" s="20">
        <f>0.19*T149*(J155-O165)</f>
        <v>1.7080999999999999E-2</v>
      </c>
      <c r="U152" s="20">
        <f>0.2*U149*K155</f>
        <v>0</v>
      </c>
      <c r="V152" s="20">
        <f>0.3*V149*L155</f>
        <v>0</v>
      </c>
      <c r="W152" s="20">
        <f>0.12*W149*M155</f>
        <v>0</v>
      </c>
      <c r="X152" s="29">
        <f>0.065*X149*N155</f>
        <v>0</v>
      </c>
      <c r="Y152" s="8"/>
      <c r="Z152" s="116" t="s">
        <v>113</v>
      </c>
      <c r="AA152" s="116"/>
      <c r="AB152" s="13">
        <f>0.888/1000</f>
        <v>8.8800000000000001E-4</v>
      </c>
      <c r="AC152" s="8"/>
      <c r="AD152" s="8"/>
      <c r="AE152" s="8"/>
      <c r="AF152" s="8"/>
      <c r="AG152" s="8"/>
      <c r="AH152" s="8"/>
      <c r="AI152" s="8">
        <v>190</v>
      </c>
      <c r="AJ152" s="66" t="s">
        <v>46</v>
      </c>
      <c r="AK152" s="74">
        <f>IF(J155&gt;0,I165,0)</f>
        <v>0</v>
      </c>
      <c r="AL152" s="16"/>
      <c r="AM152" s="13"/>
      <c r="AN152" s="34"/>
      <c r="AO152" s="16"/>
      <c r="AP152" s="13"/>
      <c r="AQ152" s="27"/>
      <c r="AR152" s="16">
        <v>0.19</v>
      </c>
      <c r="AS152" s="13">
        <v>1</v>
      </c>
      <c r="AT152" s="27">
        <f>AR152*AS152*AK152*AB153</f>
        <v>0</v>
      </c>
      <c r="AU152" s="16">
        <v>1.35</v>
      </c>
      <c r="AV152" s="13">
        <v>2</v>
      </c>
      <c r="AW152" s="27">
        <f>AU152*AV152*AK152*AB154</f>
        <v>0</v>
      </c>
      <c r="AX152" s="16"/>
      <c r="AY152" s="13"/>
      <c r="AZ152" s="27"/>
      <c r="BA152" s="59">
        <f>(0.325*AU152*AV152+0.425*AR152*AS152)*AK152</f>
        <v>0</v>
      </c>
      <c r="BB152" s="66">
        <f>(0.4*AR152*AS152+0.3*AU152*AV152)*AK152</f>
        <v>0</v>
      </c>
      <c r="BC152" s="79"/>
      <c r="BD152" s="13"/>
      <c r="BE152" s="34"/>
      <c r="BF152" s="8"/>
      <c r="BG152" s="9"/>
    </row>
    <row r="153" spans="1:59" ht="19.5" thickBot="1" x14ac:dyDescent="0.3">
      <c r="A153">
        <v>3</v>
      </c>
      <c r="B153" s="16">
        <v>6</v>
      </c>
      <c r="C153" s="14" t="s">
        <v>3</v>
      </c>
      <c r="D153" s="37">
        <f>M155*M157</f>
        <v>0</v>
      </c>
      <c r="E153" s="69" t="s">
        <v>17</v>
      </c>
      <c r="F153" s="49">
        <f>IF(N155&gt;0,N147,0)</f>
        <v>0</v>
      </c>
      <c r="G153" s="6"/>
      <c r="H153" s="17"/>
      <c r="I153" s="17"/>
      <c r="J153" s="17"/>
      <c r="K153" s="17"/>
      <c r="L153" s="17"/>
      <c r="M153" s="17"/>
      <c r="N153" s="17"/>
      <c r="O153" s="17"/>
      <c r="P153" s="9"/>
      <c r="Q153" s="6"/>
      <c r="R153" s="8"/>
      <c r="S153" s="8"/>
      <c r="T153" s="8"/>
      <c r="U153" s="8"/>
      <c r="V153" s="8"/>
      <c r="W153" s="8"/>
      <c r="X153" s="8"/>
      <c r="Y153" s="8"/>
      <c r="Z153" s="116" t="s">
        <v>103</v>
      </c>
      <c r="AA153" s="116"/>
      <c r="AB153" s="13">
        <f>10.79/1000</f>
        <v>1.0789999999999999E-2</v>
      </c>
      <c r="AC153" s="8"/>
      <c r="AD153" s="8"/>
      <c r="AE153" s="8"/>
      <c r="AF153" s="8"/>
      <c r="AG153" s="8"/>
      <c r="AH153" s="8"/>
      <c r="AI153" s="8">
        <v>190</v>
      </c>
      <c r="AJ153" s="66" t="s">
        <v>47</v>
      </c>
      <c r="AK153" s="74">
        <f t="shared" ref="AK153" si="53">IF(I157&gt;0,I166,0)</f>
        <v>0</v>
      </c>
      <c r="AL153" s="16"/>
      <c r="AM153" s="13"/>
      <c r="AN153" s="34"/>
      <c r="AO153" s="16"/>
      <c r="AP153" s="13"/>
      <c r="AQ153" s="27"/>
      <c r="AR153" s="16">
        <v>0.19</v>
      </c>
      <c r="AS153" s="13">
        <v>1</v>
      </c>
      <c r="AT153" s="27">
        <f>AR153*AS153*AK153*AB153</f>
        <v>0</v>
      </c>
      <c r="AU153" s="16">
        <v>1.1499999999999999</v>
      </c>
      <c r="AV153" s="13">
        <v>2</v>
      </c>
      <c r="AW153" s="27">
        <f>AU153*AV153*AK153*AB154</f>
        <v>0</v>
      </c>
      <c r="AX153" s="16"/>
      <c r="AY153" s="13"/>
      <c r="AZ153" s="27"/>
      <c r="BA153" s="59">
        <f>(0.325*AU153*AV153+0.425*AR153*AS153)*AK153</f>
        <v>0</v>
      </c>
      <c r="BB153" s="66">
        <f>(0.4*AR153*AS153+0.3*AU153*AV153)*AK153</f>
        <v>0</v>
      </c>
      <c r="BC153" s="79"/>
      <c r="BD153" s="13"/>
      <c r="BE153" s="34"/>
      <c r="BF153" s="8"/>
      <c r="BG153" s="9"/>
    </row>
    <row r="154" spans="1:59" ht="19.5" thickBot="1" x14ac:dyDescent="0.3">
      <c r="A154">
        <v>3</v>
      </c>
      <c r="B154" s="16">
        <v>7</v>
      </c>
      <c r="C154" s="14" t="s">
        <v>4</v>
      </c>
      <c r="D154" s="37">
        <f>N155*M157-IF(N155&gt;0,N171,0)</f>
        <v>0</v>
      </c>
      <c r="E154" s="69" t="s">
        <v>17</v>
      </c>
      <c r="F154" s="49">
        <f>IF(O155&gt;0,O147,0)</f>
        <v>0</v>
      </c>
      <c r="G154" s="6"/>
      <c r="H154" s="23"/>
      <c r="I154" s="23"/>
      <c r="J154" s="23"/>
      <c r="K154" s="23"/>
      <c r="L154" s="23"/>
      <c r="M154" s="23"/>
      <c r="N154" s="23"/>
      <c r="O154" s="23"/>
      <c r="P154" s="9"/>
      <c r="Q154" s="6"/>
      <c r="R154" s="113" t="s">
        <v>64</v>
      </c>
      <c r="S154" s="114"/>
      <c r="T154" s="114"/>
      <c r="U154" s="114"/>
      <c r="V154" s="114"/>
      <c r="W154" s="114"/>
      <c r="X154" s="115"/>
      <c r="Y154" s="8"/>
      <c r="Z154" s="116" t="s">
        <v>114</v>
      </c>
      <c r="AA154" s="116"/>
      <c r="AB154" s="13">
        <f>5.8/1000</f>
        <v>5.7999999999999996E-3</v>
      </c>
      <c r="AC154" s="8"/>
      <c r="AD154" s="8"/>
      <c r="AE154" s="8"/>
      <c r="AF154" s="8"/>
      <c r="AG154" s="8"/>
      <c r="AH154" s="8"/>
      <c r="AI154" s="8">
        <v>190</v>
      </c>
      <c r="AJ154" s="66" t="s">
        <v>48</v>
      </c>
      <c r="AK154" s="74">
        <f>IF(J155&gt;0,I167,0)</f>
        <v>1</v>
      </c>
      <c r="AL154" s="16">
        <v>1.35</v>
      </c>
      <c r="AM154" s="13">
        <v>4</v>
      </c>
      <c r="AN154" s="34">
        <f>AL154*AM154*AK154*AB151</f>
        <v>8.5211999999999996E-3</v>
      </c>
      <c r="AO154" s="16"/>
      <c r="AP154" s="13"/>
      <c r="AQ154" s="27"/>
      <c r="AR154" s="16"/>
      <c r="AS154" s="13"/>
      <c r="AT154" s="27"/>
      <c r="AU154" s="16"/>
      <c r="AV154" s="13"/>
      <c r="AW154" s="27"/>
      <c r="AX154" s="16"/>
      <c r="AY154" s="13"/>
      <c r="AZ154" s="27"/>
      <c r="BA154" s="59">
        <f>0.445*AL154*AK154</f>
        <v>0.60075000000000001</v>
      </c>
      <c r="BB154" s="68">
        <f>3.14*0.016*AL154*AM154*AK154</f>
        <v>0.27129600000000004</v>
      </c>
      <c r="BC154" s="79">
        <v>1.01</v>
      </c>
      <c r="BD154" s="13">
        <v>0.19</v>
      </c>
      <c r="BE154" s="34">
        <f t="shared" ref="BE154:BE155" si="54">BC154*BD154*AK154</f>
        <v>0.19190000000000002</v>
      </c>
      <c r="BF154" s="8"/>
      <c r="BG154" s="9"/>
    </row>
    <row r="155" spans="1:59" ht="15.75" thickBot="1" x14ac:dyDescent="0.3">
      <c r="A155">
        <v>3</v>
      </c>
      <c r="B155" s="16">
        <v>8</v>
      </c>
      <c r="C155" s="14" t="s">
        <v>5</v>
      </c>
      <c r="D155" s="37">
        <f>IF(H155&gt;0,R152,0)+IF(I155&gt;0,S152,0)+IF(J155&gt;0,T152,0)+IF(K155&gt;0,U152,0)+IF(L155&gt;0,V152,0)+IF(M155&gt;0,W152,0)+IF(N155&gt;0,X152,0)</f>
        <v>1.7080999999999999E-2</v>
      </c>
      <c r="E155" s="69" t="s">
        <v>18</v>
      </c>
      <c r="F155" s="9"/>
      <c r="G155" s="6" t="s">
        <v>32</v>
      </c>
      <c r="H155" s="24">
        <f>SUM(H148:H154)</f>
        <v>0</v>
      </c>
      <c r="I155" s="25">
        <f t="shared" ref="I155:N155" si="55">SUM(I148:I154)</f>
        <v>0</v>
      </c>
      <c r="J155" s="25">
        <f t="shared" si="55"/>
        <v>10</v>
      </c>
      <c r="K155" s="25">
        <f t="shared" si="55"/>
        <v>0</v>
      </c>
      <c r="L155" s="25">
        <f t="shared" si="55"/>
        <v>0</v>
      </c>
      <c r="M155" s="25">
        <f t="shared" si="55"/>
        <v>0</v>
      </c>
      <c r="N155" s="25">
        <f t="shared" si="55"/>
        <v>0</v>
      </c>
      <c r="O155" s="26">
        <f>SUM(O148:O154)</f>
        <v>0</v>
      </c>
      <c r="P155" s="9"/>
      <c r="Q155" s="6"/>
      <c r="R155" s="33" t="s">
        <v>23</v>
      </c>
      <c r="S155" s="33" t="s">
        <v>24</v>
      </c>
      <c r="T155" s="33" t="s">
        <v>25</v>
      </c>
      <c r="U155" s="33" t="s">
        <v>26</v>
      </c>
      <c r="V155" s="33" t="s">
        <v>27</v>
      </c>
      <c r="W155" s="33" t="s">
        <v>28</v>
      </c>
      <c r="X155" s="33" t="s">
        <v>29</v>
      </c>
      <c r="Y155" s="8"/>
      <c r="Z155" s="116" t="s">
        <v>111</v>
      </c>
      <c r="AA155" s="116"/>
      <c r="AB155" s="13">
        <f>3.77/1000</f>
        <v>3.7699999999999999E-3</v>
      </c>
      <c r="AC155" s="8"/>
      <c r="AD155" s="8"/>
      <c r="AE155" s="8"/>
      <c r="AF155" s="8"/>
      <c r="AG155" s="8"/>
      <c r="AH155" s="8"/>
      <c r="AI155" s="8">
        <v>190</v>
      </c>
      <c r="AJ155" s="66" t="s">
        <v>49</v>
      </c>
      <c r="AK155" s="74">
        <f>IF(J155&gt;0,I168,0)</f>
        <v>0</v>
      </c>
      <c r="AL155" s="16">
        <v>1.35</v>
      </c>
      <c r="AM155" s="13">
        <v>4</v>
      </c>
      <c r="AN155" s="34">
        <f>AL155*AM155*AK155*AB151</f>
        <v>0</v>
      </c>
      <c r="AO155" s="16"/>
      <c r="AP155" s="13"/>
      <c r="AQ155" s="27"/>
      <c r="AR155" s="16"/>
      <c r="AS155" s="13"/>
      <c r="AT155" s="27"/>
      <c r="AU155" s="16"/>
      <c r="AV155" s="13"/>
      <c r="AW155" s="27"/>
      <c r="AX155" s="16"/>
      <c r="AY155" s="13"/>
      <c r="AZ155" s="27"/>
      <c r="BA155" s="59">
        <f>0.445*AL155*AK155</f>
        <v>0</v>
      </c>
      <c r="BB155" s="68">
        <f>3.14*0.016*AL155*AM155*AK155</f>
        <v>0</v>
      </c>
      <c r="BC155" s="79">
        <v>1.01</v>
      </c>
      <c r="BD155" s="13">
        <v>0.19</v>
      </c>
      <c r="BE155" s="34">
        <f t="shared" si="54"/>
        <v>0</v>
      </c>
      <c r="BF155" s="8"/>
      <c r="BG155" s="9"/>
    </row>
    <row r="156" spans="1:59" ht="15.75" thickBot="1" x14ac:dyDescent="0.3">
      <c r="A156">
        <v>3</v>
      </c>
      <c r="B156" s="16">
        <v>9</v>
      </c>
      <c r="C156" s="14" t="s">
        <v>20</v>
      </c>
      <c r="D156" s="37">
        <f>H155</f>
        <v>0</v>
      </c>
      <c r="E156" s="69" t="s">
        <v>21</v>
      </c>
      <c r="F156" s="9"/>
      <c r="G156" s="6"/>
      <c r="H156" s="8"/>
      <c r="I156" s="8"/>
      <c r="J156" s="8"/>
      <c r="K156" s="8"/>
      <c r="L156" s="8"/>
      <c r="M156" s="8"/>
      <c r="N156" s="8"/>
      <c r="O156" s="8"/>
      <c r="P156" s="9"/>
      <c r="Q156" s="6" t="s">
        <v>63</v>
      </c>
      <c r="R156" s="13">
        <v>7.0000000000000007E-2</v>
      </c>
      <c r="S156" s="13">
        <v>7.0000000000000007E-2</v>
      </c>
      <c r="T156" s="13">
        <v>0.17</v>
      </c>
      <c r="U156" s="13"/>
      <c r="V156" s="13"/>
      <c r="W156" s="13">
        <v>0.1</v>
      </c>
      <c r="X156" s="13">
        <v>4.4999999999999998E-2</v>
      </c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>
        <v>120</v>
      </c>
      <c r="AJ156" s="66" t="s">
        <v>106</v>
      </c>
      <c r="AK156" s="74">
        <f>IF(M155&gt;0,I169,0)</f>
        <v>0</v>
      </c>
      <c r="AL156" s="16"/>
      <c r="AM156" s="13"/>
      <c r="AN156" s="34"/>
      <c r="AO156" s="16"/>
      <c r="AP156" s="13"/>
      <c r="AQ156" s="27"/>
      <c r="AR156" s="16">
        <v>1.25</v>
      </c>
      <c r="AS156" s="13">
        <v>1</v>
      </c>
      <c r="AT156" s="27">
        <f>AR156*AS156*AK156*AB153</f>
        <v>0</v>
      </c>
      <c r="AU156" s="16"/>
      <c r="AV156" s="13"/>
      <c r="AW156" s="27"/>
      <c r="AX156" s="16"/>
      <c r="AY156" s="13"/>
      <c r="AZ156" s="27"/>
      <c r="BA156" s="59">
        <f>0.425*AR156*AS156*AK156</f>
        <v>0</v>
      </c>
      <c r="BB156" s="66">
        <f>0.4*AR156*AS156*AK156</f>
        <v>0</v>
      </c>
      <c r="BC156" s="79"/>
      <c r="BD156" s="13"/>
      <c r="BE156" s="27"/>
      <c r="BF156" s="8"/>
      <c r="BG156" s="9"/>
    </row>
    <row r="157" spans="1:59" ht="15.75" thickBot="1" x14ac:dyDescent="0.3">
      <c r="A157">
        <v>3</v>
      </c>
      <c r="B157" s="16">
        <v>10</v>
      </c>
      <c r="C157" s="14" t="s">
        <v>62</v>
      </c>
      <c r="D157" s="37">
        <f>IF(H155&gt;0,R157,0)</f>
        <v>0</v>
      </c>
      <c r="E157" s="69" t="s">
        <v>18</v>
      </c>
      <c r="F157" s="9"/>
      <c r="G157" s="6"/>
      <c r="H157" s="122" t="s">
        <v>39</v>
      </c>
      <c r="I157" s="123"/>
      <c r="J157" s="123"/>
      <c r="K157" s="123"/>
      <c r="L157" s="124"/>
      <c r="M157" s="46">
        <v>2.78</v>
      </c>
      <c r="N157" s="8"/>
      <c r="O157" s="8"/>
      <c r="P157" s="9"/>
      <c r="Q157" s="6" t="s">
        <v>65</v>
      </c>
      <c r="R157" s="13">
        <f>0.02*R156*H155</f>
        <v>0</v>
      </c>
      <c r="S157" s="13">
        <f t="shared" ref="S157" si="56">0.02*S156*I155</f>
        <v>0</v>
      </c>
      <c r="T157" s="13">
        <f>0.02*T156*J155</f>
        <v>3.4000000000000002E-2</v>
      </c>
      <c r="U157" s="13"/>
      <c r="V157" s="13"/>
      <c r="W157" s="13">
        <f t="shared" ref="W157" si="57">0.02*W156*M155</f>
        <v>0</v>
      </c>
      <c r="X157" s="13">
        <f t="shared" ref="X157" si="58">0.02*X156*N155</f>
        <v>0</v>
      </c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66"/>
      <c r="AK157" s="74"/>
      <c r="AL157" s="16"/>
      <c r="AM157" s="13"/>
      <c r="AN157" s="34"/>
      <c r="AO157" s="16"/>
      <c r="AP157" s="13"/>
      <c r="AQ157" s="27"/>
      <c r="AR157" s="16"/>
      <c r="AS157" s="13"/>
      <c r="AT157" s="27"/>
      <c r="AU157" s="16"/>
      <c r="AV157" s="13"/>
      <c r="AW157" s="27"/>
      <c r="AX157" s="16"/>
      <c r="AY157" s="13"/>
      <c r="AZ157" s="27"/>
      <c r="BA157" s="59"/>
      <c r="BB157" s="66"/>
      <c r="BC157" s="79"/>
      <c r="BD157" s="13"/>
      <c r="BE157" s="27"/>
      <c r="BF157" s="8"/>
      <c r="BG157" s="9"/>
    </row>
    <row r="158" spans="1:59" ht="15.75" thickBot="1" x14ac:dyDescent="0.3">
      <c r="A158">
        <v>3</v>
      </c>
      <c r="B158" s="16">
        <v>11</v>
      </c>
      <c r="C158" s="14" t="s">
        <v>66</v>
      </c>
      <c r="D158" s="37">
        <f>I155+J155+M155</f>
        <v>10</v>
      </c>
      <c r="E158" s="69" t="s">
        <v>21</v>
      </c>
      <c r="F158" s="9"/>
      <c r="G158" s="6"/>
      <c r="H158" s="113" t="s">
        <v>74</v>
      </c>
      <c r="I158" s="114"/>
      <c r="J158" s="114"/>
      <c r="K158" s="114"/>
      <c r="L158" s="121"/>
      <c r="M158" s="45"/>
      <c r="N158" s="113" t="s">
        <v>73</v>
      </c>
      <c r="O158" s="115"/>
      <c r="P158" s="9"/>
      <c r="Q158" s="6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>
        <v>120</v>
      </c>
      <c r="AJ158" s="66" t="s">
        <v>50</v>
      </c>
      <c r="AK158" s="74">
        <f>IF(M155&gt;0,I171,0)</f>
        <v>0</v>
      </c>
      <c r="AL158" s="16"/>
      <c r="AM158" s="13"/>
      <c r="AN158" s="34"/>
      <c r="AO158" s="16">
        <v>0.45</v>
      </c>
      <c r="AP158" s="13">
        <v>2</v>
      </c>
      <c r="AQ158" s="27">
        <f>AO158*AP158*AK158*AB152</f>
        <v>0</v>
      </c>
      <c r="AR158" s="16">
        <v>0.12</v>
      </c>
      <c r="AS158" s="61">
        <v>1</v>
      </c>
      <c r="AT158" s="27">
        <f>AR158*AS158*AK158*AB153</f>
        <v>0</v>
      </c>
      <c r="AU158" s="16"/>
      <c r="AV158" s="13"/>
      <c r="AW158" s="27"/>
      <c r="AX158" s="16"/>
      <c r="AY158" s="13"/>
      <c r="AZ158" s="27"/>
      <c r="BA158" s="59">
        <f>(0.305*AO158+0.425*AR158)*AK158</f>
        <v>0</v>
      </c>
      <c r="BB158" s="66">
        <f>(3.14*0.012*AO158*AP158+0.4*AR158*AS158)*AK158</f>
        <v>0</v>
      </c>
      <c r="BC158" s="79"/>
      <c r="BD158" s="13"/>
      <c r="BE158" s="27"/>
      <c r="BF158" s="8"/>
      <c r="BG158" s="9"/>
    </row>
    <row r="159" spans="1:59" ht="15.75" thickBot="1" x14ac:dyDescent="0.3">
      <c r="A159">
        <v>3</v>
      </c>
      <c r="B159" s="16">
        <v>12</v>
      </c>
      <c r="C159" s="14" t="s">
        <v>67</v>
      </c>
      <c r="D159" s="37">
        <f>IF(I155&gt;0,S157,0)+IF(J155&gt;0,T157,0)+IF(M155&gt;0,W157,0)+IF(N155&gt;0,X157,0)</f>
        <v>3.4000000000000002E-2</v>
      </c>
      <c r="E159" s="69" t="s">
        <v>18</v>
      </c>
      <c r="F159" s="9"/>
      <c r="G159" s="6"/>
      <c r="H159" s="118" t="s">
        <v>70</v>
      </c>
      <c r="I159" s="119"/>
      <c r="J159" s="119"/>
      <c r="K159" s="119"/>
      <c r="L159" s="119"/>
      <c r="M159" s="82"/>
      <c r="N159" s="118" t="s">
        <v>72</v>
      </c>
      <c r="O159" s="120"/>
      <c r="P159" s="9"/>
      <c r="Q159" s="6"/>
      <c r="R159" s="113" t="s">
        <v>75</v>
      </c>
      <c r="S159" s="114"/>
      <c r="T159" s="114"/>
      <c r="U159" s="114"/>
      <c r="V159" s="114"/>
      <c r="W159" s="114"/>
      <c r="X159" s="115"/>
      <c r="Y159" s="58"/>
      <c r="Z159" s="2"/>
      <c r="AA159" s="113" t="s">
        <v>98</v>
      </c>
      <c r="AB159" s="114"/>
      <c r="AC159" s="114"/>
      <c r="AD159" s="114"/>
      <c r="AE159" s="114"/>
      <c r="AF159" s="114"/>
      <c r="AG159" s="115"/>
      <c r="AH159" s="8"/>
      <c r="AI159" s="8">
        <v>65</v>
      </c>
      <c r="AJ159" s="66" t="s">
        <v>51</v>
      </c>
      <c r="AK159" s="74">
        <f>IF(N155&gt;0,I172,0)</f>
        <v>0</v>
      </c>
      <c r="AL159" s="16"/>
      <c r="AM159" s="13"/>
      <c r="AN159" s="34"/>
      <c r="AO159" s="16"/>
      <c r="AP159" s="13"/>
      <c r="AQ159" s="27"/>
      <c r="AR159" s="16"/>
      <c r="AS159" s="13"/>
      <c r="AT159" s="27"/>
      <c r="AU159" s="16"/>
      <c r="AV159" s="13"/>
      <c r="AW159" s="27"/>
      <c r="AX159" s="16">
        <f>0.94+0.8+0.43</f>
        <v>2.17</v>
      </c>
      <c r="AY159" s="13">
        <v>1</v>
      </c>
      <c r="AZ159" s="27">
        <f>AX159*AY159*AK159*AB155</f>
        <v>0</v>
      </c>
      <c r="BA159" s="59">
        <f>0.225*AX159*AY159*AK159</f>
        <v>0</v>
      </c>
      <c r="BB159" s="66">
        <f>0.2*AX159*AY159*AK159</f>
        <v>0</v>
      </c>
      <c r="BC159" s="79"/>
      <c r="BD159" s="13"/>
      <c r="BE159" s="27"/>
      <c r="BF159" s="8"/>
      <c r="BG159" s="9"/>
    </row>
    <row r="160" spans="1:59" ht="15.75" thickBot="1" x14ac:dyDescent="0.3">
      <c r="A160">
        <v>3</v>
      </c>
      <c r="B160" s="16">
        <v>13</v>
      </c>
      <c r="C160" s="14" t="s">
        <v>68</v>
      </c>
      <c r="D160" s="37">
        <f>D158*0.02*0.01*2</f>
        <v>4.0000000000000001E-3</v>
      </c>
      <c r="E160" s="69" t="s">
        <v>18</v>
      </c>
      <c r="F160" s="9"/>
      <c r="G160" s="6"/>
      <c r="H160" s="125" t="s">
        <v>40</v>
      </c>
      <c r="I160" s="126"/>
      <c r="J160" s="8"/>
      <c r="K160" s="8"/>
      <c r="L160" s="39" t="s">
        <v>30</v>
      </c>
      <c r="M160" s="40" t="s">
        <v>31</v>
      </c>
      <c r="N160" s="40" t="s">
        <v>33</v>
      </c>
      <c r="O160" s="44" t="s">
        <v>34</v>
      </c>
      <c r="P160" s="9"/>
      <c r="Q160" s="6"/>
      <c r="R160" s="16" t="s">
        <v>23</v>
      </c>
      <c r="S160" s="13" t="s">
        <v>24</v>
      </c>
      <c r="T160" s="13" t="s">
        <v>25</v>
      </c>
      <c r="U160" s="13" t="s">
        <v>26</v>
      </c>
      <c r="V160" s="13" t="s">
        <v>27</v>
      </c>
      <c r="W160" s="13" t="s">
        <v>28</v>
      </c>
      <c r="X160" s="27" t="s">
        <v>29</v>
      </c>
      <c r="Y160" s="8"/>
      <c r="Z160" s="6"/>
      <c r="AA160" s="16" t="s">
        <v>23</v>
      </c>
      <c r="AB160" s="13" t="s">
        <v>24</v>
      </c>
      <c r="AC160" s="13" t="s">
        <v>25</v>
      </c>
      <c r="AD160" s="13" t="s">
        <v>26</v>
      </c>
      <c r="AE160" s="13" t="s">
        <v>27</v>
      </c>
      <c r="AF160" s="13" t="s">
        <v>28</v>
      </c>
      <c r="AG160" s="27" t="s">
        <v>29</v>
      </c>
      <c r="AH160" s="8"/>
      <c r="AI160" s="8">
        <v>120</v>
      </c>
      <c r="AJ160" s="66" t="s">
        <v>52</v>
      </c>
      <c r="AK160" s="74">
        <f>IF(M155&gt;0,I173,0)</f>
        <v>0</v>
      </c>
      <c r="AL160" s="16">
        <v>1</v>
      </c>
      <c r="AM160" s="13">
        <v>2</v>
      </c>
      <c r="AN160" s="34">
        <f>AL160*AM160*AK160*AB151</f>
        <v>0</v>
      </c>
      <c r="AO160" s="16"/>
      <c r="AP160" s="13"/>
      <c r="AQ160" s="27"/>
      <c r="AR160" s="64">
        <v>0.12</v>
      </c>
      <c r="AS160" s="61">
        <v>1</v>
      </c>
      <c r="AT160" s="27">
        <f>AR160*AS160*AK160*AB153</f>
        <v>0</v>
      </c>
      <c r="AU160" s="16"/>
      <c r="AV160" s="13"/>
      <c r="AW160" s="27"/>
      <c r="AX160" s="16"/>
      <c r="AY160" s="13"/>
      <c r="AZ160" s="27"/>
      <c r="BA160" s="59">
        <f>(0.305*AL160+0.425*AR160)*AK160</f>
        <v>0</v>
      </c>
      <c r="BB160" s="66">
        <f>(3.14*AL160*AM160+0.4*AR160*AS160)*AK160</f>
        <v>0</v>
      </c>
      <c r="BC160" s="79"/>
      <c r="BD160" s="13"/>
      <c r="BE160" s="27"/>
      <c r="BF160" s="8"/>
      <c r="BG160" s="9"/>
    </row>
    <row r="161" spans="1:59" ht="15.75" thickBot="1" x14ac:dyDescent="0.3">
      <c r="A161">
        <v>3</v>
      </c>
      <c r="B161" s="16">
        <v>14</v>
      </c>
      <c r="C161" s="14" t="s">
        <v>6</v>
      </c>
      <c r="D161" s="37">
        <f>IF(I155&gt;0,S163,0)+IF(J155&gt;0,T163,0)+IF(M155&gt;0,W163,0)+IF(N155&gt;0,X163,0)</f>
        <v>0</v>
      </c>
      <c r="E161" s="69" t="s">
        <v>18</v>
      </c>
      <c r="F161" s="9"/>
      <c r="G161" s="6"/>
      <c r="H161" s="33" t="s">
        <v>41</v>
      </c>
      <c r="I161" s="33" t="s">
        <v>42</v>
      </c>
      <c r="J161" s="8"/>
      <c r="K161" s="8"/>
      <c r="L161" s="33">
        <v>0.71</v>
      </c>
      <c r="M161" s="42"/>
      <c r="N161" s="43">
        <f>IF(H155&gt;0,L161*2.15*M161,0)+IF(I155&gt;0,L161*2.15*M161,0)+IF(J155&gt;0,L161*2.18*M161,0)</f>
        <v>0</v>
      </c>
      <c r="O161" s="33">
        <f>L161*M161</f>
        <v>0</v>
      </c>
      <c r="P161" s="9"/>
      <c r="Q161" s="6"/>
      <c r="R161" s="30">
        <v>7.4999999999999997E-2</v>
      </c>
      <c r="S161" s="21">
        <v>7.0000000000000007E-2</v>
      </c>
      <c r="T161" s="21">
        <v>0.17</v>
      </c>
      <c r="U161" s="21"/>
      <c r="V161" s="21"/>
      <c r="W161" s="21">
        <v>0.1</v>
      </c>
      <c r="X161" s="31">
        <v>4.4999999999999998E-2</v>
      </c>
      <c r="Y161" s="8"/>
      <c r="Z161" s="6"/>
      <c r="AA161" s="116" t="s">
        <v>93</v>
      </c>
      <c r="AB161" s="116"/>
      <c r="AC161" s="116"/>
      <c r="AD161" s="116"/>
      <c r="AE161" s="116"/>
      <c r="AF161" s="116"/>
      <c r="AG161" s="117"/>
      <c r="AH161" s="8"/>
      <c r="AI161" s="8">
        <v>190</v>
      </c>
      <c r="AJ161" s="66" t="s">
        <v>53</v>
      </c>
      <c r="AK161" s="74">
        <f>IF(J155&gt;0,I174,0)</f>
        <v>0</v>
      </c>
      <c r="AL161" s="16">
        <v>0.95</v>
      </c>
      <c r="AM161" s="13">
        <v>1</v>
      </c>
      <c r="AN161" s="34">
        <f>AL161*AM161*AK161*AB151</f>
        <v>0</v>
      </c>
      <c r="AO161" s="16"/>
      <c r="AP161" s="13"/>
      <c r="AQ161" s="27"/>
      <c r="AR161" s="16">
        <v>0.19</v>
      </c>
      <c r="AS161" s="13">
        <v>1</v>
      </c>
      <c r="AT161" s="27">
        <f>AR161*AS161*AK161*AB153</f>
        <v>0</v>
      </c>
      <c r="AU161" s="16"/>
      <c r="AV161" s="13"/>
      <c r="AW161" s="27"/>
      <c r="AX161" s="16"/>
      <c r="AY161" s="13"/>
      <c r="AZ161" s="27"/>
      <c r="BA161" s="59">
        <f>(0.445*AL161+0.425*AR161)*AK161</f>
        <v>0</v>
      </c>
      <c r="BB161" s="66">
        <f t="shared" ref="BB161:BB162" si="59">(3.14*AL161*AM161+0.4*AR161*AS161)*AK161</f>
        <v>0</v>
      </c>
      <c r="BC161" s="79"/>
      <c r="BD161" s="13"/>
      <c r="BE161" s="27"/>
      <c r="BF161" s="8"/>
      <c r="BG161" s="9"/>
    </row>
    <row r="162" spans="1:59" ht="15.75" thickBot="1" x14ac:dyDescent="0.3">
      <c r="A162">
        <v>3</v>
      </c>
      <c r="B162" s="16">
        <v>15</v>
      </c>
      <c r="C162" s="14" t="s">
        <v>37</v>
      </c>
      <c r="D162" s="37">
        <f>O155*M157*0.03</f>
        <v>0</v>
      </c>
      <c r="E162" s="18" t="s">
        <v>18</v>
      </c>
      <c r="F162" s="9"/>
      <c r="G162" s="6">
        <v>90</v>
      </c>
      <c r="H162" s="13" t="s">
        <v>43</v>
      </c>
      <c r="I162" s="17"/>
      <c r="J162" s="8"/>
      <c r="K162" s="8"/>
      <c r="L162" s="13">
        <v>0.81</v>
      </c>
      <c r="M162" s="17"/>
      <c r="N162" s="36">
        <f>IF(H155&gt;0,L162*2.15*M162,0)+IF(I155&gt;0,L162*2.15*M162,0)+IF(J155&gt;0,L162*2.18*M162,0)</f>
        <v>0</v>
      </c>
      <c r="O162" s="13">
        <f t="shared" ref="O162:O164" si="60">L162*M162</f>
        <v>0</v>
      </c>
      <c r="P162" s="9"/>
      <c r="Q162" s="6"/>
      <c r="R162" s="118" t="s">
        <v>76</v>
      </c>
      <c r="S162" s="119"/>
      <c r="T162" s="119"/>
      <c r="U162" s="119"/>
      <c r="V162" s="119"/>
      <c r="W162" s="119"/>
      <c r="X162" s="120"/>
      <c r="Y162" s="58"/>
      <c r="Z162" s="6"/>
      <c r="AA162" s="21">
        <v>3</v>
      </c>
      <c r="AB162" s="21">
        <v>3</v>
      </c>
      <c r="AC162" s="21">
        <v>3</v>
      </c>
      <c r="AD162" s="21">
        <v>3</v>
      </c>
      <c r="AE162" s="21">
        <v>3</v>
      </c>
      <c r="AF162" s="21">
        <v>4</v>
      </c>
      <c r="AG162" s="31">
        <v>4</v>
      </c>
      <c r="AH162" s="8"/>
      <c r="AI162" s="8">
        <v>190</v>
      </c>
      <c r="AJ162" s="66" t="s">
        <v>108</v>
      </c>
      <c r="AK162" s="74">
        <f>IF(J155&gt;0,I175,0)</f>
        <v>0</v>
      </c>
      <c r="AL162" s="16">
        <v>0.65</v>
      </c>
      <c r="AM162" s="13">
        <v>1</v>
      </c>
      <c r="AN162" s="34">
        <f>AL162*AM162*AK162*AB151</f>
        <v>0</v>
      </c>
      <c r="AO162" s="16"/>
      <c r="AP162" s="13"/>
      <c r="AQ162" s="27"/>
      <c r="AR162" s="16">
        <v>0.19</v>
      </c>
      <c r="AS162" s="61">
        <v>1</v>
      </c>
      <c r="AT162" s="27">
        <f>AR162*AS162*AK162*AB153</f>
        <v>0</v>
      </c>
      <c r="AU162" s="16"/>
      <c r="AV162" s="13"/>
      <c r="AW162" s="27"/>
      <c r="AX162" s="16"/>
      <c r="AY162" s="13"/>
      <c r="AZ162" s="27"/>
      <c r="BA162" s="59">
        <f>(0.445*AL162+0.425*AR162)*AK162</f>
        <v>0</v>
      </c>
      <c r="BB162" s="66">
        <f t="shared" si="59"/>
        <v>0</v>
      </c>
      <c r="BC162" s="79"/>
      <c r="BD162" s="13"/>
      <c r="BE162" s="27"/>
      <c r="BF162" s="8"/>
      <c r="BG162" s="9"/>
    </row>
    <row r="163" spans="1:59" ht="15.75" thickBot="1" x14ac:dyDescent="0.3">
      <c r="A163">
        <v>3</v>
      </c>
      <c r="B163" s="16">
        <v>16</v>
      </c>
      <c r="C163" s="14" t="s">
        <v>10</v>
      </c>
      <c r="D163" s="37">
        <f>IF(H155&gt;0,R163,0)</f>
        <v>0</v>
      </c>
      <c r="E163" s="69" t="s">
        <v>17</v>
      </c>
      <c r="F163" s="9"/>
      <c r="G163" s="6">
        <v>90</v>
      </c>
      <c r="H163" s="13" t="s">
        <v>44</v>
      </c>
      <c r="I163" s="17"/>
      <c r="J163" s="8"/>
      <c r="K163" s="8"/>
      <c r="L163" s="13">
        <v>0.91</v>
      </c>
      <c r="M163" s="17"/>
      <c r="N163" s="36">
        <f>IF(H155&gt;0,L163*2.15*M163,0)+IF(I155&gt;0,L163*2.15*M163,0)+IF(J155&gt;0,L163*2.18*M163,0)</f>
        <v>0</v>
      </c>
      <c r="O163" s="13">
        <f t="shared" si="60"/>
        <v>0</v>
      </c>
      <c r="P163" s="9"/>
      <c r="Q163" s="6"/>
      <c r="R163" s="39">
        <f>IF(H155&gt;0,R161*M157,0)*M158</f>
        <v>0</v>
      </c>
      <c r="S163" s="40">
        <f>IF(I155&gt;0,S161*0.02*M157,0)*M158</f>
        <v>0</v>
      </c>
      <c r="T163" s="40">
        <f>IF(J155&gt;0,T161*0.02*M157,0)*M158</f>
        <v>0</v>
      </c>
      <c r="U163" s="40"/>
      <c r="V163" s="40"/>
      <c r="W163" s="40">
        <f>IF(M155&gt;0,W161*0.02*M157,0)*M158</f>
        <v>0</v>
      </c>
      <c r="X163" s="41">
        <f>IF(N155&gt;0,X161*0.02*M157,0)*M158</f>
        <v>0</v>
      </c>
      <c r="Y163" s="8"/>
      <c r="Z163" s="59"/>
      <c r="AA163" s="118" t="s">
        <v>92</v>
      </c>
      <c r="AB163" s="119"/>
      <c r="AC163" s="119"/>
      <c r="AD163" s="119"/>
      <c r="AE163" s="119"/>
      <c r="AF163" s="119"/>
      <c r="AG163" s="120"/>
      <c r="AH163" s="8"/>
      <c r="AI163" s="8"/>
      <c r="AJ163" s="66"/>
      <c r="AK163" s="74"/>
      <c r="AL163" s="16"/>
      <c r="AM163" s="13"/>
      <c r="AN163" s="34"/>
      <c r="AO163" s="16"/>
      <c r="AP163" s="13"/>
      <c r="AQ163" s="27"/>
      <c r="AR163" s="16"/>
      <c r="AS163" s="13"/>
      <c r="AT163" s="27"/>
      <c r="AU163" s="16"/>
      <c r="AV163" s="13"/>
      <c r="AW163" s="27"/>
      <c r="AX163" s="16"/>
      <c r="AY163" s="13"/>
      <c r="AZ163" s="27"/>
      <c r="BA163" s="59"/>
      <c r="BB163" s="66"/>
      <c r="BC163" s="79"/>
      <c r="BD163" s="13"/>
      <c r="BE163" s="27"/>
      <c r="BF163" s="8"/>
      <c r="BG163" s="9"/>
    </row>
    <row r="164" spans="1:59" ht="15.75" thickBot="1" x14ac:dyDescent="0.3">
      <c r="A164">
        <v>3</v>
      </c>
      <c r="B164" s="16">
        <v>17</v>
      </c>
      <c r="C164" s="14" t="s">
        <v>11</v>
      </c>
      <c r="D164" s="37">
        <f>IF(I155&gt;0,S171,0)+IF(J155&gt;0,T171,0)+IF(M155&gt;0,W171,0)+IF(N155&gt;0,X171,0)</f>
        <v>6.8000000000000007</v>
      </c>
      <c r="E164" s="69" t="s">
        <v>17</v>
      </c>
      <c r="F164" s="9"/>
      <c r="G164" s="6">
        <v>90</v>
      </c>
      <c r="H164" s="13" t="s">
        <v>45</v>
      </c>
      <c r="I164" s="17"/>
      <c r="J164" s="8"/>
      <c r="K164" s="8"/>
      <c r="L164" s="13">
        <v>1.01</v>
      </c>
      <c r="M164" s="17">
        <v>1</v>
      </c>
      <c r="N164" s="38">
        <f>IF(H155&gt;0,L164*2.15*M164,0)+IF(I155&gt;0,L164*2.15*M164,0)+IF(J155&gt;0,L164*2.18*M164,0)</f>
        <v>2.2018</v>
      </c>
      <c r="O164" s="21">
        <f t="shared" si="60"/>
        <v>1.01</v>
      </c>
      <c r="P164" s="9"/>
      <c r="Q164" s="6"/>
      <c r="R164" s="8"/>
      <c r="S164" s="8"/>
      <c r="T164" s="8"/>
      <c r="U164" s="8"/>
      <c r="V164" s="8"/>
      <c r="W164" s="8"/>
      <c r="X164" s="8"/>
      <c r="Y164" s="8"/>
      <c r="Z164" s="16" t="s">
        <v>90</v>
      </c>
      <c r="AA164" s="33"/>
      <c r="AB164" s="33">
        <v>0.05</v>
      </c>
      <c r="AC164" s="33">
        <v>0.05</v>
      </c>
      <c r="AD164" s="33">
        <v>0.05</v>
      </c>
      <c r="AE164" s="33">
        <v>0.05</v>
      </c>
      <c r="AF164" s="33">
        <v>0.05</v>
      </c>
      <c r="AG164" s="34">
        <v>0.05</v>
      </c>
      <c r="AH164" s="8"/>
      <c r="AI164" s="8">
        <v>80</v>
      </c>
      <c r="AJ164" s="66" t="s">
        <v>54</v>
      </c>
      <c r="AK164" s="74">
        <f>IF(H155&gt;0,I177,0)</f>
        <v>0</v>
      </c>
      <c r="AL164" s="16">
        <f>0.71+0.4</f>
        <v>1.1099999999999999</v>
      </c>
      <c r="AM164" s="61">
        <v>2</v>
      </c>
      <c r="AN164" s="34">
        <f>AL164*AM164*AK164*AB151</f>
        <v>0</v>
      </c>
      <c r="AO164" s="16"/>
      <c r="AP164" s="13"/>
      <c r="AQ164" s="27"/>
      <c r="AR164" s="16"/>
      <c r="AS164" s="13"/>
      <c r="AT164" s="27"/>
      <c r="AU164" s="16"/>
      <c r="AV164" s="13"/>
      <c r="AW164" s="27"/>
      <c r="AX164" s="16"/>
      <c r="AY164" s="13"/>
      <c r="AZ164" s="27"/>
      <c r="BA164" s="59">
        <f>0.225*AL164*AK164</f>
        <v>0</v>
      </c>
      <c r="BB164" s="66">
        <f>3.14*AL164*AM164*AK164</f>
        <v>0</v>
      </c>
      <c r="BC164" s="79">
        <v>0.71</v>
      </c>
      <c r="BD164" s="13">
        <v>0.08</v>
      </c>
      <c r="BE164" s="27">
        <f>BC164*BD164*AK164</f>
        <v>0</v>
      </c>
      <c r="BF164" s="8"/>
      <c r="BG164" s="9"/>
    </row>
    <row r="165" spans="1:59" ht="15.75" thickBot="1" x14ac:dyDescent="0.3">
      <c r="A165">
        <v>3</v>
      </c>
      <c r="B165" s="16"/>
      <c r="C165" s="15" t="s">
        <v>131</v>
      </c>
      <c r="D165" s="37"/>
      <c r="E165" s="69"/>
      <c r="F165" s="9"/>
      <c r="G165" s="6">
        <v>190</v>
      </c>
      <c r="H165" s="13" t="s">
        <v>46</v>
      </c>
      <c r="I165" s="17"/>
      <c r="J165" s="8"/>
      <c r="K165" s="8"/>
      <c r="L165" s="8"/>
      <c r="M165" s="13" t="s">
        <v>61</v>
      </c>
      <c r="N165" s="35">
        <f>SUM(N161:N164)</f>
        <v>2.2018</v>
      </c>
      <c r="O165" s="22">
        <f>SUM(O161:O164)</f>
        <v>1.01</v>
      </c>
      <c r="P165" s="9"/>
      <c r="Q165" s="6"/>
      <c r="R165" s="113" t="s">
        <v>77</v>
      </c>
      <c r="S165" s="114"/>
      <c r="T165" s="114"/>
      <c r="U165" s="114"/>
      <c r="V165" s="114"/>
      <c r="W165" s="114"/>
      <c r="X165" s="115"/>
      <c r="Y165" s="58"/>
      <c r="Z165" s="16" t="s">
        <v>91</v>
      </c>
      <c r="AA165" s="13"/>
      <c r="AB165" s="13">
        <v>0.68</v>
      </c>
      <c r="AC165" s="13">
        <v>1.37</v>
      </c>
      <c r="AD165" s="13"/>
      <c r="AE165" s="13"/>
      <c r="AF165" s="13">
        <v>0.68</v>
      </c>
      <c r="AG165" s="27">
        <v>0.93</v>
      </c>
      <c r="AH165" s="8"/>
      <c r="AI165" s="8">
        <v>80</v>
      </c>
      <c r="AJ165" s="66" t="s">
        <v>55</v>
      </c>
      <c r="AK165" s="74">
        <f>IF(H155&gt;0,I178,0)</f>
        <v>0</v>
      </c>
      <c r="AL165" s="16">
        <f>0.81+0.4</f>
        <v>1.21</v>
      </c>
      <c r="AM165" s="61">
        <v>2</v>
      </c>
      <c r="AN165" s="34">
        <f>AL165*AM165*AK165*AB151</f>
        <v>0</v>
      </c>
      <c r="AO165" s="16"/>
      <c r="AP165" s="13"/>
      <c r="AQ165" s="27"/>
      <c r="AR165" s="16"/>
      <c r="AS165" s="13"/>
      <c r="AT165" s="27"/>
      <c r="AU165" s="16"/>
      <c r="AV165" s="13"/>
      <c r="AW165" s="27"/>
      <c r="AX165" s="16"/>
      <c r="AY165" s="13"/>
      <c r="AZ165" s="27"/>
      <c r="BA165" s="59">
        <f t="shared" ref="BA165:BA167" si="61">0.225*AL165*AK165</f>
        <v>0</v>
      </c>
      <c r="BB165" s="66">
        <f t="shared" ref="BB165:BB167" si="62">3.14*AL165*AM165*AK165</f>
        <v>0</v>
      </c>
      <c r="BC165" s="79">
        <v>0.81</v>
      </c>
      <c r="BD165" s="13">
        <v>0.08</v>
      </c>
      <c r="BE165" s="27">
        <f t="shared" ref="BE165:BE167" si="63">BC165*BD165*AK165</f>
        <v>0</v>
      </c>
      <c r="BF165" s="8"/>
      <c r="BG165" s="9"/>
    </row>
    <row r="166" spans="1:59" ht="15.75" thickBot="1" x14ac:dyDescent="0.3">
      <c r="A166">
        <v>3</v>
      </c>
      <c r="B166" s="16">
        <v>18</v>
      </c>
      <c r="C166" s="14" t="s">
        <v>115</v>
      </c>
      <c r="D166" s="37">
        <f>AJ179</f>
        <v>0</v>
      </c>
      <c r="E166" s="69" t="s">
        <v>17</v>
      </c>
      <c r="F166" s="9"/>
      <c r="G166" s="6">
        <v>190</v>
      </c>
      <c r="H166" s="13" t="s">
        <v>47</v>
      </c>
      <c r="I166" s="17"/>
      <c r="J166" s="8"/>
      <c r="K166" s="8"/>
      <c r="L166" s="8"/>
      <c r="M166" s="8"/>
      <c r="N166" s="8"/>
      <c r="O166" s="8"/>
      <c r="P166" s="9"/>
      <c r="Q166" s="6"/>
      <c r="R166" s="16" t="s">
        <v>23</v>
      </c>
      <c r="S166" s="13" t="s">
        <v>24</v>
      </c>
      <c r="T166" s="13" t="s">
        <v>25</v>
      </c>
      <c r="U166" s="13" t="s">
        <v>26</v>
      </c>
      <c r="V166" s="13" t="s">
        <v>27</v>
      </c>
      <c r="W166" s="13" t="s">
        <v>28</v>
      </c>
      <c r="X166" s="27" t="s">
        <v>29</v>
      </c>
      <c r="Y166" s="8"/>
      <c r="Z166" s="16" t="s">
        <v>96</v>
      </c>
      <c r="AA166" s="21">
        <v>0.28000000000000003</v>
      </c>
      <c r="AB166" s="21"/>
      <c r="AC166" s="21"/>
      <c r="AD166" s="21">
        <v>0.36</v>
      </c>
      <c r="AE166" s="21">
        <v>0.36</v>
      </c>
      <c r="AF166" s="21"/>
      <c r="AG166" s="31"/>
      <c r="AH166" s="8"/>
      <c r="AI166" s="63">
        <v>80</v>
      </c>
      <c r="AJ166" s="66" t="s">
        <v>56</v>
      </c>
      <c r="AK166" s="74">
        <f>IF(H155&gt;0,I179,0)</f>
        <v>0</v>
      </c>
      <c r="AL166" s="16">
        <f>0.91+0.4</f>
        <v>1.31</v>
      </c>
      <c r="AM166" s="61">
        <v>2</v>
      </c>
      <c r="AN166" s="34">
        <f>AL166*AM166*AK166*AB151</f>
        <v>0</v>
      </c>
      <c r="AO166" s="16"/>
      <c r="AP166" s="13"/>
      <c r="AQ166" s="27"/>
      <c r="AR166" s="16"/>
      <c r="AS166" s="13"/>
      <c r="AT166" s="27"/>
      <c r="AU166" s="16"/>
      <c r="AV166" s="13"/>
      <c r="AW166" s="27"/>
      <c r="AX166" s="16"/>
      <c r="AY166" s="13"/>
      <c r="AZ166" s="27"/>
      <c r="BA166" s="59">
        <f t="shared" si="61"/>
        <v>0</v>
      </c>
      <c r="BB166" s="66">
        <f t="shared" si="62"/>
        <v>0</v>
      </c>
      <c r="BC166" s="79">
        <v>0.91</v>
      </c>
      <c r="BD166" s="13">
        <v>0.08</v>
      </c>
      <c r="BE166" s="27">
        <f t="shared" si="63"/>
        <v>0</v>
      </c>
      <c r="BF166" s="8"/>
      <c r="BG166" s="9"/>
    </row>
    <row r="167" spans="1:59" ht="15.75" thickBot="1" x14ac:dyDescent="0.3">
      <c r="A167">
        <v>3</v>
      </c>
      <c r="B167" s="16">
        <v>19</v>
      </c>
      <c r="C167" s="14" t="s">
        <v>107</v>
      </c>
      <c r="D167" s="37">
        <f>AK179</f>
        <v>0</v>
      </c>
      <c r="E167" s="69" t="s">
        <v>19</v>
      </c>
      <c r="F167" s="9"/>
      <c r="G167" s="6">
        <v>190</v>
      </c>
      <c r="H167" s="13" t="s">
        <v>48</v>
      </c>
      <c r="I167" s="17">
        <v>1</v>
      </c>
      <c r="J167" s="8"/>
      <c r="K167" s="8"/>
      <c r="L167" s="8"/>
      <c r="M167" s="8" t="s">
        <v>35</v>
      </c>
      <c r="N167" s="8"/>
      <c r="O167" s="8"/>
      <c r="P167" s="9"/>
      <c r="Q167" s="6"/>
      <c r="R167" s="6"/>
      <c r="S167" s="21">
        <v>7.0000000000000007E-2</v>
      </c>
      <c r="T167" s="21">
        <v>0.17</v>
      </c>
      <c r="U167" s="8"/>
      <c r="V167" s="8"/>
      <c r="W167" s="21">
        <v>0.1</v>
      </c>
      <c r="X167" s="31">
        <v>4.4999999999999998E-2</v>
      </c>
      <c r="Y167" s="8"/>
      <c r="Z167" s="6"/>
      <c r="AA167" s="113" t="s">
        <v>94</v>
      </c>
      <c r="AB167" s="114"/>
      <c r="AC167" s="114"/>
      <c r="AD167" s="114"/>
      <c r="AE167" s="114"/>
      <c r="AF167" s="114"/>
      <c r="AG167" s="115"/>
      <c r="AH167" s="8"/>
      <c r="AI167" s="63">
        <v>80</v>
      </c>
      <c r="AJ167" s="70" t="s">
        <v>57</v>
      </c>
      <c r="AK167" s="75">
        <f>IF(H155&gt;0,I180,0)</f>
        <v>0</v>
      </c>
      <c r="AL167" s="30">
        <f>0.91+0.4</f>
        <v>1.31</v>
      </c>
      <c r="AM167" s="71">
        <v>2</v>
      </c>
      <c r="AN167" s="48">
        <f>AL167*AM167*AK167*AB151</f>
        <v>0</v>
      </c>
      <c r="AO167" s="30"/>
      <c r="AP167" s="21"/>
      <c r="AQ167" s="31"/>
      <c r="AR167" s="30"/>
      <c r="AS167" s="21"/>
      <c r="AT167" s="31"/>
      <c r="AU167" s="30"/>
      <c r="AV167" s="21"/>
      <c r="AW167" s="31"/>
      <c r="AX167" s="30"/>
      <c r="AY167" s="21"/>
      <c r="AZ167" s="31"/>
      <c r="BA167" s="91">
        <f t="shared" si="61"/>
        <v>0</v>
      </c>
      <c r="BB167" s="66">
        <f t="shared" si="62"/>
        <v>0</v>
      </c>
      <c r="BC167" s="79">
        <v>0.91</v>
      </c>
      <c r="BD167" s="13">
        <v>0.08</v>
      </c>
      <c r="BE167" s="27">
        <f t="shared" si="63"/>
        <v>0</v>
      </c>
      <c r="BF167" s="8"/>
      <c r="BG167" s="9"/>
    </row>
    <row r="168" spans="1:59" ht="15.75" thickBot="1" x14ac:dyDescent="0.3">
      <c r="A168">
        <v>3</v>
      </c>
      <c r="B168" s="16"/>
      <c r="C168" s="15" t="s">
        <v>16</v>
      </c>
      <c r="D168" s="37"/>
      <c r="E168" s="69"/>
      <c r="F168" s="9"/>
      <c r="G168" s="6">
        <v>190</v>
      </c>
      <c r="H168" s="13" t="s">
        <v>49</v>
      </c>
      <c r="I168" s="17"/>
      <c r="J168" s="8"/>
      <c r="K168" s="8"/>
      <c r="L168" s="8"/>
      <c r="M168" s="13" t="s">
        <v>31</v>
      </c>
      <c r="N168" s="69" t="s">
        <v>36</v>
      </c>
      <c r="O168" s="8"/>
      <c r="P168" s="9"/>
      <c r="Q168" s="6"/>
      <c r="R168" s="118" t="s">
        <v>78</v>
      </c>
      <c r="S168" s="119"/>
      <c r="T168" s="119"/>
      <c r="U168" s="119"/>
      <c r="V168" s="119"/>
      <c r="W168" s="119"/>
      <c r="X168" s="120"/>
      <c r="Y168" s="8"/>
      <c r="Z168" s="16" t="s">
        <v>90</v>
      </c>
      <c r="AA168" s="33"/>
      <c r="AB168" s="33">
        <f>IF(I155&gt;0,AB164*AB150*AB162,0)*M159</f>
        <v>0</v>
      </c>
      <c r="AC168" s="33">
        <f>IF(J155&gt;0,AC164*AB150*AC162,0)*M159</f>
        <v>0</v>
      </c>
      <c r="AD168" s="33">
        <f>IF(K155&gt;0,AD164*AB150*AD162,0)*M159</f>
        <v>0</v>
      </c>
      <c r="AE168" s="33">
        <f>IF(L155&gt;0,AE164*AB150*AE162,0)*M159</f>
        <v>0</v>
      </c>
      <c r="AF168" s="33">
        <f>IF(M155&gt;0,AF164*AB150*AF162,0)*M159</f>
        <v>0</v>
      </c>
      <c r="AG168" s="34">
        <f>IF(N155&gt;0,AG164*AB150*AG162,0)*M159</f>
        <v>0</v>
      </c>
      <c r="AH168" s="8"/>
      <c r="AI168" s="8"/>
      <c r="AJ168" s="66"/>
      <c r="AK168" s="74"/>
      <c r="AL168" s="16"/>
      <c r="AM168" s="13"/>
      <c r="AN168" s="27"/>
      <c r="AO168" s="16"/>
      <c r="AP168" s="13"/>
      <c r="AQ168" s="27"/>
      <c r="AR168" s="16"/>
      <c r="AS168" s="13"/>
      <c r="AT168" s="27"/>
      <c r="AU168" s="16"/>
      <c r="AV168" s="13"/>
      <c r="AW168" s="27"/>
      <c r="AX168" s="16"/>
      <c r="AY168" s="13"/>
      <c r="AZ168" s="27"/>
      <c r="BA168" s="59"/>
      <c r="BB168" s="66"/>
      <c r="BC168" s="79"/>
      <c r="BD168" s="13"/>
      <c r="BE168" s="27"/>
      <c r="BF168" s="8"/>
      <c r="BG168" s="9"/>
    </row>
    <row r="169" spans="1:59" ht="15.75" thickBot="1" x14ac:dyDescent="0.3">
      <c r="A169">
        <v>3</v>
      </c>
      <c r="B169" s="16">
        <v>20</v>
      </c>
      <c r="C169" s="14" t="s">
        <v>13</v>
      </c>
      <c r="D169" s="37">
        <f>IF(H155&gt;0,R178,0)+IF(I155&gt;0,S178,0)+IF(J155&gt;0,T178,0)+IF(K155&gt;0,U178,0)+IF(L155&gt;0,V178,0)+IF(M155&gt;0,W178,0)+IF(N155&gt;0,X178,0)</f>
        <v>7.3733333333333344E-4</v>
      </c>
      <c r="E169" s="69" t="s">
        <v>19</v>
      </c>
      <c r="F169" s="9"/>
      <c r="G169" s="6">
        <v>120</v>
      </c>
      <c r="H169" s="13" t="s">
        <v>106</v>
      </c>
      <c r="I169" s="17"/>
      <c r="J169" s="8"/>
      <c r="K169" s="8"/>
      <c r="L169" s="8"/>
      <c r="M169" s="17"/>
      <c r="N169" s="17"/>
      <c r="O169" s="8"/>
      <c r="P169" s="9"/>
      <c r="Q169" s="6"/>
      <c r="R169" s="6"/>
      <c r="S169" s="47">
        <v>4</v>
      </c>
      <c r="T169" s="47">
        <v>4</v>
      </c>
      <c r="U169" s="8"/>
      <c r="V169" s="8"/>
      <c r="W169" s="47">
        <v>5</v>
      </c>
      <c r="X169" s="48">
        <v>5</v>
      </c>
      <c r="Y169" s="8"/>
      <c r="Z169" s="16" t="s">
        <v>91</v>
      </c>
      <c r="AA169" s="13"/>
      <c r="AB169" s="13">
        <f>IF(I155&gt;0,AB165*AB162*AB148,0)*M159</f>
        <v>0</v>
      </c>
      <c r="AC169" s="13">
        <f>IF(J155&gt;0,AC165*AC162*AB148,0)*M159</f>
        <v>0</v>
      </c>
      <c r="AD169" s="13"/>
      <c r="AE169" s="13"/>
      <c r="AF169" s="13">
        <f>IF(M155&gt;0,AF165*AF162*AB148,0)*M159</f>
        <v>0</v>
      </c>
      <c r="AG169" s="27">
        <f>IF(N155&gt;0,AG165*AG162*AB148,0)*M159</f>
        <v>0</v>
      </c>
      <c r="AH169" s="8"/>
      <c r="AI169" s="8"/>
      <c r="AJ169" s="66"/>
      <c r="AK169" s="74"/>
      <c r="AL169" s="16"/>
      <c r="AM169" s="13"/>
      <c r="AN169" s="27"/>
      <c r="AO169" s="16"/>
      <c r="AP169" s="13"/>
      <c r="AQ169" s="27"/>
      <c r="AR169" s="16"/>
      <c r="AS169" s="13"/>
      <c r="AT169" s="27"/>
      <c r="AU169" s="16"/>
      <c r="AV169" s="13"/>
      <c r="AW169" s="27"/>
      <c r="AX169" s="16"/>
      <c r="AY169" s="13"/>
      <c r="AZ169" s="27"/>
      <c r="BA169" s="59"/>
      <c r="BB169" s="66"/>
      <c r="BC169" s="79"/>
      <c r="BD169" s="13"/>
      <c r="BE169" s="27"/>
      <c r="BF169" s="8"/>
      <c r="BG169" s="9"/>
    </row>
    <row r="170" spans="1:59" ht="15.75" thickBot="1" x14ac:dyDescent="0.3">
      <c r="A170">
        <v>3</v>
      </c>
      <c r="B170" s="16"/>
      <c r="C170" s="15" t="s">
        <v>7</v>
      </c>
      <c r="D170" s="37"/>
      <c r="E170" s="69"/>
      <c r="F170" s="9"/>
      <c r="G170" s="6"/>
      <c r="H170" s="13"/>
      <c r="I170" s="13"/>
      <c r="J170" s="8"/>
      <c r="K170" s="8"/>
      <c r="L170" s="8"/>
      <c r="M170" s="17"/>
      <c r="N170" s="17"/>
      <c r="O170" s="8"/>
      <c r="P170" s="9"/>
      <c r="Q170" s="6"/>
      <c r="R170" s="113" t="s">
        <v>79</v>
      </c>
      <c r="S170" s="114"/>
      <c r="T170" s="114"/>
      <c r="U170" s="114"/>
      <c r="V170" s="114"/>
      <c r="W170" s="114"/>
      <c r="X170" s="115"/>
      <c r="Y170" s="8"/>
      <c r="Z170" s="28" t="s">
        <v>96</v>
      </c>
      <c r="AA170" s="20">
        <f>IF(H155&gt;0,AA166*AA162*AB149,0)*M159</f>
        <v>0</v>
      </c>
      <c r="AB170" s="20"/>
      <c r="AC170" s="20"/>
      <c r="AD170" s="20">
        <f>IF(K155&gt;0,AD166*AD162*AB149,0)*M159</f>
        <v>0</v>
      </c>
      <c r="AE170" s="20">
        <f>IF(L155&gt;0,AE166*AE162*AB149,0)*M159</f>
        <v>0</v>
      </c>
      <c r="AF170" s="20"/>
      <c r="AG170" s="29">
        <f>IF(N155&gt;0,AG166*AG162*AB149,0)*M159</f>
        <v>0</v>
      </c>
      <c r="AH170" s="8"/>
      <c r="AI170" s="8"/>
      <c r="AJ170" s="66"/>
      <c r="AK170" s="74"/>
      <c r="AL170" s="16"/>
      <c r="AM170" s="13"/>
      <c r="AN170" s="27"/>
      <c r="AO170" s="16"/>
      <c r="AP170" s="13"/>
      <c r="AQ170" s="27"/>
      <c r="AR170" s="16"/>
      <c r="AS170" s="13"/>
      <c r="AT170" s="27"/>
      <c r="AU170" s="16"/>
      <c r="AV170" s="13"/>
      <c r="AW170" s="27"/>
      <c r="AX170" s="16"/>
      <c r="AY170" s="13"/>
      <c r="AZ170" s="27"/>
      <c r="BA170" s="59"/>
      <c r="BB170" s="66"/>
      <c r="BC170" s="79"/>
      <c r="BD170" s="13"/>
      <c r="BE170" s="31"/>
      <c r="BF170" s="8"/>
      <c r="BG170" s="9"/>
    </row>
    <row r="171" spans="1:59" ht="15.75" thickBot="1" x14ac:dyDescent="0.3">
      <c r="A171">
        <v>3</v>
      </c>
      <c r="B171" s="16">
        <v>21</v>
      </c>
      <c r="C171" s="14" t="s">
        <v>14</v>
      </c>
      <c r="D171" s="37">
        <f>SUM(AA169:AG169)</f>
        <v>0</v>
      </c>
      <c r="E171" s="69" t="s">
        <v>19</v>
      </c>
      <c r="F171" s="9"/>
      <c r="G171" s="6">
        <v>120</v>
      </c>
      <c r="H171" s="13" t="s">
        <v>50</v>
      </c>
      <c r="I171" s="17"/>
      <c r="J171" s="8"/>
      <c r="K171" s="8"/>
      <c r="L171" s="8"/>
      <c r="M171" s="13" t="s">
        <v>61</v>
      </c>
      <c r="N171" s="13">
        <f>M169*N169+M170*N170</f>
        <v>0</v>
      </c>
      <c r="O171" s="8"/>
      <c r="P171" s="9"/>
      <c r="Q171" s="6"/>
      <c r="R171" s="10"/>
      <c r="S171" s="40">
        <f>IF(I155&gt;0,S167*I155*S169,0)</f>
        <v>0</v>
      </c>
      <c r="T171" s="40">
        <f>IF(J155&gt;0,T167*J155*T169,0)</f>
        <v>6.8000000000000007</v>
      </c>
      <c r="U171" s="12"/>
      <c r="V171" s="12"/>
      <c r="W171" s="40">
        <f t="shared" ref="W171" si="64">IF(M155&gt;0,W167*M155*W169,0)</f>
        <v>0</v>
      </c>
      <c r="X171" s="41">
        <f t="shared" ref="X171" si="65">IF(N155&gt;0,X167*N155*X169,0)</f>
        <v>0</v>
      </c>
      <c r="Y171" s="8"/>
      <c r="Z171" s="2"/>
      <c r="AA171" s="113" t="s">
        <v>97</v>
      </c>
      <c r="AB171" s="114"/>
      <c r="AC171" s="114"/>
      <c r="AD171" s="114"/>
      <c r="AE171" s="114"/>
      <c r="AF171" s="114"/>
      <c r="AG171" s="115"/>
      <c r="AH171" s="8"/>
      <c r="AI171" s="8"/>
      <c r="AJ171" s="67"/>
      <c r="AK171" s="75"/>
      <c r="AL171" s="30"/>
      <c r="AM171" s="21"/>
      <c r="AN171" s="31"/>
      <c r="AO171" s="30"/>
      <c r="AP171" s="21"/>
      <c r="AQ171" s="31"/>
      <c r="AR171" s="30"/>
      <c r="AS171" s="21"/>
      <c r="AT171" s="31"/>
      <c r="AU171" s="30"/>
      <c r="AV171" s="21"/>
      <c r="AW171" s="31"/>
      <c r="AX171" s="30"/>
      <c r="AY171" s="21"/>
      <c r="AZ171" s="31"/>
      <c r="BA171" s="91"/>
      <c r="BB171" s="70"/>
      <c r="BC171" s="79"/>
      <c r="BD171" s="76" t="s">
        <v>123</v>
      </c>
      <c r="BE171" s="22">
        <f>SUM(BE149:BE151)+SUM(BE154:BE155)</f>
        <v>0.19190000000000002</v>
      </c>
      <c r="BF171" s="8"/>
      <c r="BG171" s="9"/>
    </row>
    <row r="172" spans="1:59" ht="15.75" thickBot="1" x14ac:dyDescent="0.3">
      <c r="A172">
        <v>3</v>
      </c>
      <c r="B172" s="16">
        <v>22</v>
      </c>
      <c r="C172" s="14" t="s">
        <v>95</v>
      </c>
      <c r="D172" s="37">
        <f>SUM(AA170:AG170)</f>
        <v>0</v>
      </c>
      <c r="E172" s="69" t="s">
        <v>19</v>
      </c>
      <c r="F172" s="9"/>
      <c r="G172" s="6">
        <v>65</v>
      </c>
      <c r="H172" s="13" t="s">
        <v>51</v>
      </c>
      <c r="I172" s="17"/>
      <c r="J172" s="8"/>
      <c r="K172" s="8"/>
      <c r="L172" s="8" t="s">
        <v>132</v>
      </c>
      <c r="M172" s="8"/>
      <c r="N172" s="8"/>
      <c r="O172" s="8"/>
      <c r="P172" s="9"/>
      <c r="Q172" s="6"/>
      <c r="R172" s="8"/>
      <c r="S172" s="8"/>
      <c r="T172" s="8"/>
      <c r="U172" s="8"/>
      <c r="V172" s="8"/>
      <c r="W172" s="8"/>
      <c r="X172" s="8"/>
      <c r="Y172" s="8"/>
      <c r="Z172" s="16" t="s">
        <v>90</v>
      </c>
      <c r="AA172" s="33"/>
      <c r="AB172" s="33">
        <f>(0.05*0.05*2+0.05*0.004*4)*AB162</f>
        <v>1.7400000000000006E-2</v>
      </c>
      <c r="AC172" s="33">
        <f t="shared" ref="AC172:AG172" si="66">(0.05*0.05*2+0.05*0.004*4)*AC162</f>
        <v>1.7400000000000006E-2</v>
      </c>
      <c r="AD172" s="33">
        <f t="shared" si="66"/>
        <v>1.7400000000000006E-2</v>
      </c>
      <c r="AE172" s="33">
        <f t="shared" si="66"/>
        <v>1.7400000000000006E-2</v>
      </c>
      <c r="AF172" s="33">
        <f t="shared" si="66"/>
        <v>2.3200000000000005E-2</v>
      </c>
      <c r="AG172" s="34">
        <f t="shared" si="66"/>
        <v>2.3200000000000005E-2</v>
      </c>
      <c r="AH172" s="8"/>
      <c r="AI172" s="8"/>
      <c r="AJ172" s="113" t="s">
        <v>61</v>
      </c>
      <c r="AK172" s="114"/>
      <c r="AL172" s="24"/>
      <c r="AM172" s="25"/>
      <c r="AN172" s="26">
        <f>SUM(AN149:AN171)</f>
        <v>8.5211999999999996E-3</v>
      </c>
      <c r="AO172" s="24"/>
      <c r="AP172" s="25"/>
      <c r="AQ172" s="26">
        <f t="shared" ref="AQ172" si="67">SUM(AQ149:AQ171)</f>
        <v>0</v>
      </c>
      <c r="AR172" s="24"/>
      <c r="AS172" s="25"/>
      <c r="AT172" s="26">
        <f t="shared" ref="AT172" si="68">SUM(AT149:AT171)</f>
        <v>0</v>
      </c>
      <c r="AU172" s="24"/>
      <c r="AV172" s="25"/>
      <c r="AW172" s="26">
        <f t="shared" ref="AW172" si="69">SUM(AW149:AW171)</f>
        <v>0</v>
      </c>
      <c r="AX172" s="24"/>
      <c r="AY172" s="25"/>
      <c r="AZ172" s="26"/>
      <c r="BA172" s="92">
        <f t="shared" ref="BA172" si="70">SUM(BA149:BA171)</f>
        <v>0.60075000000000001</v>
      </c>
      <c r="BB172" s="22">
        <f>SUM(BB149:BB171)</f>
        <v>0.27129600000000004</v>
      </c>
      <c r="BC172" s="77"/>
      <c r="BD172" s="72" t="s">
        <v>23</v>
      </c>
      <c r="BE172" s="22">
        <f>SUM(BE164:BE167)</f>
        <v>0</v>
      </c>
      <c r="BF172" s="8"/>
      <c r="BG172" s="9"/>
    </row>
    <row r="173" spans="1:59" ht="15.75" thickBot="1" x14ac:dyDescent="0.3">
      <c r="A173">
        <v>3</v>
      </c>
      <c r="B173" s="16">
        <v>23</v>
      </c>
      <c r="C173" s="14" t="s">
        <v>71</v>
      </c>
      <c r="D173" s="37">
        <f>SUM(AA168:AG168)</f>
        <v>0</v>
      </c>
      <c r="E173" s="69" t="s">
        <v>19</v>
      </c>
      <c r="F173" s="9"/>
      <c r="G173" s="6">
        <v>120</v>
      </c>
      <c r="H173" s="13" t="s">
        <v>52</v>
      </c>
      <c r="I173" s="17"/>
      <c r="J173" s="8"/>
      <c r="K173" s="8"/>
      <c r="L173" s="116" t="s">
        <v>128</v>
      </c>
      <c r="M173" s="116"/>
      <c r="N173" s="116"/>
      <c r="O173" s="134" t="s">
        <v>107</v>
      </c>
      <c r="P173" s="138"/>
      <c r="Q173" s="6"/>
      <c r="R173" s="113" t="s">
        <v>85</v>
      </c>
      <c r="S173" s="114"/>
      <c r="T173" s="114"/>
      <c r="U173" s="114"/>
      <c r="V173" s="114"/>
      <c r="W173" s="114"/>
      <c r="X173" s="115"/>
      <c r="Y173" s="8"/>
      <c r="Z173" s="16" t="s">
        <v>91</v>
      </c>
      <c r="AA173" s="13"/>
      <c r="AB173" s="13">
        <f>3.14*0.006*AB165*AB162</f>
        <v>3.8433600000000012E-2</v>
      </c>
      <c r="AC173" s="13">
        <f t="shared" ref="AC173" si="71">3.14*0.006*AC165*AC162</f>
        <v>7.7432400000000012E-2</v>
      </c>
      <c r="AD173" s="13"/>
      <c r="AE173" s="13"/>
      <c r="AF173" s="13">
        <f t="shared" ref="AF173:AG173" si="72">3.14*0.006*AF165*AF162</f>
        <v>5.1244800000000014E-2</v>
      </c>
      <c r="AG173" s="27">
        <f t="shared" si="72"/>
        <v>7.0084800000000017E-2</v>
      </c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9"/>
    </row>
    <row r="174" spans="1:59" ht="15.75" thickBot="1" x14ac:dyDescent="0.3">
      <c r="A174">
        <v>3</v>
      </c>
      <c r="B174" s="16"/>
      <c r="C174" s="15" t="s">
        <v>8</v>
      </c>
      <c r="D174" s="37"/>
      <c r="E174" s="69"/>
      <c r="F174" s="9"/>
      <c r="G174" s="6">
        <v>190</v>
      </c>
      <c r="H174" s="13" t="s">
        <v>53</v>
      </c>
      <c r="I174" s="17"/>
      <c r="J174" s="8"/>
      <c r="K174" s="8"/>
      <c r="L174" s="13" t="s">
        <v>125</v>
      </c>
      <c r="M174" s="13" t="s">
        <v>126</v>
      </c>
      <c r="N174" s="13" t="s">
        <v>63</v>
      </c>
      <c r="O174" s="61" t="s">
        <v>31</v>
      </c>
      <c r="P174" s="27" t="s">
        <v>130</v>
      </c>
      <c r="Q174" s="6"/>
      <c r="R174" s="16" t="s">
        <v>23</v>
      </c>
      <c r="S174" s="13" t="s">
        <v>24</v>
      </c>
      <c r="T174" s="13" t="s">
        <v>25</v>
      </c>
      <c r="U174" s="13" t="s">
        <v>26</v>
      </c>
      <c r="V174" s="13" t="s">
        <v>27</v>
      </c>
      <c r="W174" s="13" t="s">
        <v>28</v>
      </c>
      <c r="X174" s="27" t="s">
        <v>29</v>
      </c>
      <c r="Y174" s="8"/>
      <c r="Z174" s="16" t="s">
        <v>96</v>
      </c>
      <c r="AA174" s="21">
        <f>3.14*0.008*AA166*AA162</f>
        <v>2.1100800000000003E-2</v>
      </c>
      <c r="AB174" s="21"/>
      <c r="AC174" s="21"/>
      <c r="AD174" s="21">
        <f t="shared" ref="AD174:AE174" si="73">3.14*0.008*AD166*AD162</f>
        <v>2.7129599999999997E-2</v>
      </c>
      <c r="AE174" s="21">
        <f t="shared" si="73"/>
        <v>2.7129599999999997E-2</v>
      </c>
      <c r="AF174" s="21"/>
      <c r="AG174" s="31"/>
      <c r="AH174" s="8"/>
      <c r="AI174" s="8"/>
      <c r="AJ174" s="116" t="s">
        <v>124</v>
      </c>
      <c r="AK174" s="116"/>
      <c r="AL174" s="116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9"/>
    </row>
    <row r="175" spans="1:59" ht="15.75" thickBot="1" x14ac:dyDescent="0.3">
      <c r="A175">
        <v>3</v>
      </c>
      <c r="B175" s="16">
        <v>24</v>
      </c>
      <c r="C175" s="14" t="s">
        <v>103</v>
      </c>
      <c r="D175" s="37">
        <f>AT172</f>
        <v>0</v>
      </c>
      <c r="E175" s="69" t="s">
        <v>19</v>
      </c>
      <c r="F175" s="9"/>
      <c r="G175" s="6">
        <v>190</v>
      </c>
      <c r="H175" s="13" t="s">
        <v>108</v>
      </c>
      <c r="I175" s="17"/>
      <c r="J175" s="8"/>
      <c r="K175" s="8"/>
      <c r="L175" s="17"/>
      <c r="M175" s="17"/>
      <c r="N175" s="17"/>
      <c r="O175" s="17"/>
      <c r="P175" s="96"/>
      <c r="Q175" s="6" t="s">
        <v>86</v>
      </c>
      <c r="R175" s="16">
        <v>0.28000000000000003</v>
      </c>
      <c r="S175" s="13">
        <v>0.28000000000000003</v>
      </c>
      <c r="T175" s="13">
        <v>0.28000000000000003</v>
      </c>
      <c r="U175" s="13">
        <v>0.28000000000000003</v>
      </c>
      <c r="V175" s="13">
        <v>0.28000000000000003</v>
      </c>
      <c r="W175" s="13">
        <v>0.28000000000000003</v>
      </c>
      <c r="X175" s="27">
        <v>0.28000000000000003</v>
      </c>
      <c r="Y175" s="8"/>
      <c r="Z175" s="6"/>
      <c r="AA175" s="113" t="s">
        <v>100</v>
      </c>
      <c r="AB175" s="114"/>
      <c r="AC175" s="114"/>
      <c r="AD175" s="114"/>
      <c r="AE175" s="114"/>
      <c r="AF175" s="114"/>
      <c r="AG175" s="115"/>
      <c r="AH175" s="8"/>
      <c r="AI175" s="8"/>
      <c r="AJ175" s="13" t="s">
        <v>128</v>
      </c>
      <c r="AK175" s="116" t="s">
        <v>107</v>
      </c>
      <c r="AL175" s="134"/>
      <c r="AM175" s="13" t="s">
        <v>116</v>
      </c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9"/>
    </row>
    <row r="176" spans="1:59" ht="15.75" thickBot="1" x14ac:dyDescent="0.3">
      <c r="A176">
        <v>3</v>
      </c>
      <c r="B176" s="16">
        <v>25</v>
      </c>
      <c r="C176" s="14" t="s">
        <v>107</v>
      </c>
      <c r="D176" s="37">
        <f>AW172</f>
        <v>0</v>
      </c>
      <c r="E176" s="69" t="s">
        <v>19</v>
      </c>
      <c r="F176" s="9"/>
      <c r="G176" s="6"/>
      <c r="H176" s="61"/>
      <c r="I176" s="61"/>
      <c r="J176" s="8"/>
      <c r="K176" s="8"/>
      <c r="L176" s="17"/>
      <c r="M176" s="17"/>
      <c r="N176" s="17"/>
      <c r="O176" s="17"/>
      <c r="P176" s="96"/>
      <c r="Q176" s="6" t="s">
        <v>87</v>
      </c>
      <c r="R176" s="54">
        <f>IF(H155&gt;0,H155/1,0)</f>
        <v>0</v>
      </c>
      <c r="S176" s="53">
        <f>IF(I155&gt;0,I155/1.5,0)</f>
        <v>0</v>
      </c>
      <c r="T176" s="53">
        <f>IF(J155&gt;0,J155/1.5,0)</f>
        <v>6.666666666666667</v>
      </c>
      <c r="U176" s="53">
        <f>IF(K155&gt;0,K155/1.5,0)</f>
        <v>0</v>
      </c>
      <c r="V176" s="53">
        <f>IF(L155&gt;0,L155/1.5,0)</f>
        <v>0</v>
      </c>
      <c r="W176" s="53">
        <f t="shared" ref="W176" si="74">IF(M155&gt;0,M155/1.5,0)</f>
        <v>0</v>
      </c>
      <c r="X176" s="55">
        <f t="shared" ref="X176" si="75">IF(N155&gt;0,N155/1.5,0)</f>
        <v>0</v>
      </c>
      <c r="Y176" s="8"/>
      <c r="Z176" s="16" t="s">
        <v>90</v>
      </c>
      <c r="AA176" s="33"/>
      <c r="AB176" s="33">
        <f>IF(I155&gt;0,AB172*M159,0)</f>
        <v>0</v>
      </c>
      <c r="AC176" s="33">
        <f>IF(J155&gt;0,AC172*M159,0)</f>
        <v>0</v>
      </c>
      <c r="AD176" s="33">
        <f>IF(K155&gt;0,AD172*M159,0)</f>
        <v>0</v>
      </c>
      <c r="AE176" s="33">
        <f>IF(L155&gt;0,AE172*M159,0)</f>
        <v>0</v>
      </c>
      <c r="AF176" s="33">
        <f>IF(M155&gt;0,AF172*M159,0)</f>
        <v>0</v>
      </c>
      <c r="AG176" s="34">
        <f>IF(N155&gt;0,AG172*M159,0)</f>
        <v>0</v>
      </c>
      <c r="AH176" s="8"/>
      <c r="AI176" s="8"/>
      <c r="AJ176" s="94">
        <f>IF(I155&gt;0,N175*M175*L175,0)</f>
        <v>0</v>
      </c>
      <c r="AK176" s="116">
        <f>IF(I155&gt;0,P175*O175*AB154,0)</f>
        <v>0</v>
      </c>
      <c r="AL176" s="134"/>
      <c r="AM176" s="13">
        <f>IF(I155&gt;0,0.3*P175*O175,0)</f>
        <v>0</v>
      </c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9"/>
    </row>
    <row r="177" spans="1:59" ht="15.75" thickBot="1" x14ac:dyDescent="0.3">
      <c r="A177">
        <v>3</v>
      </c>
      <c r="B177" s="16">
        <v>26</v>
      </c>
      <c r="C177" s="14" t="s">
        <v>111</v>
      </c>
      <c r="D177" s="37">
        <f>AZ172</f>
        <v>0</v>
      </c>
      <c r="E177" s="69" t="s">
        <v>19</v>
      </c>
      <c r="F177" s="9"/>
      <c r="G177" s="6">
        <v>80</v>
      </c>
      <c r="H177" s="13" t="s">
        <v>54</v>
      </c>
      <c r="I177" s="17"/>
      <c r="J177" s="8"/>
      <c r="K177" s="8"/>
      <c r="L177" s="17"/>
      <c r="M177" s="17"/>
      <c r="N177" s="17"/>
      <c r="O177" s="17"/>
      <c r="P177" s="96"/>
      <c r="Q177" s="6"/>
      <c r="R177" s="113" t="s">
        <v>88</v>
      </c>
      <c r="S177" s="114"/>
      <c r="T177" s="114"/>
      <c r="U177" s="114"/>
      <c r="V177" s="114"/>
      <c r="W177" s="114"/>
      <c r="X177" s="115"/>
      <c r="Y177" s="8"/>
      <c r="Z177" s="16" t="s">
        <v>91</v>
      </c>
      <c r="AA177" s="13"/>
      <c r="AB177" s="13">
        <f>IF(I155&gt;0,AB173*M159,0)</f>
        <v>0</v>
      </c>
      <c r="AC177" s="13">
        <f>IF(J155&gt;0,AC173*M159,0)</f>
        <v>0</v>
      </c>
      <c r="AD177" s="13"/>
      <c r="AE177" s="13"/>
      <c r="AF177" s="13">
        <f>IF(M155&gt;0,AF173*M159,0)</f>
        <v>0</v>
      </c>
      <c r="AG177" s="27">
        <f>IF(N155&gt;0,AG173*M159,0)</f>
        <v>0</v>
      </c>
      <c r="AH177" s="8"/>
      <c r="AI177" s="8"/>
      <c r="AJ177" s="94">
        <f>IF(I155&gt;0,N176*M176*L176,0)</f>
        <v>0</v>
      </c>
      <c r="AK177" s="116">
        <f>IF(I155&gt;0,P176*O176*AB155,0)</f>
        <v>0</v>
      </c>
      <c r="AL177" s="134"/>
      <c r="AM177" s="13">
        <f>IF(I155&gt;0,0.3*P176*O176,0)</f>
        <v>0</v>
      </c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9"/>
    </row>
    <row r="178" spans="1:59" ht="15.75" thickBot="1" x14ac:dyDescent="0.3">
      <c r="A178">
        <v>3</v>
      </c>
      <c r="B178" s="16">
        <v>27</v>
      </c>
      <c r="C178" s="14" t="s">
        <v>102</v>
      </c>
      <c r="D178" s="37">
        <f>AN172</f>
        <v>8.5211999999999996E-3</v>
      </c>
      <c r="E178" s="69" t="s">
        <v>19</v>
      </c>
      <c r="F178" s="9"/>
      <c r="G178" s="6">
        <v>80</v>
      </c>
      <c r="H178" s="13" t="s">
        <v>55</v>
      </c>
      <c r="I178" s="17"/>
      <c r="J178" s="8"/>
      <c r="K178" s="8"/>
      <c r="L178" s="8"/>
      <c r="M178" s="8"/>
      <c r="N178" s="8"/>
      <c r="O178" s="8"/>
      <c r="P178" s="9"/>
      <c r="Q178" s="6"/>
      <c r="R178" s="60">
        <f>R175*R176*AB149</f>
        <v>0</v>
      </c>
      <c r="S178" s="47">
        <f>S175*S176*AB149</f>
        <v>0</v>
      </c>
      <c r="T178" s="47">
        <f>T175*T176*AB149</f>
        <v>7.3733333333333344E-4</v>
      </c>
      <c r="U178" s="47">
        <f>U175*U176*AC149</f>
        <v>0</v>
      </c>
      <c r="V178" s="47">
        <f>V175*V176*AB149</f>
        <v>0</v>
      </c>
      <c r="W178" s="47">
        <f>W175*W176*AB149</f>
        <v>0</v>
      </c>
      <c r="X178" s="48">
        <f>X175*X176*AB149</f>
        <v>0</v>
      </c>
      <c r="Y178" s="8"/>
      <c r="Z178" s="28" t="s">
        <v>96</v>
      </c>
      <c r="AA178" s="20">
        <f>IF(H155&gt;0,AA174*M159,0)</f>
        <v>0</v>
      </c>
      <c r="AB178" s="20"/>
      <c r="AC178" s="20"/>
      <c r="AD178" s="20">
        <f>IF(K155&gt;0,AD174*M159,0)</f>
        <v>0</v>
      </c>
      <c r="AE178" s="20">
        <f>IF(L155&gt;0,AE174*M159,0)</f>
        <v>0</v>
      </c>
      <c r="AF178" s="20"/>
      <c r="AG178" s="29"/>
      <c r="AH178" s="8"/>
      <c r="AI178" s="8"/>
      <c r="AJ178" s="95">
        <f>IF(I155&gt;0,N177*M177*L177,0)</f>
        <v>0</v>
      </c>
      <c r="AK178" s="135">
        <f>IF(I155&gt;0,P177*O177*AB156,0)</f>
        <v>0</v>
      </c>
      <c r="AL178" s="136"/>
      <c r="AM178" s="21">
        <f>IF(I155&gt;0,0.3*P177*O177,0)</f>
        <v>0</v>
      </c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9"/>
    </row>
    <row r="179" spans="1:59" ht="15.75" thickBot="1" x14ac:dyDescent="0.3">
      <c r="A179">
        <v>3</v>
      </c>
      <c r="B179" s="16">
        <v>28</v>
      </c>
      <c r="C179" s="14" t="s">
        <v>110</v>
      </c>
      <c r="D179" s="37">
        <f>AQ172</f>
        <v>0</v>
      </c>
      <c r="E179" s="69" t="s">
        <v>19</v>
      </c>
      <c r="F179" s="9"/>
      <c r="G179" s="62">
        <v>80</v>
      </c>
      <c r="H179" s="13" t="s">
        <v>56</v>
      </c>
      <c r="I179" s="17"/>
      <c r="J179" s="8"/>
      <c r="K179" s="8"/>
      <c r="L179" s="8"/>
      <c r="M179" s="8"/>
      <c r="N179" s="8"/>
      <c r="O179" s="8"/>
      <c r="P179" s="9"/>
      <c r="Q179" s="6"/>
      <c r="R179" s="116" t="s">
        <v>99</v>
      </c>
      <c r="S179" s="116"/>
      <c r="T179" s="116"/>
      <c r="U179" s="116"/>
      <c r="V179" s="116"/>
      <c r="W179" s="116"/>
      <c r="X179" s="116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24" t="s">
        <v>129</v>
      </c>
      <c r="AJ179" s="25">
        <f>SUM(AJ176:AJ178)</f>
        <v>0</v>
      </c>
      <c r="AK179" s="119">
        <f>SUM(AK176:AL178)</f>
        <v>0</v>
      </c>
      <c r="AL179" s="137"/>
      <c r="AM179" s="22">
        <f>SUM(AM176:AM178)</f>
        <v>0</v>
      </c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9"/>
    </row>
    <row r="180" spans="1:59" x14ac:dyDescent="0.25">
      <c r="A180">
        <v>3</v>
      </c>
      <c r="B180" s="16">
        <v>29</v>
      </c>
      <c r="C180" s="14" t="s">
        <v>9</v>
      </c>
      <c r="D180" s="37">
        <f>BA172</f>
        <v>0.60075000000000001</v>
      </c>
      <c r="E180" s="69" t="s">
        <v>17</v>
      </c>
      <c r="F180" s="9"/>
      <c r="G180" s="62">
        <v>80</v>
      </c>
      <c r="H180" s="13" t="s">
        <v>57</v>
      </c>
      <c r="I180" s="17"/>
      <c r="J180" s="8"/>
      <c r="K180" s="8"/>
      <c r="L180" s="8"/>
      <c r="M180" s="8"/>
      <c r="N180" s="8"/>
      <c r="O180" s="8"/>
      <c r="P180" s="9"/>
      <c r="Q180" s="6" t="s">
        <v>101</v>
      </c>
      <c r="R180" s="13">
        <f>IF(H155&gt;0,3.14*0.008*R175*R176,0)</f>
        <v>0</v>
      </c>
      <c r="S180" s="13">
        <f t="shared" ref="S180" si="76">IF(I155&gt;0,3.14*0.008*S175*S176,0)</f>
        <v>0</v>
      </c>
      <c r="T180" s="13">
        <f t="shared" ref="T180" si="77">IF(J155&gt;0,3.14*0.008*T175*T176,0)</f>
        <v>4.6890666666666678E-2</v>
      </c>
      <c r="U180" s="13">
        <f t="shared" ref="U180" si="78">IF(K155&gt;0,3.14*0.008*U175*U176,0)</f>
        <v>0</v>
      </c>
      <c r="V180" s="13">
        <f t="shared" ref="V180" si="79">IF(L155&gt;0,3.14*0.008*V175*V176,0)</f>
        <v>0</v>
      </c>
      <c r="W180" s="13">
        <f t="shared" ref="W180" si="80">IF(M155&gt;0,3.14*0.008*W175*W176,0)</f>
        <v>0</v>
      </c>
      <c r="X180" s="13">
        <f t="shared" ref="X180" si="81">IF(N155&gt;0,3.14*0.008*X175*X176,0)</f>
        <v>0</v>
      </c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9"/>
    </row>
    <row r="181" spans="1:59" x14ac:dyDescent="0.25">
      <c r="A181">
        <v>3</v>
      </c>
      <c r="B181" s="16">
        <v>30</v>
      </c>
      <c r="C181" s="14" t="s">
        <v>117</v>
      </c>
      <c r="D181" s="37">
        <f>BE171</f>
        <v>0.19190000000000002</v>
      </c>
      <c r="E181" s="69" t="s">
        <v>17</v>
      </c>
      <c r="F181" s="9"/>
      <c r="G181" s="6"/>
      <c r="H181" s="8"/>
      <c r="I181" s="8"/>
      <c r="J181" s="8"/>
      <c r="K181" s="8"/>
      <c r="L181" s="8"/>
      <c r="M181" s="8"/>
      <c r="N181" s="8"/>
      <c r="O181" s="8"/>
      <c r="P181" s="9"/>
      <c r="Q181" s="6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9"/>
    </row>
    <row r="182" spans="1:59" x14ac:dyDescent="0.25">
      <c r="A182">
        <v>3</v>
      </c>
      <c r="B182" s="16">
        <v>31</v>
      </c>
      <c r="C182" s="14" t="s">
        <v>118</v>
      </c>
      <c r="D182" s="37">
        <f>D181*0.03</f>
        <v>5.757E-3</v>
      </c>
      <c r="E182" s="69" t="s">
        <v>18</v>
      </c>
      <c r="F182" s="9"/>
      <c r="G182" s="6"/>
      <c r="H182" s="8"/>
      <c r="I182" s="8"/>
      <c r="J182" s="8"/>
      <c r="K182" s="8"/>
      <c r="L182" s="8"/>
      <c r="M182" s="8"/>
      <c r="N182" s="8"/>
      <c r="O182" s="8"/>
      <c r="P182" s="9"/>
      <c r="Q182" s="6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9"/>
    </row>
    <row r="183" spans="1:59" x14ac:dyDescent="0.25">
      <c r="A183">
        <v>3</v>
      </c>
      <c r="B183" s="16">
        <v>32</v>
      </c>
      <c r="C183" s="14" t="s">
        <v>119</v>
      </c>
      <c r="D183" s="37">
        <f>BE172</f>
        <v>0</v>
      </c>
      <c r="E183" s="69" t="s">
        <v>17</v>
      </c>
      <c r="F183" s="9"/>
      <c r="G183" s="6"/>
      <c r="H183" s="8"/>
      <c r="I183" s="8"/>
      <c r="J183" s="8"/>
      <c r="K183" s="8"/>
      <c r="L183" s="8"/>
      <c r="M183" s="8"/>
      <c r="N183" s="8"/>
      <c r="O183" s="8"/>
      <c r="P183" s="9"/>
      <c r="Q183" s="6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9"/>
    </row>
    <row r="184" spans="1:59" x14ac:dyDescent="0.25">
      <c r="A184">
        <v>3</v>
      </c>
      <c r="B184" s="16">
        <v>33</v>
      </c>
      <c r="C184" s="14" t="s">
        <v>120</v>
      </c>
      <c r="D184" s="37">
        <f>D183*0.03</f>
        <v>0</v>
      </c>
      <c r="E184" s="69" t="s">
        <v>18</v>
      </c>
      <c r="F184" s="9"/>
      <c r="G184" s="6"/>
      <c r="H184" s="8"/>
      <c r="I184" s="8"/>
      <c r="J184" s="8"/>
      <c r="K184" s="8"/>
      <c r="L184" s="8"/>
      <c r="M184" s="8"/>
      <c r="N184" s="8"/>
      <c r="O184" s="8"/>
      <c r="P184" s="9"/>
      <c r="Q184" s="6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9"/>
    </row>
    <row r="185" spans="1:59" x14ac:dyDescent="0.25">
      <c r="A185">
        <v>3</v>
      </c>
      <c r="B185" s="16">
        <v>34</v>
      </c>
      <c r="C185" s="14" t="s">
        <v>15</v>
      </c>
      <c r="D185" s="37">
        <f>SUM(AA176:AG178)+SUM(R180:X180)+BB172+AM179</f>
        <v>0.31818666666666673</v>
      </c>
      <c r="E185" s="69" t="s">
        <v>17</v>
      </c>
      <c r="F185" s="9"/>
      <c r="G185" s="6"/>
      <c r="H185" s="8"/>
      <c r="I185" s="8"/>
      <c r="J185" s="8"/>
      <c r="K185" s="8"/>
      <c r="L185" s="8"/>
      <c r="M185" s="8"/>
      <c r="N185" s="8"/>
      <c r="O185" s="8"/>
      <c r="P185" s="9"/>
      <c r="Q185" s="6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9"/>
    </row>
    <row r="186" spans="1:59" x14ac:dyDescent="0.25">
      <c r="B186" s="6"/>
      <c r="C186" s="7"/>
      <c r="D186" s="86"/>
      <c r="E186" s="87"/>
      <c r="F186" s="9"/>
      <c r="G186" s="6"/>
      <c r="H186" s="8"/>
      <c r="I186" s="8"/>
      <c r="J186" s="8"/>
      <c r="K186" s="8"/>
      <c r="L186" s="8"/>
      <c r="M186" s="8"/>
      <c r="N186" s="8"/>
      <c r="O186" s="8"/>
      <c r="P186" s="9"/>
      <c r="Q186" s="6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9"/>
    </row>
    <row r="187" spans="1:59" x14ac:dyDescent="0.25">
      <c r="B187" s="6"/>
      <c r="C187" s="7"/>
      <c r="D187" s="8"/>
      <c r="E187" s="8"/>
      <c r="F187" s="9"/>
      <c r="G187" s="6"/>
      <c r="H187" s="8"/>
      <c r="I187" s="8"/>
      <c r="J187" s="8"/>
      <c r="K187" s="8"/>
      <c r="L187" s="8"/>
      <c r="M187" s="8"/>
      <c r="N187" s="8"/>
      <c r="O187" s="8"/>
      <c r="P187" s="9"/>
      <c r="Q187" s="6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9"/>
    </row>
    <row r="188" spans="1:59" x14ac:dyDescent="0.25">
      <c r="B188" s="6"/>
      <c r="C188" s="7"/>
      <c r="D188" s="8"/>
      <c r="E188" s="8"/>
      <c r="F188" s="9"/>
      <c r="G188" s="6"/>
      <c r="H188" s="8"/>
      <c r="I188" s="8"/>
      <c r="J188" s="8"/>
      <c r="K188" s="8"/>
      <c r="L188" s="8"/>
      <c r="M188" s="8"/>
      <c r="N188" s="8"/>
      <c r="O188" s="8"/>
      <c r="P188" s="9"/>
      <c r="Q188" s="6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9"/>
    </row>
    <row r="189" spans="1:59" x14ac:dyDescent="0.25">
      <c r="B189" s="6"/>
      <c r="C189" s="7"/>
      <c r="D189" s="8"/>
      <c r="E189" s="8"/>
      <c r="F189" s="9"/>
      <c r="G189" s="6"/>
      <c r="H189" s="8"/>
      <c r="I189" s="8"/>
      <c r="J189" s="8"/>
      <c r="K189" s="8"/>
      <c r="L189" s="8"/>
      <c r="M189" s="8"/>
      <c r="N189" s="8"/>
      <c r="O189" s="8"/>
      <c r="P189" s="9"/>
      <c r="Q189" s="6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9"/>
    </row>
    <row r="190" spans="1:59" ht="15.75" thickBot="1" x14ac:dyDescent="0.3">
      <c r="B190" s="10"/>
      <c r="C190" s="11"/>
      <c r="D190" s="12"/>
      <c r="E190" s="12"/>
      <c r="F190" s="84"/>
      <c r="G190" s="10"/>
      <c r="H190" s="12"/>
      <c r="I190" s="12"/>
      <c r="J190" s="12"/>
      <c r="K190" s="12"/>
      <c r="L190" s="12"/>
      <c r="M190" s="12"/>
      <c r="N190" s="12"/>
      <c r="O190" s="12"/>
      <c r="P190" s="84"/>
      <c r="Q190" s="10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84"/>
    </row>
    <row r="191" spans="1:59" ht="15.75" thickBot="1" x14ac:dyDescent="0.3">
      <c r="B191" s="2"/>
      <c r="C191" s="3"/>
      <c r="D191" s="4"/>
      <c r="E191" s="4"/>
      <c r="F191" s="5"/>
      <c r="G191" s="2"/>
      <c r="H191" s="19" t="s">
        <v>22</v>
      </c>
      <c r="I191" s="19"/>
      <c r="J191" s="19"/>
      <c r="K191" s="4"/>
      <c r="L191" s="4"/>
      <c r="M191" s="4"/>
      <c r="N191" s="4"/>
      <c r="O191" s="4"/>
      <c r="P191" s="5"/>
      <c r="Q191" s="2" t="s">
        <v>109</v>
      </c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5"/>
    </row>
    <row r="192" spans="1:59" ht="19.5" thickBot="1" x14ac:dyDescent="0.45">
      <c r="A192" s="110"/>
      <c r="B192" s="8"/>
      <c r="C192" s="52" t="s">
        <v>80</v>
      </c>
      <c r="D192" s="56">
        <f>D146+1</f>
        <v>4</v>
      </c>
      <c r="E192" s="8"/>
      <c r="F192" s="50" t="s">
        <v>69</v>
      </c>
      <c r="G192" s="6"/>
      <c r="H192" s="113" t="s">
        <v>58</v>
      </c>
      <c r="I192" s="114"/>
      <c r="J192" s="114"/>
      <c r="K192" s="114"/>
      <c r="L192" s="114"/>
      <c r="M192" s="114"/>
      <c r="N192" s="114"/>
      <c r="O192" s="115"/>
      <c r="P192" s="9"/>
      <c r="Q192" s="6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9"/>
    </row>
    <row r="193" spans="1:59" ht="19.5" thickBot="1" x14ac:dyDescent="0.3">
      <c r="B193" s="6"/>
      <c r="C193" s="7"/>
      <c r="D193" s="8"/>
      <c r="E193" s="8"/>
      <c r="F193" s="49">
        <f>IF(H201&gt;0,H193,0)</f>
        <v>0</v>
      </c>
      <c r="G193" s="6"/>
      <c r="H193" s="33" t="s">
        <v>23</v>
      </c>
      <c r="I193" s="33" t="s">
        <v>24</v>
      </c>
      <c r="J193" s="33" t="s">
        <v>25</v>
      </c>
      <c r="K193" s="33" t="s">
        <v>26</v>
      </c>
      <c r="L193" s="33" t="s">
        <v>27</v>
      </c>
      <c r="M193" s="33" t="s">
        <v>28</v>
      </c>
      <c r="N193" s="33" t="s">
        <v>29</v>
      </c>
      <c r="O193" s="51" t="s">
        <v>38</v>
      </c>
      <c r="P193" s="9"/>
      <c r="Q193" s="6"/>
      <c r="R193" s="113" t="s">
        <v>59</v>
      </c>
      <c r="S193" s="114"/>
      <c r="T193" s="114"/>
      <c r="U193" s="114"/>
      <c r="V193" s="114"/>
      <c r="W193" s="114"/>
      <c r="X193" s="115"/>
      <c r="Y193" s="8"/>
      <c r="Z193" s="116" t="s">
        <v>81</v>
      </c>
      <c r="AA193" s="116"/>
      <c r="AB193" s="13" t="s">
        <v>82</v>
      </c>
      <c r="AC193" s="8"/>
      <c r="AD193" s="8"/>
      <c r="AE193" s="8"/>
      <c r="AF193" s="8"/>
      <c r="AG193" s="8"/>
      <c r="AH193" s="8"/>
      <c r="AI193" s="8"/>
      <c r="AJ193" s="65"/>
      <c r="AK193" s="80"/>
      <c r="AL193" s="130" t="s">
        <v>102</v>
      </c>
      <c r="AM193" s="131"/>
      <c r="AN193" s="132"/>
      <c r="AO193" s="127" t="s">
        <v>110</v>
      </c>
      <c r="AP193" s="128"/>
      <c r="AQ193" s="129"/>
      <c r="AR193" s="130" t="s">
        <v>103</v>
      </c>
      <c r="AS193" s="131"/>
      <c r="AT193" s="132"/>
      <c r="AU193" s="130" t="s">
        <v>107</v>
      </c>
      <c r="AV193" s="131"/>
      <c r="AW193" s="132"/>
      <c r="AX193" s="130" t="s">
        <v>111</v>
      </c>
      <c r="AY193" s="131"/>
      <c r="AZ193" s="132"/>
      <c r="BA193" s="88" t="s">
        <v>104</v>
      </c>
      <c r="BB193" s="65" t="s">
        <v>116</v>
      </c>
      <c r="BC193" s="123" t="s">
        <v>121</v>
      </c>
      <c r="BD193" s="123"/>
      <c r="BE193" s="133"/>
      <c r="BF193" s="8"/>
      <c r="BG193" s="9"/>
    </row>
    <row r="194" spans="1:59" ht="19.5" thickBot="1" x14ac:dyDescent="0.3">
      <c r="B194" s="6"/>
      <c r="C194" s="7"/>
      <c r="D194" s="8"/>
      <c r="E194" s="8"/>
      <c r="F194" s="49">
        <f>IF(I201&gt;0,I193,0)</f>
        <v>0</v>
      </c>
      <c r="G194" s="6"/>
      <c r="H194" s="17"/>
      <c r="I194" s="17"/>
      <c r="J194" s="17"/>
      <c r="K194" s="17"/>
      <c r="L194" s="17"/>
      <c r="M194" s="17"/>
      <c r="N194" s="17"/>
      <c r="O194" s="17"/>
      <c r="P194" s="9"/>
      <c r="Q194" s="6"/>
      <c r="R194" s="32" t="s">
        <v>23</v>
      </c>
      <c r="S194" s="33" t="s">
        <v>24</v>
      </c>
      <c r="T194" s="33" t="s">
        <v>25</v>
      </c>
      <c r="U194" s="33" t="s">
        <v>26</v>
      </c>
      <c r="V194" s="33" t="s">
        <v>27</v>
      </c>
      <c r="W194" s="33" t="s">
        <v>28</v>
      </c>
      <c r="X194" s="34" t="s">
        <v>29</v>
      </c>
      <c r="Y194" s="8"/>
      <c r="Z194" s="116" t="s">
        <v>83</v>
      </c>
      <c r="AA194" s="116"/>
      <c r="AB194" s="13">
        <f>0.222/1000</f>
        <v>2.22E-4</v>
      </c>
      <c r="AC194" s="8"/>
      <c r="AD194" s="8"/>
      <c r="AE194" s="8"/>
      <c r="AF194" s="8"/>
      <c r="AG194" s="8"/>
      <c r="AH194" s="8"/>
      <c r="AI194" s="8"/>
      <c r="AJ194" s="67"/>
      <c r="AK194" s="81" t="s">
        <v>105</v>
      </c>
      <c r="AL194" s="28" t="s">
        <v>21</v>
      </c>
      <c r="AM194" s="20" t="s">
        <v>105</v>
      </c>
      <c r="AN194" s="29" t="s">
        <v>19</v>
      </c>
      <c r="AO194" s="28" t="s">
        <v>21</v>
      </c>
      <c r="AP194" s="20" t="s">
        <v>105</v>
      </c>
      <c r="AQ194" s="29" t="s">
        <v>19</v>
      </c>
      <c r="AR194" s="28" t="s">
        <v>21</v>
      </c>
      <c r="AS194" s="20" t="s">
        <v>105</v>
      </c>
      <c r="AT194" s="29" t="s">
        <v>19</v>
      </c>
      <c r="AU194" s="28" t="s">
        <v>21</v>
      </c>
      <c r="AV194" s="20" t="s">
        <v>105</v>
      </c>
      <c r="AW194" s="29" t="s">
        <v>19</v>
      </c>
      <c r="AX194" s="28" t="s">
        <v>21</v>
      </c>
      <c r="AY194" s="20" t="s">
        <v>105</v>
      </c>
      <c r="AZ194" s="29" t="s">
        <v>19</v>
      </c>
      <c r="BA194" s="89" t="s">
        <v>17</v>
      </c>
      <c r="BB194" s="67" t="s">
        <v>17</v>
      </c>
      <c r="BC194" s="93" t="s">
        <v>126</v>
      </c>
      <c r="BD194" s="20" t="s">
        <v>63</v>
      </c>
      <c r="BE194" s="85" t="s">
        <v>122</v>
      </c>
      <c r="BF194" s="8"/>
      <c r="BG194" s="9"/>
    </row>
    <row r="195" spans="1:59" ht="19.5" thickBot="1" x14ac:dyDescent="0.3">
      <c r="A195">
        <v>4</v>
      </c>
      <c r="B195" s="16">
        <v>1</v>
      </c>
      <c r="C195" s="14" t="s">
        <v>0</v>
      </c>
      <c r="D195" s="37">
        <f>(H201*M203)-IF(H201&gt;0,N211,0)</f>
        <v>0</v>
      </c>
      <c r="E195" s="69" t="s">
        <v>17</v>
      </c>
      <c r="F195" s="49">
        <f>IF(J201&gt;4,J193,0)</f>
        <v>0</v>
      </c>
      <c r="G195" s="6"/>
      <c r="H195" s="17"/>
      <c r="I195" s="17"/>
      <c r="J195" s="17"/>
      <c r="K195" s="17"/>
      <c r="L195" s="17"/>
      <c r="M195" s="17"/>
      <c r="N195" s="17"/>
      <c r="O195" s="17"/>
      <c r="P195" s="9"/>
      <c r="Q195" s="6"/>
      <c r="R195" s="30">
        <v>0.02</v>
      </c>
      <c r="S195" s="21">
        <v>0.01</v>
      </c>
      <c r="T195" s="21">
        <v>0.01</v>
      </c>
      <c r="U195" s="21">
        <v>0.02</v>
      </c>
      <c r="V195" s="21">
        <v>0.02</v>
      </c>
      <c r="W195" s="21">
        <v>0.01</v>
      </c>
      <c r="X195" s="31">
        <v>0.01</v>
      </c>
      <c r="Y195" s="8"/>
      <c r="Z195" s="116" t="s">
        <v>84</v>
      </c>
      <c r="AA195" s="116"/>
      <c r="AB195" s="13">
        <f>0.395/1000</f>
        <v>3.9500000000000001E-4</v>
      </c>
      <c r="AC195" s="8"/>
      <c r="AD195" s="8"/>
      <c r="AE195" s="8"/>
      <c r="AF195" s="8"/>
      <c r="AG195" s="8"/>
      <c r="AH195" s="8"/>
      <c r="AI195" s="8">
        <v>90</v>
      </c>
      <c r="AJ195" s="68" t="s">
        <v>43</v>
      </c>
      <c r="AK195" s="73">
        <f>IF(I201&gt;0,I208,0)</f>
        <v>0</v>
      </c>
      <c r="AL195" s="32">
        <v>1.05</v>
      </c>
      <c r="AM195" s="33">
        <v>2</v>
      </c>
      <c r="AN195" s="34">
        <f>AL195*AM195*AK195*AB197</f>
        <v>0</v>
      </c>
      <c r="AO195" s="32"/>
      <c r="AP195" s="33"/>
      <c r="AQ195" s="34"/>
      <c r="AR195" s="32"/>
      <c r="AS195" s="33"/>
      <c r="AT195" s="34"/>
      <c r="AU195" s="32"/>
      <c r="AV195" s="33"/>
      <c r="AW195" s="34"/>
      <c r="AX195" s="32"/>
      <c r="AY195" s="33"/>
      <c r="AZ195" s="34"/>
      <c r="BA195" s="90">
        <f>0.245*AL195*AK195</f>
        <v>0</v>
      </c>
      <c r="BB195" s="68">
        <f>3.14*0.016*AL195*AM195*AK195</f>
        <v>0</v>
      </c>
      <c r="BC195" s="78">
        <v>0.71</v>
      </c>
      <c r="BD195" s="33">
        <v>0.9</v>
      </c>
      <c r="BE195" s="34">
        <f>BC195*BD195*AK195</f>
        <v>0</v>
      </c>
      <c r="BF195" s="8"/>
      <c r="BG195" s="9"/>
    </row>
    <row r="196" spans="1:59" ht="19.5" thickBot="1" x14ac:dyDescent="0.3">
      <c r="A196">
        <v>4</v>
      </c>
      <c r="B196" s="16">
        <v>2</v>
      </c>
      <c r="C196" s="14" t="s">
        <v>1</v>
      </c>
      <c r="D196" s="37">
        <f>(I201*M203)-IF(I201&gt;0,N211,0)</f>
        <v>0</v>
      </c>
      <c r="E196" s="69" t="s">
        <v>17</v>
      </c>
      <c r="F196" s="49">
        <f>IF(K201&gt;0,K193,0)</f>
        <v>0</v>
      </c>
      <c r="G196" s="6"/>
      <c r="H196" s="17"/>
      <c r="I196" s="17"/>
      <c r="J196" s="17"/>
      <c r="K196" s="17"/>
      <c r="L196" s="17"/>
      <c r="M196" s="17"/>
      <c r="N196" s="17"/>
      <c r="O196" s="17">
        <v>10</v>
      </c>
      <c r="P196" s="9"/>
      <c r="Q196" s="6"/>
      <c r="R196" s="113" t="s">
        <v>127</v>
      </c>
      <c r="S196" s="114"/>
      <c r="T196" s="114"/>
      <c r="U196" s="114"/>
      <c r="V196" s="114"/>
      <c r="W196" s="114"/>
      <c r="X196" s="115"/>
      <c r="Y196" s="8"/>
      <c r="Z196" s="116" t="s">
        <v>89</v>
      </c>
      <c r="AA196" s="116"/>
      <c r="AB196" s="13">
        <f>1.57/1000</f>
        <v>1.57E-3</v>
      </c>
      <c r="AC196" s="8"/>
      <c r="AD196" s="8"/>
      <c r="AE196" s="8"/>
      <c r="AF196" s="8"/>
      <c r="AG196" s="8"/>
      <c r="AH196" s="8"/>
      <c r="AI196" s="8">
        <v>90</v>
      </c>
      <c r="AJ196" s="66" t="s">
        <v>44</v>
      </c>
      <c r="AK196" s="74">
        <f>IF(I201&gt;0,I209,0)</f>
        <v>0</v>
      </c>
      <c r="AL196" s="16">
        <v>1.1499999999999999</v>
      </c>
      <c r="AM196" s="13">
        <v>2</v>
      </c>
      <c r="AN196" s="34">
        <f>AL196*AM196*AK196*AB197</f>
        <v>0</v>
      </c>
      <c r="AO196" s="16"/>
      <c r="AP196" s="13"/>
      <c r="AQ196" s="27"/>
      <c r="AR196" s="16"/>
      <c r="AS196" s="13"/>
      <c r="AT196" s="27"/>
      <c r="AU196" s="16"/>
      <c r="AV196" s="13"/>
      <c r="AW196" s="27"/>
      <c r="AX196" s="16"/>
      <c r="AY196" s="13"/>
      <c r="AZ196" s="27"/>
      <c r="BA196" s="90">
        <f>0.245*AL196*AK196</f>
        <v>0</v>
      </c>
      <c r="BB196" s="68">
        <f t="shared" ref="BB196:BB197" si="82">3.14*0.016*AL196*AM196*AK196</f>
        <v>0</v>
      </c>
      <c r="BC196" s="79">
        <v>0.81</v>
      </c>
      <c r="BD196" s="13">
        <v>0.9</v>
      </c>
      <c r="BE196" s="34">
        <f t="shared" ref="BE196:BE197" si="83">BC196*BD196*AK196</f>
        <v>0</v>
      </c>
      <c r="BF196" s="8"/>
      <c r="BG196" s="9"/>
    </row>
    <row r="197" spans="1:59" ht="18.75" x14ac:dyDescent="0.25">
      <c r="A197">
        <v>4</v>
      </c>
      <c r="B197" s="16">
        <v>3</v>
      </c>
      <c r="C197" s="14" t="s">
        <v>2</v>
      </c>
      <c r="D197" s="37">
        <f>(J201*M203)-IF(J201&gt;0,N211,0)</f>
        <v>0</v>
      </c>
      <c r="E197" s="69" t="s">
        <v>17</v>
      </c>
      <c r="F197" s="49">
        <f>IF(L201&gt;0,L193,0)</f>
        <v>0</v>
      </c>
      <c r="G197" s="6"/>
      <c r="H197" s="17"/>
      <c r="I197" s="17"/>
      <c r="J197" s="17"/>
      <c r="K197" s="17"/>
      <c r="L197" s="17"/>
      <c r="M197" s="17"/>
      <c r="N197" s="17"/>
      <c r="O197" s="17"/>
      <c r="P197" s="9"/>
      <c r="Q197" s="6"/>
      <c r="R197" s="32" t="s">
        <v>60</v>
      </c>
      <c r="S197" s="33" t="s">
        <v>24</v>
      </c>
      <c r="T197" s="33" t="s">
        <v>25</v>
      </c>
      <c r="U197" s="33" t="s">
        <v>26</v>
      </c>
      <c r="V197" s="33" t="s">
        <v>27</v>
      </c>
      <c r="W197" s="33" t="s">
        <v>28</v>
      </c>
      <c r="X197" s="34" t="s">
        <v>29</v>
      </c>
      <c r="Y197" s="8"/>
      <c r="Z197" s="116" t="s">
        <v>112</v>
      </c>
      <c r="AA197" s="116"/>
      <c r="AB197" s="13">
        <f>1.578/1000</f>
        <v>1.578E-3</v>
      </c>
      <c r="AC197" s="8"/>
      <c r="AD197" s="8"/>
      <c r="AE197" s="8"/>
      <c r="AF197" s="8"/>
      <c r="AG197" s="8"/>
      <c r="AH197" s="8"/>
      <c r="AI197" s="8">
        <v>90</v>
      </c>
      <c r="AJ197" s="66" t="s">
        <v>45</v>
      </c>
      <c r="AK197" s="74">
        <f>IF(I201&gt;0,I210,0)</f>
        <v>0</v>
      </c>
      <c r="AL197" s="16">
        <v>1.25</v>
      </c>
      <c r="AM197" s="13">
        <v>2</v>
      </c>
      <c r="AN197" s="34">
        <f>AL197*AM197*AK197*AB197</f>
        <v>0</v>
      </c>
      <c r="AO197" s="16"/>
      <c r="AP197" s="13"/>
      <c r="AQ197" s="27"/>
      <c r="AR197" s="16"/>
      <c r="AS197" s="13"/>
      <c r="AT197" s="27"/>
      <c r="AU197" s="16"/>
      <c r="AV197" s="13"/>
      <c r="AW197" s="27"/>
      <c r="AX197" s="16"/>
      <c r="AY197" s="13"/>
      <c r="AZ197" s="27"/>
      <c r="BA197" s="90">
        <f t="shared" ref="BA197" si="84">0.245*AL197*AK197</f>
        <v>0</v>
      </c>
      <c r="BB197" s="68">
        <f t="shared" si="82"/>
        <v>0</v>
      </c>
      <c r="BC197" s="79">
        <v>0.91</v>
      </c>
      <c r="BD197" s="13">
        <v>0.9</v>
      </c>
      <c r="BE197" s="34">
        <f t="shared" si="83"/>
        <v>0</v>
      </c>
      <c r="BF197" s="8"/>
      <c r="BG197" s="9"/>
    </row>
    <row r="198" spans="1:59" ht="19.5" thickBot="1" x14ac:dyDescent="0.3">
      <c r="A198">
        <v>4</v>
      </c>
      <c r="B198" s="16">
        <v>4</v>
      </c>
      <c r="C198" s="14" t="s">
        <v>12</v>
      </c>
      <c r="D198" s="37">
        <f>K201*M203*0.2+L201*M203*0.3</f>
        <v>0</v>
      </c>
      <c r="E198" s="69" t="s">
        <v>18</v>
      </c>
      <c r="F198" s="49">
        <f>IF(M201&gt;0,M193,0)</f>
        <v>0</v>
      </c>
      <c r="G198" s="6"/>
      <c r="H198" s="17"/>
      <c r="I198" s="17"/>
      <c r="J198" s="17"/>
      <c r="K198" s="17"/>
      <c r="L198" s="17"/>
      <c r="M198" s="17"/>
      <c r="N198" s="17"/>
      <c r="O198" s="17"/>
      <c r="P198" s="9"/>
      <c r="Q198" s="6"/>
      <c r="R198" s="28">
        <f>0.08*R195*(H201-O211)</f>
        <v>0</v>
      </c>
      <c r="S198" s="20">
        <f>0.09*S195*(I201-O211)</f>
        <v>0</v>
      </c>
      <c r="T198" s="20">
        <f>0.19*T195*(J201-O211)</f>
        <v>0</v>
      </c>
      <c r="U198" s="20">
        <f>0.2*U195*K201</f>
        <v>0</v>
      </c>
      <c r="V198" s="20">
        <f>0.3*V195*L201</f>
        <v>0</v>
      </c>
      <c r="W198" s="20">
        <f>0.12*W195*M201</f>
        <v>0</v>
      </c>
      <c r="X198" s="29">
        <f>0.065*X195*N201</f>
        <v>0</v>
      </c>
      <c r="Y198" s="8"/>
      <c r="Z198" s="116" t="s">
        <v>113</v>
      </c>
      <c r="AA198" s="116"/>
      <c r="AB198" s="13">
        <f>0.888/1000</f>
        <v>8.8800000000000001E-4</v>
      </c>
      <c r="AC198" s="8"/>
      <c r="AD198" s="8"/>
      <c r="AE198" s="8"/>
      <c r="AF198" s="8"/>
      <c r="AG198" s="8"/>
      <c r="AH198" s="8"/>
      <c r="AI198" s="8">
        <v>190</v>
      </c>
      <c r="AJ198" s="66" t="s">
        <v>46</v>
      </c>
      <c r="AK198" s="74">
        <f>IF(J201&gt;0,I211,0)</f>
        <v>0</v>
      </c>
      <c r="AL198" s="16"/>
      <c r="AM198" s="13"/>
      <c r="AN198" s="34"/>
      <c r="AO198" s="16"/>
      <c r="AP198" s="13"/>
      <c r="AQ198" s="27"/>
      <c r="AR198" s="16">
        <v>0.19</v>
      </c>
      <c r="AS198" s="13">
        <v>1</v>
      </c>
      <c r="AT198" s="27">
        <f>AR198*AS198*AK198*AB199</f>
        <v>0</v>
      </c>
      <c r="AU198" s="16">
        <v>1.35</v>
      </c>
      <c r="AV198" s="13">
        <v>2</v>
      </c>
      <c r="AW198" s="27">
        <f>AU198*AV198*AK198*AB200</f>
        <v>0</v>
      </c>
      <c r="AX198" s="16"/>
      <c r="AY198" s="13"/>
      <c r="AZ198" s="27"/>
      <c r="BA198" s="59">
        <f>(0.325*AU198*AV198+0.425*AR198*AS198)*AK198</f>
        <v>0</v>
      </c>
      <c r="BB198" s="66">
        <f>(0.4*AR198*AS198+0.3*AU198*AV198)*AK198</f>
        <v>0</v>
      </c>
      <c r="BC198" s="79"/>
      <c r="BD198" s="13"/>
      <c r="BE198" s="34"/>
      <c r="BF198" s="8"/>
      <c r="BG198" s="9"/>
    </row>
    <row r="199" spans="1:59" ht="19.5" thickBot="1" x14ac:dyDescent="0.3">
      <c r="A199">
        <v>4</v>
      </c>
      <c r="B199" s="16">
        <v>6</v>
      </c>
      <c r="C199" s="14" t="s">
        <v>3</v>
      </c>
      <c r="D199" s="37">
        <f>M201*M203</f>
        <v>0</v>
      </c>
      <c r="E199" s="69" t="s">
        <v>17</v>
      </c>
      <c r="F199" s="49">
        <f>IF(N201&gt;0,N193,0)</f>
        <v>0</v>
      </c>
      <c r="G199" s="6"/>
      <c r="H199" s="17"/>
      <c r="I199" s="17"/>
      <c r="J199" s="17"/>
      <c r="K199" s="17"/>
      <c r="L199" s="17"/>
      <c r="M199" s="17"/>
      <c r="N199" s="17"/>
      <c r="O199" s="17"/>
      <c r="P199" s="9"/>
      <c r="Q199" s="6"/>
      <c r="R199" s="8"/>
      <c r="S199" s="8"/>
      <c r="T199" s="8"/>
      <c r="U199" s="8"/>
      <c r="V199" s="8"/>
      <c r="W199" s="8"/>
      <c r="X199" s="8"/>
      <c r="Y199" s="8"/>
      <c r="Z199" s="116" t="s">
        <v>103</v>
      </c>
      <c r="AA199" s="116"/>
      <c r="AB199" s="13">
        <f>10.79/1000</f>
        <v>1.0789999999999999E-2</v>
      </c>
      <c r="AC199" s="8"/>
      <c r="AD199" s="8"/>
      <c r="AE199" s="8"/>
      <c r="AF199" s="8"/>
      <c r="AG199" s="8"/>
      <c r="AH199" s="8"/>
      <c r="AI199" s="8">
        <v>190</v>
      </c>
      <c r="AJ199" s="66" t="s">
        <v>47</v>
      </c>
      <c r="AK199" s="74">
        <f t="shared" ref="AK199" si="85">IF(I203&gt;0,I212,0)</f>
        <v>0</v>
      </c>
      <c r="AL199" s="16"/>
      <c r="AM199" s="13"/>
      <c r="AN199" s="34"/>
      <c r="AO199" s="16"/>
      <c r="AP199" s="13"/>
      <c r="AQ199" s="27"/>
      <c r="AR199" s="16">
        <v>0.19</v>
      </c>
      <c r="AS199" s="13">
        <v>1</v>
      </c>
      <c r="AT199" s="27">
        <f>AR199*AS199*AK199*AB199</f>
        <v>0</v>
      </c>
      <c r="AU199" s="16">
        <v>1.1499999999999999</v>
      </c>
      <c r="AV199" s="13">
        <v>2</v>
      </c>
      <c r="AW199" s="27">
        <f>AU199*AV199*AK199*AB200</f>
        <v>0</v>
      </c>
      <c r="AX199" s="16"/>
      <c r="AY199" s="13"/>
      <c r="AZ199" s="27"/>
      <c r="BA199" s="59">
        <f>(0.325*AU199*AV199+0.425*AR199*AS199)*AK199</f>
        <v>0</v>
      </c>
      <c r="BB199" s="66">
        <f>(0.4*AR199*AS199+0.3*AU199*AV199)*AK199</f>
        <v>0</v>
      </c>
      <c r="BC199" s="79"/>
      <c r="BD199" s="13"/>
      <c r="BE199" s="34"/>
      <c r="BF199" s="8"/>
      <c r="BG199" s="9"/>
    </row>
    <row r="200" spans="1:59" ht="19.5" thickBot="1" x14ac:dyDescent="0.3">
      <c r="A200">
        <v>4</v>
      </c>
      <c r="B200" s="16">
        <v>7</v>
      </c>
      <c r="C200" s="14" t="s">
        <v>4</v>
      </c>
      <c r="D200" s="37">
        <f>N201*M203-IF(N201&gt;0,N217,0)</f>
        <v>0</v>
      </c>
      <c r="E200" s="69" t="s">
        <v>17</v>
      </c>
      <c r="F200" s="49" t="str">
        <f>IF(O201&gt;0,O193,0)</f>
        <v>Мин.плита</v>
      </c>
      <c r="G200" s="6"/>
      <c r="H200" s="23"/>
      <c r="I200" s="23"/>
      <c r="J200" s="23"/>
      <c r="K200" s="23"/>
      <c r="L200" s="23"/>
      <c r="M200" s="23"/>
      <c r="N200" s="23"/>
      <c r="O200" s="23"/>
      <c r="P200" s="9"/>
      <c r="Q200" s="6"/>
      <c r="R200" s="113" t="s">
        <v>64</v>
      </c>
      <c r="S200" s="114"/>
      <c r="T200" s="114"/>
      <c r="U200" s="114"/>
      <c r="V200" s="114"/>
      <c r="W200" s="114"/>
      <c r="X200" s="115"/>
      <c r="Y200" s="8"/>
      <c r="Z200" s="116" t="s">
        <v>114</v>
      </c>
      <c r="AA200" s="116"/>
      <c r="AB200" s="13">
        <f>5.8/1000</f>
        <v>5.7999999999999996E-3</v>
      </c>
      <c r="AC200" s="8"/>
      <c r="AD200" s="8"/>
      <c r="AE200" s="8"/>
      <c r="AF200" s="8"/>
      <c r="AG200" s="8"/>
      <c r="AH200" s="8"/>
      <c r="AI200" s="8">
        <v>190</v>
      </c>
      <c r="AJ200" s="66" t="s">
        <v>48</v>
      </c>
      <c r="AK200" s="74">
        <f>IF(J201&gt;0,I213,0)</f>
        <v>0</v>
      </c>
      <c r="AL200" s="16">
        <v>1.35</v>
      </c>
      <c r="AM200" s="13">
        <v>4</v>
      </c>
      <c r="AN200" s="34">
        <f>AL200*AM200*AK200*AB197</f>
        <v>0</v>
      </c>
      <c r="AO200" s="16"/>
      <c r="AP200" s="13"/>
      <c r="AQ200" s="27"/>
      <c r="AR200" s="16"/>
      <c r="AS200" s="13"/>
      <c r="AT200" s="27"/>
      <c r="AU200" s="16"/>
      <c r="AV200" s="13"/>
      <c r="AW200" s="27"/>
      <c r="AX200" s="16"/>
      <c r="AY200" s="13"/>
      <c r="AZ200" s="27"/>
      <c r="BA200" s="59">
        <f>0.445*AL200*AK200</f>
        <v>0</v>
      </c>
      <c r="BB200" s="68">
        <f>3.14*0.016*AL200*AM200*AK200</f>
        <v>0</v>
      </c>
      <c r="BC200" s="79">
        <v>1.01</v>
      </c>
      <c r="BD200" s="13">
        <v>0.19</v>
      </c>
      <c r="BE200" s="34">
        <f t="shared" ref="BE200:BE201" si="86">BC200*BD200*AK200</f>
        <v>0</v>
      </c>
      <c r="BF200" s="8"/>
      <c r="BG200" s="9"/>
    </row>
    <row r="201" spans="1:59" ht="15.75" thickBot="1" x14ac:dyDescent="0.3">
      <c r="A201">
        <v>4</v>
      </c>
      <c r="B201" s="16">
        <v>8</v>
      </c>
      <c r="C201" s="14" t="s">
        <v>5</v>
      </c>
      <c r="D201" s="37">
        <f>IF(H201&gt;0,R198,0)+IF(I201&gt;0,S198,0)+IF(J201&gt;0,T198,0)+IF(K201&gt;0,U198,0)+IF(L201&gt;0,V198,0)+IF(M201&gt;0,W198,0)+IF(N201&gt;0,X198,0)</f>
        <v>0</v>
      </c>
      <c r="E201" s="69" t="s">
        <v>18</v>
      </c>
      <c r="F201" s="9"/>
      <c r="G201" s="6" t="s">
        <v>32</v>
      </c>
      <c r="H201" s="24">
        <f>SUM(H194:H200)</f>
        <v>0</v>
      </c>
      <c r="I201" s="25">
        <f t="shared" ref="I201:N201" si="87">SUM(I194:I200)</f>
        <v>0</v>
      </c>
      <c r="J201" s="25">
        <f t="shared" si="87"/>
        <v>0</v>
      </c>
      <c r="K201" s="25">
        <f t="shared" si="87"/>
        <v>0</v>
      </c>
      <c r="L201" s="25">
        <f t="shared" si="87"/>
        <v>0</v>
      </c>
      <c r="M201" s="25">
        <f t="shared" si="87"/>
        <v>0</v>
      </c>
      <c r="N201" s="25">
        <f t="shared" si="87"/>
        <v>0</v>
      </c>
      <c r="O201" s="26">
        <f>SUM(O194:O200)</f>
        <v>10</v>
      </c>
      <c r="P201" s="9"/>
      <c r="Q201" s="6"/>
      <c r="R201" s="33" t="s">
        <v>23</v>
      </c>
      <c r="S201" s="33" t="s">
        <v>24</v>
      </c>
      <c r="T201" s="33" t="s">
        <v>25</v>
      </c>
      <c r="U201" s="33" t="s">
        <v>26</v>
      </c>
      <c r="V201" s="33" t="s">
        <v>27</v>
      </c>
      <c r="W201" s="33" t="s">
        <v>28</v>
      </c>
      <c r="X201" s="33" t="s">
        <v>29</v>
      </c>
      <c r="Y201" s="8"/>
      <c r="Z201" s="116" t="s">
        <v>111</v>
      </c>
      <c r="AA201" s="116"/>
      <c r="AB201" s="13">
        <f>3.77/1000</f>
        <v>3.7699999999999999E-3</v>
      </c>
      <c r="AC201" s="8"/>
      <c r="AD201" s="8"/>
      <c r="AE201" s="8"/>
      <c r="AF201" s="8"/>
      <c r="AG201" s="8"/>
      <c r="AH201" s="8"/>
      <c r="AI201" s="8">
        <v>190</v>
      </c>
      <c r="AJ201" s="66" t="s">
        <v>49</v>
      </c>
      <c r="AK201" s="74">
        <f>IF(J201&gt;0,I214,0)</f>
        <v>0</v>
      </c>
      <c r="AL201" s="16">
        <v>1.35</v>
      </c>
      <c r="AM201" s="13">
        <v>4</v>
      </c>
      <c r="AN201" s="34">
        <f>AL201*AM201*AK201*AB197</f>
        <v>0</v>
      </c>
      <c r="AO201" s="16"/>
      <c r="AP201" s="13"/>
      <c r="AQ201" s="27"/>
      <c r="AR201" s="16"/>
      <c r="AS201" s="13"/>
      <c r="AT201" s="27"/>
      <c r="AU201" s="16"/>
      <c r="AV201" s="13"/>
      <c r="AW201" s="27"/>
      <c r="AX201" s="16"/>
      <c r="AY201" s="13"/>
      <c r="AZ201" s="27"/>
      <c r="BA201" s="59">
        <f>0.445*AL201*AK201</f>
        <v>0</v>
      </c>
      <c r="BB201" s="68">
        <f>3.14*0.016*AL201*AM201*AK201</f>
        <v>0</v>
      </c>
      <c r="BC201" s="79">
        <v>1.01</v>
      </c>
      <c r="BD201" s="13">
        <v>0.19</v>
      </c>
      <c r="BE201" s="34">
        <f t="shared" si="86"/>
        <v>0</v>
      </c>
      <c r="BF201" s="8"/>
      <c r="BG201" s="9"/>
    </row>
    <row r="202" spans="1:59" ht="15.75" thickBot="1" x14ac:dyDescent="0.3">
      <c r="A202">
        <v>4</v>
      </c>
      <c r="B202" s="16">
        <v>9</v>
      </c>
      <c r="C202" s="14" t="s">
        <v>20</v>
      </c>
      <c r="D202" s="37">
        <f>H201</f>
        <v>0</v>
      </c>
      <c r="E202" s="69" t="s">
        <v>21</v>
      </c>
      <c r="F202" s="9"/>
      <c r="G202" s="6"/>
      <c r="H202" s="8"/>
      <c r="I202" s="8"/>
      <c r="J202" s="8"/>
      <c r="K202" s="8"/>
      <c r="L202" s="8"/>
      <c r="M202" s="8"/>
      <c r="N202" s="8"/>
      <c r="O202" s="8"/>
      <c r="P202" s="9"/>
      <c r="Q202" s="6" t="s">
        <v>63</v>
      </c>
      <c r="R202" s="13">
        <v>7.0000000000000007E-2</v>
      </c>
      <c r="S202" s="13">
        <v>7.0000000000000007E-2</v>
      </c>
      <c r="T202" s="13">
        <v>0.17</v>
      </c>
      <c r="U202" s="13"/>
      <c r="V202" s="13"/>
      <c r="W202" s="13">
        <v>0.1</v>
      </c>
      <c r="X202" s="13">
        <v>4.4999999999999998E-2</v>
      </c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>
        <v>120</v>
      </c>
      <c r="AJ202" s="66" t="s">
        <v>106</v>
      </c>
      <c r="AK202" s="74">
        <f>IF(M201&gt;0,I215,0)</f>
        <v>0</v>
      </c>
      <c r="AL202" s="16"/>
      <c r="AM202" s="13"/>
      <c r="AN202" s="34"/>
      <c r="AO202" s="16"/>
      <c r="AP202" s="13"/>
      <c r="AQ202" s="27"/>
      <c r="AR202" s="16">
        <v>1.25</v>
      </c>
      <c r="AS202" s="13">
        <v>1</v>
      </c>
      <c r="AT202" s="27">
        <f>AR202*AS202*AK202*AB199</f>
        <v>0</v>
      </c>
      <c r="AU202" s="16"/>
      <c r="AV202" s="13"/>
      <c r="AW202" s="27"/>
      <c r="AX202" s="16"/>
      <c r="AY202" s="13"/>
      <c r="AZ202" s="27"/>
      <c r="BA202" s="59">
        <f>0.425*AR202*AS202*AK202</f>
        <v>0</v>
      </c>
      <c r="BB202" s="66">
        <f>0.4*AR202*AS202*AK202</f>
        <v>0</v>
      </c>
      <c r="BC202" s="79"/>
      <c r="BD202" s="13"/>
      <c r="BE202" s="27"/>
      <c r="BF202" s="8"/>
      <c r="BG202" s="9"/>
    </row>
    <row r="203" spans="1:59" ht="15.75" thickBot="1" x14ac:dyDescent="0.3">
      <c r="A203">
        <v>4</v>
      </c>
      <c r="B203" s="16">
        <v>10</v>
      </c>
      <c r="C203" s="14" t="s">
        <v>62</v>
      </c>
      <c r="D203" s="37">
        <f>IF(H201&gt;0,R203,0)</f>
        <v>0</v>
      </c>
      <c r="E203" s="69" t="s">
        <v>18</v>
      </c>
      <c r="F203" s="9"/>
      <c r="G203" s="6"/>
      <c r="H203" s="122" t="s">
        <v>39</v>
      </c>
      <c r="I203" s="123"/>
      <c r="J203" s="123"/>
      <c r="K203" s="123"/>
      <c r="L203" s="124"/>
      <c r="M203" s="46">
        <v>2.78</v>
      </c>
      <c r="N203" s="8"/>
      <c r="O203" s="8"/>
      <c r="P203" s="9"/>
      <c r="Q203" s="6" t="s">
        <v>65</v>
      </c>
      <c r="R203" s="13">
        <f>0.02*R202*H201</f>
        <v>0</v>
      </c>
      <c r="S203" s="13">
        <f t="shared" ref="S203" si="88">0.02*S202*I201</f>
        <v>0</v>
      </c>
      <c r="T203" s="13">
        <f>0.02*T202*J201</f>
        <v>0</v>
      </c>
      <c r="U203" s="13"/>
      <c r="V203" s="13"/>
      <c r="W203" s="13">
        <f t="shared" ref="W203" si="89">0.02*W202*M201</f>
        <v>0</v>
      </c>
      <c r="X203" s="13">
        <f t="shared" ref="X203" si="90">0.02*X202*N201</f>
        <v>0</v>
      </c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66"/>
      <c r="AK203" s="74"/>
      <c r="AL203" s="16"/>
      <c r="AM203" s="13"/>
      <c r="AN203" s="34"/>
      <c r="AO203" s="16"/>
      <c r="AP203" s="13"/>
      <c r="AQ203" s="27"/>
      <c r="AR203" s="16"/>
      <c r="AS203" s="13"/>
      <c r="AT203" s="27"/>
      <c r="AU203" s="16"/>
      <c r="AV203" s="13"/>
      <c r="AW203" s="27"/>
      <c r="AX203" s="16"/>
      <c r="AY203" s="13"/>
      <c r="AZ203" s="27"/>
      <c r="BA203" s="59"/>
      <c r="BB203" s="66"/>
      <c r="BC203" s="79"/>
      <c r="BD203" s="13"/>
      <c r="BE203" s="27"/>
      <c r="BF203" s="8"/>
      <c r="BG203" s="9"/>
    </row>
    <row r="204" spans="1:59" ht="15.75" thickBot="1" x14ac:dyDescent="0.3">
      <c r="A204">
        <v>4</v>
      </c>
      <c r="B204" s="16">
        <v>11</v>
      </c>
      <c r="C204" s="14" t="s">
        <v>66</v>
      </c>
      <c r="D204" s="37">
        <f>I201+J201+M201</f>
        <v>0</v>
      </c>
      <c r="E204" s="69" t="s">
        <v>21</v>
      </c>
      <c r="F204" s="9"/>
      <c r="G204" s="6"/>
      <c r="H204" s="113" t="s">
        <v>74</v>
      </c>
      <c r="I204" s="114"/>
      <c r="J204" s="114"/>
      <c r="K204" s="114"/>
      <c r="L204" s="121"/>
      <c r="M204" s="45"/>
      <c r="N204" s="113" t="s">
        <v>73</v>
      </c>
      <c r="O204" s="115"/>
      <c r="P204" s="9"/>
      <c r="Q204" s="6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>
        <v>120</v>
      </c>
      <c r="AJ204" s="66" t="s">
        <v>50</v>
      </c>
      <c r="AK204" s="74">
        <f>IF(M201&gt;0,I217,0)</f>
        <v>0</v>
      </c>
      <c r="AL204" s="16"/>
      <c r="AM204" s="13"/>
      <c r="AN204" s="34"/>
      <c r="AO204" s="16">
        <v>0.45</v>
      </c>
      <c r="AP204" s="13">
        <v>2</v>
      </c>
      <c r="AQ204" s="27">
        <f>AO204*AP204*AK204*AB198</f>
        <v>0</v>
      </c>
      <c r="AR204" s="16">
        <v>0.12</v>
      </c>
      <c r="AS204" s="61">
        <v>1</v>
      </c>
      <c r="AT204" s="27">
        <f>AR204*AS204*AK204*AB199</f>
        <v>0</v>
      </c>
      <c r="AU204" s="16"/>
      <c r="AV204" s="13"/>
      <c r="AW204" s="27"/>
      <c r="AX204" s="16"/>
      <c r="AY204" s="13"/>
      <c r="AZ204" s="27"/>
      <c r="BA204" s="59">
        <f>(0.305*AO204+0.425*AR204)*AK204</f>
        <v>0</v>
      </c>
      <c r="BB204" s="66">
        <f>(3.14*0.012*AO204*AP204+0.4*AR204*AS204)*AK204</f>
        <v>0</v>
      </c>
      <c r="BC204" s="79"/>
      <c r="BD204" s="13"/>
      <c r="BE204" s="27"/>
      <c r="BF204" s="8"/>
      <c r="BG204" s="9"/>
    </row>
    <row r="205" spans="1:59" ht="15.75" thickBot="1" x14ac:dyDescent="0.3">
      <c r="A205">
        <v>4</v>
      </c>
      <c r="B205" s="16">
        <v>12</v>
      </c>
      <c r="C205" s="14" t="s">
        <v>67</v>
      </c>
      <c r="D205" s="37">
        <f>IF(I201&gt;0,S203,0)+IF(J201&gt;0,T203,0)+IF(M201&gt;0,W203,0)+IF(N201&gt;0,X203,0)</f>
        <v>0</v>
      </c>
      <c r="E205" s="69" t="s">
        <v>18</v>
      </c>
      <c r="F205" s="9"/>
      <c r="G205" s="6"/>
      <c r="H205" s="118" t="s">
        <v>70</v>
      </c>
      <c r="I205" s="119"/>
      <c r="J205" s="119"/>
      <c r="K205" s="119"/>
      <c r="L205" s="119"/>
      <c r="M205" s="82"/>
      <c r="N205" s="118" t="s">
        <v>72</v>
      </c>
      <c r="O205" s="120"/>
      <c r="P205" s="9"/>
      <c r="Q205" s="6"/>
      <c r="R205" s="113" t="s">
        <v>75</v>
      </c>
      <c r="S205" s="114"/>
      <c r="T205" s="114"/>
      <c r="U205" s="114"/>
      <c r="V205" s="114"/>
      <c r="W205" s="114"/>
      <c r="X205" s="115"/>
      <c r="Y205" s="58"/>
      <c r="Z205" s="2"/>
      <c r="AA205" s="113" t="s">
        <v>98</v>
      </c>
      <c r="AB205" s="114"/>
      <c r="AC205" s="114"/>
      <c r="AD205" s="114"/>
      <c r="AE205" s="114"/>
      <c r="AF205" s="114"/>
      <c r="AG205" s="115"/>
      <c r="AH205" s="8"/>
      <c r="AI205" s="8">
        <v>65</v>
      </c>
      <c r="AJ205" s="66" t="s">
        <v>51</v>
      </c>
      <c r="AK205" s="74">
        <f>IF(N201&gt;0,I218,0)</f>
        <v>0</v>
      </c>
      <c r="AL205" s="16"/>
      <c r="AM205" s="13"/>
      <c r="AN205" s="34"/>
      <c r="AO205" s="16"/>
      <c r="AP205" s="13"/>
      <c r="AQ205" s="27"/>
      <c r="AR205" s="16"/>
      <c r="AS205" s="13"/>
      <c r="AT205" s="27"/>
      <c r="AU205" s="16"/>
      <c r="AV205" s="13"/>
      <c r="AW205" s="27"/>
      <c r="AX205" s="16">
        <f>0.94+0.8+0.43</f>
        <v>2.17</v>
      </c>
      <c r="AY205" s="13">
        <v>1</v>
      </c>
      <c r="AZ205" s="27">
        <f>AX205*AY205*AK205*AB201</f>
        <v>0</v>
      </c>
      <c r="BA205" s="59">
        <f>0.225*AX205*AY205*AK205</f>
        <v>0</v>
      </c>
      <c r="BB205" s="66">
        <f>0.2*AX205*AY205*AK205</f>
        <v>0</v>
      </c>
      <c r="BC205" s="79"/>
      <c r="BD205" s="13"/>
      <c r="BE205" s="27"/>
      <c r="BF205" s="8"/>
      <c r="BG205" s="9"/>
    </row>
    <row r="206" spans="1:59" ht="15.75" thickBot="1" x14ac:dyDescent="0.3">
      <c r="A206">
        <v>4</v>
      </c>
      <c r="B206" s="16">
        <v>13</v>
      </c>
      <c r="C206" s="14" t="s">
        <v>68</v>
      </c>
      <c r="D206" s="37">
        <f>D204*0.02*0.01*2</f>
        <v>0</v>
      </c>
      <c r="E206" s="69" t="s">
        <v>18</v>
      </c>
      <c r="F206" s="9"/>
      <c r="G206" s="6"/>
      <c r="H206" s="125" t="s">
        <v>40</v>
      </c>
      <c r="I206" s="126"/>
      <c r="J206" s="8"/>
      <c r="K206" s="8"/>
      <c r="L206" s="39" t="s">
        <v>30</v>
      </c>
      <c r="M206" s="40" t="s">
        <v>31</v>
      </c>
      <c r="N206" s="40" t="s">
        <v>33</v>
      </c>
      <c r="O206" s="44" t="s">
        <v>34</v>
      </c>
      <c r="P206" s="9"/>
      <c r="Q206" s="6"/>
      <c r="R206" s="16" t="s">
        <v>23</v>
      </c>
      <c r="S206" s="13" t="s">
        <v>24</v>
      </c>
      <c r="T206" s="13" t="s">
        <v>25</v>
      </c>
      <c r="U206" s="13" t="s">
        <v>26</v>
      </c>
      <c r="V206" s="13" t="s">
        <v>27</v>
      </c>
      <c r="W206" s="13" t="s">
        <v>28</v>
      </c>
      <c r="X206" s="27" t="s">
        <v>29</v>
      </c>
      <c r="Y206" s="8"/>
      <c r="Z206" s="6"/>
      <c r="AA206" s="16" t="s">
        <v>23</v>
      </c>
      <c r="AB206" s="13" t="s">
        <v>24</v>
      </c>
      <c r="AC206" s="13" t="s">
        <v>25</v>
      </c>
      <c r="AD206" s="13" t="s">
        <v>26</v>
      </c>
      <c r="AE206" s="13" t="s">
        <v>27</v>
      </c>
      <c r="AF206" s="13" t="s">
        <v>28</v>
      </c>
      <c r="AG206" s="27" t="s">
        <v>29</v>
      </c>
      <c r="AH206" s="8"/>
      <c r="AI206" s="8">
        <v>120</v>
      </c>
      <c r="AJ206" s="66" t="s">
        <v>52</v>
      </c>
      <c r="AK206" s="74">
        <f>IF(M201&gt;0,I219,0)</f>
        <v>0</v>
      </c>
      <c r="AL206" s="16">
        <v>1</v>
      </c>
      <c r="AM206" s="13">
        <v>2</v>
      </c>
      <c r="AN206" s="34">
        <f>AL206*AM206*AK206*AB197</f>
        <v>0</v>
      </c>
      <c r="AO206" s="16"/>
      <c r="AP206" s="13"/>
      <c r="AQ206" s="27"/>
      <c r="AR206" s="64">
        <v>0.12</v>
      </c>
      <c r="AS206" s="61">
        <v>1</v>
      </c>
      <c r="AT206" s="27">
        <f>AR206*AS206*AK206*AB199</f>
        <v>0</v>
      </c>
      <c r="AU206" s="16"/>
      <c r="AV206" s="13"/>
      <c r="AW206" s="27"/>
      <c r="AX206" s="16"/>
      <c r="AY206" s="13"/>
      <c r="AZ206" s="27"/>
      <c r="BA206" s="59">
        <f>(0.305*AL206+0.425*AR206)*AK206</f>
        <v>0</v>
      </c>
      <c r="BB206" s="66">
        <f>(3.14*AL206*AM206+0.4*AR206*AS206)*AK206</f>
        <v>0</v>
      </c>
      <c r="BC206" s="79"/>
      <c r="BD206" s="13"/>
      <c r="BE206" s="27"/>
      <c r="BF206" s="8"/>
      <c r="BG206" s="9"/>
    </row>
    <row r="207" spans="1:59" ht="15.75" thickBot="1" x14ac:dyDescent="0.3">
      <c r="A207">
        <v>4</v>
      </c>
      <c r="B207" s="16">
        <v>14</v>
      </c>
      <c r="C207" s="14" t="s">
        <v>6</v>
      </c>
      <c r="D207" s="37">
        <f>IF(I201&gt;0,S209,0)+IF(J201&gt;0,T209,0)+IF(M201&gt;0,W209,0)+IF(N201&gt;0,X209,0)</f>
        <v>0</v>
      </c>
      <c r="E207" s="69" t="s">
        <v>18</v>
      </c>
      <c r="F207" s="9"/>
      <c r="G207" s="6"/>
      <c r="H207" s="33" t="s">
        <v>41</v>
      </c>
      <c r="I207" s="33" t="s">
        <v>42</v>
      </c>
      <c r="J207" s="8"/>
      <c r="K207" s="8"/>
      <c r="L207" s="33">
        <v>0.71</v>
      </c>
      <c r="M207" s="42"/>
      <c r="N207" s="43">
        <f>IF(H201&gt;0,L207*2.15*M207,0)+IF(I201&gt;0,L207*2.15*M207,0)+IF(J201&gt;0,L207*2.18*M207,0)</f>
        <v>0</v>
      </c>
      <c r="O207" s="33">
        <f>L207*M207</f>
        <v>0</v>
      </c>
      <c r="P207" s="9"/>
      <c r="Q207" s="6"/>
      <c r="R207" s="30">
        <v>7.4999999999999997E-2</v>
      </c>
      <c r="S207" s="21">
        <v>7.0000000000000007E-2</v>
      </c>
      <c r="T207" s="21">
        <v>0.17</v>
      </c>
      <c r="U207" s="21"/>
      <c r="V207" s="21"/>
      <c r="W207" s="21">
        <v>0.1</v>
      </c>
      <c r="X207" s="31">
        <v>4.4999999999999998E-2</v>
      </c>
      <c r="Y207" s="8"/>
      <c r="Z207" s="6"/>
      <c r="AA207" s="116" t="s">
        <v>93</v>
      </c>
      <c r="AB207" s="116"/>
      <c r="AC207" s="116"/>
      <c r="AD207" s="116"/>
      <c r="AE207" s="116"/>
      <c r="AF207" s="116"/>
      <c r="AG207" s="117"/>
      <c r="AH207" s="8"/>
      <c r="AI207" s="8">
        <v>190</v>
      </c>
      <c r="AJ207" s="66" t="s">
        <v>53</v>
      </c>
      <c r="AK207" s="74">
        <f>IF(J201&gt;0,I220,0)</f>
        <v>0</v>
      </c>
      <c r="AL207" s="16">
        <v>0.95</v>
      </c>
      <c r="AM207" s="13">
        <v>1</v>
      </c>
      <c r="AN207" s="34">
        <f>AL207*AM207*AK207*AB197</f>
        <v>0</v>
      </c>
      <c r="AO207" s="16"/>
      <c r="AP207" s="13"/>
      <c r="AQ207" s="27"/>
      <c r="AR207" s="16">
        <v>0.19</v>
      </c>
      <c r="AS207" s="13">
        <v>1</v>
      </c>
      <c r="AT207" s="27">
        <f>AR207*AS207*AK207*AB199</f>
        <v>0</v>
      </c>
      <c r="AU207" s="16"/>
      <c r="AV207" s="13"/>
      <c r="AW207" s="27"/>
      <c r="AX207" s="16"/>
      <c r="AY207" s="13"/>
      <c r="AZ207" s="27"/>
      <c r="BA207" s="59">
        <f>(0.445*AL207+0.425*AR207)*AK207</f>
        <v>0</v>
      </c>
      <c r="BB207" s="66">
        <f t="shared" ref="BB207:BB208" si="91">(3.14*AL207*AM207+0.4*AR207*AS207)*AK207</f>
        <v>0</v>
      </c>
      <c r="BC207" s="79"/>
      <c r="BD207" s="13"/>
      <c r="BE207" s="27"/>
      <c r="BF207" s="8"/>
      <c r="BG207" s="9"/>
    </row>
    <row r="208" spans="1:59" ht="15.75" thickBot="1" x14ac:dyDescent="0.3">
      <c r="A208">
        <v>4</v>
      </c>
      <c r="B208" s="16">
        <v>15</v>
      </c>
      <c r="C208" s="14" t="s">
        <v>37</v>
      </c>
      <c r="D208" s="37">
        <f>O201*M203*0.03</f>
        <v>0.83399999999999985</v>
      </c>
      <c r="E208" s="18" t="s">
        <v>18</v>
      </c>
      <c r="F208" s="9"/>
      <c r="G208" s="6">
        <v>90</v>
      </c>
      <c r="H208" s="13" t="s">
        <v>43</v>
      </c>
      <c r="I208" s="17"/>
      <c r="J208" s="8"/>
      <c r="K208" s="8"/>
      <c r="L208" s="13">
        <v>0.81</v>
      </c>
      <c r="M208" s="17"/>
      <c r="N208" s="36">
        <f>IF(H201&gt;0,L208*2.15*M208,0)+IF(I201&gt;0,L208*2.15*M208,0)+IF(J201&gt;0,L208*2.18*M208,0)</f>
        <v>0</v>
      </c>
      <c r="O208" s="13">
        <f t="shared" ref="O208:O210" si="92">L208*M208</f>
        <v>0</v>
      </c>
      <c r="P208" s="9"/>
      <c r="Q208" s="6"/>
      <c r="R208" s="118" t="s">
        <v>76</v>
      </c>
      <c r="S208" s="119"/>
      <c r="T208" s="119"/>
      <c r="U208" s="119"/>
      <c r="V208" s="119"/>
      <c r="W208" s="119"/>
      <c r="X208" s="120"/>
      <c r="Y208" s="58"/>
      <c r="Z208" s="6"/>
      <c r="AA208" s="21">
        <v>3</v>
      </c>
      <c r="AB208" s="21">
        <v>3</v>
      </c>
      <c r="AC208" s="21">
        <v>3</v>
      </c>
      <c r="AD208" s="21">
        <v>3</v>
      </c>
      <c r="AE208" s="21">
        <v>3</v>
      </c>
      <c r="AF208" s="21">
        <v>4</v>
      </c>
      <c r="AG208" s="31">
        <v>4</v>
      </c>
      <c r="AH208" s="8"/>
      <c r="AI208" s="8">
        <v>190</v>
      </c>
      <c r="AJ208" s="66" t="s">
        <v>108</v>
      </c>
      <c r="AK208" s="74">
        <f>IF(J201&gt;0,I221,0)</f>
        <v>0</v>
      </c>
      <c r="AL208" s="16">
        <v>0.65</v>
      </c>
      <c r="AM208" s="13">
        <v>1</v>
      </c>
      <c r="AN208" s="34">
        <f>AL208*AM208*AK208*AB197</f>
        <v>0</v>
      </c>
      <c r="AO208" s="16"/>
      <c r="AP208" s="13"/>
      <c r="AQ208" s="27"/>
      <c r="AR208" s="16">
        <v>0.19</v>
      </c>
      <c r="AS208" s="61">
        <v>1</v>
      </c>
      <c r="AT208" s="27">
        <f>AR208*AS208*AK208*AB199</f>
        <v>0</v>
      </c>
      <c r="AU208" s="16"/>
      <c r="AV208" s="13"/>
      <c r="AW208" s="27"/>
      <c r="AX208" s="16"/>
      <c r="AY208" s="13"/>
      <c r="AZ208" s="27"/>
      <c r="BA208" s="59">
        <f>(0.445*AL208+0.425*AR208)*AK208</f>
        <v>0</v>
      </c>
      <c r="BB208" s="66">
        <f t="shared" si="91"/>
        <v>0</v>
      </c>
      <c r="BC208" s="79"/>
      <c r="BD208" s="13"/>
      <c r="BE208" s="27"/>
      <c r="BF208" s="8"/>
      <c r="BG208" s="9"/>
    </row>
    <row r="209" spans="1:59" ht="15.75" thickBot="1" x14ac:dyDescent="0.3">
      <c r="A209">
        <v>4</v>
      </c>
      <c r="B209" s="16">
        <v>16</v>
      </c>
      <c r="C209" s="14" t="s">
        <v>10</v>
      </c>
      <c r="D209" s="37">
        <f>IF(H201&gt;0,R209,0)</f>
        <v>0</v>
      </c>
      <c r="E209" s="69" t="s">
        <v>17</v>
      </c>
      <c r="F209" s="9"/>
      <c r="G209" s="6">
        <v>90</v>
      </c>
      <c r="H209" s="13" t="s">
        <v>44</v>
      </c>
      <c r="I209" s="17"/>
      <c r="J209" s="8"/>
      <c r="K209" s="8"/>
      <c r="L209" s="13">
        <v>0.91</v>
      </c>
      <c r="M209" s="17"/>
      <c r="N209" s="36">
        <f>IF(H201&gt;0,L209*2.15*M209,0)+IF(I201&gt;0,L209*2.15*M209,0)+IF(J201&gt;0,L209*2.18*M209,0)</f>
        <v>0</v>
      </c>
      <c r="O209" s="13">
        <f t="shared" si="92"/>
        <v>0</v>
      </c>
      <c r="P209" s="9"/>
      <c r="Q209" s="6"/>
      <c r="R209" s="39">
        <f>IF(H201&gt;0,R207*M203,0)*M204</f>
        <v>0</v>
      </c>
      <c r="S209" s="40">
        <f>IF(I201&gt;0,S207*0.02*M203,0)*M204</f>
        <v>0</v>
      </c>
      <c r="T209" s="40">
        <f>IF(J201&gt;0,T207*0.02*M203,0)*M204</f>
        <v>0</v>
      </c>
      <c r="U209" s="40"/>
      <c r="V209" s="40"/>
      <c r="W209" s="40">
        <f>IF(M201&gt;0,W207*0.02*M203,0)*M204</f>
        <v>0</v>
      </c>
      <c r="X209" s="41">
        <f>IF(N201&gt;0,X207*0.02*M203,0)*M204</f>
        <v>0</v>
      </c>
      <c r="Y209" s="8"/>
      <c r="Z209" s="59"/>
      <c r="AA209" s="118" t="s">
        <v>92</v>
      </c>
      <c r="AB209" s="119"/>
      <c r="AC209" s="119"/>
      <c r="AD209" s="119"/>
      <c r="AE209" s="119"/>
      <c r="AF209" s="119"/>
      <c r="AG209" s="120"/>
      <c r="AH209" s="8"/>
      <c r="AI209" s="8"/>
      <c r="AJ209" s="66"/>
      <c r="AK209" s="74"/>
      <c r="AL209" s="16"/>
      <c r="AM209" s="13"/>
      <c r="AN209" s="34"/>
      <c r="AO209" s="16"/>
      <c r="AP209" s="13"/>
      <c r="AQ209" s="27"/>
      <c r="AR209" s="16"/>
      <c r="AS209" s="13"/>
      <c r="AT209" s="27"/>
      <c r="AU209" s="16"/>
      <c r="AV209" s="13"/>
      <c r="AW209" s="27"/>
      <c r="AX209" s="16"/>
      <c r="AY209" s="13"/>
      <c r="AZ209" s="27"/>
      <c r="BA209" s="59"/>
      <c r="BB209" s="66"/>
      <c r="BC209" s="79"/>
      <c r="BD209" s="13"/>
      <c r="BE209" s="27"/>
      <c r="BF209" s="8"/>
      <c r="BG209" s="9"/>
    </row>
    <row r="210" spans="1:59" ht="15.75" thickBot="1" x14ac:dyDescent="0.3">
      <c r="A210">
        <v>4</v>
      </c>
      <c r="B210" s="16">
        <v>17</v>
      </c>
      <c r="C210" s="14" t="s">
        <v>11</v>
      </c>
      <c r="D210" s="37">
        <f>IF(I201&gt;0,S217,0)+IF(J201&gt;0,T217,0)+IF(M201&gt;0,W217,0)+IF(N201&gt;0,X217,0)</f>
        <v>0</v>
      </c>
      <c r="E210" s="69" t="s">
        <v>17</v>
      </c>
      <c r="F210" s="9"/>
      <c r="G210" s="6">
        <v>90</v>
      </c>
      <c r="H210" s="13" t="s">
        <v>45</v>
      </c>
      <c r="I210" s="17"/>
      <c r="J210" s="8"/>
      <c r="K210" s="8"/>
      <c r="L210" s="13">
        <v>1.01</v>
      </c>
      <c r="M210" s="17"/>
      <c r="N210" s="38">
        <f>IF(H201&gt;0,L210*2.15*M210,0)+IF(I201&gt;0,L210*2.15*M210,0)+IF(J201&gt;0,L210*2.18*M210,0)</f>
        <v>0</v>
      </c>
      <c r="O210" s="21">
        <f t="shared" si="92"/>
        <v>0</v>
      </c>
      <c r="P210" s="9"/>
      <c r="Q210" s="6"/>
      <c r="R210" s="8"/>
      <c r="S210" s="8"/>
      <c r="T210" s="8"/>
      <c r="U210" s="8"/>
      <c r="V210" s="8"/>
      <c r="W210" s="8"/>
      <c r="X210" s="8"/>
      <c r="Y210" s="8"/>
      <c r="Z210" s="16" t="s">
        <v>90</v>
      </c>
      <c r="AA210" s="33"/>
      <c r="AB210" s="33">
        <v>0.05</v>
      </c>
      <c r="AC210" s="33">
        <v>0.05</v>
      </c>
      <c r="AD210" s="33">
        <v>0.05</v>
      </c>
      <c r="AE210" s="33">
        <v>0.05</v>
      </c>
      <c r="AF210" s="33">
        <v>0.05</v>
      </c>
      <c r="AG210" s="34">
        <v>0.05</v>
      </c>
      <c r="AH210" s="8"/>
      <c r="AI210" s="8">
        <v>80</v>
      </c>
      <c r="AJ210" s="66" t="s">
        <v>54</v>
      </c>
      <c r="AK210" s="74">
        <f>IF(H201&gt;0,I223,0)</f>
        <v>0</v>
      </c>
      <c r="AL210" s="16">
        <f>0.71+0.4</f>
        <v>1.1099999999999999</v>
      </c>
      <c r="AM210" s="61">
        <v>2</v>
      </c>
      <c r="AN210" s="34">
        <f>AL210*AM210*AK210*AB197</f>
        <v>0</v>
      </c>
      <c r="AO210" s="16"/>
      <c r="AP210" s="13"/>
      <c r="AQ210" s="27"/>
      <c r="AR210" s="16"/>
      <c r="AS210" s="13"/>
      <c r="AT210" s="27"/>
      <c r="AU210" s="16"/>
      <c r="AV210" s="13"/>
      <c r="AW210" s="27"/>
      <c r="AX210" s="16"/>
      <c r="AY210" s="13"/>
      <c r="AZ210" s="27"/>
      <c r="BA210" s="59">
        <f>0.225*AL210*AK210</f>
        <v>0</v>
      </c>
      <c r="BB210" s="66">
        <f>3.14*AL210*AM210*AK210</f>
        <v>0</v>
      </c>
      <c r="BC210" s="79">
        <v>0.71</v>
      </c>
      <c r="BD210" s="13">
        <v>0.08</v>
      </c>
      <c r="BE210" s="27">
        <f>BC210*BD210*AK210</f>
        <v>0</v>
      </c>
      <c r="BF210" s="8"/>
      <c r="BG210" s="9"/>
    </row>
    <row r="211" spans="1:59" ht="15.75" thickBot="1" x14ac:dyDescent="0.3">
      <c r="A211">
        <v>4</v>
      </c>
      <c r="B211" s="16"/>
      <c r="C211" s="15" t="s">
        <v>131</v>
      </c>
      <c r="D211" s="37"/>
      <c r="E211" s="69"/>
      <c r="F211" s="9"/>
      <c r="G211" s="6">
        <v>190</v>
      </c>
      <c r="H211" s="13" t="s">
        <v>46</v>
      </c>
      <c r="I211" s="17"/>
      <c r="J211" s="8"/>
      <c r="K211" s="8"/>
      <c r="L211" s="8"/>
      <c r="M211" s="13" t="s">
        <v>61</v>
      </c>
      <c r="N211" s="35">
        <f>SUM(N207:N210)</f>
        <v>0</v>
      </c>
      <c r="O211" s="22">
        <f>SUM(O207:O210)</f>
        <v>0</v>
      </c>
      <c r="P211" s="9"/>
      <c r="Q211" s="6"/>
      <c r="R211" s="113" t="s">
        <v>77</v>
      </c>
      <c r="S211" s="114"/>
      <c r="T211" s="114"/>
      <c r="U211" s="114"/>
      <c r="V211" s="114"/>
      <c r="W211" s="114"/>
      <c r="X211" s="115"/>
      <c r="Y211" s="58"/>
      <c r="Z211" s="16" t="s">
        <v>91</v>
      </c>
      <c r="AA211" s="13"/>
      <c r="AB211" s="13">
        <v>0.68</v>
      </c>
      <c r="AC211" s="13">
        <v>1.37</v>
      </c>
      <c r="AD211" s="13"/>
      <c r="AE211" s="13"/>
      <c r="AF211" s="13">
        <v>0.68</v>
      </c>
      <c r="AG211" s="27">
        <v>0.93</v>
      </c>
      <c r="AH211" s="8"/>
      <c r="AI211" s="8">
        <v>80</v>
      </c>
      <c r="AJ211" s="66" t="s">
        <v>55</v>
      </c>
      <c r="AK211" s="74">
        <f>IF(H201&gt;0,I224,0)</f>
        <v>0</v>
      </c>
      <c r="AL211" s="16">
        <f>0.81+0.4</f>
        <v>1.21</v>
      </c>
      <c r="AM211" s="61">
        <v>2</v>
      </c>
      <c r="AN211" s="34">
        <f>AL211*AM211*AK211*AB197</f>
        <v>0</v>
      </c>
      <c r="AO211" s="16"/>
      <c r="AP211" s="13"/>
      <c r="AQ211" s="27"/>
      <c r="AR211" s="16"/>
      <c r="AS211" s="13"/>
      <c r="AT211" s="27"/>
      <c r="AU211" s="16"/>
      <c r="AV211" s="13"/>
      <c r="AW211" s="27"/>
      <c r="AX211" s="16"/>
      <c r="AY211" s="13"/>
      <c r="AZ211" s="27"/>
      <c r="BA211" s="59">
        <f t="shared" ref="BA211:BA213" si="93">0.225*AL211*AK211</f>
        <v>0</v>
      </c>
      <c r="BB211" s="66">
        <f t="shared" ref="BB211:BB213" si="94">3.14*AL211*AM211*AK211</f>
        <v>0</v>
      </c>
      <c r="BC211" s="79">
        <v>0.81</v>
      </c>
      <c r="BD211" s="13">
        <v>0.08</v>
      </c>
      <c r="BE211" s="27">
        <f t="shared" ref="BE211:BE213" si="95">BC211*BD211*AK211</f>
        <v>0</v>
      </c>
      <c r="BF211" s="8"/>
      <c r="BG211" s="9"/>
    </row>
    <row r="212" spans="1:59" ht="15.75" thickBot="1" x14ac:dyDescent="0.3">
      <c r="A212">
        <v>4</v>
      </c>
      <c r="B212" s="16">
        <v>18</v>
      </c>
      <c r="C212" s="14" t="s">
        <v>115</v>
      </c>
      <c r="D212" s="37">
        <f>AJ225</f>
        <v>0</v>
      </c>
      <c r="E212" s="69" t="s">
        <v>17</v>
      </c>
      <c r="F212" s="9"/>
      <c r="G212" s="6">
        <v>190</v>
      </c>
      <c r="H212" s="13" t="s">
        <v>47</v>
      </c>
      <c r="I212" s="17"/>
      <c r="J212" s="8"/>
      <c r="K212" s="8"/>
      <c r="L212" s="8"/>
      <c r="M212" s="8"/>
      <c r="N212" s="8"/>
      <c r="O212" s="8"/>
      <c r="P212" s="9"/>
      <c r="Q212" s="6"/>
      <c r="R212" s="16" t="s">
        <v>23</v>
      </c>
      <c r="S212" s="13" t="s">
        <v>24</v>
      </c>
      <c r="T212" s="13" t="s">
        <v>25</v>
      </c>
      <c r="U212" s="13" t="s">
        <v>26</v>
      </c>
      <c r="V212" s="13" t="s">
        <v>27</v>
      </c>
      <c r="W212" s="13" t="s">
        <v>28</v>
      </c>
      <c r="X212" s="27" t="s">
        <v>29</v>
      </c>
      <c r="Y212" s="8"/>
      <c r="Z212" s="16" t="s">
        <v>96</v>
      </c>
      <c r="AA212" s="21">
        <v>0.28000000000000003</v>
      </c>
      <c r="AB212" s="21"/>
      <c r="AC212" s="21"/>
      <c r="AD212" s="21">
        <v>0.36</v>
      </c>
      <c r="AE212" s="21">
        <v>0.36</v>
      </c>
      <c r="AF212" s="21"/>
      <c r="AG212" s="31"/>
      <c r="AH212" s="8"/>
      <c r="AI212" s="63">
        <v>80</v>
      </c>
      <c r="AJ212" s="66" t="s">
        <v>56</v>
      </c>
      <c r="AK212" s="74">
        <f>IF(H201&gt;0,I225,0)</f>
        <v>0</v>
      </c>
      <c r="AL212" s="16">
        <f>0.91+0.4</f>
        <v>1.31</v>
      </c>
      <c r="AM212" s="61">
        <v>2</v>
      </c>
      <c r="AN212" s="34">
        <f>AL212*AM212*AK212*AB197</f>
        <v>0</v>
      </c>
      <c r="AO212" s="16"/>
      <c r="AP212" s="13"/>
      <c r="AQ212" s="27"/>
      <c r="AR212" s="16"/>
      <c r="AS212" s="13"/>
      <c r="AT212" s="27"/>
      <c r="AU212" s="16"/>
      <c r="AV212" s="13"/>
      <c r="AW212" s="27"/>
      <c r="AX212" s="16"/>
      <c r="AY212" s="13"/>
      <c r="AZ212" s="27"/>
      <c r="BA212" s="59">
        <f t="shared" si="93"/>
        <v>0</v>
      </c>
      <c r="BB212" s="66">
        <f t="shared" si="94"/>
        <v>0</v>
      </c>
      <c r="BC212" s="79">
        <v>0.91</v>
      </c>
      <c r="BD212" s="13">
        <v>0.08</v>
      </c>
      <c r="BE212" s="27">
        <f t="shared" si="95"/>
        <v>0</v>
      </c>
      <c r="BF212" s="8"/>
      <c r="BG212" s="9"/>
    </row>
    <row r="213" spans="1:59" ht="15.75" thickBot="1" x14ac:dyDescent="0.3">
      <c r="A213">
        <v>4</v>
      </c>
      <c r="B213" s="16">
        <v>19</v>
      </c>
      <c r="C213" s="14" t="s">
        <v>107</v>
      </c>
      <c r="D213" s="37">
        <f>AK225</f>
        <v>0</v>
      </c>
      <c r="E213" s="69" t="s">
        <v>19</v>
      </c>
      <c r="F213" s="9"/>
      <c r="G213" s="6">
        <v>190</v>
      </c>
      <c r="H213" s="13" t="s">
        <v>48</v>
      </c>
      <c r="I213" s="17"/>
      <c r="J213" s="8"/>
      <c r="K213" s="8"/>
      <c r="L213" s="8"/>
      <c r="M213" s="8" t="s">
        <v>35</v>
      </c>
      <c r="N213" s="8"/>
      <c r="O213" s="8"/>
      <c r="P213" s="9"/>
      <c r="Q213" s="6"/>
      <c r="R213" s="6"/>
      <c r="S213" s="21">
        <v>7.0000000000000007E-2</v>
      </c>
      <c r="T213" s="21">
        <v>0.17</v>
      </c>
      <c r="U213" s="8"/>
      <c r="V213" s="8"/>
      <c r="W213" s="21">
        <v>0.1</v>
      </c>
      <c r="X213" s="31">
        <v>4.4999999999999998E-2</v>
      </c>
      <c r="Y213" s="8"/>
      <c r="Z213" s="6"/>
      <c r="AA213" s="113" t="s">
        <v>94</v>
      </c>
      <c r="AB213" s="114"/>
      <c r="AC213" s="114"/>
      <c r="AD213" s="114"/>
      <c r="AE213" s="114"/>
      <c r="AF213" s="114"/>
      <c r="AG213" s="115"/>
      <c r="AH213" s="8"/>
      <c r="AI213" s="63">
        <v>80</v>
      </c>
      <c r="AJ213" s="70" t="s">
        <v>57</v>
      </c>
      <c r="AK213" s="75">
        <f>IF(H201&gt;0,I226,0)</f>
        <v>0</v>
      </c>
      <c r="AL213" s="30">
        <f>0.91+0.4</f>
        <v>1.31</v>
      </c>
      <c r="AM213" s="71">
        <v>2</v>
      </c>
      <c r="AN213" s="48">
        <f>AL213*AM213*AK213*AB197</f>
        <v>0</v>
      </c>
      <c r="AO213" s="30"/>
      <c r="AP213" s="21"/>
      <c r="AQ213" s="31"/>
      <c r="AR213" s="30"/>
      <c r="AS213" s="21"/>
      <c r="AT213" s="31"/>
      <c r="AU213" s="30"/>
      <c r="AV213" s="21"/>
      <c r="AW213" s="31"/>
      <c r="AX213" s="30"/>
      <c r="AY213" s="21"/>
      <c r="AZ213" s="31"/>
      <c r="BA213" s="91">
        <f t="shared" si="93"/>
        <v>0</v>
      </c>
      <c r="BB213" s="66">
        <f t="shared" si="94"/>
        <v>0</v>
      </c>
      <c r="BC213" s="79">
        <v>0.91</v>
      </c>
      <c r="BD213" s="13">
        <v>0.08</v>
      </c>
      <c r="BE213" s="27">
        <f t="shared" si="95"/>
        <v>0</v>
      </c>
      <c r="BF213" s="8"/>
      <c r="BG213" s="9"/>
    </row>
    <row r="214" spans="1:59" ht="15.75" thickBot="1" x14ac:dyDescent="0.3">
      <c r="A214">
        <v>4</v>
      </c>
      <c r="B214" s="16"/>
      <c r="C214" s="15" t="s">
        <v>16</v>
      </c>
      <c r="D214" s="37"/>
      <c r="E214" s="69"/>
      <c r="F214" s="9"/>
      <c r="G214" s="6">
        <v>190</v>
      </c>
      <c r="H214" s="13" t="s">
        <v>49</v>
      </c>
      <c r="I214" s="17"/>
      <c r="J214" s="8"/>
      <c r="K214" s="8"/>
      <c r="L214" s="8"/>
      <c r="M214" s="13" t="s">
        <v>31</v>
      </c>
      <c r="N214" s="69" t="s">
        <v>36</v>
      </c>
      <c r="O214" s="8"/>
      <c r="P214" s="9"/>
      <c r="Q214" s="6"/>
      <c r="R214" s="118" t="s">
        <v>78</v>
      </c>
      <c r="S214" s="119"/>
      <c r="T214" s="119"/>
      <c r="U214" s="119"/>
      <c r="V214" s="119"/>
      <c r="W214" s="119"/>
      <c r="X214" s="120"/>
      <c r="Y214" s="8"/>
      <c r="Z214" s="16" t="s">
        <v>90</v>
      </c>
      <c r="AA214" s="33"/>
      <c r="AB214" s="33">
        <f>IF(I201&gt;0,AB210*AB196*AB208,0)*M205</f>
        <v>0</v>
      </c>
      <c r="AC214" s="33">
        <f>IF(J201&gt;0,AC210*AB196*AC208,0)*M205</f>
        <v>0</v>
      </c>
      <c r="AD214" s="33">
        <f>IF(K201&gt;0,AD210*AB196*AD208,0)*M205</f>
        <v>0</v>
      </c>
      <c r="AE214" s="33">
        <f>IF(L201&gt;0,AE210*AB196*AE208,0)*M205</f>
        <v>0</v>
      </c>
      <c r="AF214" s="33">
        <f>IF(M201&gt;0,AF210*AB196*AF208,0)*M205</f>
        <v>0</v>
      </c>
      <c r="AG214" s="34">
        <f>IF(N201&gt;0,AG210*AB196*AG208,0)*M205</f>
        <v>0</v>
      </c>
      <c r="AH214" s="8"/>
      <c r="AI214" s="8"/>
      <c r="AJ214" s="66"/>
      <c r="AK214" s="74"/>
      <c r="AL214" s="16"/>
      <c r="AM214" s="13"/>
      <c r="AN214" s="27"/>
      <c r="AO214" s="16"/>
      <c r="AP214" s="13"/>
      <c r="AQ214" s="27"/>
      <c r="AR214" s="16"/>
      <c r="AS214" s="13"/>
      <c r="AT214" s="27"/>
      <c r="AU214" s="16"/>
      <c r="AV214" s="13"/>
      <c r="AW214" s="27"/>
      <c r="AX214" s="16"/>
      <c r="AY214" s="13"/>
      <c r="AZ214" s="27"/>
      <c r="BA214" s="59"/>
      <c r="BB214" s="66"/>
      <c r="BC214" s="79"/>
      <c r="BD214" s="13"/>
      <c r="BE214" s="27"/>
      <c r="BF214" s="8"/>
      <c r="BG214" s="9"/>
    </row>
    <row r="215" spans="1:59" ht="15.75" thickBot="1" x14ac:dyDescent="0.3">
      <c r="A215">
        <v>4</v>
      </c>
      <c r="B215" s="16">
        <v>20</v>
      </c>
      <c r="C215" s="14" t="s">
        <v>13</v>
      </c>
      <c r="D215" s="37">
        <f>IF(H201&gt;0,R224,0)+IF(I201&gt;0,S224,0)+IF(J201&gt;0,T224,0)+IF(K201&gt;0,U224,0)+IF(L201&gt;0,V224,0)+IF(M201&gt;0,W224,0)+IF(N201&gt;0,X224,0)</f>
        <v>0</v>
      </c>
      <c r="E215" s="69" t="s">
        <v>19</v>
      </c>
      <c r="F215" s="9"/>
      <c r="G215" s="6">
        <v>120</v>
      </c>
      <c r="H215" s="13" t="s">
        <v>106</v>
      </c>
      <c r="I215" s="17"/>
      <c r="J215" s="8"/>
      <c r="K215" s="8"/>
      <c r="L215" s="8"/>
      <c r="M215" s="17"/>
      <c r="N215" s="17"/>
      <c r="O215" s="8"/>
      <c r="P215" s="9"/>
      <c r="Q215" s="6"/>
      <c r="R215" s="6"/>
      <c r="S215" s="47">
        <v>4</v>
      </c>
      <c r="T215" s="47">
        <v>4</v>
      </c>
      <c r="U215" s="8"/>
      <c r="V215" s="8"/>
      <c r="W215" s="47">
        <v>5</v>
      </c>
      <c r="X215" s="48">
        <v>5</v>
      </c>
      <c r="Y215" s="8"/>
      <c r="Z215" s="16" t="s">
        <v>91</v>
      </c>
      <c r="AA215" s="13"/>
      <c r="AB215" s="13">
        <f>IF(I201&gt;0,AB211*AB208*AB194,0)*M205</f>
        <v>0</v>
      </c>
      <c r="AC215" s="13">
        <f>IF(J201&gt;0,AC211*AC208*AB194,0)*M205</f>
        <v>0</v>
      </c>
      <c r="AD215" s="13"/>
      <c r="AE215" s="13"/>
      <c r="AF215" s="13">
        <f>IF(M201&gt;0,AF211*AF208*AB194,0)*M205</f>
        <v>0</v>
      </c>
      <c r="AG215" s="27">
        <f>IF(N201&gt;0,AG211*AG208*AB194,0)*M205</f>
        <v>0</v>
      </c>
      <c r="AH215" s="8"/>
      <c r="AI215" s="8"/>
      <c r="AJ215" s="66"/>
      <c r="AK215" s="74"/>
      <c r="AL215" s="16"/>
      <c r="AM215" s="13"/>
      <c r="AN215" s="27"/>
      <c r="AO215" s="16"/>
      <c r="AP215" s="13"/>
      <c r="AQ215" s="27"/>
      <c r="AR215" s="16"/>
      <c r="AS215" s="13"/>
      <c r="AT215" s="27"/>
      <c r="AU215" s="16"/>
      <c r="AV215" s="13"/>
      <c r="AW215" s="27"/>
      <c r="AX215" s="16"/>
      <c r="AY215" s="13"/>
      <c r="AZ215" s="27"/>
      <c r="BA215" s="59"/>
      <c r="BB215" s="66"/>
      <c r="BC215" s="79"/>
      <c r="BD215" s="13"/>
      <c r="BE215" s="27"/>
      <c r="BF215" s="8"/>
      <c r="BG215" s="9"/>
    </row>
    <row r="216" spans="1:59" ht="15.75" thickBot="1" x14ac:dyDescent="0.3">
      <c r="A216">
        <v>4</v>
      </c>
      <c r="B216" s="16"/>
      <c r="C216" s="15" t="s">
        <v>7</v>
      </c>
      <c r="D216" s="37"/>
      <c r="E216" s="69"/>
      <c r="F216" s="9"/>
      <c r="G216" s="6"/>
      <c r="H216" s="13"/>
      <c r="I216" s="13"/>
      <c r="J216" s="8"/>
      <c r="K216" s="8"/>
      <c r="L216" s="8"/>
      <c r="M216" s="17"/>
      <c r="N216" s="17"/>
      <c r="O216" s="8"/>
      <c r="P216" s="9"/>
      <c r="Q216" s="6"/>
      <c r="R216" s="113" t="s">
        <v>79</v>
      </c>
      <c r="S216" s="114"/>
      <c r="T216" s="114"/>
      <c r="U216" s="114"/>
      <c r="V216" s="114"/>
      <c r="W216" s="114"/>
      <c r="X216" s="115"/>
      <c r="Y216" s="8"/>
      <c r="Z216" s="28" t="s">
        <v>96</v>
      </c>
      <c r="AA216" s="20">
        <f>IF(H201&gt;0,AA212*AA208*AB195,0)*M205</f>
        <v>0</v>
      </c>
      <c r="AB216" s="20"/>
      <c r="AC216" s="20"/>
      <c r="AD216" s="20">
        <f>IF(K201&gt;0,AD212*AD208*AB195,0)*M205</f>
        <v>0</v>
      </c>
      <c r="AE216" s="20">
        <f>IF(L201&gt;0,AE212*AE208*AB195,0)*M205</f>
        <v>0</v>
      </c>
      <c r="AF216" s="20"/>
      <c r="AG216" s="29">
        <f>IF(N201&gt;0,AG212*AG208*AB195,0)*M205</f>
        <v>0</v>
      </c>
      <c r="AH216" s="8"/>
      <c r="AI216" s="8"/>
      <c r="AJ216" s="66"/>
      <c r="AK216" s="74"/>
      <c r="AL216" s="16"/>
      <c r="AM216" s="13"/>
      <c r="AN216" s="27"/>
      <c r="AO216" s="16"/>
      <c r="AP216" s="13"/>
      <c r="AQ216" s="27"/>
      <c r="AR216" s="16"/>
      <c r="AS216" s="13"/>
      <c r="AT216" s="27"/>
      <c r="AU216" s="16"/>
      <c r="AV216" s="13"/>
      <c r="AW216" s="27"/>
      <c r="AX216" s="16"/>
      <c r="AY216" s="13"/>
      <c r="AZ216" s="27"/>
      <c r="BA216" s="59"/>
      <c r="BB216" s="66"/>
      <c r="BC216" s="79"/>
      <c r="BD216" s="13"/>
      <c r="BE216" s="31"/>
      <c r="BF216" s="8"/>
      <c r="BG216" s="9"/>
    </row>
    <row r="217" spans="1:59" ht="15.75" thickBot="1" x14ac:dyDescent="0.3">
      <c r="A217">
        <v>4</v>
      </c>
      <c r="B217" s="16">
        <v>21</v>
      </c>
      <c r="C217" s="14" t="s">
        <v>14</v>
      </c>
      <c r="D217" s="37">
        <f>SUM(AA215:AG215)</f>
        <v>0</v>
      </c>
      <c r="E217" s="69" t="s">
        <v>19</v>
      </c>
      <c r="F217" s="9"/>
      <c r="G217" s="6">
        <v>120</v>
      </c>
      <c r="H217" s="13" t="s">
        <v>50</v>
      </c>
      <c r="I217" s="17"/>
      <c r="J217" s="8"/>
      <c r="K217" s="8"/>
      <c r="L217" s="8"/>
      <c r="M217" s="13" t="s">
        <v>61</v>
      </c>
      <c r="N217" s="13">
        <f>M215*N215+M216*N216</f>
        <v>0</v>
      </c>
      <c r="O217" s="8"/>
      <c r="P217" s="9"/>
      <c r="Q217" s="6"/>
      <c r="R217" s="10"/>
      <c r="S217" s="40">
        <f>IF(I201&gt;0,S213*I201*S215,0)</f>
        <v>0</v>
      </c>
      <c r="T217" s="40">
        <f>IF(J201&gt;0,T213*J201*T215,0)</f>
        <v>0</v>
      </c>
      <c r="U217" s="12"/>
      <c r="V217" s="12"/>
      <c r="W217" s="40">
        <f t="shared" ref="W217" si="96">IF(M201&gt;0,W213*M201*W215,0)</f>
        <v>0</v>
      </c>
      <c r="X217" s="41">
        <f t="shared" ref="X217" si="97">IF(N201&gt;0,X213*N201*X215,0)</f>
        <v>0</v>
      </c>
      <c r="Y217" s="8"/>
      <c r="Z217" s="2"/>
      <c r="AA217" s="113" t="s">
        <v>97</v>
      </c>
      <c r="AB217" s="114"/>
      <c r="AC217" s="114"/>
      <c r="AD217" s="114"/>
      <c r="AE217" s="114"/>
      <c r="AF217" s="114"/>
      <c r="AG217" s="115"/>
      <c r="AH217" s="8"/>
      <c r="AI217" s="8"/>
      <c r="AJ217" s="67"/>
      <c r="AK217" s="75"/>
      <c r="AL217" s="30"/>
      <c r="AM217" s="21"/>
      <c r="AN217" s="31"/>
      <c r="AO217" s="30"/>
      <c r="AP217" s="21"/>
      <c r="AQ217" s="31"/>
      <c r="AR217" s="30"/>
      <c r="AS217" s="21"/>
      <c r="AT217" s="31"/>
      <c r="AU217" s="30"/>
      <c r="AV217" s="21"/>
      <c r="AW217" s="31"/>
      <c r="AX217" s="30"/>
      <c r="AY217" s="21"/>
      <c r="AZ217" s="31"/>
      <c r="BA217" s="91"/>
      <c r="BB217" s="70"/>
      <c r="BC217" s="79"/>
      <c r="BD217" s="76" t="s">
        <v>123</v>
      </c>
      <c r="BE217" s="22">
        <f>SUM(BE195:BE197)+SUM(BE200:BE201)</f>
        <v>0</v>
      </c>
      <c r="BF217" s="8"/>
      <c r="BG217" s="9"/>
    </row>
    <row r="218" spans="1:59" ht="15.75" thickBot="1" x14ac:dyDescent="0.3">
      <c r="A218">
        <v>4</v>
      </c>
      <c r="B218" s="16">
        <v>22</v>
      </c>
      <c r="C218" s="14" t="s">
        <v>95</v>
      </c>
      <c r="D218" s="37">
        <f>SUM(AA216:AG216)</f>
        <v>0</v>
      </c>
      <c r="E218" s="69" t="s">
        <v>19</v>
      </c>
      <c r="F218" s="9"/>
      <c r="G218" s="6">
        <v>65</v>
      </c>
      <c r="H218" s="13" t="s">
        <v>51</v>
      </c>
      <c r="I218" s="17"/>
      <c r="J218" s="8"/>
      <c r="K218" s="8"/>
      <c r="L218" s="8" t="s">
        <v>132</v>
      </c>
      <c r="M218" s="8"/>
      <c r="N218" s="8"/>
      <c r="O218" s="8"/>
      <c r="P218" s="9"/>
      <c r="Q218" s="6"/>
      <c r="R218" s="8"/>
      <c r="S218" s="8"/>
      <c r="T218" s="8"/>
      <c r="U218" s="8"/>
      <c r="V218" s="8"/>
      <c r="W218" s="8"/>
      <c r="X218" s="8"/>
      <c r="Y218" s="8"/>
      <c r="Z218" s="16" t="s">
        <v>90</v>
      </c>
      <c r="AA218" s="33"/>
      <c r="AB218" s="33">
        <f>(0.05*0.05*2+0.05*0.004*4)*AB208</f>
        <v>1.7400000000000006E-2</v>
      </c>
      <c r="AC218" s="33">
        <f t="shared" ref="AC218:AG218" si="98">(0.05*0.05*2+0.05*0.004*4)*AC208</f>
        <v>1.7400000000000006E-2</v>
      </c>
      <c r="AD218" s="33">
        <f t="shared" si="98"/>
        <v>1.7400000000000006E-2</v>
      </c>
      <c r="AE218" s="33">
        <f t="shared" si="98"/>
        <v>1.7400000000000006E-2</v>
      </c>
      <c r="AF218" s="33">
        <f t="shared" si="98"/>
        <v>2.3200000000000005E-2</v>
      </c>
      <c r="AG218" s="34">
        <f t="shared" si="98"/>
        <v>2.3200000000000005E-2</v>
      </c>
      <c r="AH218" s="8"/>
      <c r="AI218" s="8"/>
      <c r="AJ218" s="113" t="s">
        <v>61</v>
      </c>
      <c r="AK218" s="114"/>
      <c r="AL218" s="24"/>
      <c r="AM218" s="25"/>
      <c r="AN218" s="26">
        <f>SUM(AN195:AN217)</f>
        <v>0</v>
      </c>
      <c r="AO218" s="24"/>
      <c r="AP218" s="25"/>
      <c r="AQ218" s="26">
        <f t="shared" ref="AQ218" si="99">SUM(AQ195:AQ217)</f>
        <v>0</v>
      </c>
      <c r="AR218" s="24"/>
      <c r="AS218" s="25"/>
      <c r="AT218" s="26">
        <f t="shared" ref="AT218" si="100">SUM(AT195:AT217)</f>
        <v>0</v>
      </c>
      <c r="AU218" s="24"/>
      <c r="AV218" s="25"/>
      <c r="AW218" s="26">
        <f t="shared" ref="AW218" si="101">SUM(AW195:AW217)</f>
        <v>0</v>
      </c>
      <c r="AX218" s="24"/>
      <c r="AY218" s="25"/>
      <c r="AZ218" s="26"/>
      <c r="BA218" s="92">
        <f t="shared" ref="BA218" si="102">SUM(BA195:BA217)</f>
        <v>0</v>
      </c>
      <c r="BB218" s="22">
        <f>SUM(BB195:BB217)</f>
        <v>0</v>
      </c>
      <c r="BC218" s="77"/>
      <c r="BD218" s="72" t="s">
        <v>23</v>
      </c>
      <c r="BE218" s="22">
        <f>SUM(BE210:BE213)</f>
        <v>0</v>
      </c>
      <c r="BF218" s="8"/>
      <c r="BG218" s="9"/>
    </row>
    <row r="219" spans="1:59" ht="15.75" thickBot="1" x14ac:dyDescent="0.3">
      <c r="A219">
        <v>4</v>
      </c>
      <c r="B219" s="16">
        <v>23</v>
      </c>
      <c r="C219" s="14" t="s">
        <v>71</v>
      </c>
      <c r="D219" s="37">
        <f>SUM(AA214:AG214)</f>
        <v>0</v>
      </c>
      <c r="E219" s="69" t="s">
        <v>19</v>
      </c>
      <c r="F219" s="9"/>
      <c r="G219" s="6">
        <v>120</v>
      </c>
      <c r="H219" s="13" t="s">
        <v>52</v>
      </c>
      <c r="I219" s="17"/>
      <c r="J219" s="8"/>
      <c r="K219" s="8"/>
      <c r="L219" s="116" t="s">
        <v>128</v>
      </c>
      <c r="M219" s="116"/>
      <c r="N219" s="116"/>
      <c r="O219" s="134" t="s">
        <v>107</v>
      </c>
      <c r="P219" s="138"/>
      <c r="Q219" s="6"/>
      <c r="R219" s="113" t="s">
        <v>85</v>
      </c>
      <c r="S219" s="114"/>
      <c r="T219" s="114"/>
      <c r="U219" s="114"/>
      <c r="V219" s="114"/>
      <c r="W219" s="114"/>
      <c r="X219" s="115"/>
      <c r="Y219" s="8"/>
      <c r="Z219" s="16" t="s">
        <v>91</v>
      </c>
      <c r="AA219" s="13"/>
      <c r="AB219" s="13">
        <f>3.14*0.006*AB211*AB208</f>
        <v>3.8433600000000012E-2</v>
      </c>
      <c r="AC219" s="13">
        <f t="shared" ref="AC219" si="103">3.14*0.006*AC211*AC208</f>
        <v>7.7432400000000012E-2</v>
      </c>
      <c r="AD219" s="13"/>
      <c r="AE219" s="13"/>
      <c r="AF219" s="13">
        <f t="shared" ref="AF219:AG219" si="104">3.14*0.006*AF211*AF208</f>
        <v>5.1244800000000014E-2</v>
      </c>
      <c r="AG219" s="27">
        <f t="shared" si="104"/>
        <v>7.0084800000000017E-2</v>
      </c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9"/>
    </row>
    <row r="220" spans="1:59" ht="15.75" thickBot="1" x14ac:dyDescent="0.3">
      <c r="A220">
        <v>4</v>
      </c>
      <c r="B220" s="16"/>
      <c r="C220" s="15" t="s">
        <v>8</v>
      </c>
      <c r="D220" s="37"/>
      <c r="E220" s="69"/>
      <c r="F220" s="9"/>
      <c r="G220" s="6">
        <v>190</v>
      </c>
      <c r="H220" s="13" t="s">
        <v>53</v>
      </c>
      <c r="I220" s="17"/>
      <c r="J220" s="8"/>
      <c r="K220" s="8"/>
      <c r="L220" s="13" t="s">
        <v>125</v>
      </c>
      <c r="M220" s="13" t="s">
        <v>126</v>
      </c>
      <c r="N220" s="13" t="s">
        <v>63</v>
      </c>
      <c r="O220" s="61" t="s">
        <v>31</v>
      </c>
      <c r="P220" s="27" t="s">
        <v>130</v>
      </c>
      <c r="Q220" s="6"/>
      <c r="R220" s="16" t="s">
        <v>23</v>
      </c>
      <c r="S220" s="13" t="s">
        <v>24</v>
      </c>
      <c r="T220" s="13" t="s">
        <v>25</v>
      </c>
      <c r="U220" s="13" t="s">
        <v>26</v>
      </c>
      <c r="V220" s="13" t="s">
        <v>27</v>
      </c>
      <c r="W220" s="13" t="s">
        <v>28</v>
      </c>
      <c r="X220" s="27" t="s">
        <v>29</v>
      </c>
      <c r="Y220" s="8"/>
      <c r="Z220" s="16" t="s">
        <v>96</v>
      </c>
      <c r="AA220" s="21">
        <f>3.14*0.008*AA212*AA208</f>
        <v>2.1100800000000003E-2</v>
      </c>
      <c r="AB220" s="21"/>
      <c r="AC220" s="21"/>
      <c r="AD220" s="21">
        <f t="shared" ref="AD220:AE220" si="105">3.14*0.008*AD212*AD208</f>
        <v>2.7129599999999997E-2</v>
      </c>
      <c r="AE220" s="21">
        <f t="shared" si="105"/>
        <v>2.7129599999999997E-2</v>
      </c>
      <c r="AF220" s="21"/>
      <c r="AG220" s="31"/>
      <c r="AH220" s="8"/>
      <c r="AI220" s="8"/>
      <c r="AJ220" s="116" t="s">
        <v>124</v>
      </c>
      <c r="AK220" s="116"/>
      <c r="AL220" s="116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9"/>
    </row>
    <row r="221" spans="1:59" ht="15.75" thickBot="1" x14ac:dyDescent="0.3">
      <c r="A221">
        <v>4</v>
      </c>
      <c r="B221" s="16">
        <v>24</v>
      </c>
      <c r="C221" s="14" t="s">
        <v>103</v>
      </c>
      <c r="D221" s="37">
        <f>AT218</f>
        <v>0</v>
      </c>
      <c r="E221" s="69" t="s">
        <v>19</v>
      </c>
      <c r="F221" s="9"/>
      <c r="G221" s="6">
        <v>190</v>
      </c>
      <c r="H221" s="13" t="s">
        <v>108</v>
      </c>
      <c r="I221" s="17"/>
      <c r="J221" s="8"/>
      <c r="K221" s="8"/>
      <c r="L221" s="17"/>
      <c r="M221" s="17"/>
      <c r="N221" s="17"/>
      <c r="O221" s="17"/>
      <c r="P221" s="96"/>
      <c r="Q221" s="6" t="s">
        <v>86</v>
      </c>
      <c r="R221" s="16">
        <v>0.28000000000000003</v>
      </c>
      <c r="S221" s="13">
        <v>0.28000000000000003</v>
      </c>
      <c r="T221" s="13">
        <v>0.28000000000000003</v>
      </c>
      <c r="U221" s="13">
        <v>0.28000000000000003</v>
      </c>
      <c r="V221" s="13">
        <v>0.28000000000000003</v>
      </c>
      <c r="W221" s="13">
        <v>0.28000000000000003</v>
      </c>
      <c r="X221" s="27">
        <v>0.28000000000000003</v>
      </c>
      <c r="Y221" s="8"/>
      <c r="Z221" s="6"/>
      <c r="AA221" s="113" t="s">
        <v>100</v>
      </c>
      <c r="AB221" s="114"/>
      <c r="AC221" s="114"/>
      <c r="AD221" s="114"/>
      <c r="AE221" s="114"/>
      <c r="AF221" s="114"/>
      <c r="AG221" s="115"/>
      <c r="AH221" s="8"/>
      <c r="AI221" s="8"/>
      <c r="AJ221" s="13" t="s">
        <v>128</v>
      </c>
      <c r="AK221" s="116" t="s">
        <v>107</v>
      </c>
      <c r="AL221" s="134"/>
      <c r="AM221" s="13" t="s">
        <v>116</v>
      </c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9"/>
    </row>
    <row r="222" spans="1:59" ht="15.75" thickBot="1" x14ac:dyDescent="0.3">
      <c r="A222">
        <v>4</v>
      </c>
      <c r="B222" s="16">
        <v>25</v>
      </c>
      <c r="C222" s="14" t="s">
        <v>107</v>
      </c>
      <c r="D222" s="37">
        <f>AW218</f>
        <v>0</v>
      </c>
      <c r="E222" s="69" t="s">
        <v>19</v>
      </c>
      <c r="F222" s="9"/>
      <c r="G222" s="6"/>
      <c r="H222" s="61"/>
      <c r="I222" s="61"/>
      <c r="J222" s="8"/>
      <c r="K222" s="8"/>
      <c r="L222" s="17"/>
      <c r="M222" s="17"/>
      <c r="N222" s="17"/>
      <c r="O222" s="17"/>
      <c r="P222" s="96"/>
      <c r="Q222" s="6" t="s">
        <v>87</v>
      </c>
      <c r="R222" s="54">
        <f>IF(H201&gt;0,H201/1,0)</f>
        <v>0</v>
      </c>
      <c r="S222" s="53">
        <f>IF(I201&gt;0,I201/1.5,0)</f>
        <v>0</v>
      </c>
      <c r="T222" s="53">
        <f>IF(J201&gt;0,J201/1.5,0)</f>
        <v>0</v>
      </c>
      <c r="U222" s="53">
        <f>IF(K201&gt;0,K201/1.5,0)</f>
        <v>0</v>
      </c>
      <c r="V222" s="53">
        <f>IF(L201&gt;0,L201/1.5,0)</f>
        <v>0</v>
      </c>
      <c r="W222" s="53">
        <f t="shared" ref="W222" si="106">IF(M201&gt;0,M201/1.5,0)</f>
        <v>0</v>
      </c>
      <c r="X222" s="55">
        <f t="shared" ref="X222" si="107">IF(N201&gt;0,N201/1.5,0)</f>
        <v>0</v>
      </c>
      <c r="Y222" s="8"/>
      <c r="Z222" s="16" t="s">
        <v>90</v>
      </c>
      <c r="AA222" s="33"/>
      <c r="AB222" s="33">
        <f>IF(I201&gt;0,AB218*M205,0)</f>
        <v>0</v>
      </c>
      <c r="AC222" s="33">
        <f>IF(J201&gt;0,AC218*M205,0)</f>
        <v>0</v>
      </c>
      <c r="AD222" s="33">
        <f>IF(K201&gt;0,AD218*M205,0)</f>
        <v>0</v>
      </c>
      <c r="AE222" s="33">
        <f>IF(L201&gt;0,AE218*M205,0)</f>
        <v>0</v>
      </c>
      <c r="AF222" s="33">
        <f>IF(M201&gt;0,AF218*M205,0)</f>
        <v>0</v>
      </c>
      <c r="AG222" s="34">
        <f>IF(N201&gt;0,AG218*M205,0)</f>
        <v>0</v>
      </c>
      <c r="AH222" s="8"/>
      <c r="AI222" s="8"/>
      <c r="AJ222" s="94">
        <f>IF(I201&gt;0,N221*M221*L221,0)</f>
        <v>0</v>
      </c>
      <c r="AK222" s="116">
        <f>IF(I201&gt;0,P221*O221*AB200,0)</f>
        <v>0</v>
      </c>
      <c r="AL222" s="134"/>
      <c r="AM222" s="13">
        <f>IF(I201&gt;0,0.3*P221*O221,0)</f>
        <v>0</v>
      </c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9"/>
    </row>
    <row r="223" spans="1:59" ht="15.75" thickBot="1" x14ac:dyDescent="0.3">
      <c r="A223">
        <v>4</v>
      </c>
      <c r="B223" s="16">
        <v>26</v>
      </c>
      <c r="C223" s="14" t="s">
        <v>111</v>
      </c>
      <c r="D223" s="37">
        <f>AZ218</f>
        <v>0</v>
      </c>
      <c r="E223" s="69" t="s">
        <v>19</v>
      </c>
      <c r="F223" s="9"/>
      <c r="G223" s="6">
        <v>80</v>
      </c>
      <c r="H223" s="13" t="s">
        <v>54</v>
      </c>
      <c r="I223" s="17"/>
      <c r="J223" s="8"/>
      <c r="K223" s="8"/>
      <c r="L223" s="17"/>
      <c r="M223" s="17"/>
      <c r="N223" s="17"/>
      <c r="O223" s="17"/>
      <c r="P223" s="96"/>
      <c r="Q223" s="6"/>
      <c r="R223" s="113" t="s">
        <v>88</v>
      </c>
      <c r="S223" s="114"/>
      <c r="T223" s="114"/>
      <c r="U223" s="114"/>
      <c r="V223" s="114"/>
      <c r="W223" s="114"/>
      <c r="X223" s="115"/>
      <c r="Y223" s="8"/>
      <c r="Z223" s="16" t="s">
        <v>91</v>
      </c>
      <c r="AA223" s="13"/>
      <c r="AB223" s="13">
        <f>IF(I201&gt;0,AB219*M205,0)</f>
        <v>0</v>
      </c>
      <c r="AC223" s="13">
        <f>IF(J201&gt;0,AC219*M205,0)</f>
        <v>0</v>
      </c>
      <c r="AD223" s="13"/>
      <c r="AE223" s="13"/>
      <c r="AF223" s="13">
        <f>IF(M201&gt;0,AF219*M205,0)</f>
        <v>0</v>
      </c>
      <c r="AG223" s="27">
        <f>IF(N201&gt;0,AG219*M205,0)</f>
        <v>0</v>
      </c>
      <c r="AH223" s="8"/>
      <c r="AI223" s="8"/>
      <c r="AJ223" s="94">
        <f>IF(I201&gt;0,N222*M222*L222,0)</f>
        <v>0</v>
      </c>
      <c r="AK223" s="116">
        <f>IF(I201&gt;0,P222*O222*AB201,0)</f>
        <v>0</v>
      </c>
      <c r="AL223" s="134"/>
      <c r="AM223" s="13">
        <f>IF(I201&gt;0,0.3*P222*O222,0)</f>
        <v>0</v>
      </c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9"/>
    </row>
    <row r="224" spans="1:59" ht="15.75" thickBot="1" x14ac:dyDescent="0.3">
      <c r="A224">
        <v>4</v>
      </c>
      <c r="B224" s="16">
        <v>27</v>
      </c>
      <c r="C224" s="14" t="s">
        <v>102</v>
      </c>
      <c r="D224" s="37">
        <f>AN218</f>
        <v>0</v>
      </c>
      <c r="E224" s="69" t="s">
        <v>19</v>
      </c>
      <c r="F224" s="9"/>
      <c r="G224" s="6">
        <v>80</v>
      </c>
      <c r="H224" s="13" t="s">
        <v>55</v>
      </c>
      <c r="I224" s="17"/>
      <c r="J224" s="8"/>
      <c r="K224" s="8"/>
      <c r="L224" s="8"/>
      <c r="M224" s="8"/>
      <c r="N224" s="8"/>
      <c r="O224" s="8"/>
      <c r="P224" s="9"/>
      <c r="Q224" s="6"/>
      <c r="R224" s="60">
        <f>R221*R222*AB195</f>
        <v>0</v>
      </c>
      <c r="S224" s="47">
        <f>S221*S222*AB195</f>
        <v>0</v>
      </c>
      <c r="T224" s="47">
        <f>T221*T222*AB195</f>
        <v>0</v>
      </c>
      <c r="U224" s="47">
        <f>U221*U222*AC195</f>
        <v>0</v>
      </c>
      <c r="V224" s="47">
        <f>V221*V222*AB195</f>
        <v>0</v>
      </c>
      <c r="W224" s="47">
        <f>W221*W222*AB195</f>
        <v>0</v>
      </c>
      <c r="X224" s="48">
        <f>X221*X222*AB195</f>
        <v>0</v>
      </c>
      <c r="Y224" s="8"/>
      <c r="Z224" s="28" t="s">
        <v>96</v>
      </c>
      <c r="AA224" s="20">
        <f>IF(H201&gt;0,AA220*M205,0)</f>
        <v>0</v>
      </c>
      <c r="AB224" s="20"/>
      <c r="AC224" s="20"/>
      <c r="AD224" s="20">
        <f>IF(K201&gt;0,AD220*M205,0)</f>
        <v>0</v>
      </c>
      <c r="AE224" s="20">
        <f>IF(L201&gt;0,AE220*M205,0)</f>
        <v>0</v>
      </c>
      <c r="AF224" s="20"/>
      <c r="AG224" s="29"/>
      <c r="AH224" s="8"/>
      <c r="AI224" s="8"/>
      <c r="AJ224" s="95">
        <f>IF(I201&gt;0,N223*M223*L223,0)</f>
        <v>0</v>
      </c>
      <c r="AK224" s="135">
        <f>IF(I201&gt;0,P223*O223*AB202,0)</f>
        <v>0</v>
      </c>
      <c r="AL224" s="136"/>
      <c r="AM224" s="21">
        <f>IF(I201&gt;0,0.3*P223*O223,0)</f>
        <v>0</v>
      </c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9"/>
    </row>
    <row r="225" spans="1:59" ht="15.75" thickBot="1" x14ac:dyDescent="0.3">
      <c r="A225">
        <v>4</v>
      </c>
      <c r="B225" s="16">
        <v>28</v>
      </c>
      <c r="C225" s="14" t="s">
        <v>110</v>
      </c>
      <c r="D225" s="37">
        <f>AQ218</f>
        <v>0</v>
      </c>
      <c r="E225" s="69" t="s">
        <v>19</v>
      </c>
      <c r="F225" s="9"/>
      <c r="G225" s="62">
        <v>80</v>
      </c>
      <c r="H225" s="13" t="s">
        <v>56</v>
      </c>
      <c r="I225" s="17"/>
      <c r="J225" s="8"/>
      <c r="K225" s="8"/>
      <c r="L225" s="8"/>
      <c r="M225" s="8"/>
      <c r="N225" s="8"/>
      <c r="O225" s="8"/>
      <c r="P225" s="9"/>
      <c r="Q225" s="6"/>
      <c r="R225" s="116" t="s">
        <v>99</v>
      </c>
      <c r="S225" s="116"/>
      <c r="T225" s="116"/>
      <c r="U225" s="116"/>
      <c r="V225" s="116"/>
      <c r="W225" s="116"/>
      <c r="X225" s="116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24" t="s">
        <v>129</v>
      </c>
      <c r="AJ225" s="25">
        <f>SUM(AJ222:AJ224)</f>
        <v>0</v>
      </c>
      <c r="AK225" s="119">
        <f>SUM(AK222:AL224)</f>
        <v>0</v>
      </c>
      <c r="AL225" s="137"/>
      <c r="AM225" s="22">
        <f>SUM(AM222:AM224)</f>
        <v>0</v>
      </c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9"/>
    </row>
    <row r="226" spans="1:59" x14ac:dyDescent="0.25">
      <c r="A226">
        <v>4</v>
      </c>
      <c r="B226" s="16">
        <v>29</v>
      </c>
      <c r="C226" s="14" t="s">
        <v>9</v>
      </c>
      <c r="D226" s="37">
        <f>BA218</f>
        <v>0</v>
      </c>
      <c r="E226" s="69" t="s">
        <v>17</v>
      </c>
      <c r="F226" s="9"/>
      <c r="G226" s="62">
        <v>80</v>
      </c>
      <c r="H226" s="13" t="s">
        <v>57</v>
      </c>
      <c r="I226" s="17"/>
      <c r="J226" s="8"/>
      <c r="K226" s="8"/>
      <c r="L226" s="8"/>
      <c r="M226" s="8"/>
      <c r="N226" s="8"/>
      <c r="O226" s="8"/>
      <c r="P226" s="9"/>
      <c r="Q226" s="6" t="s">
        <v>101</v>
      </c>
      <c r="R226" s="13">
        <f>IF(H201&gt;0,3.14*0.008*R221*R222,0)</f>
        <v>0</v>
      </c>
      <c r="S226" s="13">
        <f t="shared" ref="S226" si="108">IF(I201&gt;0,3.14*0.008*S221*S222,0)</f>
        <v>0</v>
      </c>
      <c r="T226" s="13">
        <f t="shared" ref="T226" si="109">IF(J201&gt;0,3.14*0.008*T221*T222,0)</f>
        <v>0</v>
      </c>
      <c r="U226" s="13">
        <f t="shared" ref="U226" si="110">IF(K201&gt;0,3.14*0.008*U221*U222,0)</f>
        <v>0</v>
      </c>
      <c r="V226" s="13">
        <f t="shared" ref="V226" si="111">IF(L201&gt;0,3.14*0.008*V221*V222,0)</f>
        <v>0</v>
      </c>
      <c r="W226" s="13">
        <f t="shared" ref="W226" si="112">IF(M201&gt;0,3.14*0.008*W221*W222,0)</f>
        <v>0</v>
      </c>
      <c r="X226" s="13">
        <f t="shared" ref="X226" si="113">IF(N201&gt;0,3.14*0.008*X221*X222,0)</f>
        <v>0</v>
      </c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9"/>
    </row>
    <row r="227" spans="1:59" x14ac:dyDescent="0.25">
      <c r="A227">
        <v>4</v>
      </c>
      <c r="B227" s="16">
        <v>30</v>
      </c>
      <c r="C227" s="14" t="s">
        <v>117</v>
      </c>
      <c r="D227" s="37">
        <f>BE217</f>
        <v>0</v>
      </c>
      <c r="E227" s="69" t="s">
        <v>17</v>
      </c>
      <c r="F227" s="9"/>
      <c r="G227" s="6"/>
      <c r="H227" s="8"/>
      <c r="I227" s="8"/>
      <c r="J227" s="8"/>
      <c r="K227" s="8"/>
      <c r="L227" s="8"/>
      <c r="M227" s="8"/>
      <c r="N227" s="8"/>
      <c r="O227" s="8"/>
      <c r="P227" s="9"/>
      <c r="Q227" s="6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9"/>
    </row>
    <row r="228" spans="1:59" x14ac:dyDescent="0.25">
      <c r="A228">
        <v>4</v>
      </c>
      <c r="B228" s="16">
        <v>31</v>
      </c>
      <c r="C228" s="14" t="s">
        <v>118</v>
      </c>
      <c r="D228" s="37">
        <f>D227*0.03</f>
        <v>0</v>
      </c>
      <c r="E228" s="69" t="s">
        <v>18</v>
      </c>
      <c r="F228" s="9"/>
      <c r="G228" s="6"/>
      <c r="H228" s="8"/>
      <c r="I228" s="8"/>
      <c r="J228" s="8"/>
      <c r="K228" s="8"/>
      <c r="L228" s="8"/>
      <c r="M228" s="8"/>
      <c r="N228" s="8"/>
      <c r="O228" s="8"/>
      <c r="P228" s="9"/>
      <c r="Q228" s="6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9"/>
    </row>
    <row r="229" spans="1:59" x14ac:dyDescent="0.25">
      <c r="A229">
        <v>4</v>
      </c>
      <c r="B229" s="16">
        <v>32</v>
      </c>
      <c r="C229" s="14" t="s">
        <v>119</v>
      </c>
      <c r="D229" s="37">
        <f>BE218</f>
        <v>0</v>
      </c>
      <c r="E229" s="69" t="s">
        <v>17</v>
      </c>
      <c r="F229" s="9"/>
      <c r="G229" s="6"/>
      <c r="H229" s="8"/>
      <c r="I229" s="8"/>
      <c r="J229" s="8"/>
      <c r="K229" s="8"/>
      <c r="L229" s="8"/>
      <c r="M229" s="8"/>
      <c r="N229" s="8"/>
      <c r="O229" s="8"/>
      <c r="P229" s="9"/>
      <c r="Q229" s="6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9"/>
    </row>
    <row r="230" spans="1:59" x14ac:dyDescent="0.25">
      <c r="A230">
        <v>4</v>
      </c>
      <c r="B230" s="16">
        <v>33</v>
      </c>
      <c r="C230" s="14" t="s">
        <v>120</v>
      </c>
      <c r="D230" s="37">
        <f>D229*0.03</f>
        <v>0</v>
      </c>
      <c r="E230" s="69" t="s">
        <v>18</v>
      </c>
      <c r="F230" s="9"/>
      <c r="G230" s="6"/>
      <c r="H230" s="8"/>
      <c r="I230" s="8"/>
      <c r="J230" s="8"/>
      <c r="K230" s="8"/>
      <c r="L230" s="8"/>
      <c r="M230" s="8"/>
      <c r="N230" s="8"/>
      <c r="O230" s="8"/>
      <c r="P230" s="9"/>
      <c r="Q230" s="6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9"/>
    </row>
    <row r="231" spans="1:59" x14ac:dyDescent="0.25">
      <c r="A231">
        <v>4</v>
      </c>
      <c r="B231" s="16">
        <v>34</v>
      </c>
      <c r="C231" s="14" t="s">
        <v>15</v>
      </c>
      <c r="D231" s="37">
        <f>SUM(AA222:AG224)+SUM(R226:X226)+BB218+AM225</f>
        <v>0</v>
      </c>
      <c r="E231" s="69" t="s">
        <v>17</v>
      </c>
      <c r="F231" s="9"/>
      <c r="G231" s="6"/>
      <c r="H231" s="8"/>
      <c r="I231" s="8"/>
      <c r="J231" s="8"/>
      <c r="K231" s="8"/>
      <c r="L231" s="8"/>
      <c r="M231" s="8"/>
      <c r="N231" s="8"/>
      <c r="O231" s="8"/>
      <c r="P231" s="9"/>
      <c r="Q231" s="6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9"/>
    </row>
    <row r="232" spans="1:59" x14ac:dyDescent="0.25">
      <c r="B232" s="6"/>
      <c r="C232" s="7"/>
      <c r="D232" s="86"/>
      <c r="E232" s="87"/>
      <c r="F232" s="9"/>
      <c r="G232" s="6"/>
      <c r="H232" s="8"/>
      <c r="I232" s="8"/>
      <c r="J232" s="8"/>
      <c r="K232" s="8"/>
      <c r="L232" s="8"/>
      <c r="M232" s="8"/>
      <c r="N232" s="8"/>
      <c r="O232" s="8"/>
      <c r="P232" s="9"/>
      <c r="Q232" s="6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9"/>
    </row>
    <row r="233" spans="1:59" x14ac:dyDescent="0.25">
      <c r="B233" s="6"/>
      <c r="C233" s="7"/>
      <c r="D233" s="8"/>
      <c r="E233" s="8"/>
      <c r="F233" s="9"/>
      <c r="G233" s="6"/>
      <c r="H233" s="8"/>
      <c r="I233" s="8"/>
      <c r="J233" s="8"/>
      <c r="K233" s="8"/>
      <c r="L233" s="8"/>
      <c r="M233" s="8"/>
      <c r="N233" s="8"/>
      <c r="O233" s="8"/>
      <c r="P233" s="9"/>
      <c r="Q233" s="6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9"/>
    </row>
    <row r="234" spans="1:59" x14ac:dyDescent="0.25">
      <c r="B234" s="6"/>
      <c r="C234" s="7"/>
      <c r="D234" s="8"/>
      <c r="E234" s="8"/>
      <c r="F234" s="9"/>
      <c r="G234" s="6"/>
      <c r="H234" s="8"/>
      <c r="I234" s="8"/>
      <c r="J234" s="8"/>
      <c r="K234" s="8"/>
      <c r="L234" s="8"/>
      <c r="M234" s="8"/>
      <c r="N234" s="8"/>
      <c r="O234" s="8"/>
      <c r="P234" s="9"/>
      <c r="Q234" s="6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9"/>
    </row>
    <row r="235" spans="1:59" x14ac:dyDescent="0.25">
      <c r="B235" s="6"/>
      <c r="C235" s="7"/>
      <c r="D235" s="8"/>
      <c r="E235" s="8"/>
      <c r="F235" s="9"/>
      <c r="G235" s="6"/>
      <c r="H235" s="8"/>
      <c r="I235" s="8"/>
      <c r="J235" s="8"/>
      <c r="K235" s="8"/>
      <c r="L235" s="8"/>
      <c r="M235" s="8"/>
      <c r="N235" s="8"/>
      <c r="O235" s="8"/>
      <c r="P235" s="9"/>
      <c r="Q235" s="6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9"/>
    </row>
    <row r="236" spans="1:59" ht="15.75" thickBot="1" x14ac:dyDescent="0.3">
      <c r="B236" s="10"/>
      <c r="C236" s="11"/>
      <c r="D236" s="12"/>
      <c r="E236" s="12"/>
      <c r="F236" s="84"/>
      <c r="G236" s="10"/>
      <c r="H236" s="12"/>
      <c r="I236" s="12"/>
      <c r="J236" s="12"/>
      <c r="K236" s="12"/>
      <c r="L236" s="12"/>
      <c r="M236" s="12"/>
      <c r="N236" s="12"/>
      <c r="O236" s="12"/>
      <c r="P236" s="84"/>
      <c r="Q236" s="10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84"/>
    </row>
  </sheetData>
  <mergeCells count="197">
    <mergeCell ref="G1:N2"/>
    <mergeCell ref="AA209:AG209"/>
    <mergeCell ref="R211:X211"/>
    <mergeCell ref="AA213:AG213"/>
    <mergeCell ref="R214:X214"/>
    <mergeCell ref="R216:X216"/>
    <mergeCell ref="AK224:AL224"/>
    <mergeCell ref="R225:X225"/>
    <mergeCell ref="AK225:AL225"/>
    <mergeCell ref="Z197:AA197"/>
    <mergeCell ref="R205:X205"/>
    <mergeCell ref="AA205:AG205"/>
    <mergeCell ref="H206:I206"/>
    <mergeCell ref="AA207:AG207"/>
    <mergeCell ref="R208:X208"/>
    <mergeCell ref="H203:L203"/>
    <mergeCell ref="H204:L204"/>
    <mergeCell ref="N204:O204"/>
    <mergeCell ref="H205:L205"/>
    <mergeCell ref="N205:O205"/>
    <mergeCell ref="H160:I160"/>
    <mergeCell ref="AA161:AG161"/>
    <mergeCell ref="R162:X162"/>
    <mergeCell ref="H157:L157"/>
    <mergeCell ref="D2:E2"/>
    <mergeCell ref="D3:E3"/>
    <mergeCell ref="B4:E4"/>
    <mergeCell ref="B5:E5"/>
    <mergeCell ref="AJ220:AL220"/>
    <mergeCell ref="AA221:AG221"/>
    <mergeCell ref="AK221:AL221"/>
    <mergeCell ref="AK222:AL222"/>
    <mergeCell ref="R223:X223"/>
    <mergeCell ref="AK223:AL223"/>
    <mergeCell ref="AA217:AG217"/>
    <mergeCell ref="AJ218:AK218"/>
    <mergeCell ref="L219:N219"/>
    <mergeCell ref="O219:P219"/>
    <mergeCell ref="R219:X219"/>
    <mergeCell ref="Z198:AA198"/>
    <mergeCell ref="Z199:AA199"/>
    <mergeCell ref="R200:X200"/>
    <mergeCell ref="Z200:AA200"/>
    <mergeCell ref="Z201:AA201"/>
    <mergeCell ref="Z194:AA194"/>
    <mergeCell ref="Z195:AA195"/>
    <mergeCell ref="R196:X196"/>
    <mergeCell ref="Z196:AA196"/>
    <mergeCell ref="AR193:AT193"/>
    <mergeCell ref="AU193:AW193"/>
    <mergeCell ref="AX193:AZ193"/>
    <mergeCell ref="BC193:BE193"/>
    <mergeCell ref="AK178:AL178"/>
    <mergeCell ref="R179:X179"/>
    <mergeCell ref="AK179:AL179"/>
    <mergeCell ref="H192:O192"/>
    <mergeCell ref="R193:X193"/>
    <mergeCell ref="Z193:AA193"/>
    <mergeCell ref="AL193:AN193"/>
    <mergeCell ref="H158:L158"/>
    <mergeCell ref="N158:O158"/>
    <mergeCell ref="H159:L159"/>
    <mergeCell ref="N159:O159"/>
    <mergeCell ref="AO193:AQ193"/>
    <mergeCell ref="AJ174:AL174"/>
    <mergeCell ref="AA175:AG175"/>
    <mergeCell ref="AK175:AL175"/>
    <mergeCell ref="AK176:AL176"/>
    <mergeCell ref="R177:X177"/>
    <mergeCell ref="AK177:AL177"/>
    <mergeCell ref="AJ172:AK172"/>
    <mergeCell ref="L173:N173"/>
    <mergeCell ref="O173:P173"/>
    <mergeCell ref="R173:X173"/>
    <mergeCell ref="AA163:AG163"/>
    <mergeCell ref="R165:X165"/>
    <mergeCell ref="AA167:AG167"/>
    <mergeCell ref="R168:X168"/>
    <mergeCell ref="R170:X170"/>
    <mergeCell ref="AO147:AQ147"/>
    <mergeCell ref="AR147:AT147"/>
    <mergeCell ref="AU147:AW147"/>
    <mergeCell ref="AX147:AZ147"/>
    <mergeCell ref="BC147:BE147"/>
    <mergeCell ref="AK132:AL132"/>
    <mergeCell ref="R133:X133"/>
    <mergeCell ref="AK133:AL133"/>
    <mergeCell ref="AA171:AG171"/>
    <mergeCell ref="R159:X159"/>
    <mergeCell ref="AA159:AG159"/>
    <mergeCell ref="Z152:AA152"/>
    <mergeCell ref="Z153:AA153"/>
    <mergeCell ref="R154:X154"/>
    <mergeCell ref="Z154:AA154"/>
    <mergeCell ref="Z155:AA155"/>
    <mergeCell ref="Z148:AA148"/>
    <mergeCell ref="Z149:AA149"/>
    <mergeCell ref="R150:X150"/>
    <mergeCell ref="Z150:AA150"/>
    <mergeCell ref="Z151:AA151"/>
    <mergeCell ref="AA125:AG125"/>
    <mergeCell ref="AJ126:AK126"/>
    <mergeCell ref="L127:N127"/>
    <mergeCell ref="O127:P127"/>
    <mergeCell ref="R127:X127"/>
    <mergeCell ref="AA117:AG117"/>
    <mergeCell ref="R119:X119"/>
    <mergeCell ref="AA121:AG121"/>
    <mergeCell ref="R122:X122"/>
    <mergeCell ref="R124:X124"/>
    <mergeCell ref="H146:O146"/>
    <mergeCell ref="R147:X147"/>
    <mergeCell ref="Z147:AA147"/>
    <mergeCell ref="AL147:AN147"/>
    <mergeCell ref="AJ128:AL128"/>
    <mergeCell ref="AA129:AG129"/>
    <mergeCell ref="AK129:AL129"/>
    <mergeCell ref="AK130:AL130"/>
    <mergeCell ref="R131:X131"/>
    <mergeCell ref="AK131:AL131"/>
    <mergeCell ref="Z106:AA106"/>
    <mergeCell ref="Z107:AA107"/>
    <mergeCell ref="R108:X108"/>
    <mergeCell ref="Z108:AA108"/>
    <mergeCell ref="Z109:AA109"/>
    <mergeCell ref="Z102:AA102"/>
    <mergeCell ref="Z103:AA103"/>
    <mergeCell ref="R104:X104"/>
    <mergeCell ref="Z104:AA104"/>
    <mergeCell ref="Z105:AA105"/>
    <mergeCell ref="R113:X113"/>
    <mergeCell ref="AA113:AG113"/>
    <mergeCell ref="H114:I114"/>
    <mergeCell ref="AA115:AG115"/>
    <mergeCell ref="R116:X116"/>
    <mergeCell ref="H111:L111"/>
    <mergeCell ref="H112:L112"/>
    <mergeCell ref="N112:O112"/>
    <mergeCell ref="H113:L113"/>
    <mergeCell ref="N113:O113"/>
    <mergeCell ref="AK83:AL83"/>
    <mergeCell ref="AK84:AL84"/>
    <mergeCell ref="AK85:AL85"/>
    <mergeCell ref="AK86:AL86"/>
    <mergeCell ref="AK87:AL87"/>
    <mergeCell ref="AJ80:AK80"/>
    <mergeCell ref="BC55:BE55"/>
    <mergeCell ref="L81:N81"/>
    <mergeCell ref="AJ82:AL82"/>
    <mergeCell ref="O81:P81"/>
    <mergeCell ref="Z58:AA58"/>
    <mergeCell ref="R81:X81"/>
    <mergeCell ref="R85:X85"/>
    <mergeCell ref="R73:X73"/>
    <mergeCell ref="R76:X76"/>
    <mergeCell ref="R78:X78"/>
    <mergeCell ref="AA79:AG79"/>
    <mergeCell ref="AX55:AZ55"/>
    <mergeCell ref="AA83:AG83"/>
    <mergeCell ref="R87:X87"/>
    <mergeCell ref="AA71:AG71"/>
    <mergeCell ref="AA75:AG75"/>
    <mergeCell ref="AR55:AT55"/>
    <mergeCell ref="AU55:AW55"/>
    <mergeCell ref="AO101:AQ101"/>
    <mergeCell ref="AR101:AT101"/>
    <mergeCell ref="AU101:AW101"/>
    <mergeCell ref="AX101:AZ101"/>
    <mergeCell ref="BC101:BE101"/>
    <mergeCell ref="H100:O100"/>
    <mergeCell ref="R101:X101"/>
    <mergeCell ref="Z101:AA101"/>
    <mergeCell ref="AL101:AN101"/>
    <mergeCell ref="AO55:AQ55"/>
    <mergeCell ref="Z59:AA59"/>
    <mergeCell ref="Z60:AA60"/>
    <mergeCell ref="Z61:AA61"/>
    <mergeCell ref="Z62:AA62"/>
    <mergeCell ref="Z63:AA63"/>
    <mergeCell ref="AL55:AN55"/>
    <mergeCell ref="H54:O54"/>
    <mergeCell ref="Z55:AA55"/>
    <mergeCell ref="Z56:AA56"/>
    <mergeCell ref="Z57:AA57"/>
    <mergeCell ref="AA67:AG67"/>
    <mergeCell ref="AA69:AG69"/>
    <mergeCell ref="R70:X70"/>
    <mergeCell ref="H66:L66"/>
    <mergeCell ref="H67:L67"/>
    <mergeCell ref="H65:L65"/>
    <mergeCell ref="H68:I68"/>
    <mergeCell ref="R55:X55"/>
    <mergeCell ref="R58:X58"/>
    <mergeCell ref="R62:X62"/>
    <mergeCell ref="R67:X67"/>
    <mergeCell ref="N67:O67"/>
    <mergeCell ref="N66:O6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2018-12-10T07:03:45Z</dcterms:modified>
</cp:coreProperties>
</file>