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0" yWindow="0" windowWidth="28800" windowHeight="12930" activeTab="1"/>
  </bookViews>
  <sheets>
    <sheet name="оплата" sheetId="7" r:id="rId1"/>
    <sheet name="справка в банк" sheetId="8" r:id="rId2"/>
  </sheets>
  <externalReferences>
    <externalReference r:id="rId3"/>
  </externalReferences>
  <definedNames>
    <definedName name="_xlnm._FilterDatabase" localSheetId="0" hidden="1">оплата!$A$3:$BA$44</definedName>
    <definedName name="_xlnm.Print_Area" localSheetId="1">'справка в банк'!$A$2:$AD$59</definedName>
    <definedName name="ФИО">оплата!$C$5:$C$43</definedName>
  </definedNames>
  <calcPr calcId="152511" calcMode="autoNoTable"/>
</workbook>
</file>

<file path=xl/calcChain.xml><?xml version="1.0" encoding="utf-8"?>
<calcChain xmlns="http://schemas.openxmlformats.org/spreadsheetml/2006/main">
  <c r="A36" i="8" l="1"/>
  <c r="A30" i="8" l="1"/>
  <c r="A19" i="8"/>
  <c r="O2" i="7" l="1"/>
  <c r="L27" i="7"/>
  <c r="F44" i="7"/>
  <c r="Q5" i="7"/>
  <c r="I6" i="7"/>
  <c r="Q6" i="7" s="1"/>
  <c r="I7" i="7"/>
  <c r="Q7" i="7" s="1"/>
  <c r="I8" i="7"/>
  <c r="Q8" i="7" s="1"/>
  <c r="I9" i="7"/>
  <c r="Q9" i="7" s="1"/>
  <c r="I10" i="7"/>
  <c r="Q10" i="7" s="1"/>
  <c r="I11" i="7"/>
  <c r="Q11" i="7" s="1"/>
  <c r="I12" i="7"/>
  <c r="Q12" i="7" s="1"/>
  <c r="I13" i="7"/>
  <c r="Q13" i="7" s="1"/>
  <c r="I14" i="7"/>
  <c r="Q14" i="7" s="1"/>
  <c r="I15" i="7"/>
  <c r="Q15" i="7" s="1"/>
  <c r="I16" i="7"/>
  <c r="Q16" i="7" s="1"/>
  <c r="I17" i="7"/>
  <c r="Q17" i="7" s="1"/>
  <c r="I18" i="7"/>
  <c r="Q18" i="7" s="1"/>
  <c r="I19" i="7"/>
  <c r="Q19" i="7" s="1"/>
  <c r="I20" i="7"/>
  <c r="Q20" i="7" s="1"/>
  <c r="I21" i="7"/>
  <c r="Q21" i="7" s="1"/>
  <c r="I22" i="7"/>
  <c r="Q22" i="7" s="1"/>
  <c r="I23" i="7"/>
  <c r="Q23" i="7" s="1"/>
  <c r="I24" i="7"/>
  <c r="Q24" i="7" s="1"/>
  <c r="I25" i="7"/>
  <c r="Q25" i="7" s="1"/>
  <c r="I26" i="7"/>
  <c r="Q26" i="7" s="1"/>
  <c r="I27" i="7"/>
  <c r="Q27" i="7" s="1"/>
  <c r="I28" i="7"/>
  <c r="Q28" i="7" s="1"/>
  <c r="I29" i="7"/>
  <c r="Q29" i="7" s="1"/>
  <c r="I30" i="7"/>
  <c r="Q30" i="7" s="1"/>
  <c r="I31" i="7"/>
  <c r="Q31" i="7" s="1"/>
  <c r="I32" i="7"/>
  <c r="Q32" i="7" s="1"/>
  <c r="I33" i="7"/>
  <c r="Q33" i="7" s="1"/>
  <c r="X11" i="8"/>
  <c r="X15" i="8"/>
  <c r="A15" i="8"/>
  <c r="E9" i="8"/>
  <c r="M11" i="7" l="1"/>
  <c r="M25" i="7"/>
  <c r="M12" i="7"/>
  <c r="N33" i="8"/>
  <c r="S39" i="8"/>
  <c r="S40" i="8" s="1"/>
  <c r="A46" i="8"/>
  <c r="F49" i="8"/>
  <c r="F24" i="8"/>
  <c r="F27" i="8"/>
  <c r="F19" i="8"/>
  <c r="F30" i="8"/>
  <c r="F46" i="8"/>
  <c r="AX44" i="7" l="1"/>
  <c r="AW44" i="7"/>
  <c r="AW45" i="7" s="1"/>
  <c r="AV33" i="7"/>
  <c r="AV32" i="7"/>
  <c r="AV31" i="7"/>
  <c r="AV30" i="7"/>
  <c r="AV29" i="7"/>
  <c r="AV28" i="7"/>
  <c r="AV27" i="7"/>
  <c r="AV26" i="7"/>
  <c r="AV25" i="7"/>
  <c r="AV24" i="7"/>
  <c r="AV23" i="7"/>
  <c r="AV22" i="7"/>
  <c r="AV21" i="7"/>
  <c r="AV20" i="7"/>
  <c r="AV19" i="7"/>
  <c r="AV18" i="7"/>
  <c r="AV17" i="7"/>
  <c r="AV16" i="7"/>
  <c r="AV15" i="7"/>
  <c r="AV14" i="7"/>
  <c r="AV13" i="7"/>
  <c r="AV12" i="7"/>
  <c r="AV11" i="7"/>
  <c r="AV10" i="7"/>
  <c r="AV9" i="7"/>
  <c r="AV8" i="7"/>
  <c r="AV7" i="7"/>
  <c r="AV6" i="7"/>
  <c r="AV5" i="7"/>
  <c r="AV44" i="7"/>
  <c r="AU44" i="7"/>
  <c r="AT44" i="7"/>
  <c r="AT45" i="7" s="1"/>
  <c r="AS33" i="7"/>
  <c r="AS32" i="7"/>
  <c r="AS31" i="7"/>
  <c r="AS30" i="7"/>
  <c r="AS29" i="7"/>
  <c r="AS28" i="7"/>
  <c r="AS27" i="7"/>
  <c r="AS26" i="7"/>
  <c r="AS25" i="7"/>
  <c r="AS24" i="7"/>
  <c r="AS23" i="7"/>
  <c r="AS22" i="7"/>
  <c r="AS21" i="7"/>
  <c r="AS20" i="7"/>
  <c r="AS19" i="7"/>
  <c r="AS18" i="7"/>
  <c r="AS17" i="7"/>
  <c r="AS16" i="7"/>
  <c r="AS15" i="7"/>
  <c r="AS14" i="7"/>
  <c r="AS13" i="7"/>
  <c r="AS12" i="7"/>
  <c r="AS11" i="7"/>
  <c r="AS10" i="7"/>
  <c r="AS9" i="7"/>
  <c r="AS8" i="7"/>
  <c r="AS7" i="7"/>
  <c r="AS6" i="7"/>
  <c r="AS5" i="7"/>
  <c r="AS44" i="7"/>
  <c r="AR44" i="7"/>
  <c r="AQ44" i="7"/>
  <c r="AQ45" i="7" s="1"/>
  <c r="AP33" i="7"/>
  <c r="AP32" i="7"/>
  <c r="AP31" i="7"/>
  <c r="AP30" i="7"/>
  <c r="AP29" i="7"/>
  <c r="AP28" i="7"/>
  <c r="AP27" i="7"/>
  <c r="AP26" i="7"/>
  <c r="AP25" i="7"/>
  <c r="AP24" i="7"/>
  <c r="AP23" i="7"/>
  <c r="AP22" i="7"/>
  <c r="AP21" i="7"/>
  <c r="AP20" i="7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5" i="7"/>
  <c r="AO44" i="7"/>
  <c r="AN44" i="7"/>
  <c r="J5" i="7"/>
  <c r="AY5" i="7" s="1"/>
  <c r="M5" i="7"/>
  <c r="AM5" i="7" s="1"/>
  <c r="N5" i="7"/>
  <c r="AA5" i="7"/>
  <c r="AZ5" i="7"/>
  <c r="BA5" i="7"/>
  <c r="J6" i="7"/>
  <c r="M6" i="7"/>
  <c r="AM6" i="7" s="1"/>
  <c r="N6" i="7"/>
  <c r="AA6" i="7"/>
  <c r="AD6" i="7"/>
  <c r="AG6" i="7"/>
  <c r="AY6" i="7"/>
  <c r="AZ6" i="7"/>
  <c r="BA6" i="7"/>
  <c r="J7" i="7"/>
  <c r="AY7" i="7" s="1"/>
  <c r="M7" i="7"/>
  <c r="AM7" i="7" s="1"/>
  <c r="N7" i="7"/>
  <c r="AA7" i="7"/>
  <c r="AD7" i="7"/>
  <c r="AG7" i="7"/>
  <c r="AZ7" i="7"/>
  <c r="BA7" i="7"/>
  <c r="J8" i="7"/>
  <c r="AY8" i="7" s="1"/>
  <c r="M8" i="7"/>
  <c r="AM8" i="7" s="1"/>
  <c r="N8" i="7"/>
  <c r="AA8" i="7"/>
  <c r="AD8" i="7"/>
  <c r="AG8" i="7"/>
  <c r="AZ8" i="7"/>
  <c r="BA8" i="7"/>
  <c r="J9" i="7"/>
  <c r="N9" i="7" s="1"/>
  <c r="M9" i="7"/>
  <c r="AM9" i="7" s="1"/>
  <c r="AG9" i="7"/>
  <c r="AZ9" i="7"/>
  <c r="BA9" i="7"/>
  <c r="J10" i="7"/>
  <c r="N10" i="7" s="1"/>
  <c r="M10" i="7"/>
  <c r="AM10" i="7" s="1"/>
  <c r="AG10" i="7"/>
  <c r="AZ10" i="7"/>
  <c r="BA10" i="7"/>
  <c r="J11" i="7"/>
  <c r="AM11" i="7"/>
  <c r="AA11" i="7"/>
  <c r="AD11" i="7"/>
  <c r="AG11" i="7"/>
  <c r="AZ11" i="7"/>
  <c r="BA11" i="7"/>
  <c r="J12" i="7"/>
  <c r="AY12" i="7" s="1"/>
  <c r="AM12" i="7"/>
  <c r="N12" i="7"/>
  <c r="AA12" i="7"/>
  <c r="AD12" i="7"/>
  <c r="AG12" i="7"/>
  <c r="AZ12" i="7"/>
  <c r="BA12" i="7"/>
  <c r="J13" i="7"/>
  <c r="AY13" i="7" s="1"/>
  <c r="M13" i="7"/>
  <c r="AM13" i="7" s="1"/>
  <c r="N13" i="7"/>
  <c r="AA13" i="7"/>
  <c r="AD13" i="7"/>
  <c r="AG13" i="7"/>
  <c r="AZ13" i="7"/>
  <c r="BA13" i="7"/>
  <c r="J14" i="7"/>
  <c r="M14" i="7"/>
  <c r="AM14" i="7" s="1"/>
  <c r="N14" i="7"/>
  <c r="R14" i="7"/>
  <c r="U14" i="7"/>
  <c r="AH14" i="7"/>
  <c r="AZ14" i="7" s="1"/>
  <c r="AY14" i="7"/>
  <c r="BA14" i="7"/>
  <c r="J15" i="7"/>
  <c r="M15" i="7"/>
  <c r="AM15" i="7" s="1"/>
  <c r="N15" i="7"/>
  <c r="X15" i="7"/>
  <c r="AA15" i="7"/>
  <c r="AD15" i="7"/>
  <c r="AG15" i="7"/>
  <c r="AZ15" i="7"/>
  <c r="BA15" i="7"/>
  <c r="J16" i="7"/>
  <c r="AY16" i="7" s="1"/>
  <c r="M16" i="7"/>
  <c r="AM16" i="7" s="1"/>
  <c r="N16" i="7"/>
  <c r="R16" i="7"/>
  <c r="U16" i="7"/>
  <c r="AA16" i="7"/>
  <c r="AD16" i="7"/>
  <c r="AG16" i="7"/>
  <c r="AZ16" i="7"/>
  <c r="BA16" i="7"/>
  <c r="J17" i="7"/>
  <c r="M17" i="7"/>
  <c r="AM17" i="7" s="1"/>
  <c r="N17" i="7"/>
  <c r="R17" i="7"/>
  <c r="U17" i="7"/>
  <c r="AA17" i="7"/>
  <c r="AD17" i="7"/>
  <c r="AG17" i="7"/>
  <c r="AY17" i="7"/>
  <c r="AZ17" i="7"/>
  <c r="BA17" i="7"/>
  <c r="J18" i="7"/>
  <c r="M18" i="7"/>
  <c r="AM18" i="7" s="1"/>
  <c r="N18" i="7"/>
  <c r="R18" i="7"/>
  <c r="U18" i="7"/>
  <c r="AA18" i="7"/>
  <c r="AG18" i="7"/>
  <c r="AZ18" i="7"/>
  <c r="BA18" i="7"/>
  <c r="J19" i="7"/>
  <c r="M19" i="7"/>
  <c r="AM19" i="7" s="1"/>
  <c r="N19" i="7"/>
  <c r="AD19" i="7"/>
  <c r="AG19" i="7"/>
  <c r="AZ19" i="7"/>
  <c r="BA19" i="7"/>
  <c r="J20" i="7"/>
  <c r="M20" i="7"/>
  <c r="AM20" i="7" s="1"/>
  <c r="N20" i="7"/>
  <c r="AA20" i="7"/>
  <c r="AD20" i="7"/>
  <c r="AG20" i="7"/>
  <c r="AZ20" i="7"/>
  <c r="BA20" i="7"/>
  <c r="J21" i="7"/>
  <c r="M21" i="7"/>
  <c r="AM21" i="7" s="1"/>
  <c r="N21" i="7"/>
  <c r="AA21" i="7"/>
  <c r="AD21" i="7"/>
  <c r="AG21" i="7"/>
  <c r="AZ21" i="7"/>
  <c r="BA21" i="7"/>
  <c r="J22" i="7"/>
  <c r="AY22" i="7" s="1"/>
  <c r="M22" i="7"/>
  <c r="AM22" i="7" s="1"/>
  <c r="N22" i="7"/>
  <c r="AA22" i="7"/>
  <c r="AD22" i="7"/>
  <c r="AG22" i="7"/>
  <c r="AZ22" i="7"/>
  <c r="BA22" i="7"/>
  <c r="J23" i="7"/>
  <c r="M23" i="7"/>
  <c r="AM23" i="7" s="1"/>
  <c r="N23" i="7"/>
  <c r="AA23" i="7"/>
  <c r="AD23" i="7"/>
  <c r="AG23" i="7"/>
  <c r="AY23" i="7"/>
  <c r="AZ23" i="7"/>
  <c r="BA23" i="7"/>
  <c r="J24" i="7"/>
  <c r="N24" i="7" s="1"/>
  <c r="K49" i="7"/>
  <c r="M24" i="7"/>
  <c r="AM24" i="7" s="1"/>
  <c r="AH24" i="7"/>
  <c r="AZ24" i="7" s="1"/>
  <c r="AY24" i="7"/>
  <c r="AG1" i="7" s="1"/>
  <c r="BA24" i="7"/>
  <c r="BA49" i="7" s="1"/>
  <c r="J25" i="7"/>
  <c r="AY25" i="7" s="1"/>
  <c r="AM25" i="7"/>
  <c r="N25" i="7"/>
  <c r="R25" i="7"/>
  <c r="U25" i="7"/>
  <c r="AA25" i="7"/>
  <c r="AD25" i="7"/>
  <c r="AG25" i="7"/>
  <c r="AZ25" i="7"/>
  <c r="BA25" i="7"/>
  <c r="J26" i="7"/>
  <c r="AY26" i="7" s="1"/>
  <c r="M26" i="7"/>
  <c r="AM26" i="7" s="1"/>
  <c r="N26" i="7"/>
  <c r="AA26" i="7"/>
  <c r="AD26" i="7"/>
  <c r="AG26" i="7"/>
  <c r="AZ26" i="7"/>
  <c r="BA26" i="7"/>
  <c r="J27" i="7"/>
  <c r="M27" i="7"/>
  <c r="AM27" i="7" s="1"/>
  <c r="N27" i="7"/>
  <c r="AY27" i="7"/>
  <c r="AZ27" i="7"/>
  <c r="BA27" i="7"/>
  <c r="J28" i="7"/>
  <c r="AY28" i="7" s="1"/>
  <c r="M28" i="7"/>
  <c r="AM28" i="7" s="1"/>
  <c r="N28" i="7"/>
  <c r="AA28" i="7"/>
  <c r="AD28" i="7"/>
  <c r="AG28" i="7"/>
  <c r="AZ28" i="7"/>
  <c r="BA28" i="7"/>
  <c r="J29" i="7"/>
  <c r="AY29" i="7" s="1"/>
  <c r="M29" i="7"/>
  <c r="AM29" i="7" s="1"/>
  <c r="N29" i="7"/>
  <c r="AA29" i="7"/>
  <c r="AD29" i="7"/>
  <c r="AG29" i="7"/>
  <c r="AZ29" i="7"/>
  <c r="BA29" i="7"/>
  <c r="J30" i="7"/>
  <c r="AY30" i="7" s="1"/>
  <c r="M30" i="7"/>
  <c r="AM30" i="7" s="1"/>
  <c r="N30" i="7"/>
  <c r="R30" i="7"/>
  <c r="U30" i="7"/>
  <c r="AA30" i="7"/>
  <c r="AD30" i="7"/>
  <c r="AG30" i="7"/>
  <c r="AZ30" i="7"/>
  <c r="BA30" i="7"/>
  <c r="J31" i="7"/>
  <c r="AY31" i="7" s="1"/>
  <c r="M31" i="7"/>
  <c r="AM31" i="7" s="1"/>
  <c r="N31" i="7"/>
  <c r="R31" i="7"/>
  <c r="U31" i="7"/>
  <c r="AZ31" i="7"/>
  <c r="BA31" i="7"/>
  <c r="J32" i="7"/>
  <c r="AY32" i="7" s="1"/>
  <c r="M32" i="7"/>
  <c r="AM32" i="7" s="1"/>
  <c r="N32" i="7"/>
  <c r="AD32" i="7"/>
  <c r="AG32" i="7"/>
  <c r="AZ32" i="7"/>
  <c r="BA32" i="7"/>
  <c r="J33" i="7"/>
  <c r="AY33" i="7" s="1"/>
  <c r="M33" i="7"/>
  <c r="AM33" i="7" s="1"/>
  <c r="N33" i="7"/>
  <c r="AA33" i="7"/>
  <c r="AD33" i="7"/>
  <c r="AG33" i="7"/>
  <c r="AZ33" i="7"/>
  <c r="BA33" i="7"/>
  <c r="G44" i="7"/>
  <c r="I44" i="7"/>
  <c r="L44" i="7"/>
  <c r="P44" i="7"/>
  <c r="Q44" i="7"/>
  <c r="S44" i="7"/>
  <c r="T44" i="7"/>
  <c r="V44" i="7"/>
  <c r="W44" i="7"/>
  <c r="Y44" i="7"/>
  <c r="Z44" i="7"/>
  <c r="AB44" i="7"/>
  <c r="AB45" i="7" s="1"/>
  <c r="AC44" i="7"/>
  <c r="AE44" i="7"/>
  <c r="AI44" i="7"/>
  <c r="AK44" i="7"/>
  <c r="AL44" i="7"/>
  <c r="K50" i="7"/>
  <c r="K51" i="7"/>
  <c r="BB51" i="7"/>
  <c r="K52" i="7"/>
  <c r="K53" i="7"/>
  <c r="BA53" i="7" l="1"/>
  <c r="AY11" i="7"/>
  <c r="N11" i="7"/>
  <c r="AN45" i="7"/>
  <c r="BA52" i="7"/>
  <c r="BB22" i="7"/>
  <c r="AG44" i="7"/>
  <c r="AA44" i="7"/>
  <c r="AK45" i="7"/>
  <c r="Y45" i="7"/>
  <c r="V45" i="7"/>
  <c r="BB39" i="7"/>
  <c r="BB36" i="7"/>
  <c r="X44" i="7"/>
  <c r="BB35" i="7"/>
  <c r="BB34" i="7"/>
  <c r="BB33" i="7"/>
  <c r="AJ33" i="7"/>
  <c r="BB32" i="7"/>
  <c r="BB31" i="7"/>
  <c r="AJ31" i="7"/>
  <c r="BB30" i="7"/>
  <c r="BB27" i="7"/>
  <c r="BB25" i="7"/>
  <c r="BB16" i="7"/>
  <c r="BB10" i="7"/>
  <c r="BB9" i="7"/>
  <c r="AY9" i="7"/>
  <c r="BB8" i="7"/>
  <c r="AJ8" i="7"/>
  <c r="O44" i="7"/>
  <c r="BB7" i="7"/>
  <c r="BB6" i="7"/>
  <c r="U44" i="7"/>
  <c r="K48" i="7"/>
  <c r="K54" i="7" s="1"/>
  <c r="K44" i="7"/>
  <c r="BB43" i="7"/>
  <c r="BB26" i="7"/>
  <c r="AJ25" i="7"/>
  <c r="AJ23" i="7"/>
  <c r="AJ22" i="7"/>
  <c r="AJ17" i="7"/>
  <c r="AJ16" i="7"/>
  <c r="BB13" i="7"/>
  <c r="BB12" i="7"/>
  <c r="AJ12" i="7"/>
  <c r="BB11" i="7"/>
  <c r="AJ10" i="7"/>
  <c r="BB5" i="7"/>
  <c r="P45" i="7"/>
  <c r="AP44" i="7"/>
  <c r="AM44" i="7"/>
  <c r="BB37" i="7"/>
  <c r="AJ21" i="7"/>
  <c r="AJ20" i="7"/>
  <c r="AJ19" i="7"/>
  <c r="AJ18" i="7"/>
  <c r="AJ15" i="7"/>
  <c r="S45" i="7"/>
  <c r="BB40" i="7"/>
  <c r="AJ32" i="7"/>
  <c r="AJ30" i="7"/>
  <c r="AJ29" i="7"/>
  <c r="AJ28" i="7"/>
  <c r="AJ27" i="7"/>
  <c r="AJ26" i="7"/>
  <c r="BB23" i="7"/>
  <c r="AY21" i="7"/>
  <c r="AY20" i="7"/>
  <c r="AY19" i="7"/>
  <c r="AY18" i="7"/>
  <c r="BB17" i="7"/>
  <c r="BA50" i="7"/>
  <c r="AY15" i="7"/>
  <c r="AJ13" i="7"/>
  <c r="AJ11" i="7"/>
  <c r="AY10" i="7"/>
  <c r="AJ9" i="7"/>
  <c r="AJ7" i="7"/>
  <c r="AJ6" i="7"/>
  <c r="BB41" i="7"/>
  <c r="U47" i="7"/>
  <c r="BB42" i="7"/>
  <c r="AJ14" i="7"/>
  <c r="BB14" i="7"/>
  <c r="R44" i="7"/>
  <c r="AD44" i="7"/>
  <c r="AZ44" i="7"/>
  <c r="AJ5" i="7"/>
  <c r="BA51" i="7"/>
  <c r="BB48" i="7"/>
  <c r="BB54" i="7" s="1"/>
  <c r="AH44" i="7"/>
  <c r="AH45" i="7" s="1"/>
  <c r="J44" i="7"/>
  <c r="BB29" i="7"/>
  <c r="BB28" i="7"/>
  <c r="BB24" i="7"/>
  <c r="AJ24" i="7"/>
  <c r="BB21" i="7"/>
  <c r="BB20" i="7"/>
  <c r="BB19" i="7"/>
  <c r="BB18" i="7"/>
  <c r="BB15" i="7"/>
  <c r="AY44" i="7" l="1"/>
  <c r="AF44" i="7"/>
  <c r="AE45" i="7" s="1"/>
  <c r="AY46" i="7" s="1"/>
  <c r="BB38" i="7" l="1"/>
  <c r="BB44" i="7" s="1"/>
  <c r="BA44" i="7"/>
  <c r="AZ45" i="7" s="1"/>
  <c r="AY47" i="7" s="1"/>
  <c r="BA48" i="7"/>
  <c r="BA54" i="7" s="1"/>
  <c r="AJ44" i="7"/>
</calcChain>
</file>

<file path=xl/sharedStrings.xml><?xml version="1.0" encoding="utf-8"?>
<sst xmlns="http://schemas.openxmlformats.org/spreadsheetml/2006/main" count="115" uniqueCount="68">
  <si>
    <t>Ф.И.О.</t>
  </si>
  <si>
    <t>3 (75,85)</t>
  </si>
  <si>
    <t>3 (75,66)</t>
  </si>
  <si>
    <t>2 (54,84)</t>
  </si>
  <si>
    <t>2 (55,03)</t>
  </si>
  <si>
    <t>2 (57,58)</t>
  </si>
  <si>
    <t>1 (36,7)</t>
  </si>
  <si>
    <t>Лимит на 2018год -897,03</t>
  </si>
  <si>
    <t>Итого:</t>
  </si>
  <si>
    <t>факт</t>
  </si>
  <si>
    <t>субсидии</t>
  </si>
  <si>
    <t>собст.</t>
  </si>
  <si>
    <t>план</t>
  </si>
  <si>
    <t>кредит</t>
  </si>
  <si>
    <t>Ст-сть кв.</t>
  </si>
  <si>
    <t>комнат</t>
  </si>
  <si>
    <t>всего</t>
  </si>
  <si>
    <t>Сумма собственных</t>
  </si>
  <si>
    <t>Сумма субсидии</t>
  </si>
  <si>
    <t>Сумма откр. кр. линий</t>
  </si>
  <si>
    <t>дог.</t>
  </si>
  <si>
    <t>площадь по факт</t>
  </si>
  <si>
    <t>площадь по дог.</t>
  </si>
  <si>
    <t>договор</t>
  </si>
  <si>
    <t>№ квартиры</t>
  </si>
  <si>
    <t>ноябрь</t>
  </si>
  <si>
    <t>(подпись)</t>
  </si>
  <si>
    <t xml:space="preserve">Руководитель </t>
  </si>
  <si>
    <t xml:space="preserve">Платежи вносятся до </t>
  </si>
  <si>
    <t>(цифрами и прописью)</t>
  </si>
  <si>
    <t xml:space="preserve"> в т.ч.</t>
  </si>
  <si>
    <t xml:space="preserve">(указывается конкретное наименование строительных конструкций, материалов, 
изделий, оборудования, определенных договорами купли-продажи (поставки))
(указывается конкретное наименование строительных конструкций, материалов, 
изделий, оборудования, определенных договорами купли-продажи (поставки))
(указывается конкретное наименование строительных конструкций, материалов, 
изделий, оборудования, определенных договорами купли-продажи (поставки))
(указывается конкретное наименование строительных конструкций, материалов, 
изделий, оборудования, определенных договорами купли-продажи (поставки))
</t>
  </si>
  <si>
    <t>(руб.)</t>
  </si>
  <si>
    <t>целевые авансы подрядчику</t>
  </si>
  <si>
    <t>(до 50 % стоимости работ, предстоящих к выполнению в последующем месяце)</t>
  </si>
  <si>
    <t>аванс подрядчику</t>
  </si>
  <si>
    <t>оплата выполненных строительно-монтажных работ</t>
  </si>
  <si>
    <t>в том числе:</t>
  </si>
  <si>
    <t xml:space="preserve">Очередной платеж к оплате с учетом процента строительной готовности (руб.) </t>
  </si>
  <si>
    <t>процентов</t>
  </si>
  <si>
    <t>с учетом затрат заказчика, составляет</t>
  </si>
  <si>
    <t>договорная</t>
  </si>
  <si>
    <t>Ориентировочная стоимость 1 кв. м. общей площади составляет (руб.)</t>
  </si>
  <si>
    <t>в т.ч. кредитов банка (руб.)</t>
  </si>
  <si>
    <t>На строительство квартиры внесено средств, всего  (руб.)</t>
  </si>
  <si>
    <t>май 2019 года</t>
  </si>
  <si>
    <t>Срок ввод жилого дома в эксплуатацию</t>
  </si>
  <si>
    <t>Стоимость строительства квартиры согласно договору составляет (руб.)</t>
  </si>
  <si>
    <t>кв.м.</t>
  </si>
  <si>
    <t>общей площадью</t>
  </si>
  <si>
    <t>комнатной квартиры №</t>
  </si>
  <si>
    <t>(долевого строительства, строительства квартиры в организации застройщиков или др. ссылка на документ, подтверждающий участие в строительстве жилого помещения)</t>
  </si>
  <si>
    <t>долевого строительства, договор №</t>
  </si>
  <si>
    <t>(фамилия, имя, отчество)</t>
  </si>
  <si>
    <t>Дана гр.</t>
  </si>
  <si>
    <t>организации-застройщика о размере средств, внесенных (перечисленных) заявителем</t>
  </si>
  <si>
    <t>СПРАВКА</t>
  </si>
  <si>
    <t>являющемуся(ейся) участником</t>
  </si>
  <si>
    <t>Стоим 1 кв.м.</t>
  </si>
  <si>
    <t>12/2  от 21.11.2018 г.</t>
  </si>
  <si>
    <t>расчетн</t>
  </si>
  <si>
    <t xml:space="preserve">Процент строительной готовности дома по состоянию на текущую дату </t>
  </si>
  <si>
    <t>иванов иван иванович</t>
  </si>
  <si>
    <t xml:space="preserve">в </t>
  </si>
  <si>
    <r>
      <t xml:space="preserve"> - на </t>
    </r>
    <r>
      <rPr>
        <u/>
        <sz val="12"/>
        <rFont val="Times New Roman"/>
        <family val="1"/>
        <charset val="204"/>
      </rPr>
      <t>специальный счет застройщика:</t>
    </r>
    <r>
      <rPr>
        <sz val="10"/>
        <rFont val="Times New Roman"/>
        <family val="1"/>
        <charset val="204"/>
      </rPr>
      <t xml:space="preserve"> 
</t>
    </r>
    <r>
      <rPr>
        <sz val="12"/>
        <rFont val="Times New Roman"/>
        <family val="1"/>
        <charset val="204"/>
      </rPr>
      <t xml:space="preserve"> в сумме:</t>
    </r>
  </si>
  <si>
    <r>
      <t xml:space="preserve"> - на </t>
    </r>
    <r>
      <rPr>
        <u/>
        <sz val="12"/>
        <rFont val="Times New Roman"/>
        <family val="1"/>
        <charset val="204"/>
      </rPr>
      <t>текущий (расчетный) счет застройщика:</t>
    </r>
    <r>
      <rPr>
        <sz val="12"/>
        <rFont val="Times New Roman"/>
        <family val="1"/>
        <charset val="204"/>
      </rPr>
      <t xml:space="preserve"> 
 в сумме:</t>
    </r>
  </si>
  <si>
    <t>изменяется дата</t>
  </si>
  <si>
    <t>данные листа оплата Q5, при изменении даты на февраль - данные листа оплата T5 и т.д. конкретно по №2 квартиры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</si>
</sst>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[$-F800]dddd\,\ mmmm\ dd\,\ yyyy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0" tint="-0.49998474074526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rgb="FFC00000"/>
      <name val="Times New Roman"/>
      <family val="1"/>
      <charset val="204"/>
    </font>
    <font>
      <b/>
      <i/>
      <sz val="12"/>
      <color rgb="FFC00000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color theme="9" tint="-0.49998474074526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9" tint="-0.499984740745262"/>
      <name val="Times New Roman"/>
      <family val="1"/>
      <charset val="204"/>
    </font>
    <font>
      <i/>
      <sz val="12"/>
      <color indexed="60"/>
      <name val="Times New Roman"/>
      <family val="1"/>
      <charset val="204"/>
    </font>
    <font>
      <i/>
      <sz val="12"/>
      <color theme="9" tint="-0.49998474074526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62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i/>
      <sz val="12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156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4" fontId="5" fillId="0" borderId="8" xfId="0" applyNumberFormat="1" applyFont="1" applyFill="1" applyBorder="1" applyAlignment="1">
      <alignment horizontal="center" vertical="center" wrapText="1"/>
    </xf>
    <xf numFmtId="0" fontId="7" fillId="0" borderId="0" xfId="2" applyFont="1" applyBorder="1"/>
    <xf numFmtId="0" fontId="8" fillId="0" borderId="0" xfId="2" applyFont="1" applyBorder="1"/>
    <xf numFmtId="0" fontId="7" fillId="0" borderId="1" xfId="2" applyFont="1" applyBorder="1"/>
    <xf numFmtId="0" fontId="6" fillId="0" borderId="0" xfId="2"/>
    <xf numFmtId="0" fontId="6" fillId="0" borderId="0" xfId="2" applyBorder="1"/>
    <xf numFmtId="0" fontId="6" fillId="0" borderId="0" xfId="2" applyFill="1" applyBorder="1"/>
    <xf numFmtId="0" fontId="10" fillId="0" borderId="0" xfId="2" applyFont="1" applyBorder="1"/>
    <xf numFmtId="0" fontId="6" fillId="0" borderId="9" xfId="2" applyBorder="1"/>
    <xf numFmtId="0" fontId="6" fillId="0" borderId="9" xfId="2" applyFill="1" applyBorder="1"/>
    <xf numFmtId="0" fontId="10" fillId="0" borderId="0" xfId="2" applyFont="1"/>
    <xf numFmtId="3" fontId="10" fillId="0" borderId="0" xfId="2" applyNumberFormat="1" applyFont="1" applyBorder="1" applyAlignment="1">
      <alignment horizontal="center"/>
    </xf>
    <xf numFmtId="3" fontId="10" fillId="0" borderId="0" xfId="2" applyNumberFormat="1" applyFont="1" applyBorder="1" applyAlignment="1"/>
    <xf numFmtId="0" fontId="9" fillId="0" borderId="5" xfId="2" applyFont="1" applyBorder="1" applyAlignment="1">
      <alignment vertical="center"/>
    </xf>
    <xf numFmtId="4" fontId="10" fillId="0" borderId="5" xfId="2" applyNumberFormat="1" applyFont="1" applyBorder="1" applyAlignment="1"/>
    <xf numFmtId="0" fontId="10" fillId="0" borderId="9" xfId="2" applyFont="1" applyBorder="1"/>
    <xf numFmtId="0" fontId="10" fillId="0" borderId="9" xfId="2" applyFont="1" applyBorder="1" applyAlignment="1">
      <alignment horizontal="center"/>
    </xf>
    <xf numFmtId="0" fontId="10" fillId="0" borderId="9" xfId="2" applyFont="1" applyBorder="1" applyAlignment="1"/>
    <xf numFmtId="4" fontId="12" fillId="0" borderId="9" xfId="2" applyNumberFormat="1" applyFont="1" applyBorder="1" applyAlignment="1">
      <alignment horizontal="left"/>
    </xf>
    <xf numFmtId="4" fontId="11" fillId="0" borderId="9" xfId="2" applyNumberFormat="1" applyFont="1" applyBorder="1" applyAlignment="1">
      <alignment horizontal="center"/>
    </xf>
    <xf numFmtId="0" fontId="13" fillId="0" borderId="9" xfId="2" applyFont="1" applyBorder="1"/>
    <xf numFmtId="4" fontId="14" fillId="0" borderId="9" xfId="2" applyNumberFormat="1" applyFont="1" applyBorder="1" applyAlignment="1"/>
    <xf numFmtId="0" fontId="9" fillId="0" borderId="0" xfId="2" applyFont="1" applyAlignment="1">
      <alignment horizontal="left"/>
    </xf>
    <xf numFmtId="0" fontId="17" fillId="0" borderId="0" xfId="2" applyFont="1" applyBorder="1"/>
    <xf numFmtId="2" fontId="10" fillId="0" borderId="0" xfId="2" applyNumberFormat="1" applyFont="1" applyAlignment="1">
      <alignment vertical="center"/>
    </xf>
    <xf numFmtId="0" fontId="10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4" fontId="19" fillId="0" borderId="0" xfId="2" applyNumberFormat="1" applyFont="1" applyBorder="1" applyAlignment="1">
      <alignment horizontal="center"/>
    </xf>
    <xf numFmtId="0" fontId="17" fillId="0" borderId="0" xfId="2" applyFont="1" applyBorder="1" applyAlignment="1"/>
    <xf numFmtId="0" fontId="10" fillId="0" borderId="0" xfId="2" applyFont="1" applyBorder="1" applyAlignment="1">
      <alignment horizontal="center"/>
    </xf>
    <xf numFmtId="0" fontId="10" fillId="0" borderId="0" xfId="2" applyFont="1" applyAlignment="1"/>
    <xf numFmtId="0" fontId="10" fillId="0" borderId="0" xfId="2" applyFont="1" applyBorder="1" applyAlignment="1">
      <alignment horizontal="center" wrapText="1"/>
    </xf>
    <xf numFmtId="0" fontId="13" fillId="0" borderId="0" xfId="2" applyFont="1" applyBorder="1"/>
    <xf numFmtId="2" fontId="20" fillId="0" borderId="0" xfId="2" applyNumberFormat="1" applyFont="1" applyBorder="1" applyAlignment="1">
      <alignment horizontal="center"/>
    </xf>
    <xf numFmtId="0" fontId="13" fillId="0" borderId="0" xfId="2" applyFont="1"/>
    <xf numFmtId="0" fontId="10" fillId="0" borderId="0" xfId="2" applyFont="1" applyBorder="1" applyAlignment="1"/>
    <xf numFmtId="14" fontId="10" fillId="0" borderId="0" xfId="2" applyNumberFormat="1" applyFont="1" applyBorder="1" applyAlignment="1"/>
    <xf numFmtId="0" fontId="11" fillId="0" borderId="0" xfId="2" applyFont="1" applyFill="1" applyBorder="1" applyAlignment="1">
      <alignment horizontal="left"/>
    </xf>
    <xf numFmtId="4" fontId="12" fillId="0" borderId="0" xfId="2" applyNumberFormat="1" applyFont="1" applyBorder="1" applyAlignment="1">
      <alignment horizontal="left"/>
    </xf>
    <xf numFmtId="4" fontId="11" fillId="0" borderId="0" xfId="2" applyNumberFormat="1" applyFont="1" applyBorder="1" applyAlignment="1">
      <alignment horizontal="center"/>
    </xf>
    <xf numFmtId="0" fontId="21" fillId="0" borderId="0" xfId="2" applyFont="1" applyBorder="1"/>
    <xf numFmtId="4" fontId="14" fillId="0" borderId="0" xfId="2" applyNumberFormat="1" applyFont="1" applyBorder="1" applyAlignment="1"/>
    <xf numFmtId="4" fontId="14" fillId="0" borderId="0" xfId="2" applyNumberFormat="1" applyFont="1" applyBorder="1" applyAlignment="1">
      <alignment horizontal="center"/>
    </xf>
    <xf numFmtId="0" fontId="22" fillId="0" borderId="0" xfId="2" applyFont="1" applyBorder="1" applyAlignment="1">
      <alignment horizontal="left"/>
    </xf>
    <xf numFmtId="0" fontId="10" fillId="0" borderId="0" xfId="2" applyFont="1" applyAlignment="1">
      <alignment horizontal="left"/>
    </xf>
    <xf numFmtId="4" fontId="10" fillId="0" borderId="0" xfId="2" applyNumberFormat="1" applyFont="1" applyBorder="1" applyAlignment="1">
      <alignment horizontal="center"/>
    </xf>
    <xf numFmtId="0" fontId="10" fillId="0" borderId="0" xfId="2" applyFont="1" applyBorder="1" applyAlignment="1">
      <alignment wrapText="1"/>
    </xf>
    <xf numFmtId="0" fontId="10" fillId="0" borderId="0" xfId="2" applyFont="1" applyBorder="1" applyAlignment="1">
      <alignment horizontal="left" wrapText="1"/>
    </xf>
    <xf numFmtId="0" fontId="11" fillId="0" borderId="0" xfId="2" applyFont="1" applyBorder="1"/>
    <xf numFmtId="0" fontId="11" fillId="0" borderId="0" xfId="2" applyFont="1"/>
    <xf numFmtId="0" fontId="23" fillId="0" borderId="0" xfId="2" applyFont="1" applyFill="1" applyAlignment="1">
      <alignment horizontal="center" wrapText="1"/>
    </xf>
    <xf numFmtId="0" fontId="23" fillId="0" borderId="0" xfId="2" applyFont="1" applyFill="1" applyBorder="1" applyAlignment="1">
      <alignment wrapText="1"/>
    </xf>
    <xf numFmtId="0" fontId="23" fillId="0" borderId="0" xfId="2" applyFont="1" applyFill="1" applyAlignment="1">
      <alignment wrapText="1"/>
    </xf>
    <xf numFmtId="0" fontId="10" fillId="0" borderId="0" xfId="2" applyFont="1" applyAlignment="1">
      <alignment horizontal="center" vertical="center"/>
    </xf>
    <xf numFmtId="0" fontId="3" fillId="0" borderId="0" xfId="1" applyFont="1"/>
    <xf numFmtId="4" fontId="3" fillId="0" borderId="0" xfId="1" applyNumberFormat="1" applyFont="1"/>
    <xf numFmtId="49" fontId="3" fillId="0" borderId="1" xfId="1" applyNumberFormat="1" applyFont="1" applyBorder="1" applyAlignment="1" applyProtection="1">
      <protection locked="0"/>
    </xf>
    <xf numFmtId="49" fontId="3" fillId="0" borderId="0" xfId="1" applyNumberFormat="1" applyFont="1" applyBorder="1" applyAlignment="1" applyProtection="1">
      <protection locked="0"/>
    </xf>
    <xf numFmtId="0" fontId="3" fillId="0" borderId="2" xfId="1" applyFont="1" applyBorder="1" applyAlignment="1">
      <alignment horizontal="center" wrapText="1"/>
    </xf>
    <xf numFmtId="0" fontId="25" fillId="9" borderId="2" xfId="1" applyFont="1" applyFill="1" applyBorder="1" applyAlignment="1">
      <alignment horizontal="center"/>
    </xf>
    <xf numFmtId="0" fontId="3" fillId="0" borderId="3" xfId="1" applyFont="1" applyBorder="1" applyAlignment="1">
      <alignment horizontal="center" wrapText="1"/>
    </xf>
    <xf numFmtId="0" fontId="8" fillId="0" borderId="2" xfId="1" applyFont="1" applyFill="1" applyBorder="1" applyAlignment="1"/>
    <xf numFmtId="0" fontId="3" fillId="0" borderId="1" xfId="1" applyFont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/>
    <xf numFmtId="4" fontId="8" fillId="5" borderId="1" xfId="1" applyNumberFormat="1" applyFont="1" applyFill="1" applyBorder="1"/>
    <xf numFmtId="4" fontId="8" fillId="0" borderId="1" xfId="1" applyNumberFormat="1" applyFont="1" applyFill="1" applyBorder="1"/>
    <xf numFmtId="4" fontId="3" fillId="0" borderId="1" xfId="1" applyNumberFormat="1" applyFont="1" applyFill="1" applyBorder="1"/>
    <xf numFmtId="4" fontId="3" fillId="3" borderId="1" xfId="1" applyNumberFormat="1" applyFont="1" applyFill="1" applyBorder="1"/>
    <xf numFmtId="4" fontId="3" fillId="0" borderId="1" xfId="1" applyNumberFormat="1" applyFont="1" applyBorder="1"/>
    <xf numFmtId="4" fontId="8" fillId="4" borderId="1" xfId="1" applyNumberFormat="1" applyFont="1" applyFill="1" applyBorder="1"/>
    <xf numFmtId="4" fontId="8" fillId="8" borderId="1" xfId="1" applyNumberFormat="1" applyFont="1" applyFill="1" applyBorder="1"/>
    <xf numFmtId="4" fontId="3" fillId="6" borderId="0" xfId="1" applyNumberFormat="1" applyFont="1" applyFill="1"/>
    <xf numFmtId="4" fontId="3" fillId="7" borderId="1" xfId="1" applyNumberFormat="1" applyFont="1" applyFill="1" applyBorder="1"/>
    <xf numFmtId="49" fontId="3" fillId="0" borderId="1" xfId="1" applyNumberFormat="1" applyFont="1" applyBorder="1" applyAlignment="1" applyProtection="1">
      <alignment horizontal="left"/>
      <protection locked="0"/>
    </xf>
    <xf numFmtId="4" fontId="8" fillId="0" borderId="1" xfId="1" applyNumberFormat="1" applyFont="1" applyFill="1" applyBorder="1" applyAlignment="1">
      <alignment wrapText="1"/>
    </xf>
    <xf numFmtId="4" fontId="3" fillId="8" borderId="1" xfId="1" applyNumberFormat="1" applyFont="1" applyFill="1" applyBorder="1"/>
    <xf numFmtId="0" fontId="3" fillId="0" borderId="0" xfId="1" applyFont="1" applyBorder="1"/>
    <xf numFmtId="0" fontId="3" fillId="0" borderId="0" xfId="1" applyFont="1" applyAlignment="1">
      <alignment horizontal="right"/>
    </xf>
    <xf numFmtId="4" fontId="3" fillId="0" borderId="0" xfId="1" applyNumberFormat="1" applyFont="1" applyBorder="1"/>
    <xf numFmtId="4" fontId="3" fillId="0" borderId="0" xfId="1" applyNumberFormat="1" applyFont="1" applyFill="1"/>
    <xf numFmtId="0" fontId="3" fillId="0" borderId="0" xfId="1" applyFont="1" applyFill="1"/>
    <xf numFmtId="3" fontId="3" fillId="0" borderId="0" xfId="1" applyNumberFormat="1" applyFont="1"/>
    <xf numFmtId="4" fontId="8" fillId="4" borderId="1" xfId="1" applyNumberFormat="1" applyFont="1" applyFill="1" applyBorder="1" applyAlignment="1">
      <alignment horizontal="center"/>
    </xf>
    <xf numFmtId="4" fontId="27" fillId="4" borderId="1" xfId="1" applyNumberFormat="1" applyFont="1" applyFill="1" applyBorder="1"/>
    <xf numFmtId="4" fontId="8" fillId="4" borderId="1" xfId="1" applyNumberFormat="1" applyFont="1" applyFill="1" applyBorder="1" applyAlignment="1">
      <alignment horizontal="right"/>
    </xf>
    <xf numFmtId="4" fontId="27" fillId="6" borderId="1" xfId="1" applyNumberFormat="1" applyFont="1" applyFill="1" applyBorder="1"/>
    <xf numFmtId="164" fontId="27" fillId="0" borderId="1" xfId="1" applyNumberFormat="1" applyFont="1" applyFill="1" applyBorder="1"/>
    <xf numFmtId="4" fontId="24" fillId="0" borderId="1" xfId="1" applyNumberFormat="1" applyFont="1" applyBorder="1"/>
    <xf numFmtId="4" fontId="24" fillId="0" borderId="1" xfId="1" applyNumberFormat="1" applyFont="1" applyFill="1" applyBorder="1"/>
    <xf numFmtId="4" fontId="24" fillId="3" borderId="1" xfId="1" applyNumberFormat="1" applyFont="1" applyFill="1" applyBorder="1"/>
    <xf numFmtId="3" fontId="28" fillId="0" borderId="1" xfId="1" applyNumberFormat="1" applyFont="1" applyBorder="1"/>
    <xf numFmtId="4" fontId="27" fillId="0" borderId="0" xfId="1" applyNumberFormat="1" applyFont="1" applyFill="1" applyBorder="1"/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49" fontId="3" fillId="0" borderId="1" xfId="1" applyNumberFormat="1" applyFont="1" applyFill="1" applyBorder="1" applyAlignment="1" applyProtection="1">
      <alignment horizontal="left"/>
      <protection locked="0"/>
    </xf>
    <xf numFmtId="4" fontId="27" fillId="0" borderId="1" xfId="1" applyNumberFormat="1" applyFont="1" applyFill="1" applyBorder="1"/>
    <xf numFmtId="0" fontId="8" fillId="0" borderId="3" xfId="1" applyFont="1" applyFill="1" applyBorder="1" applyAlignment="1">
      <alignment wrapText="1"/>
    </xf>
    <xf numFmtId="14" fontId="12" fillId="0" borderId="0" xfId="2" applyNumberFormat="1" applyFont="1" applyBorder="1" applyAlignment="1"/>
    <xf numFmtId="0" fontId="6" fillId="0" borderId="0" xfId="2" applyBorder="1" applyAlignment="1"/>
    <xf numFmtId="0" fontId="2" fillId="0" borderId="1" xfId="0" applyFont="1" applyBorder="1" applyAlignment="1">
      <alignment horizontal="left" vertical="center"/>
    </xf>
    <xf numFmtId="49" fontId="2" fillId="0" borderId="1" xfId="1" applyNumberFormat="1" applyFont="1" applyBorder="1" applyAlignment="1" applyProtection="1">
      <protection locked="0"/>
    </xf>
    <xf numFmtId="0" fontId="1" fillId="0" borderId="1" xfId="0" applyFont="1" applyBorder="1" applyAlignment="1">
      <alignment horizontal="left" vertical="center"/>
    </xf>
    <xf numFmtId="0" fontId="29" fillId="0" borderId="9" xfId="2" applyFont="1" applyBorder="1"/>
    <xf numFmtId="4" fontId="28" fillId="3" borderId="6" xfId="1" applyNumberFormat="1" applyFont="1" applyFill="1" applyBorder="1" applyAlignment="1">
      <alignment horizontal="center"/>
    </xf>
    <xf numFmtId="4" fontId="28" fillId="3" borderId="4" xfId="1" applyNumberFormat="1" applyFont="1" applyFill="1" applyBorder="1" applyAlignment="1">
      <alignment horizontal="center"/>
    </xf>
    <xf numFmtId="17" fontId="3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26" fillId="0" borderId="2" xfId="1" applyFont="1" applyBorder="1" applyAlignment="1">
      <alignment horizontal="center" wrapText="1"/>
    </xf>
    <xf numFmtId="0" fontId="26" fillId="0" borderId="3" xfId="1" applyFont="1" applyBorder="1" applyAlignment="1">
      <alignment horizontal="center" wrapText="1"/>
    </xf>
    <xf numFmtId="0" fontId="8" fillId="0" borderId="7" xfId="1" applyFont="1" applyFill="1" applyBorder="1" applyAlignment="1">
      <alignment horizontal="center" wrapText="1"/>
    </xf>
    <xf numFmtId="0" fontId="8" fillId="0" borderId="10" xfId="1" applyFont="1" applyFill="1" applyBorder="1" applyAlignment="1">
      <alignment horizontal="center" wrapText="1"/>
    </xf>
    <xf numFmtId="0" fontId="3" fillId="0" borderId="2" xfId="1" applyFont="1" applyBorder="1" applyAlignment="1">
      <alignment horizontal="center" wrapText="1"/>
    </xf>
    <xf numFmtId="0" fontId="3" fillId="0" borderId="3" xfId="1" applyFont="1" applyBorder="1" applyAlignment="1">
      <alignment horizontal="center" wrapText="1"/>
    </xf>
    <xf numFmtId="49" fontId="3" fillId="0" borderId="2" xfId="1" applyNumberFormat="1" applyFont="1" applyBorder="1" applyAlignment="1" applyProtection="1">
      <alignment horizontal="center"/>
      <protection locked="0"/>
    </xf>
    <xf numFmtId="49" fontId="3" fillId="0" borderId="3" xfId="1" applyNumberFormat="1" applyFont="1" applyBorder="1" applyAlignment="1" applyProtection="1">
      <alignment horizontal="center"/>
      <protection locked="0"/>
    </xf>
    <xf numFmtId="0" fontId="8" fillId="0" borderId="2" xfId="1" applyFont="1" applyFill="1" applyBorder="1" applyAlignment="1">
      <alignment horizontal="center" wrapText="1"/>
    </xf>
    <xf numFmtId="0" fontId="8" fillId="0" borderId="3" xfId="1" applyFont="1" applyFill="1" applyBorder="1" applyAlignment="1">
      <alignment horizontal="center" wrapText="1"/>
    </xf>
    <xf numFmtId="0" fontId="3" fillId="0" borderId="9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6" xfId="1" applyFont="1" applyBorder="1" applyAlignment="1">
      <alignment horizontal="center"/>
    </xf>
    <xf numFmtId="0" fontId="10" fillId="0" borderId="0" xfId="2" applyFont="1" applyAlignment="1">
      <alignment horizontal="left"/>
    </xf>
    <xf numFmtId="2" fontId="18" fillId="0" borderId="9" xfId="2" applyNumberFormat="1" applyFont="1" applyBorder="1" applyAlignment="1">
      <alignment horizontal="center"/>
    </xf>
    <xf numFmtId="0" fontId="10" fillId="0" borderId="0" xfId="2" applyFont="1" applyBorder="1" applyAlignment="1">
      <alignment horizontal="left" wrapText="1"/>
    </xf>
    <xf numFmtId="4" fontId="15" fillId="0" borderId="9" xfId="2" applyNumberFormat="1" applyFont="1" applyBorder="1" applyAlignment="1">
      <alignment horizontal="center"/>
    </xf>
    <xf numFmtId="0" fontId="9" fillId="0" borderId="5" xfId="2" applyFont="1" applyBorder="1" applyAlignment="1">
      <alignment horizontal="center" vertical="center"/>
    </xf>
    <xf numFmtId="0" fontId="15" fillId="0" borderId="9" xfId="2" applyFont="1" applyBorder="1" applyAlignment="1">
      <alignment horizontal="center"/>
    </xf>
    <xf numFmtId="2" fontId="12" fillId="0" borderId="9" xfId="2" applyNumberFormat="1" applyFont="1" applyBorder="1" applyAlignment="1">
      <alignment horizontal="center"/>
    </xf>
    <xf numFmtId="165" fontId="11" fillId="0" borderId="9" xfId="2" applyNumberFormat="1" applyFont="1" applyBorder="1" applyAlignment="1">
      <alignment horizontal="center"/>
    </xf>
    <xf numFmtId="0" fontId="10" fillId="0" borderId="0" xfId="2" applyFont="1" applyAlignment="1">
      <alignment horizontal="justify" vertical="center" wrapText="1"/>
    </xf>
    <xf numFmtId="0" fontId="9" fillId="0" borderId="0" xfId="2" applyFont="1" applyBorder="1" applyAlignment="1">
      <alignment horizontal="center" vertical="top" wrapText="1"/>
    </xf>
    <xf numFmtId="0" fontId="9" fillId="0" borderId="5" xfId="2" applyFont="1" applyBorder="1" applyAlignment="1">
      <alignment horizontal="center"/>
    </xf>
    <xf numFmtId="0" fontId="9" fillId="0" borderId="0" xfId="2" applyFont="1" applyAlignment="1">
      <alignment horizontal="left" wrapText="1"/>
    </xf>
    <xf numFmtId="0" fontId="9" fillId="0" borderId="0" xfId="2" applyFont="1" applyAlignment="1">
      <alignment horizontal="left"/>
    </xf>
    <xf numFmtId="0" fontId="15" fillId="0" borderId="9" xfId="2" applyNumberFormat="1" applyFont="1" applyBorder="1" applyAlignment="1">
      <alignment horizontal="center"/>
    </xf>
    <xf numFmtId="0" fontId="15" fillId="0" borderId="9" xfId="2" applyFont="1" applyBorder="1" applyAlignment="1" applyProtection="1">
      <alignment horizontal="center"/>
      <protection locked="0"/>
    </xf>
    <xf numFmtId="0" fontId="10" fillId="0" borderId="0" xfId="2" applyFont="1" applyBorder="1" applyAlignment="1">
      <alignment horizontal="center" wrapText="1"/>
    </xf>
    <xf numFmtId="0" fontId="10" fillId="0" borderId="0" xfId="2" applyFont="1" applyBorder="1" applyAlignment="1">
      <alignment horizontal="center"/>
    </xf>
    <xf numFmtId="17" fontId="8" fillId="10" borderId="1" xfId="1" applyNumberFormat="1" applyFont="1" applyFill="1" applyBorder="1" applyAlignment="1">
      <alignment horizontal="center"/>
    </xf>
    <xf numFmtId="0" fontId="8" fillId="10" borderId="1" xfId="1" applyFont="1" applyFill="1" applyBorder="1" applyAlignment="1">
      <alignment horizontal="center"/>
    </xf>
    <xf numFmtId="0" fontId="10" fillId="0" borderId="0" xfId="2" applyFont="1" applyAlignment="1">
      <alignment horizontal="center"/>
    </xf>
    <xf numFmtId="0" fontId="10" fillId="0" borderId="0" xfId="2" applyFont="1" applyAlignment="1">
      <alignment horizontal="center" vertical="center"/>
    </xf>
    <xf numFmtId="0" fontId="10" fillId="0" borderId="9" xfId="2" applyFont="1" applyBorder="1" applyAlignment="1">
      <alignment horizontal="center" wrapText="1"/>
    </xf>
    <xf numFmtId="0" fontId="15" fillId="0" borderId="9" xfId="2" applyNumberFormat="1" applyFont="1" applyFill="1" applyBorder="1" applyAlignment="1">
      <alignment horizontal="center" wrapText="1"/>
    </xf>
    <xf numFmtId="4" fontId="23" fillId="10" borderId="9" xfId="2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6;&#1073;&#1097;&#1072;&#1103;%20&#1087;&#1072;&#1087;&#1082;&#1072;\&#1043;&#1040;&#1056;&#1041;&#1040;&#1056;\EXEL\&#1089;&#1091;&#1084;&#1084;&#1072;%20&#1087;&#1088;&#1086;&#1087;&#1080;&#1089;&#1100;&#1102;\&#1089;&#1091;&#1084;&#1084;&#1072;%20&#1087;&#1088;&#1086;&#1084;&#1080;&#1089;&#1100;&#1102;\sumprop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umprop"/>
    </sheetNames>
    <definedNames>
      <definedName name="СуммаПрописью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C54"/>
  <sheetViews>
    <sheetView topLeftCell="B1" zoomScale="78" zoomScaleNormal="78" workbookViewId="0">
      <pane xSplit="12" ySplit="4" topLeftCell="AH5" activePane="bottomRight" state="frozen"/>
      <selection activeCell="B1" sqref="B1"/>
      <selection pane="topRight" activeCell="K1" sqref="K1"/>
      <selection pane="bottomLeft" activeCell="B5" sqref="B5"/>
      <selection pane="bottomRight" activeCell="BC14" sqref="BC14"/>
    </sheetView>
  </sheetViews>
  <sheetFormatPr defaultColWidth="8.85546875" defaultRowHeight="15" x14ac:dyDescent="0.25"/>
  <cols>
    <col min="1" max="1" width="4.140625" style="63" customWidth="1"/>
    <col min="2" max="2" width="3.42578125" style="63" bestFit="1" customWidth="1"/>
    <col min="3" max="3" width="33.42578125" style="63" customWidth="1"/>
    <col min="4" max="4" width="19.85546875" style="63" customWidth="1"/>
    <col min="5" max="5" width="7.5703125" style="63" customWidth="1"/>
    <col min="6" max="6" width="9.28515625" style="63" customWidth="1"/>
    <col min="7" max="7" width="9.5703125" style="63" customWidth="1"/>
    <col min="8" max="8" width="10.85546875" style="63" customWidth="1"/>
    <col min="9" max="9" width="11.5703125" style="63" customWidth="1"/>
    <col min="10" max="10" width="10.5703125" style="63" customWidth="1"/>
    <col min="11" max="11" width="11" style="63" customWidth="1"/>
    <col min="12" max="12" width="13.28515625" style="63" customWidth="1"/>
    <col min="13" max="13" width="8.7109375" style="63" customWidth="1"/>
    <col min="14" max="14" width="8.85546875" style="63" customWidth="1"/>
    <col min="15" max="15" width="12.28515625" style="63" customWidth="1"/>
    <col min="16" max="16" width="7.7109375" style="63" customWidth="1"/>
    <col min="17" max="17" width="10.28515625" style="63" customWidth="1"/>
    <col min="18" max="18" width="8.85546875" style="63" customWidth="1"/>
    <col min="19" max="19" width="8" style="63" customWidth="1"/>
    <col min="20" max="20" width="8.85546875" style="63" customWidth="1"/>
    <col min="21" max="21" width="9" style="63" customWidth="1"/>
    <col min="22" max="22" width="8.140625" style="63" customWidth="1"/>
    <col min="23" max="23" width="7.85546875" style="63" customWidth="1"/>
    <col min="24" max="24" width="9" style="63" customWidth="1"/>
    <col min="25" max="25" width="8.7109375" style="63" customWidth="1"/>
    <col min="26" max="26" width="7.85546875" style="63" customWidth="1"/>
    <col min="27" max="27" width="9" style="63" customWidth="1"/>
    <col min="28" max="28" width="7.85546875" style="63" customWidth="1"/>
    <col min="29" max="29" width="8.42578125" style="63" customWidth="1"/>
    <col min="30" max="30" width="9" style="63" customWidth="1"/>
    <col min="31" max="31" width="9.140625" style="63" customWidth="1"/>
    <col min="32" max="32" width="7.5703125" style="63" customWidth="1"/>
    <col min="33" max="34" width="9" style="63" customWidth="1"/>
    <col min="35" max="35" width="7.85546875" style="63" customWidth="1"/>
    <col min="36" max="37" width="9" style="63" customWidth="1"/>
    <col min="38" max="50" width="7.85546875" style="63" customWidth="1"/>
    <col min="51" max="51" width="9.7109375" style="63" customWidth="1"/>
    <col min="52" max="52" width="10.140625" style="63" customWidth="1"/>
    <col min="53" max="53" width="11.85546875" style="63" customWidth="1"/>
    <col min="54" max="54" width="8.85546875" style="63" customWidth="1"/>
    <col min="55" max="16384" width="8.85546875" style="63"/>
  </cols>
  <sheetData>
    <row r="1" spans="1:54" x14ac:dyDescent="0.25">
      <c r="L1" s="64">
        <v>1660518.05</v>
      </c>
      <c r="O1" s="130">
        <v>122786</v>
      </c>
      <c r="P1" s="130"/>
      <c r="Q1" s="130"/>
      <c r="AA1" s="64"/>
      <c r="AB1" s="64"/>
      <c r="AG1" s="64" t="e">
        <f>I24-AY24</f>
        <v>#REF!</v>
      </c>
      <c r="AY1" s="64"/>
    </row>
    <row r="2" spans="1:54" x14ac:dyDescent="0.25">
      <c r="C2" s="65"/>
      <c r="D2" s="66"/>
      <c r="E2" s="66"/>
      <c r="O2" s="129">
        <f>ROUND(O1*100/L1,2)</f>
        <v>7.39</v>
      </c>
      <c r="P2" s="129"/>
      <c r="Q2" s="129"/>
      <c r="AG2" s="64"/>
    </row>
    <row r="3" spans="1:54" ht="23.25" customHeight="1" x14ac:dyDescent="0.25">
      <c r="A3" s="123" t="s">
        <v>24</v>
      </c>
      <c r="B3" s="67"/>
      <c r="C3" s="125" t="s">
        <v>0</v>
      </c>
      <c r="D3" s="125" t="s">
        <v>23</v>
      </c>
      <c r="E3" s="119" t="s">
        <v>15</v>
      </c>
      <c r="F3" s="119" t="s">
        <v>22</v>
      </c>
      <c r="G3" s="119" t="s">
        <v>21</v>
      </c>
      <c r="H3" s="119" t="s">
        <v>58</v>
      </c>
      <c r="I3" s="68" t="s">
        <v>20</v>
      </c>
      <c r="J3" s="68" t="s">
        <v>9</v>
      </c>
      <c r="K3" s="127" t="s">
        <v>19</v>
      </c>
      <c r="L3" s="127" t="s">
        <v>18</v>
      </c>
      <c r="M3" s="121" t="s">
        <v>17</v>
      </c>
      <c r="N3" s="122"/>
      <c r="O3" s="117">
        <v>43435</v>
      </c>
      <c r="P3" s="118"/>
      <c r="Q3" s="118"/>
      <c r="R3" s="117">
        <v>43466</v>
      </c>
      <c r="S3" s="118"/>
      <c r="T3" s="118"/>
      <c r="U3" s="117">
        <v>43497</v>
      </c>
      <c r="V3" s="118"/>
      <c r="W3" s="118"/>
      <c r="X3" s="117">
        <v>43525</v>
      </c>
      <c r="Y3" s="118"/>
      <c r="Z3" s="118"/>
      <c r="AA3" s="117">
        <v>43556</v>
      </c>
      <c r="AB3" s="118"/>
      <c r="AC3" s="118"/>
      <c r="AD3" s="117">
        <v>43586</v>
      </c>
      <c r="AE3" s="118"/>
      <c r="AF3" s="118"/>
      <c r="AG3" s="117">
        <v>43617</v>
      </c>
      <c r="AH3" s="118"/>
      <c r="AI3" s="118"/>
      <c r="AJ3" s="117">
        <v>43647</v>
      </c>
      <c r="AK3" s="118"/>
      <c r="AL3" s="118"/>
      <c r="AM3" s="117">
        <v>43678</v>
      </c>
      <c r="AN3" s="118"/>
      <c r="AO3" s="118"/>
      <c r="AP3" s="117">
        <v>43709</v>
      </c>
      <c r="AQ3" s="118"/>
      <c r="AR3" s="118"/>
      <c r="AS3" s="117">
        <v>43739</v>
      </c>
      <c r="AT3" s="118"/>
      <c r="AU3" s="118"/>
      <c r="AV3" s="117">
        <v>43770</v>
      </c>
      <c r="AW3" s="118"/>
      <c r="AX3" s="118"/>
      <c r="AY3" s="118" t="s">
        <v>16</v>
      </c>
      <c r="AZ3" s="131"/>
      <c r="BA3" s="131"/>
    </row>
    <row r="4" spans="1:54" ht="14.45" customHeight="1" x14ac:dyDescent="0.25">
      <c r="A4" s="124"/>
      <c r="B4" s="69"/>
      <c r="C4" s="126"/>
      <c r="D4" s="126"/>
      <c r="E4" s="120" t="s">
        <v>15</v>
      </c>
      <c r="F4" s="120"/>
      <c r="G4" s="120"/>
      <c r="H4" s="120"/>
      <c r="I4" s="70" t="s">
        <v>14</v>
      </c>
      <c r="J4" s="70" t="s">
        <v>14</v>
      </c>
      <c r="K4" s="128"/>
      <c r="L4" s="128"/>
      <c r="M4" s="108" t="s">
        <v>60</v>
      </c>
      <c r="N4" s="108" t="s">
        <v>9</v>
      </c>
      <c r="O4" s="71" t="s">
        <v>12</v>
      </c>
      <c r="P4" s="72" t="s">
        <v>11</v>
      </c>
      <c r="Q4" s="93" t="s">
        <v>13</v>
      </c>
      <c r="R4" s="71" t="s">
        <v>12</v>
      </c>
      <c r="S4" s="72" t="s">
        <v>11</v>
      </c>
      <c r="T4" s="93" t="s">
        <v>13</v>
      </c>
      <c r="U4" s="71" t="s">
        <v>12</v>
      </c>
      <c r="V4" s="72" t="s">
        <v>11</v>
      </c>
      <c r="W4" s="94" t="s">
        <v>13</v>
      </c>
      <c r="X4" s="71" t="s">
        <v>12</v>
      </c>
      <c r="Y4" s="72" t="s">
        <v>11</v>
      </c>
      <c r="Z4" s="93" t="s">
        <v>13</v>
      </c>
      <c r="AA4" s="71" t="s">
        <v>12</v>
      </c>
      <c r="AB4" s="72" t="s">
        <v>11</v>
      </c>
      <c r="AC4" s="93" t="s">
        <v>13</v>
      </c>
      <c r="AD4" s="71" t="s">
        <v>12</v>
      </c>
      <c r="AE4" s="72" t="s">
        <v>11</v>
      </c>
      <c r="AF4" s="93" t="s">
        <v>13</v>
      </c>
      <c r="AG4" s="71" t="s">
        <v>12</v>
      </c>
      <c r="AH4" s="72" t="s">
        <v>11</v>
      </c>
      <c r="AI4" s="93" t="s">
        <v>13</v>
      </c>
      <c r="AJ4" s="71" t="s">
        <v>12</v>
      </c>
      <c r="AK4" s="72" t="s">
        <v>11</v>
      </c>
      <c r="AL4" s="93" t="s">
        <v>13</v>
      </c>
      <c r="AM4" s="71" t="s">
        <v>12</v>
      </c>
      <c r="AN4" s="72" t="s">
        <v>11</v>
      </c>
      <c r="AO4" s="93" t="s">
        <v>13</v>
      </c>
      <c r="AP4" s="71" t="s">
        <v>12</v>
      </c>
      <c r="AQ4" s="72" t="s">
        <v>11</v>
      </c>
      <c r="AR4" s="93" t="s">
        <v>13</v>
      </c>
      <c r="AS4" s="71" t="s">
        <v>12</v>
      </c>
      <c r="AT4" s="72" t="s">
        <v>11</v>
      </c>
      <c r="AU4" s="93" t="s">
        <v>13</v>
      </c>
      <c r="AV4" s="71" t="s">
        <v>12</v>
      </c>
      <c r="AW4" s="72" t="s">
        <v>11</v>
      </c>
      <c r="AX4" s="93" t="s">
        <v>13</v>
      </c>
      <c r="AY4" s="71" t="s">
        <v>12</v>
      </c>
      <c r="AZ4" s="72" t="s">
        <v>11</v>
      </c>
      <c r="BA4" s="93" t="s">
        <v>10</v>
      </c>
      <c r="BB4" s="73" t="s">
        <v>9</v>
      </c>
    </row>
    <row r="5" spans="1:54" x14ac:dyDescent="0.25">
      <c r="A5" s="74">
        <v>2</v>
      </c>
      <c r="B5" s="74">
        <v>2</v>
      </c>
      <c r="C5" s="113" t="s">
        <v>62</v>
      </c>
      <c r="D5" s="65" t="s">
        <v>59</v>
      </c>
      <c r="E5" s="1">
        <v>3</v>
      </c>
      <c r="F5" s="4">
        <v>66.400000000000006</v>
      </c>
      <c r="G5" s="75"/>
      <c r="H5" s="7">
        <v>1115.96</v>
      </c>
      <c r="I5" s="76">
        <v>100000</v>
      </c>
      <c r="J5" s="75">
        <f t="shared" ref="J5:J33" si="0">ROUND($J$2*G5,2)</f>
        <v>0</v>
      </c>
      <c r="K5" s="81"/>
      <c r="L5" s="76"/>
      <c r="M5" s="76" t="b">
        <f t="shared" ref="M5:M33" si="1">IF((L5-I5)&gt;0,(L5-I5)&gt;0)</f>
        <v>0</v>
      </c>
      <c r="N5" s="76" t="b">
        <f t="shared" ref="N5:N33" si="2">IF((L5-J5)&gt;0,(L5-J5)&gt;0)</f>
        <v>0</v>
      </c>
      <c r="O5" s="77"/>
      <c r="P5" s="78"/>
      <c r="Q5" s="94">
        <f t="shared" ref="Q5:Q32" si="3">ROUND(I5*0.6,2)</f>
        <v>60000</v>
      </c>
      <c r="R5" s="79"/>
      <c r="S5" s="78"/>
      <c r="T5" s="94"/>
      <c r="U5" s="79"/>
      <c r="V5" s="78"/>
      <c r="W5" s="94"/>
      <c r="X5" s="77"/>
      <c r="Y5" s="78"/>
      <c r="Z5" s="94"/>
      <c r="AA5" s="79">
        <f>I5*0.82</f>
        <v>82000</v>
      </c>
      <c r="AB5" s="78">
        <v>2000</v>
      </c>
      <c r="AC5" s="95">
        <v>24674.97</v>
      </c>
      <c r="AD5" s="79">
        <v>3045.03</v>
      </c>
      <c r="AE5" s="78"/>
      <c r="AF5" s="94">
        <v>3045.03</v>
      </c>
      <c r="AG5" s="79">
        <v>2371.4299999999998</v>
      </c>
      <c r="AH5" s="78"/>
      <c r="AI5" s="94"/>
      <c r="AJ5" s="79" t="e">
        <f t="shared" ref="AJ5:AJ33" si="4">J5-AZ5-BA5</f>
        <v>#REF!</v>
      </c>
      <c r="AK5" s="78">
        <v>-462.07</v>
      </c>
      <c r="AL5" s="94"/>
      <c r="AM5" s="79">
        <f t="shared" ref="AM5:AM33" si="5">M5-BC5-BD5</f>
        <v>0</v>
      </c>
      <c r="AN5" s="78">
        <v>-462.07</v>
      </c>
      <c r="AO5" s="94"/>
      <c r="AP5" s="79">
        <f t="shared" ref="AP5:AP33" si="6">P5-BF5-BG5</f>
        <v>0</v>
      </c>
      <c r="AQ5" s="78">
        <v>-462.07</v>
      </c>
      <c r="AR5" s="94"/>
      <c r="AS5" s="79">
        <f t="shared" ref="AS5:AS33" si="7">S5-BI5-BJ5</f>
        <v>0</v>
      </c>
      <c r="AT5" s="78">
        <v>-462.07</v>
      </c>
      <c r="AU5" s="94"/>
      <c r="AV5" s="79">
        <f t="shared" ref="AV5:AV33" si="8">V5-BL5-BM5</f>
        <v>0</v>
      </c>
      <c r="AW5" s="78">
        <v>-462.07</v>
      </c>
      <c r="AX5" s="94"/>
      <c r="AY5" s="77">
        <f t="shared" ref="AY5:AY33" si="9">J5</f>
        <v>0</v>
      </c>
      <c r="AZ5" s="78" t="e">
        <f>P5+S5+V5+Y5+AB5+AE5+AH5+AK5+#REF!</f>
        <v>#REF!</v>
      </c>
      <c r="BA5" s="80" t="e">
        <f>Q5+T5+W5+Z5+AC5+AF5+AI5+AL5+#REF!</f>
        <v>#REF!</v>
      </c>
      <c r="BB5" s="82" t="e">
        <f t="shared" ref="BB5:BB43" si="10">J5-AZ5-BA5</f>
        <v>#REF!</v>
      </c>
    </row>
    <row r="6" spans="1:54" x14ac:dyDescent="0.25">
      <c r="A6" s="74">
        <v>3</v>
      </c>
      <c r="B6" s="74">
        <v>3</v>
      </c>
      <c r="C6" s="103"/>
      <c r="D6" s="65"/>
      <c r="E6" s="1">
        <v>2</v>
      </c>
      <c r="F6" s="4">
        <v>57.2</v>
      </c>
      <c r="G6" s="75"/>
      <c r="H6" s="7">
        <v>1115.96</v>
      </c>
      <c r="I6" s="76" t="e">
        <f>#REF!</f>
        <v>#REF!</v>
      </c>
      <c r="J6" s="75">
        <f t="shared" si="0"/>
        <v>0</v>
      </c>
      <c r="K6" s="76"/>
      <c r="L6" s="76"/>
      <c r="M6" s="76" t="e">
        <f t="shared" si="1"/>
        <v>#REF!</v>
      </c>
      <c r="N6" s="76" t="b">
        <f t="shared" si="2"/>
        <v>0</v>
      </c>
      <c r="O6" s="77"/>
      <c r="P6" s="78"/>
      <c r="Q6" s="94" t="e">
        <f t="shared" si="3"/>
        <v>#REF!</v>
      </c>
      <c r="R6" s="79"/>
      <c r="S6" s="78"/>
      <c r="T6" s="94"/>
      <c r="U6" s="79"/>
      <c r="V6" s="78"/>
      <c r="W6" s="94"/>
      <c r="X6" s="77"/>
      <c r="Y6" s="78"/>
      <c r="Z6" s="94"/>
      <c r="AA6" s="79" t="e">
        <f>I6*0.82</f>
        <v>#REF!</v>
      </c>
      <c r="AB6" s="78"/>
      <c r="AC6" s="95">
        <v>24674.97</v>
      </c>
      <c r="AD6" s="79" t="e">
        <f>I6*0.14</f>
        <v>#REF!</v>
      </c>
      <c r="AE6" s="78"/>
      <c r="AF6" s="94">
        <v>4212.8</v>
      </c>
      <c r="AG6" s="79" t="e">
        <f>I6*0.04</f>
        <v>#REF!</v>
      </c>
      <c r="AH6" s="78"/>
      <c r="AI6" s="94"/>
      <c r="AJ6" s="79" t="e">
        <f t="shared" si="4"/>
        <v>#REF!</v>
      </c>
      <c r="AK6" s="78"/>
      <c r="AL6" s="94">
        <v>531.79999999999995</v>
      </c>
      <c r="AM6" s="79" t="e">
        <f t="shared" si="5"/>
        <v>#REF!</v>
      </c>
      <c r="AN6" s="78"/>
      <c r="AO6" s="94">
        <v>531.79999999999995</v>
      </c>
      <c r="AP6" s="79">
        <f t="shared" si="6"/>
        <v>0</v>
      </c>
      <c r="AQ6" s="78"/>
      <c r="AR6" s="94">
        <v>531.79999999999995</v>
      </c>
      <c r="AS6" s="79">
        <f t="shared" si="7"/>
        <v>0</v>
      </c>
      <c r="AT6" s="78"/>
      <c r="AU6" s="94">
        <v>531.79999999999995</v>
      </c>
      <c r="AV6" s="79">
        <f t="shared" si="8"/>
        <v>0</v>
      </c>
      <c r="AW6" s="78"/>
      <c r="AX6" s="94">
        <v>531.79999999999995</v>
      </c>
      <c r="AY6" s="77">
        <f t="shared" si="9"/>
        <v>0</v>
      </c>
      <c r="AZ6" s="78" t="e">
        <f>P6+S6+V6+Y6+AB6+AE6+AH6+AK6+#REF!</f>
        <v>#REF!</v>
      </c>
      <c r="BA6" s="80" t="e">
        <f>Q6+T6+W6+Z6+AC6+AF6+AI6+AL6+#REF!</f>
        <v>#REF!</v>
      </c>
      <c r="BB6" s="64" t="e">
        <f t="shared" si="10"/>
        <v>#REF!</v>
      </c>
    </row>
    <row r="7" spans="1:54" x14ac:dyDescent="0.25">
      <c r="A7" s="74">
        <v>4</v>
      </c>
      <c r="B7" s="74">
        <v>4</v>
      </c>
      <c r="C7" s="103"/>
      <c r="D7" s="65"/>
      <c r="E7" s="1">
        <v>1</v>
      </c>
      <c r="F7" s="4">
        <v>40.44</v>
      </c>
      <c r="G7" s="75"/>
      <c r="H7" s="7">
        <v>1115.96</v>
      </c>
      <c r="I7" s="76" t="e">
        <f>#REF!</f>
        <v>#REF!</v>
      </c>
      <c r="J7" s="75">
        <f t="shared" si="0"/>
        <v>0</v>
      </c>
      <c r="K7" s="76"/>
      <c r="L7" s="76"/>
      <c r="M7" s="76" t="e">
        <f t="shared" si="1"/>
        <v>#REF!</v>
      </c>
      <c r="N7" s="76" t="b">
        <f t="shared" si="2"/>
        <v>0</v>
      </c>
      <c r="O7" s="77"/>
      <c r="P7" s="78"/>
      <c r="Q7" s="94" t="e">
        <f t="shared" si="3"/>
        <v>#REF!</v>
      </c>
      <c r="R7" s="79"/>
      <c r="S7" s="78"/>
      <c r="T7" s="94"/>
      <c r="U7" s="79"/>
      <c r="V7" s="78"/>
      <c r="W7" s="94"/>
      <c r="X7" s="77"/>
      <c r="Y7" s="78"/>
      <c r="Z7" s="94"/>
      <c r="AA7" s="79" t="e">
        <f>I7*0.82</f>
        <v>#REF!</v>
      </c>
      <c r="AB7" s="78"/>
      <c r="AC7" s="95">
        <v>36999.019999999997</v>
      </c>
      <c r="AD7" s="79" t="e">
        <f>I7*0.14</f>
        <v>#REF!</v>
      </c>
      <c r="AE7" s="78"/>
      <c r="AF7" s="94">
        <v>6316.91</v>
      </c>
      <c r="AG7" s="79" t="e">
        <f>I7*0.04</f>
        <v>#REF!</v>
      </c>
      <c r="AH7" s="78"/>
      <c r="AI7" s="94"/>
      <c r="AJ7" s="79" t="e">
        <f t="shared" si="4"/>
        <v>#REF!</v>
      </c>
      <c r="AK7" s="78"/>
      <c r="AL7" s="94">
        <v>651.78</v>
      </c>
      <c r="AM7" s="79" t="e">
        <f t="shared" si="5"/>
        <v>#REF!</v>
      </c>
      <c r="AN7" s="78"/>
      <c r="AO7" s="94">
        <v>651.78</v>
      </c>
      <c r="AP7" s="79">
        <f t="shared" si="6"/>
        <v>0</v>
      </c>
      <c r="AQ7" s="78"/>
      <c r="AR7" s="94">
        <v>651.78</v>
      </c>
      <c r="AS7" s="79">
        <f t="shared" si="7"/>
        <v>0</v>
      </c>
      <c r="AT7" s="78"/>
      <c r="AU7" s="94">
        <v>651.78</v>
      </c>
      <c r="AV7" s="79">
        <f t="shared" si="8"/>
        <v>0</v>
      </c>
      <c r="AW7" s="78"/>
      <c r="AX7" s="94">
        <v>651.78</v>
      </c>
      <c r="AY7" s="77">
        <f t="shared" si="9"/>
        <v>0</v>
      </c>
      <c r="AZ7" s="78" t="e">
        <f>P7+S7+V7+Y7+AB7+AE7+AH7+AK7+#REF!</f>
        <v>#REF!</v>
      </c>
      <c r="BA7" s="80" t="e">
        <f>Q7+T7+W7+Z7+AC7+AF7+AI7+AL7+#REF!</f>
        <v>#REF!</v>
      </c>
      <c r="BB7" s="64" t="e">
        <f t="shared" si="10"/>
        <v>#REF!</v>
      </c>
    </row>
    <row r="8" spans="1:54" x14ac:dyDescent="0.25">
      <c r="A8" s="74">
        <v>5</v>
      </c>
      <c r="B8" s="74">
        <v>5</v>
      </c>
      <c r="C8" s="103"/>
      <c r="D8" s="65"/>
      <c r="E8" s="1">
        <v>2</v>
      </c>
      <c r="F8" s="4">
        <v>54.42</v>
      </c>
      <c r="G8" s="75"/>
      <c r="H8" s="7">
        <v>1115.96</v>
      </c>
      <c r="I8" s="76" t="e">
        <f>#REF!</f>
        <v>#REF!</v>
      </c>
      <c r="J8" s="75">
        <f t="shared" si="0"/>
        <v>0</v>
      </c>
      <c r="K8" s="76"/>
      <c r="L8" s="76"/>
      <c r="M8" s="76" t="e">
        <f t="shared" si="1"/>
        <v>#REF!</v>
      </c>
      <c r="N8" s="76" t="b">
        <f t="shared" si="2"/>
        <v>0</v>
      </c>
      <c r="O8" s="77"/>
      <c r="P8" s="78"/>
      <c r="Q8" s="94" t="e">
        <f t="shared" si="3"/>
        <v>#REF!</v>
      </c>
      <c r="R8" s="79"/>
      <c r="S8" s="78"/>
      <c r="T8" s="94"/>
      <c r="U8" s="79"/>
      <c r="V8" s="78"/>
      <c r="W8" s="94"/>
      <c r="X8" s="79"/>
      <c r="Y8" s="78"/>
      <c r="Z8" s="94"/>
      <c r="AA8" s="79" t="e">
        <f>I8*0.12</f>
        <v>#REF!</v>
      </c>
      <c r="AB8" s="78"/>
      <c r="AC8" s="95">
        <v>7444.31</v>
      </c>
      <c r="AD8" s="79" t="e">
        <f>I8*0.14</f>
        <v>#REF!</v>
      </c>
      <c r="AE8" s="78"/>
      <c r="AF8" s="94">
        <v>8685.0300000000007</v>
      </c>
      <c r="AG8" s="79" t="e">
        <f>I8*0.04</f>
        <v>#REF!</v>
      </c>
      <c r="AH8" s="78"/>
      <c r="AI8" s="94"/>
      <c r="AJ8" s="79" t="e">
        <f t="shared" si="4"/>
        <v>#REF!</v>
      </c>
      <c r="AK8" s="78"/>
      <c r="AL8" s="94">
        <v>1062.78</v>
      </c>
      <c r="AM8" s="79" t="e">
        <f t="shared" si="5"/>
        <v>#REF!</v>
      </c>
      <c r="AN8" s="78"/>
      <c r="AO8" s="94">
        <v>1062.78</v>
      </c>
      <c r="AP8" s="79">
        <f t="shared" si="6"/>
        <v>0</v>
      </c>
      <c r="AQ8" s="78"/>
      <c r="AR8" s="94">
        <v>1062.78</v>
      </c>
      <c r="AS8" s="79">
        <f t="shared" si="7"/>
        <v>0</v>
      </c>
      <c r="AT8" s="78"/>
      <c r="AU8" s="94">
        <v>1062.78</v>
      </c>
      <c r="AV8" s="79">
        <f t="shared" si="8"/>
        <v>0</v>
      </c>
      <c r="AW8" s="78"/>
      <c r="AX8" s="94">
        <v>1062.78</v>
      </c>
      <c r="AY8" s="77">
        <f t="shared" si="9"/>
        <v>0</v>
      </c>
      <c r="AZ8" s="78" t="e">
        <f>P8+S8+V8+Y8+AB8+AE8+AH8+AK8+#REF!</f>
        <v>#REF!</v>
      </c>
      <c r="BA8" s="80" t="e">
        <f>Q8+T8+W8+Z8+AC8+AF8+AI8+AL8+#REF!</f>
        <v>#REF!</v>
      </c>
      <c r="BB8" s="64" t="e">
        <f t="shared" si="10"/>
        <v>#REF!</v>
      </c>
    </row>
    <row r="9" spans="1:54" x14ac:dyDescent="0.25">
      <c r="A9" s="74">
        <v>6</v>
      </c>
      <c r="B9" s="74">
        <v>6</v>
      </c>
      <c r="C9" s="103"/>
      <c r="D9" s="65"/>
      <c r="E9" s="1">
        <v>3</v>
      </c>
      <c r="F9" s="4">
        <v>69.400000000000006</v>
      </c>
      <c r="G9" s="75"/>
      <c r="H9" s="7">
        <v>1115.96</v>
      </c>
      <c r="I9" s="76" t="e">
        <f>#REF!</f>
        <v>#REF!</v>
      </c>
      <c r="J9" s="75">
        <f t="shared" si="0"/>
        <v>0</v>
      </c>
      <c r="K9" s="81"/>
      <c r="L9" s="76">
        <v>71800</v>
      </c>
      <c r="M9" s="76" t="e">
        <f t="shared" si="1"/>
        <v>#REF!</v>
      </c>
      <c r="N9" s="76" t="b">
        <f>IF((L9-J9)&gt;0,(L9-J9)&gt;0)</f>
        <v>1</v>
      </c>
      <c r="O9" s="77"/>
      <c r="P9" s="78"/>
      <c r="Q9" s="94" t="e">
        <f t="shared" si="3"/>
        <v>#REF!</v>
      </c>
      <c r="R9" s="79"/>
      <c r="S9" s="78"/>
      <c r="T9" s="94"/>
      <c r="U9" s="79"/>
      <c r="V9" s="78"/>
      <c r="W9" s="94"/>
      <c r="X9" s="79"/>
      <c r="Y9" s="78"/>
      <c r="Z9" s="94"/>
      <c r="AA9" s="79"/>
      <c r="AB9" s="78"/>
      <c r="AC9" s="95"/>
      <c r="AD9" s="77">
        <v>17292</v>
      </c>
      <c r="AE9" s="78"/>
      <c r="AF9" s="94">
        <v>17292</v>
      </c>
      <c r="AG9" s="79">
        <f>12799.43*0.88</f>
        <v>11263.4984</v>
      </c>
      <c r="AH9" s="78">
        <v>11263.5</v>
      </c>
      <c r="AI9" s="94"/>
      <c r="AJ9" s="79" t="e">
        <f t="shared" si="4"/>
        <v>#REF!</v>
      </c>
      <c r="AK9" s="78">
        <v>783.25</v>
      </c>
      <c r="AL9" s="94"/>
      <c r="AM9" s="79" t="e">
        <f t="shared" si="5"/>
        <v>#REF!</v>
      </c>
      <c r="AN9" s="78">
        <v>783.25</v>
      </c>
      <c r="AO9" s="94"/>
      <c r="AP9" s="79">
        <f t="shared" si="6"/>
        <v>0</v>
      </c>
      <c r="AQ9" s="78">
        <v>783.25</v>
      </c>
      <c r="AR9" s="94"/>
      <c r="AS9" s="79">
        <f t="shared" si="7"/>
        <v>0</v>
      </c>
      <c r="AT9" s="78">
        <v>783.25</v>
      </c>
      <c r="AU9" s="94"/>
      <c r="AV9" s="79">
        <f t="shared" si="8"/>
        <v>0</v>
      </c>
      <c r="AW9" s="78">
        <v>783.25</v>
      </c>
      <c r="AX9" s="94"/>
      <c r="AY9" s="77">
        <f t="shared" si="9"/>
        <v>0</v>
      </c>
      <c r="AZ9" s="78" t="e">
        <f>P9+S9+V9+Y9+AB9+AE9+AH9+AK9+#REF!</f>
        <v>#REF!</v>
      </c>
      <c r="BA9" s="80" t="e">
        <f>Q9+T9+W9+Z9+AC9+AF9+AI9+AL9+#REF!</f>
        <v>#REF!</v>
      </c>
      <c r="BB9" s="64" t="e">
        <f t="shared" si="10"/>
        <v>#REF!</v>
      </c>
    </row>
    <row r="10" spans="1:54" x14ac:dyDescent="0.25">
      <c r="A10" s="74">
        <v>7</v>
      </c>
      <c r="B10" s="74">
        <v>7</v>
      </c>
      <c r="C10" s="103"/>
      <c r="D10" s="65"/>
      <c r="E10" s="1">
        <v>1</v>
      </c>
      <c r="F10" s="4">
        <v>46.41</v>
      </c>
      <c r="G10" s="75"/>
      <c r="H10" s="7">
        <v>1115.96</v>
      </c>
      <c r="I10" s="76" t="e">
        <f>#REF!</f>
        <v>#REF!</v>
      </c>
      <c r="J10" s="75">
        <f t="shared" si="0"/>
        <v>0</v>
      </c>
      <c r="K10" s="81"/>
      <c r="L10" s="76">
        <v>25848</v>
      </c>
      <c r="M10" s="76" t="e">
        <f t="shared" si="1"/>
        <v>#REF!</v>
      </c>
      <c r="N10" s="76" t="b">
        <f t="shared" si="2"/>
        <v>1</v>
      </c>
      <c r="O10" s="77"/>
      <c r="P10" s="78"/>
      <c r="Q10" s="94" t="e">
        <f t="shared" si="3"/>
        <v>#REF!</v>
      </c>
      <c r="R10" s="79"/>
      <c r="S10" s="78"/>
      <c r="T10" s="94"/>
      <c r="U10" s="79"/>
      <c r="V10" s="78"/>
      <c r="W10" s="94"/>
      <c r="X10" s="79"/>
      <c r="Y10" s="78"/>
      <c r="Z10" s="94"/>
      <c r="AA10" s="79"/>
      <c r="AB10" s="78"/>
      <c r="AC10" s="95"/>
      <c r="AD10" s="77">
        <v>25080</v>
      </c>
      <c r="AE10" s="78"/>
      <c r="AF10" s="94">
        <v>25080</v>
      </c>
      <c r="AG10" s="79">
        <f>5011.43*0.88</f>
        <v>4410.0583999999999</v>
      </c>
      <c r="AH10" s="78">
        <v>4410.0600000000004</v>
      </c>
      <c r="AI10" s="94"/>
      <c r="AJ10" s="79" t="e">
        <f t="shared" si="4"/>
        <v>#REF!</v>
      </c>
      <c r="AK10" s="78"/>
      <c r="AL10" s="96">
        <v>-70.489999999999995</v>
      </c>
      <c r="AM10" s="79" t="e">
        <f t="shared" si="5"/>
        <v>#REF!</v>
      </c>
      <c r="AN10" s="78"/>
      <c r="AO10" s="96">
        <v>-70.489999999999995</v>
      </c>
      <c r="AP10" s="79">
        <f t="shared" si="6"/>
        <v>0</v>
      </c>
      <c r="AQ10" s="78"/>
      <c r="AR10" s="96">
        <v>-70.489999999999995</v>
      </c>
      <c r="AS10" s="79">
        <f t="shared" si="7"/>
        <v>0</v>
      </c>
      <c r="AT10" s="78"/>
      <c r="AU10" s="96">
        <v>-70.489999999999995</v>
      </c>
      <c r="AV10" s="79">
        <f t="shared" si="8"/>
        <v>0</v>
      </c>
      <c r="AW10" s="78"/>
      <c r="AX10" s="96">
        <v>-70.489999999999995</v>
      </c>
      <c r="AY10" s="77">
        <f t="shared" si="9"/>
        <v>0</v>
      </c>
      <c r="AZ10" s="78" t="e">
        <f>P10+S10+V10+Y10+AB10+AE10+AH10+AK10+#REF!</f>
        <v>#REF!</v>
      </c>
      <c r="BA10" s="80" t="e">
        <f>Q10+T10+W10+Z10+AC10+AF10+AI10+AL10+#REF!</f>
        <v>#REF!</v>
      </c>
      <c r="BB10" s="82" t="e">
        <f t="shared" si="10"/>
        <v>#REF!</v>
      </c>
    </row>
    <row r="11" spans="1:54" x14ac:dyDescent="0.25">
      <c r="A11" s="74">
        <v>8</v>
      </c>
      <c r="B11" s="74">
        <v>8</v>
      </c>
      <c r="C11" s="103"/>
      <c r="D11" s="65"/>
      <c r="E11" s="1">
        <v>3</v>
      </c>
      <c r="F11" s="4">
        <v>66.400000000000006</v>
      </c>
      <c r="G11" s="75"/>
      <c r="H11" s="7">
        <v>1115.96</v>
      </c>
      <c r="I11" s="76" t="e">
        <f>#REF!</f>
        <v>#REF!</v>
      </c>
      <c r="J11" s="75">
        <f t="shared" si="0"/>
        <v>0</v>
      </c>
      <c r="K11" s="76"/>
      <c r="L11" s="76">
        <v>71800</v>
      </c>
      <c r="M11" s="76" t="e">
        <f>IF((L11-I11)&gt;0,(L11-I11)&gt;0)</f>
        <v>#REF!</v>
      </c>
      <c r="N11" s="76" t="b">
        <f>IF((L11-J11)&gt;0,(L11-J11)&gt;0)</f>
        <v>1</v>
      </c>
      <c r="O11" s="77"/>
      <c r="P11" s="78"/>
      <c r="Q11" s="94" t="e">
        <f t="shared" si="3"/>
        <v>#REF!</v>
      </c>
      <c r="R11" s="79"/>
      <c r="S11" s="78"/>
      <c r="T11" s="94"/>
      <c r="U11" s="79"/>
      <c r="V11" s="78"/>
      <c r="W11" s="94"/>
      <c r="X11" s="79"/>
      <c r="Y11" s="78"/>
      <c r="Z11" s="94"/>
      <c r="AA11" s="79" t="e">
        <f>I11*0.12</f>
        <v>#REF!</v>
      </c>
      <c r="AB11" s="78"/>
      <c r="AC11" s="95">
        <v>5414.49</v>
      </c>
      <c r="AD11" s="79" t="e">
        <f>I11*0.14</f>
        <v>#REF!</v>
      </c>
      <c r="AE11" s="78"/>
      <c r="AF11" s="94">
        <v>6316.91</v>
      </c>
      <c r="AG11" s="79" t="e">
        <f>I11*0.04</f>
        <v>#REF!</v>
      </c>
      <c r="AH11" s="78"/>
      <c r="AI11" s="94"/>
      <c r="AJ11" s="79" t="e">
        <f t="shared" si="4"/>
        <v>#REF!</v>
      </c>
      <c r="AK11" s="78"/>
      <c r="AL11" s="94">
        <v>651.78</v>
      </c>
      <c r="AM11" s="79" t="e">
        <f t="shared" si="5"/>
        <v>#REF!</v>
      </c>
      <c r="AN11" s="78"/>
      <c r="AO11" s="94">
        <v>651.78</v>
      </c>
      <c r="AP11" s="79">
        <f t="shared" si="6"/>
        <v>0</v>
      </c>
      <c r="AQ11" s="78"/>
      <c r="AR11" s="94">
        <v>651.78</v>
      </c>
      <c r="AS11" s="79">
        <f t="shared" si="7"/>
        <v>0</v>
      </c>
      <c r="AT11" s="78"/>
      <c r="AU11" s="94">
        <v>651.78</v>
      </c>
      <c r="AV11" s="79">
        <f t="shared" si="8"/>
        <v>0</v>
      </c>
      <c r="AW11" s="78"/>
      <c r="AX11" s="94">
        <v>651.78</v>
      </c>
      <c r="AY11" s="77">
        <f t="shared" si="9"/>
        <v>0</v>
      </c>
      <c r="AZ11" s="78" t="e">
        <f>P11+S11+V11+Y11+AB11+AE11+AH11+AK11+#REF!</f>
        <v>#REF!</v>
      </c>
      <c r="BA11" s="80" t="e">
        <f>Q11+T11+W11+Z11+AC11+AF11+AI11+AL11+#REF!</f>
        <v>#REF!</v>
      </c>
      <c r="BB11" s="64" t="e">
        <f t="shared" si="10"/>
        <v>#REF!</v>
      </c>
    </row>
    <row r="12" spans="1:54" x14ac:dyDescent="0.25">
      <c r="A12" s="74">
        <v>9</v>
      </c>
      <c r="B12" s="74">
        <v>9</v>
      </c>
      <c r="C12" s="104"/>
      <c r="D12" s="65"/>
      <c r="E12" s="2">
        <v>2</v>
      </c>
      <c r="F12" s="5">
        <v>57.2</v>
      </c>
      <c r="G12" s="75"/>
      <c r="H12" s="8">
        <v>1007.95</v>
      </c>
      <c r="I12" s="76" t="e">
        <f>#REF!</f>
        <v>#REF!</v>
      </c>
      <c r="J12" s="75">
        <f t="shared" si="0"/>
        <v>0</v>
      </c>
      <c r="K12" s="76"/>
      <c r="L12" s="76">
        <v>51696</v>
      </c>
      <c r="M12" s="76" t="e">
        <f>IF((L12-I12)&gt;0,(L12-I12)&gt;0)</f>
        <v>#REF!</v>
      </c>
      <c r="N12" s="76" t="b">
        <f t="shared" si="2"/>
        <v>1</v>
      </c>
      <c r="O12" s="77"/>
      <c r="P12" s="78"/>
      <c r="Q12" s="94" t="e">
        <f t="shared" si="3"/>
        <v>#REF!</v>
      </c>
      <c r="R12" s="79"/>
      <c r="S12" s="78"/>
      <c r="T12" s="94"/>
      <c r="U12" s="79"/>
      <c r="V12" s="78"/>
      <c r="W12" s="94"/>
      <c r="X12" s="79"/>
      <c r="Y12" s="78"/>
      <c r="Z12" s="94"/>
      <c r="AA12" s="79" t="e">
        <f>I12*0.12</f>
        <v>#REF!</v>
      </c>
      <c r="AB12" s="78"/>
      <c r="AC12" s="95">
        <v>7444.31</v>
      </c>
      <c r="AD12" s="79" t="e">
        <f>I12*0.14</f>
        <v>#REF!</v>
      </c>
      <c r="AE12" s="78"/>
      <c r="AF12" s="94">
        <v>8685.0300000000007</v>
      </c>
      <c r="AG12" s="79" t="e">
        <f>I12*0.04</f>
        <v>#REF!</v>
      </c>
      <c r="AH12" s="78"/>
      <c r="AI12" s="94"/>
      <c r="AJ12" s="79" t="e">
        <f t="shared" si="4"/>
        <v>#REF!</v>
      </c>
      <c r="AK12" s="78"/>
      <c r="AL12" s="94">
        <v>981.96</v>
      </c>
      <c r="AM12" s="79" t="e">
        <f t="shared" si="5"/>
        <v>#REF!</v>
      </c>
      <c r="AN12" s="78"/>
      <c r="AO12" s="94">
        <v>981.96</v>
      </c>
      <c r="AP12" s="79">
        <f t="shared" si="6"/>
        <v>0</v>
      </c>
      <c r="AQ12" s="78"/>
      <c r="AR12" s="94">
        <v>981.96</v>
      </c>
      <c r="AS12" s="79">
        <f t="shared" si="7"/>
        <v>0</v>
      </c>
      <c r="AT12" s="78"/>
      <c r="AU12" s="94">
        <v>981.96</v>
      </c>
      <c r="AV12" s="79">
        <f t="shared" si="8"/>
        <v>0</v>
      </c>
      <c r="AW12" s="78"/>
      <c r="AX12" s="94">
        <v>981.96</v>
      </c>
      <c r="AY12" s="77">
        <f t="shared" si="9"/>
        <v>0</v>
      </c>
      <c r="AZ12" s="78" t="e">
        <f>P12+S12+V12+Y12+AB12+AE12+AH12+AK12+#REF!</f>
        <v>#REF!</v>
      </c>
      <c r="BA12" s="80" t="e">
        <f>Q12+T12+W12+Z12+AC12+AF12+AI12+AL12+#REF!</f>
        <v>#REF!</v>
      </c>
      <c r="BB12" s="64" t="e">
        <f t="shared" si="10"/>
        <v>#REF!</v>
      </c>
    </row>
    <row r="13" spans="1:54" x14ac:dyDescent="0.25">
      <c r="A13" s="74">
        <v>10</v>
      </c>
      <c r="B13" s="74">
        <v>10</v>
      </c>
      <c r="C13" s="103"/>
      <c r="D13" s="65"/>
      <c r="E13" s="1">
        <v>1</v>
      </c>
      <c r="F13" s="4">
        <v>40.44</v>
      </c>
      <c r="G13" s="75"/>
      <c r="H13" s="7">
        <v>1115.96</v>
      </c>
      <c r="I13" s="76" t="e">
        <f>#REF!</f>
        <v>#REF!</v>
      </c>
      <c r="J13" s="75">
        <f t="shared" si="0"/>
        <v>0</v>
      </c>
      <c r="K13" s="76"/>
      <c r="L13" s="76"/>
      <c r="M13" s="76" t="e">
        <f t="shared" si="1"/>
        <v>#REF!</v>
      </c>
      <c r="N13" s="76" t="b">
        <f t="shared" si="2"/>
        <v>0</v>
      </c>
      <c r="O13" s="77"/>
      <c r="P13" s="78"/>
      <c r="Q13" s="94" t="e">
        <f t="shared" si="3"/>
        <v>#REF!</v>
      </c>
      <c r="R13" s="79"/>
      <c r="S13" s="78"/>
      <c r="T13" s="94"/>
      <c r="U13" s="79"/>
      <c r="V13" s="78"/>
      <c r="W13" s="94"/>
      <c r="X13" s="79"/>
      <c r="Y13" s="78"/>
      <c r="Z13" s="94"/>
      <c r="AA13" s="79" t="e">
        <f>I13*0.12</f>
        <v>#REF!</v>
      </c>
      <c r="AB13" s="78"/>
      <c r="AC13" s="95"/>
      <c r="AD13" s="79" t="e">
        <f>I13*0.14</f>
        <v>#REF!</v>
      </c>
      <c r="AE13" s="78"/>
      <c r="AF13" s="94">
        <v>4212.8</v>
      </c>
      <c r="AG13" s="79" t="e">
        <f>I13*0.04</f>
        <v>#REF!</v>
      </c>
      <c r="AH13" s="78"/>
      <c r="AI13" s="94"/>
      <c r="AJ13" s="79" t="e">
        <f t="shared" si="4"/>
        <v>#REF!</v>
      </c>
      <c r="AK13" s="78"/>
      <c r="AL13" s="94">
        <v>4061.95</v>
      </c>
      <c r="AM13" s="79" t="e">
        <f t="shared" si="5"/>
        <v>#REF!</v>
      </c>
      <c r="AN13" s="78"/>
      <c r="AO13" s="94">
        <v>4061.95</v>
      </c>
      <c r="AP13" s="79">
        <f t="shared" si="6"/>
        <v>0</v>
      </c>
      <c r="AQ13" s="78"/>
      <c r="AR13" s="94">
        <v>4061.95</v>
      </c>
      <c r="AS13" s="79">
        <f t="shared" si="7"/>
        <v>0</v>
      </c>
      <c r="AT13" s="78"/>
      <c r="AU13" s="94">
        <v>4061.95</v>
      </c>
      <c r="AV13" s="79">
        <f t="shared" si="8"/>
        <v>0</v>
      </c>
      <c r="AW13" s="78"/>
      <c r="AX13" s="94">
        <v>4061.95</v>
      </c>
      <c r="AY13" s="77">
        <f t="shared" si="9"/>
        <v>0</v>
      </c>
      <c r="AZ13" s="78" t="e">
        <f>P13+S13+V13+Y13+AB13+AE13+AH13+AK13+#REF!</f>
        <v>#REF!</v>
      </c>
      <c r="BA13" s="80" t="e">
        <f>Q13+T13+W13+Z13+AC13+AF13+AI13+AL13+#REF!</f>
        <v>#REF!</v>
      </c>
      <c r="BB13" s="64" t="e">
        <f t="shared" si="10"/>
        <v>#REF!</v>
      </c>
    </row>
    <row r="14" spans="1:54" x14ac:dyDescent="0.25">
      <c r="A14" s="74">
        <v>11</v>
      </c>
      <c r="B14" s="74">
        <v>11</v>
      </c>
      <c r="C14" s="105"/>
      <c r="D14" s="65"/>
      <c r="E14" s="3">
        <v>2</v>
      </c>
      <c r="F14" s="6">
        <v>54.42</v>
      </c>
      <c r="G14" s="75"/>
      <c r="H14" s="9">
        <v>1115.96</v>
      </c>
      <c r="I14" s="76" t="e">
        <f>#REF!</f>
        <v>#REF!</v>
      </c>
      <c r="J14" s="75">
        <f t="shared" si="0"/>
        <v>0</v>
      </c>
      <c r="K14" s="81"/>
      <c r="L14" s="76">
        <v>74887.399999999994</v>
      </c>
      <c r="M14" s="76" t="e">
        <f t="shared" si="1"/>
        <v>#REF!</v>
      </c>
      <c r="N14" s="76" t="b">
        <f t="shared" si="2"/>
        <v>1</v>
      </c>
      <c r="O14" s="77"/>
      <c r="P14" s="78"/>
      <c r="Q14" s="94" t="e">
        <f t="shared" si="3"/>
        <v>#REF!</v>
      </c>
      <c r="R14" s="79" t="e">
        <f>I14*0.3</f>
        <v>#REF!</v>
      </c>
      <c r="S14" s="78"/>
      <c r="T14" s="94">
        <v>9027.43</v>
      </c>
      <c r="U14" s="79">
        <f>V14+W14</f>
        <v>16086.57</v>
      </c>
      <c r="V14" s="78">
        <v>3400</v>
      </c>
      <c r="W14" s="94">
        <v>12686.57</v>
      </c>
      <c r="X14" s="79">
        <v>1600</v>
      </c>
      <c r="Y14" s="78">
        <v>1600</v>
      </c>
      <c r="Z14" s="94"/>
      <c r="AA14" s="79">
        <v>3377.43</v>
      </c>
      <c r="AB14" s="78">
        <v>3400</v>
      </c>
      <c r="AC14" s="95"/>
      <c r="AD14" s="79"/>
      <c r="AE14" s="78"/>
      <c r="AF14" s="94"/>
      <c r="AG14" s="79"/>
      <c r="AH14" s="78">
        <f>22</f>
        <v>22</v>
      </c>
      <c r="AI14" s="94"/>
      <c r="AJ14" s="79" t="e">
        <f t="shared" si="4"/>
        <v>#REF!</v>
      </c>
      <c r="AK14" s="78">
        <v>-797.25</v>
      </c>
      <c r="AL14" s="94"/>
      <c r="AM14" s="79" t="e">
        <f t="shared" si="5"/>
        <v>#REF!</v>
      </c>
      <c r="AN14" s="78">
        <v>-797.25</v>
      </c>
      <c r="AO14" s="94"/>
      <c r="AP14" s="79">
        <f t="shared" si="6"/>
        <v>0</v>
      </c>
      <c r="AQ14" s="78">
        <v>-797.25</v>
      </c>
      <c r="AR14" s="94"/>
      <c r="AS14" s="79">
        <f t="shared" si="7"/>
        <v>0</v>
      </c>
      <c r="AT14" s="78">
        <v>-797.25</v>
      </c>
      <c r="AU14" s="94"/>
      <c r="AV14" s="79">
        <f t="shared" si="8"/>
        <v>3400</v>
      </c>
      <c r="AW14" s="78">
        <v>-797.25</v>
      </c>
      <c r="AX14" s="94"/>
      <c r="AY14" s="77">
        <f t="shared" si="9"/>
        <v>0</v>
      </c>
      <c r="AZ14" s="78" t="e">
        <f>P14+S14+V14+Y14+AB14+AE14+AH14+AK14+#REF!</f>
        <v>#REF!</v>
      </c>
      <c r="BA14" s="80" t="e">
        <f>Q14+T14+W14+Z14+AC14+AF14+AI14+AL14+#REF!</f>
        <v>#REF!</v>
      </c>
      <c r="BB14" s="82" t="e">
        <f t="shared" si="10"/>
        <v>#REF!</v>
      </c>
    </row>
    <row r="15" spans="1:54" x14ac:dyDescent="0.25">
      <c r="A15" s="74">
        <v>12</v>
      </c>
      <c r="B15" s="74">
        <v>12</v>
      </c>
      <c r="C15" s="104"/>
      <c r="D15" s="65"/>
      <c r="E15" s="2">
        <v>3</v>
      </c>
      <c r="F15" s="5">
        <v>69.400000000000006</v>
      </c>
      <c r="G15" s="75"/>
      <c r="H15" s="8">
        <v>1007.95</v>
      </c>
      <c r="I15" s="76" t="e">
        <f>#REF!</f>
        <v>#REF!</v>
      </c>
      <c r="J15" s="75">
        <f t="shared" si="0"/>
        <v>0</v>
      </c>
      <c r="K15" s="76"/>
      <c r="L15" s="76">
        <v>71800</v>
      </c>
      <c r="M15" s="76" t="e">
        <f t="shared" si="1"/>
        <v>#REF!</v>
      </c>
      <c r="N15" s="76" t="b">
        <f t="shared" si="2"/>
        <v>1</v>
      </c>
      <c r="O15" s="77"/>
      <c r="P15" s="78"/>
      <c r="Q15" s="94" t="e">
        <f t="shared" si="3"/>
        <v>#REF!</v>
      </c>
      <c r="R15" s="79"/>
      <c r="S15" s="78"/>
      <c r="T15" s="94"/>
      <c r="U15" s="79"/>
      <c r="V15" s="78"/>
      <c r="W15" s="94"/>
      <c r="X15" s="79" t="e">
        <f>I15*0.7</f>
        <v>#REF!</v>
      </c>
      <c r="Y15" s="78"/>
      <c r="Z15" s="94">
        <v>31584.53</v>
      </c>
      <c r="AA15" s="79" t="e">
        <f>I15*0.12</f>
        <v>#REF!</v>
      </c>
      <c r="AB15" s="78"/>
      <c r="AC15" s="95">
        <v>5414.49</v>
      </c>
      <c r="AD15" s="79" t="e">
        <f>I15*0.14</f>
        <v>#REF!</v>
      </c>
      <c r="AE15" s="78"/>
      <c r="AF15" s="94">
        <v>6316.91</v>
      </c>
      <c r="AG15" s="79" t="e">
        <f>I15*0.04</f>
        <v>#REF!</v>
      </c>
      <c r="AH15" s="78"/>
      <c r="AI15" s="94"/>
      <c r="AJ15" s="79" t="e">
        <f t="shared" si="4"/>
        <v>#REF!</v>
      </c>
      <c r="AK15" s="78"/>
      <c r="AL15" s="94">
        <v>732.61</v>
      </c>
      <c r="AM15" s="79" t="e">
        <f t="shared" si="5"/>
        <v>#REF!</v>
      </c>
      <c r="AN15" s="78"/>
      <c r="AO15" s="94">
        <v>732.61</v>
      </c>
      <c r="AP15" s="79">
        <f t="shared" si="6"/>
        <v>0</v>
      </c>
      <c r="AQ15" s="78"/>
      <c r="AR15" s="94">
        <v>732.61</v>
      </c>
      <c r="AS15" s="79">
        <f t="shared" si="7"/>
        <v>0</v>
      </c>
      <c r="AT15" s="78"/>
      <c r="AU15" s="94">
        <v>732.61</v>
      </c>
      <c r="AV15" s="79">
        <f t="shared" si="8"/>
        <v>0</v>
      </c>
      <c r="AW15" s="78"/>
      <c r="AX15" s="94">
        <v>732.61</v>
      </c>
      <c r="AY15" s="77">
        <f t="shared" si="9"/>
        <v>0</v>
      </c>
      <c r="AZ15" s="78" t="e">
        <f>P15+S15+V15+Y15+AB15+AE15+AH15+AK15+#REF!</f>
        <v>#REF!</v>
      </c>
      <c r="BA15" s="80" t="e">
        <f>Q15+T15+W15+Z15+AC15+AF15+AI15+AL15+#REF!</f>
        <v>#REF!</v>
      </c>
      <c r="BB15" s="64" t="e">
        <f t="shared" si="10"/>
        <v>#REF!</v>
      </c>
    </row>
    <row r="16" spans="1:54" x14ac:dyDescent="0.25">
      <c r="A16" s="74">
        <v>13</v>
      </c>
      <c r="B16" s="74">
        <v>13</v>
      </c>
      <c r="C16" s="103"/>
      <c r="D16" s="65"/>
      <c r="E16" s="1">
        <v>1</v>
      </c>
      <c r="F16" s="4">
        <v>46.41</v>
      </c>
      <c r="G16" s="75"/>
      <c r="H16" s="7">
        <v>1115.96</v>
      </c>
      <c r="I16" s="76" t="e">
        <f>#REF!</f>
        <v>#REF!</v>
      </c>
      <c r="J16" s="75">
        <f t="shared" si="0"/>
        <v>0</v>
      </c>
      <c r="K16" s="76"/>
      <c r="L16" s="76"/>
      <c r="M16" s="76" t="e">
        <f t="shared" si="1"/>
        <v>#REF!</v>
      </c>
      <c r="N16" s="76" t="b">
        <f t="shared" si="2"/>
        <v>0</v>
      </c>
      <c r="O16" s="77"/>
      <c r="P16" s="78"/>
      <c r="Q16" s="94" t="e">
        <f t="shared" si="3"/>
        <v>#REF!</v>
      </c>
      <c r="R16" s="79" t="e">
        <f>I16*0.3</f>
        <v>#REF!</v>
      </c>
      <c r="S16" s="78"/>
      <c r="T16" s="94">
        <v>18610.77</v>
      </c>
      <c r="U16" s="79" t="e">
        <f>I16*0.4</f>
        <v>#REF!</v>
      </c>
      <c r="V16" s="78"/>
      <c r="W16" s="94">
        <v>24814.36</v>
      </c>
      <c r="X16" s="79"/>
      <c r="Y16" s="78"/>
      <c r="Z16" s="94"/>
      <c r="AA16" s="79" t="e">
        <f>I16*0.12</f>
        <v>#REF!</v>
      </c>
      <c r="AB16" s="78"/>
      <c r="AC16" s="95">
        <v>7444.31</v>
      </c>
      <c r="AD16" s="79" t="e">
        <f>I16*0.14</f>
        <v>#REF!</v>
      </c>
      <c r="AE16" s="78"/>
      <c r="AF16" s="94">
        <v>8685.0300000000007</v>
      </c>
      <c r="AG16" s="79" t="e">
        <f>I16*0.04</f>
        <v>#REF!</v>
      </c>
      <c r="AH16" s="78"/>
      <c r="AI16" s="94"/>
      <c r="AJ16" s="79" t="e">
        <f t="shared" si="4"/>
        <v>#REF!</v>
      </c>
      <c r="AK16" s="78"/>
      <c r="AL16" s="94">
        <v>1224.43</v>
      </c>
      <c r="AM16" s="79" t="e">
        <f t="shared" si="5"/>
        <v>#REF!</v>
      </c>
      <c r="AN16" s="78"/>
      <c r="AO16" s="94">
        <v>1224.43</v>
      </c>
      <c r="AP16" s="79">
        <f t="shared" si="6"/>
        <v>0</v>
      </c>
      <c r="AQ16" s="78"/>
      <c r="AR16" s="94">
        <v>1224.43</v>
      </c>
      <c r="AS16" s="79">
        <f t="shared" si="7"/>
        <v>0</v>
      </c>
      <c r="AT16" s="78"/>
      <c r="AU16" s="94">
        <v>1224.43</v>
      </c>
      <c r="AV16" s="79">
        <f t="shared" si="8"/>
        <v>0</v>
      </c>
      <c r="AW16" s="78"/>
      <c r="AX16" s="94">
        <v>1224.43</v>
      </c>
      <c r="AY16" s="77">
        <f t="shared" si="9"/>
        <v>0</v>
      </c>
      <c r="AZ16" s="78" t="e">
        <f>P16+S16+V16+Y16+AB16+AE16+AH16+AK16+#REF!</f>
        <v>#REF!</v>
      </c>
      <c r="BA16" s="80" t="e">
        <f>Q16+T16+W16+Z16+AC16+AF16+AI16+AL16+#REF!</f>
        <v>#REF!</v>
      </c>
      <c r="BB16" s="64" t="e">
        <f t="shared" si="10"/>
        <v>#REF!</v>
      </c>
    </row>
    <row r="17" spans="1:54" x14ac:dyDescent="0.25">
      <c r="A17" s="74">
        <v>14</v>
      </c>
      <c r="B17" s="74">
        <v>14</v>
      </c>
      <c r="C17" s="103"/>
      <c r="D17" s="65"/>
      <c r="E17" s="1">
        <v>3</v>
      </c>
      <c r="F17" s="4">
        <v>66.400000000000006</v>
      </c>
      <c r="G17" s="75"/>
      <c r="H17" s="7">
        <v>1115.96</v>
      </c>
      <c r="I17" s="76" t="e">
        <f>#REF!</f>
        <v>#REF!</v>
      </c>
      <c r="J17" s="75">
        <f t="shared" si="0"/>
        <v>0</v>
      </c>
      <c r="K17" s="76"/>
      <c r="L17" s="76"/>
      <c r="M17" s="76" t="e">
        <f t="shared" si="1"/>
        <v>#REF!</v>
      </c>
      <c r="N17" s="76" t="b">
        <f t="shared" si="2"/>
        <v>0</v>
      </c>
      <c r="O17" s="77"/>
      <c r="P17" s="78"/>
      <c r="Q17" s="94" t="e">
        <f t="shared" si="3"/>
        <v>#REF!</v>
      </c>
      <c r="R17" s="79" t="e">
        <f>I17*0.3</f>
        <v>#REF!</v>
      </c>
      <c r="S17" s="78"/>
      <c r="T17" s="94">
        <v>9027.43</v>
      </c>
      <c r="U17" s="79" t="e">
        <f>I17*0.4</f>
        <v>#REF!</v>
      </c>
      <c r="V17" s="78"/>
      <c r="W17" s="94">
        <v>12036.57</v>
      </c>
      <c r="X17" s="79"/>
      <c r="Y17" s="78"/>
      <c r="Z17" s="94"/>
      <c r="AA17" s="79" t="e">
        <f>I17*0.12</f>
        <v>#REF!</v>
      </c>
      <c r="AB17" s="78"/>
      <c r="AC17" s="95">
        <v>3610.97</v>
      </c>
      <c r="AD17" s="79" t="e">
        <f>I17*0.14</f>
        <v>#REF!</v>
      </c>
      <c r="AE17" s="78"/>
      <c r="AF17" s="94">
        <v>4212.8</v>
      </c>
      <c r="AG17" s="79" t="e">
        <f>I17*0.04</f>
        <v>#REF!</v>
      </c>
      <c r="AH17" s="78"/>
      <c r="AI17" s="94"/>
      <c r="AJ17" s="79" t="e">
        <f t="shared" si="4"/>
        <v>#REF!</v>
      </c>
      <c r="AK17" s="78"/>
      <c r="AL17" s="94">
        <v>531.79999999999995</v>
      </c>
      <c r="AM17" s="79" t="e">
        <f t="shared" si="5"/>
        <v>#REF!</v>
      </c>
      <c r="AN17" s="78"/>
      <c r="AO17" s="94">
        <v>531.79999999999995</v>
      </c>
      <c r="AP17" s="79">
        <f t="shared" si="6"/>
        <v>0</v>
      </c>
      <c r="AQ17" s="78"/>
      <c r="AR17" s="94">
        <v>531.79999999999995</v>
      </c>
      <c r="AS17" s="79">
        <f t="shared" si="7"/>
        <v>0</v>
      </c>
      <c r="AT17" s="78"/>
      <c r="AU17" s="94">
        <v>531.79999999999995</v>
      </c>
      <c r="AV17" s="79">
        <f t="shared" si="8"/>
        <v>0</v>
      </c>
      <c r="AW17" s="78"/>
      <c r="AX17" s="94">
        <v>531.79999999999995</v>
      </c>
      <c r="AY17" s="77">
        <f t="shared" si="9"/>
        <v>0</v>
      </c>
      <c r="AZ17" s="78" t="e">
        <f>P17+S17+V17+Y17+AB17+AE17+AH17+AK17+#REF!</f>
        <v>#REF!</v>
      </c>
      <c r="BA17" s="80" t="e">
        <f>Q17+T17+W17+Z17+AC17+AF17+AI17+AL17+#REF!</f>
        <v>#REF!</v>
      </c>
      <c r="BB17" s="64" t="e">
        <f t="shared" si="10"/>
        <v>#REF!</v>
      </c>
    </row>
    <row r="18" spans="1:54" x14ac:dyDescent="0.25">
      <c r="A18" s="74">
        <v>15</v>
      </c>
      <c r="B18" s="74">
        <v>15</v>
      </c>
      <c r="C18" s="103"/>
      <c r="D18" s="65"/>
      <c r="E18" s="1">
        <v>2</v>
      </c>
      <c r="F18" s="4">
        <v>57.2</v>
      </c>
      <c r="G18" s="75"/>
      <c r="H18" s="7">
        <v>1115.96</v>
      </c>
      <c r="I18" s="76" t="e">
        <f>#REF!</f>
        <v>#REF!</v>
      </c>
      <c r="J18" s="75">
        <f t="shared" si="0"/>
        <v>0</v>
      </c>
      <c r="K18" s="81"/>
      <c r="L18" s="76">
        <v>71800</v>
      </c>
      <c r="M18" s="76" t="e">
        <f t="shared" si="1"/>
        <v>#REF!</v>
      </c>
      <c r="N18" s="76" t="b">
        <f t="shared" si="2"/>
        <v>1</v>
      </c>
      <c r="O18" s="77"/>
      <c r="P18" s="78"/>
      <c r="Q18" s="94" t="e">
        <f t="shared" si="3"/>
        <v>#REF!</v>
      </c>
      <c r="R18" s="79" t="e">
        <f>I18*0.3</f>
        <v>#REF!</v>
      </c>
      <c r="S18" s="78"/>
      <c r="T18" s="94">
        <v>9027.43</v>
      </c>
      <c r="U18" s="79">
        <f>V18+W18</f>
        <v>15736.58</v>
      </c>
      <c r="V18" s="78">
        <v>3700.01</v>
      </c>
      <c r="W18" s="94">
        <v>12036.57</v>
      </c>
      <c r="X18" s="79"/>
      <c r="Y18" s="78"/>
      <c r="Z18" s="94"/>
      <c r="AA18" s="79" t="e">
        <f>I18*0.12</f>
        <v>#REF!</v>
      </c>
      <c r="AB18" s="78"/>
      <c r="AC18" s="95">
        <v>3610.97</v>
      </c>
      <c r="AD18" s="79">
        <v>1203.6600000000001</v>
      </c>
      <c r="AE18" s="78"/>
      <c r="AF18" s="94">
        <v>1203.6600000000001</v>
      </c>
      <c r="AG18" s="79" t="e">
        <f>I18*0.04-690.87</f>
        <v>#REF!</v>
      </c>
      <c r="AH18" s="78"/>
      <c r="AI18" s="94"/>
      <c r="AJ18" s="79" t="e">
        <f t="shared" si="4"/>
        <v>#REF!</v>
      </c>
      <c r="AK18" s="78">
        <v>-239.89</v>
      </c>
      <c r="AL18" s="94"/>
      <c r="AM18" s="79" t="e">
        <f t="shared" si="5"/>
        <v>#REF!</v>
      </c>
      <c r="AN18" s="78">
        <v>-239.89</v>
      </c>
      <c r="AO18" s="94"/>
      <c r="AP18" s="79">
        <f t="shared" si="6"/>
        <v>0</v>
      </c>
      <c r="AQ18" s="78">
        <v>-239.89</v>
      </c>
      <c r="AR18" s="94"/>
      <c r="AS18" s="79">
        <f t="shared" si="7"/>
        <v>0</v>
      </c>
      <c r="AT18" s="78">
        <v>-239.89</v>
      </c>
      <c r="AU18" s="94"/>
      <c r="AV18" s="79">
        <f t="shared" si="8"/>
        <v>3700.01</v>
      </c>
      <c r="AW18" s="78">
        <v>-239.89</v>
      </c>
      <c r="AX18" s="94"/>
      <c r="AY18" s="77">
        <f t="shared" si="9"/>
        <v>0</v>
      </c>
      <c r="AZ18" s="78" t="e">
        <f>P18+S18+V18+Y18+AB18+AE18+AH18+AK18+#REF!</f>
        <v>#REF!</v>
      </c>
      <c r="BA18" s="80" t="e">
        <f>Q18+T18+W18+Z18+AC18+AF18+AI18+AL18+#REF!</f>
        <v>#REF!</v>
      </c>
      <c r="BB18" s="82" t="e">
        <f t="shared" si="10"/>
        <v>#REF!</v>
      </c>
    </row>
    <row r="19" spans="1:54" x14ac:dyDescent="0.25">
      <c r="A19" s="74">
        <v>16</v>
      </c>
      <c r="B19" s="74">
        <v>16</v>
      </c>
      <c r="C19" s="103"/>
      <c r="D19" s="65"/>
      <c r="E19" s="1">
        <v>1</v>
      </c>
      <c r="F19" s="4">
        <v>40.44</v>
      </c>
      <c r="G19" s="75"/>
      <c r="H19" s="7">
        <v>1115.96</v>
      </c>
      <c r="I19" s="76" t="e">
        <f>#REF!</f>
        <v>#REF!</v>
      </c>
      <c r="J19" s="75">
        <f t="shared" si="0"/>
        <v>0</v>
      </c>
      <c r="K19" s="76"/>
      <c r="L19" s="76"/>
      <c r="M19" s="76" t="e">
        <f t="shared" si="1"/>
        <v>#REF!</v>
      </c>
      <c r="N19" s="76" t="b">
        <f t="shared" si="2"/>
        <v>0</v>
      </c>
      <c r="O19" s="77"/>
      <c r="P19" s="78"/>
      <c r="Q19" s="94" t="e">
        <f t="shared" si="3"/>
        <v>#REF!</v>
      </c>
      <c r="R19" s="79"/>
      <c r="S19" s="78"/>
      <c r="T19" s="94"/>
      <c r="U19" s="79"/>
      <c r="V19" s="78"/>
      <c r="W19" s="94"/>
      <c r="X19" s="79"/>
      <c r="Y19" s="78"/>
      <c r="Z19" s="94"/>
      <c r="AA19" s="79"/>
      <c r="AB19" s="78"/>
      <c r="AC19" s="95"/>
      <c r="AD19" s="83" t="e">
        <f>I19*0.96</f>
        <v>#REF!</v>
      </c>
      <c r="AE19" s="78"/>
      <c r="AF19" s="94">
        <v>43315.92</v>
      </c>
      <c r="AG19" s="79" t="e">
        <f>I19*0.04</f>
        <v>#REF!</v>
      </c>
      <c r="AH19" s="78"/>
      <c r="AI19" s="94"/>
      <c r="AJ19" s="79" t="e">
        <f t="shared" si="4"/>
        <v>#REF!</v>
      </c>
      <c r="AK19" s="78"/>
      <c r="AL19" s="94">
        <v>651.79</v>
      </c>
      <c r="AM19" s="79" t="e">
        <f t="shared" si="5"/>
        <v>#REF!</v>
      </c>
      <c r="AN19" s="78"/>
      <c r="AO19" s="94">
        <v>651.79</v>
      </c>
      <c r="AP19" s="79">
        <f t="shared" si="6"/>
        <v>0</v>
      </c>
      <c r="AQ19" s="78"/>
      <c r="AR19" s="94">
        <v>651.79</v>
      </c>
      <c r="AS19" s="79">
        <f t="shared" si="7"/>
        <v>0</v>
      </c>
      <c r="AT19" s="78"/>
      <c r="AU19" s="94">
        <v>651.79</v>
      </c>
      <c r="AV19" s="79">
        <f t="shared" si="8"/>
        <v>0</v>
      </c>
      <c r="AW19" s="78"/>
      <c r="AX19" s="94">
        <v>651.79</v>
      </c>
      <c r="AY19" s="77">
        <f t="shared" si="9"/>
        <v>0</v>
      </c>
      <c r="AZ19" s="78" t="e">
        <f>P19+S19+V19+Y19+AB19+AE19+AH19+AK19+#REF!</f>
        <v>#REF!</v>
      </c>
      <c r="BA19" s="80" t="e">
        <f>Q19+T19+W19+Z19+AC19+AF19+AI19+AL19+#REF!</f>
        <v>#REF!</v>
      </c>
      <c r="BB19" s="64" t="e">
        <f t="shared" si="10"/>
        <v>#REF!</v>
      </c>
    </row>
    <row r="20" spans="1:54" x14ac:dyDescent="0.25">
      <c r="A20" s="74">
        <v>17</v>
      </c>
      <c r="B20" s="74">
        <v>17</v>
      </c>
      <c r="C20" s="103"/>
      <c r="D20" s="65"/>
      <c r="E20" s="1">
        <v>2</v>
      </c>
      <c r="F20" s="4">
        <v>54.42</v>
      </c>
      <c r="G20" s="75"/>
      <c r="H20" s="7">
        <v>1115.96</v>
      </c>
      <c r="I20" s="76" t="e">
        <f>#REF!</f>
        <v>#REF!</v>
      </c>
      <c r="J20" s="75">
        <f t="shared" si="0"/>
        <v>0</v>
      </c>
      <c r="K20" s="76"/>
      <c r="L20" s="76">
        <v>54015.14</v>
      </c>
      <c r="M20" s="76" t="e">
        <f t="shared" si="1"/>
        <v>#REF!</v>
      </c>
      <c r="N20" s="76" t="b">
        <f t="shared" si="2"/>
        <v>1</v>
      </c>
      <c r="O20" s="77"/>
      <c r="P20" s="78"/>
      <c r="Q20" s="94" t="e">
        <f t="shared" si="3"/>
        <v>#REF!</v>
      </c>
      <c r="R20" s="79"/>
      <c r="S20" s="78"/>
      <c r="T20" s="94"/>
      <c r="U20" s="79"/>
      <c r="V20" s="78"/>
      <c r="W20" s="94"/>
      <c r="X20" s="79"/>
      <c r="Y20" s="78"/>
      <c r="Z20" s="94"/>
      <c r="AA20" s="79" t="e">
        <f>I20*0.12</f>
        <v>#REF!</v>
      </c>
      <c r="AB20" s="78"/>
      <c r="AC20" s="95">
        <v>7444.31</v>
      </c>
      <c r="AD20" s="79" t="e">
        <f>I20*0.14</f>
        <v>#REF!</v>
      </c>
      <c r="AE20" s="78"/>
      <c r="AF20" s="94">
        <v>8685.0300000000007</v>
      </c>
      <c r="AG20" s="79" t="e">
        <f>I20*0.04</f>
        <v>#REF!</v>
      </c>
      <c r="AH20" s="78"/>
      <c r="AI20" s="94"/>
      <c r="AJ20" s="79" t="e">
        <f t="shared" si="4"/>
        <v>#REF!</v>
      </c>
      <c r="AK20" s="78"/>
      <c r="AL20" s="94">
        <v>1224.43</v>
      </c>
      <c r="AM20" s="79" t="e">
        <f t="shared" si="5"/>
        <v>#REF!</v>
      </c>
      <c r="AN20" s="78"/>
      <c r="AO20" s="94">
        <v>1224.43</v>
      </c>
      <c r="AP20" s="79">
        <f t="shared" si="6"/>
        <v>0</v>
      </c>
      <c r="AQ20" s="78"/>
      <c r="AR20" s="94">
        <v>1224.43</v>
      </c>
      <c r="AS20" s="79">
        <f t="shared" si="7"/>
        <v>0</v>
      </c>
      <c r="AT20" s="78"/>
      <c r="AU20" s="94">
        <v>1224.43</v>
      </c>
      <c r="AV20" s="79">
        <f t="shared" si="8"/>
        <v>0</v>
      </c>
      <c r="AW20" s="78"/>
      <c r="AX20" s="94">
        <v>1224.43</v>
      </c>
      <c r="AY20" s="77">
        <f t="shared" si="9"/>
        <v>0</v>
      </c>
      <c r="AZ20" s="78" t="e">
        <f>P20+S20+V20+Y20+AB20+AE20+AH20+AK20+#REF!</f>
        <v>#REF!</v>
      </c>
      <c r="BA20" s="80" t="e">
        <f>Q20+T20+W20+Z20+AC20+AF20+AI20+AL20+#REF!</f>
        <v>#REF!</v>
      </c>
      <c r="BB20" s="64" t="e">
        <f t="shared" si="10"/>
        <v>#REF!</v>
      </c>
    </row>
    <row r="21" spans="1:54" x14ac:dyDescent="0.25">
      <c r="A21" s="74">
        <v>18</v>
      </c>
      <c r="B21" s="74">
        <v>18</v>
      </c>
      <c r="C21" s="103"/>
      <c r="D21" s="65"/>
      <c r="E21" s="1">
        <v>3</v>
      </c>
      <c r="F21" s="4">
        <v>69.400000000000006</v>
      </c>
      <c r="G21" s="75"/>
      <c r="H21" s="7">
        <v>1115.96</v>
      </c>
      <c r="I21" s="76" t="e">
        <f>#REF!</f>
        <v>#REF!</v>
      </c>
      <c r="J21" s="75">
        <f t="shared" si="0"/>
        <v>0</v>
      </c>
      <c r="K21" s="76"/>
      <c r="L21" s="76">
        <v>86160</v>
      </c>
      <c r="M21" s="76" t="e">
        <f t="shared" si="1"/>
        <v>#REF!</v>
      </c>
      <c r="N21" s="76" t="b">
        <f t="shared" si="2"/>
        <v>1</v>
      </c>
      <c r="O21" s="77"/>
      <c r="P21" s="78"/>
      <c r="Q21" s="94" t="e">
        <f t="shared" si="3"/>
        <v>#REF!</v>
      </c>
      <c r="R21" s="79"/>
      <c r="S21" s="78"/>
      <c r="T21" s="94"/>
      <c r="U21" s="79"/>
      <c r="V21" s="78"/>
      <c r="W21" s="94"/>
      <c r="X21" s="79"/>
      <c r="Y21" s="78"/>
      <c r="Z21" s="94"/>
      <c r="AA21" s="79" t="e">
        <f>I21*0.12</f>
        <v>#REF!</v>
      </c>
      <c r="AB21" s="78"/>
      <c r="AC21" s="95">
        <v>3610.97</v>
      </c>
      <c r="AD21" s="79" t="e">
        <f>I21*0.14</f>
        <v>#REF!</v>
      </c>
      <c r="AE21" s="78"/>
      <c r="AF21" s="94">
        <v>4212.8</v>
      </c>
      <c r="AG21" s="79" t="e">
        <f>I21*0.04</f>
        <v>#REF!</v>
      </c>
      <c r="AH21" s="78"/>
      <c r="AI21" s="94"/>
      <c r="AJ21" s="79" t="e">
        <f t="shared" si="4"/>
        <v>#REF!</v>
      </c>
      <c r="AK21" s="78"/>
      <c r="AL21" s="94">
        <v>531.79999999999995</v>
      </c>
      <c r="AM21" s="79" t="e">
        <f t="shared" si="5"/>
        <v>#REF!</v>
      </c>
      <c r="AN21" s="78"/>
      <c r="AO21" s="94">
        <v>531.79999999999995</v>
      </c>
      <c r="AP21" s="79">
        <f t="shared" si="6"/>
        <v>0</v>
      </c>
      <c r="AQ21" s="78"/>
      <c r="AR21" s="94">
        <v>531.79999999999995</v>
      </c>
      <c r="AS21" s="79">
        <f t="shared" si="7"/>
        <v>0</v>
      </c>
      <c r="AT21" s="78"/>
      <c r="AU21" s="94">
        <v>531.79999999999995</v>
      </c>
      <c r="AV21" s="79">
        <f t="shared" si="8"/>
        <v>0</v>
      </c>
      <c r="AW21" s="78"/>
      <c r="AX21" s="94">
        <v>531.79999999999995</v>
      </c>
      <c r="AY21" s="77">
        <f t="shared" si="9"/>
        <v>0</v>
      </c>
      <c r="AZ21" s="78" t="e">
        <f>P21+S21+V21+Y21+AB21+AE21+AH21+AK21+#REF!</f>
        <v>#REF!</v>
      </c>
      <c r="BA21" s="80" t="e">
        <f>Q21+T21+W21+Z21+AC21+AF21+AI21+AL21+#REF!</f>
        <v>#REF!</v>
      </c>
      <c r="BB21" s="64" t="e">
        <f t="shared" si="10"/>
        <v>#REF!</v>
      </c>
    </row>
    <row r="22" spans="1:54" x14ac:dyDescent="0.25">
      <c r="A22" s="74">
        <v>19</v>
      </c>
      <c r="B22" s="74">
        <v>19</v>
      </c>
      <c r="C22" s="103"/>
      <c r="D22" s="65"/>
      <c r="E22" s="1">
        <v>1</v>
      </c>
      <c r="F22" s="4">
        <v>46.41</v>
      </c>
      <c r="G22" s="75"/>
      <c r="H22" s="7">
        <v>1115.96</v>
      </c>
      <c r="I22" s="76" t="e">
        <f>#REF!</f>
        <v>#REF!</v>
      </c>
      <c r="J22" s="75">
        <f t="shared" si="0"/>
        <v>0</v>
      </c>
      <c r="K22" s="85"/>
      <c r="L22" s="76"/>
      <c r="M22" s="76" t="e">
        <f t="shared" si="1"/>
        <v>#REF!</v>
      </c>
      <c r="N22" s="76" t="b">
        <f t="shared" si="2"/>
        <v>0</v>
      </c>
      <c r="O22" s="77"/>
      <c r="P22" s="78"/>
      <c r="Q22" s="94" t="e">
        <f t="shared" si="3"/>
        <v>#REF!</v>
      </c>
      <c r="R22" s="79"/>
      <c r="S22" s="78"/>
      <c r="T22" s="94"/>
      <c r="U22" s="79"/>
      <c r="V22" s="78"/>
      <c r="W22" s="94"/>
      <c r="X22" s="77"/>
      <c r="Y22" s="78"/>
      <c r="Z22" s="94"/>
      <c r="AA22" s="79" t="e">
        <f>I22*0.82</f>
        <v>#REF!</v>
      </c>
      <c r="AB22" s="78"/>
      <c r="AC22" s="95">
        <v>24674.97</v>
      </c>
      <c r="AD22" s="79" t="e">
        <f>I22*0.14</f>
        <v>#REF!</v>
      </c>
      <c r="AE22" s="78"/>
      <c r="AF22" s="94">
        <v>4212.8</v>
      </c>
      <c r="AG22" s="79" t="e">
        <f>I22*0.04</f>
        <v>#REF!</v>
      </c>
      <c r="AH22" s="78"/>
      <c r="AI22" s="94"/>
      <c r="AJ22" s="79" t="e">
        <f t="shared" si="4"/>
        <v>#REF!</v>
      </c>
      <c r="AK22" s="78"/>
      <c r="AL22" s="94">
        <v>612.63</v>
      </c>
      <c r="AM22" s="79" t="e">
        <f t="shared" si="5"/>
        <v>#REF!</v>
      </c>
      <c r="AN22" s="78"/>
      <c r="AO22" s="94">
        <v>612.63</v>
      </c>
      <c r="AP22" s="79">
        <f t="shared" si="6"/>
        <v>0</v>
      </c>
      <c r="AQ22" s="78"/>
      <c r="AR22" s="94">
        <v>612.63</v>
      </c>
      <c r="AS22" s="79">
        <f t="shared" si="7"/>
        <v>0</v>
      </c>
      <c r="AT22" s="78"/>
      <c r="AU22" s="94">
        <v>612.63</v>
      </c>
      <c r="AV22" s="79">
        <f t="shared" si="8"/>
        <v>0</v>
      </c>
      <c r="AW22" s="78"/>
      <c r="AX22" s="94">
        <v>612.63</v>
      </c>
      <c r="AY22" s="77">
        <f t="shared" si="9"/>
        <v>0</v>
      </c>
      <c r="AZ22" s="78" t="e">
        <f>P22+S22+V22+Y22+AB22+AE22+AH22+AK22+#REF!</f>
        <v>#REF!</v>
      </c>
      <c r="BA22" s="80" t="e">
        <f>Q22+T22+W22+Z22+AC22+AF22+AI22+AL22+#REF!</f>
        <v>#REF!</v>
      </c>
      <c r="BB22" s="64" t="e">
        <f t="shared" si="10"/>
        <v>#REF!</v>
      </c>
    </row>
    <row r="23" spans="1:54" x14ac:dyDescent="0.25">
      <c r="A23" s="74">
        <v>20</v>
      </c>
      <c r="B23" s="74">
        <v>20</v>
      </c>
      <c r="C23" s="103"/>
      <c r="D23" s="65"/>
      <c r="E23" s="1">
        <v>3</v>
      </c>
      <c r="F23" s="4">
        <v>66.400000000000006</v>
      </c>
      <c r="G23" s="75"/>
      <c r="H23" s="7">
        <v>1115.96</v>
      </c>
      <c r="I23" s="76" t="e">
        <f>#REF!</f>
        <v>#REF!</v>
      </c>
      <c r="J23" s="75">
        <f t="shared" si="0"/>
        <v>0</v>
      </c>
      <c r="K23" s="85"/>
      <c r="L23" s="76"/>
      <c r="M23" s="76" t="e">
        <f t="shared" si="1"/>
        <v>#REF!</v>
      </c>
      <c r="N23" s="76" t="b">
        <f t="shared" si="2"/>
        <v>0</v>
      </c>
      <c r="O23" s="77"/>
      <c r="P23" s="78"/>
      <c r="Q23" s="94" t="e">
        <f t="shared" si="3"/>
        <v>#REF!</v>
      </c>
      <c r="R23" s="79"/>
      <c r="S23" s="78"/>
      <c r="T23" s="94"/>
      <c r="U23" s="79"/>
      <c r="V23" s="78"/>
      <c r="W23" s="94"/>
      <c r="X23" s="77"/>
      <c r="Y23" s="78"/>
      <c r="Z23" s="94"/>
      <c r="AA23" s="79" t="e">
        <f>I23*0.82</f>
        <v>#REF!</v>
      </c>
      <c r="AB23" s="78"/>
      <c r="AC23" s="95">
        <v>36999.019999999997</v>
      </c>
      <c r="AD23" s="79" t="e">
        <f>I23*0.14</f>
        <v>#REF!</v>
      </c>
      <c r="AE23" s="78"/>
      <c r="AF23" s="94">
        <v>6316.91</v>
      </c>
      <c r="AG23" s="79" t="e">
        <f>I23*0.04</f>
        <v>#REF!</v>
      </c>
      <c r="AH23" s="78"/>
      <c r="AI23" s="94"/>
      <c r="AJ23" s="79" t="e">
        <f t="shared" si="4"/>
        <v>#REF!</v>
      </c>
      <c r="AK23" s="78"/>
      <c r="AL23" s="94">
        <v>651.78</v>
      </c>
      <c r="AM23" s="79" t="e">
        <f t="shared" si="5"/>
        <v>#REF!</v>
      </c>
      <c r="AN23" s="78"/>
      <c r="AO23" s="94">
        <v>651.78</v>
      </c>
      <c r="AP23" s="79">
        <f t="shared" si="6"/>
        <v>0</v>
      </c>
      <c r="AQ23" s="78"/>
      <c r="AR23" s="94">
        <v>651.78</v>
      </c>
      <c r="AS23" s="79">
        <f t="shared" si="7"/>
        <v>0</v>
      </c>
      <c r="AT23" s="78"/>
      <c r="AU23" s="94">
        <v>651.78</v>
      </c>
      <c r="AV23" s="79">
        <f t="shared" si="8"/>
        <v>0</v>
      </c>
      <c r="AW23" s="78"/>
      <c r="AX23" s="94">
        <v>651.78</v>
      </c>
      <c r="AY23" s="77">
        <f t="shared" si="9"/>
        <v>0</v>
      </c>
      <c r="AZ23" s="78" t="e">
        <f>P23+S23+V23+Y23+AB23+AE23+AH23+AK23+#REF!</f>
        <v>#REF!</v>
      </c>
      <c r="BA23" s="80" t="e">
        <f>Q23+T23+W23+Z23+AC23+AF23+AI23+AL23+#REF!</f>
        <v>#REF!</v>
      </c>
      <c r="BB23" s="64" t="e">
        <f t="shared" si="10"/>
        <v>#REF!</v>
      </c>
    </row>
    <row r="24" spans="1:54" x14ac:dyDescent="0.25">
      <c r="A24" s="74">
        <v>21</v>
      </c>
      <c r="B24" s="74">
        <v>21</v>
      </c>
      <c r="C24" s="103"/>
      <c r="D24" s="65"/>
      <c r="E24" s="1">
        <v>2</v>
      </c>
      <c r="F24" s="4">
        <v>57.2</v>
      </c>
      <c r="G24" s="75"/>
      <c r="H24" s="7">
        <v>1115.96</v>
      </c>
      <c r="I24" s="76" t="e">
        <f>#REF!</f>
        <v>#REF!</v>
      </c>
      <c r="J24" s="75">
        <f t="shared" si="0"/>
        <v>0</v>
      </c>
      <c r="K24" s="81"/>
      <c r="L24" s="76"/>
      <c r="M24" s="76" t="e">
        <f t="shared" si="1"/>
        <v>#REF!</v>
      </c>
      <c r="N24" s="76" t="b">
        <f t="shared" si="2"/>
        <v>0</v>
      </c>
      <c r="O24" s="77"/>
      <c r="P24" s="78"/>
      <c r="Q24" s="94" t="e">
        <f t="shared" si="3"/>
        <v>#REF!</v>
      </c>
      <c r="R24" s="79"/>
      <c r="S24" s="78"/>
      <c r="T24" s="94"/>
      <c r="U24" s="79"/>
      <c r="V24" s="78"/>
      <c r="W24" s="94"/>
      <c r="X24" s="79"/>
      <c r="Y24" s="78"/>
      <c r="Z24" s="94"/>
      <c r="AA24" s="79"/>
      <c r="AB24" s="78"/>
      <c r="AC24" s="95"/>
      <c r="AD24" s="77">
        <v>34980</v>
      </c>
      <c r="AE24" s="78"/>
      <c r="AF24" s="94">
        <v>34980</v>
      </c>
      <c r="AG24" s="79">
        <v>12231.57</v>
      </c>
      <c r="AH24" s="78">
        <f>6100+5500</f>
        <v>11600</v>
      </c>
      <c r="AI24" s="94"/>
      <c r="AJ24" s="79" t="e">
        <f t="shared" si="4"/>
        <v>#REF!</v>
      </c>
      <c r="AK24" s="78">
        <v>-510.89</v>
      </c>
      <c r="AL24" s="94"/>
      <c r="AM24" s="79" t="e">
        <f t="shared" si="5"/>
        <v>#REF!</v>
      </c>
      <c r="AN24" s="78">
        <v>-510.89</v>
      </c>
      <c r="AO24" s="94"/>
      <c r="AP24" s="79">
        <f t="shared" si="6"/>
        <v>0</v>
      </c>
      <c r="AQ24" s="78">
        <v>-510.89</v>
      </c>
      <c r="AR24" s="94"/>
      <c r="AS24" s="79">
        <f t="shared" si="7"/>
        <v>0</v>
      </c>
      <c r="AT24" s="78">
        <v>-510.89</v>
      </c>
      <c r="AU24" s="94"/>
      <c r="AV24" s="79">
        <f t="shared" si="8"/>
        <v>0</v>
      </c>
      <c r="AW24" s="78">
        <v>-510.89</v>
      </c>
      <c r="AX24" s="94"/>
      <c r="AY24" s="77">
        <f t="shared" si="9"/>
        <v>0</v>
      </c>
      <c r="AZ24" s="78" t="e">
        <f>P24+S24+V24+Y24+AB24+AE24+AH24+AK24+#REF!</f>
        <v>#REF!</v>
      </c>
      <c r="BA24" s="80" t="e">
        <f>Q24+T24+W24+Z24+AC24+AF24+AI24+AL24+#REF!</f>
        <v>#REF!</v>
      </c>
      <c r="BB24" s="82" t="e">
        <f t="shared" si="10"/>
        <v>#REF!</v>
      </c>
    </row>
    <row r="25" spans="1:54" x14ac:dyDescent="0.25">
      <c r="A25" s="74">
        <v>22</v>
      </c>
      <c r="B25" s="74">
        <v>22</v>
      </c>
      <c r="C25" s="104"/>
      <c r="D25" s="65"/>
      <c r="E25" s="2">
        <v>1</v>
      </c>
      <c r="F25" s="5">
        <v>40.44</v>
      </c>
      <c r="G25" s="75"/>
      <c r="H25" s="8">
        <v>1007.95</v>
      </c>
      <c r="I25" s="76" t="e">
        <f>#REF!</f>
        <v>#REF!</v>
      </c>
      <c r="J25" s="75">
        <f t="shared" si="0"/>
        <v>0</v>
      </c>
      <c r="K25" s="76"/>
      <c r="L25" s="76">
        <v>40762.49</v>
      </c>
      <c r="M25" s="76" t="e">
        <f>IF((L25-I25)&gt;0,(L25-I25)&gt;0)</f>
        <v>#REF!</v>
      </c>
      <c r="N25" s="76" t="b">
        <f t="shared" si="2"/>
        <v>1</v>
      </c>
      <c r="O25" s="77"/>
      <c r="P25" s="78"/>
      <c r="Q25" s="94" t="e">
        <f t="shared" si="3"/>
        <v>#REF!</v>
      </c>
      <c r="R25" s="79" t="e">
        <f>I25*0.3</f>
        <v>#REF!</v>
      </c>
      <c r="S25" s="78"/>
      <c r="T25" s="94">
        <v>9027.43</v>
      </c>
      <c r="U25" s="79" t="e">
        <f>I25*0.4</f>
        <v>#REF!</v>
      </c>
      <c r="V25" s="78">
        <v>105</v>
      </c>
      <c r="W25" s="94">
        <v>12036.57</v>
      </c>
      <c r="X25" s="79"/>
      <c r="Y25" s="78"/>
      <c r="Z25" s="94"/>
      <c r="AA25" s="79" t="e">
        <f>I25*0.12</f>
        <v>#REF!</v>
      </c>
      <c r="AB25" s="78"/>
      <c r="AC25" s="95">
        <v>3610.97</v>
      </c>
      <c r="AD25" s="79" t="e">
        <f>I25*0.14</f>
        <v>#REF!</v>
      </c>
      <c r="AE25" s="78"/>
      <c r="AF25" s="94">
        <v>4212.8</v>
      </c>
      <c r="AG25" s="79" t="e">
        <f>I25*0.04</f>
        <v>#REF!</v>
      </c>
      <c r="AH25" s="78"/>
      <c r="AI25" s="94"/>
      <c r="AJ25" s="79" t="e">
        <f t="shared" si="4"/>
        <v>#REF!</v>
      </c>
      <c r="AK25" s="78"/>
      <c r="AL25" s="94">
        <v>345.98</v>
      </c>
      <c r="AM25" s="79" t="e">
        <f t="shared" si="5"/>
        <v>#REF!</v>
      </c>
      <c r="AN25" s="78"/>
      <c r="AO25" s="94">
        <v>345.98</v>
      </c>
      <c r="AP25" s="79">
        <f t="shared" si="6"/>
        <v>0</v>
      </c>
      <c r="AQ25" s="78"/>
      <c r="AR25" s="94">
        <v>345.98</v>
      </c>
      <c r="AS25" s="79">
        <f t="shared" si="7"/>
        <v>0</v>
      </c>
      <c r="AT25" s="78"/>
      <c r="AU25" s="94">
        <v>345.98</v>
      </c>
      <c r="AV25" s="79">
        <f t="shared" si="8"/>
        <v>105</v>
      </c>
      <c r="AW25" s="78"/>
      <c r="AX25" s="94">
        <v>345.98</v>
      </c>
      <c r="AY25" s="77">
        <f t="shared" si="9"/>
        <v>0</v>
      </c>
      <c r="AZ25" s="78" t="e">
        <f>P25+S25+V25+Y25+AB25+AE25+AH25+AK25+#REF!</f>
        <v>#REF!</v>
      </c>
      <c r="BA25" s="80" t="e">
        <f>Q25+T25+W25+Z25+AC25+AF25+AI25+AL25+#REF!</f>
        <v>#REF!</v>
      </c>
      <c r="BB25" s="64" t="e">
        <f t="shared" si="10"/>
        <v>#REF!</v>
      </c>
    </row>
    <row r="26" spans="1:54" x14ac:dyDescent="0.25">
      <c r="A26" s="74">
        <v>23</v>
      </c>
      <c r="B26" s="74">
        <v>23</v>
      </c>
      <c r="C26" s="103"/>
      <c r="D26" s="65"/>
      <c r="E26" s="1">
        <v>2</v>
      </c>
      <c r="F26" s="4">
        <v>54.42</v>
      </c>
      <c r="G26" s="75"/>
      <c r="H26" s="7">
        <v>1115.96</v>
      </c>
      <c r="I26" s="76" t="e">
        <f>#REF!</f>
        <v>#REF!</v>
      </c>
      <c r="J26" s="75">
        <f t="shared" si="0"/>
        <v>0</v>
      </c>
      <c r="K26" s="76"/>
      <c r="L26" s="76"/>
      <c r="M26" s="76" t="e">
        <f t="shared" si="1"/>
        <v>#REF!</v>
      </c>
      <c r="N26" s="76" t="b">
        <f t="shared" si="2"/>
        <v>0</v>
      </c>
      <c r="O26" s="77"/>
      <c r="P26" s="78"/>
      <c r="Q26" s="94" t="e">
        <f t="shared" si="3"/>
        <v>#REF!</v>
      </c>
      <c r="R26" s="79"/>
      <c r="S26" s="78"/>
      <c r="T26" s="94"/>
      <c r="U26" s="79"/>
      <c r="V26" s="78"/>
      <c r="W26" s="94"/>
      <c r="X26" s="79"/>
      <c r="Y26" s="78"/>
      <c r="Z26" s="94"/>
      <c r="AA26" s="79" t="e">
        <f>I26*0.12</f>
        <v>#REF!</v>
      </c>
      <c r="AB26" s="78"/>
      <c r="AC26" s="95">
        <v>3610.97</v>
      </c>
      <c r="AD26" s="79" t="e">
        <f>I26*0.14</f>
        <v>#REF!</v>
      </c>
      <c r="AE26" s="86">
        <v>360.02</v>
      </c>
      <c r="AF26" s="94">
        <v>4212.8</v>
      </c>
      <c r="AG26" s="79" t="e">
        <f>I26*0.04</f>
        <v>#REF!</v>
      </c>
      <c r="AH26" s="78"/>
      <c r="AI26" s="94"/>
      <c r="AJ26" s="79" t="e">
        <f t="shared" si="4"/>
        <v>#REF!</v>
      </c>
      <c r="AK26" s="78"/>
      <c r="AL26" s="94">
        <v>171.78</v>
      </c>
      <c r="AM26" s="79" t="e">
        <f t="shared" si="5"/>
        <v>#REF!</v>
      </c>
      <c r="AN26" s="78"/>
      <c r="AO26" s="94">
        <v>171.78</v>
      </c>
      <c r="AP26" s="79">
        <f t="shared" si="6"/>
        <v>0</v>
      </c>
      <c r="AQ26" s="78"/>
      <c r="AR26" s="94">
        <v>171.78</v>
      </c>
      <c r="AS26" s="79">
        <f t="shared" si="7"/>
        <v>0</v>
      </c>
      <c r="AT26" s="78"/>
      <c r="AU26" s="94">
        <v>171.78</v>
      </c>
      <c r="AV26" s="79">
        <f t="shared" si="8"/>
        <v>0</v>
      </c>
      <c r="AW26" s="78"/>
      <c r="AX26" s="94">
        <v>171.78</v>
      </c>
      <c r="AY26" s="77">
        <f t="shared" si="9"/>
        <v>0</v>
      </c>
      <c r="AZ26" s="78" t="e">
        <f>P26+S26+V26+Y26+AB26+AE26+AH26+AK26+#REF!</f>
        <v>#REF!</v>
      </c>
      <c r="BA26" s="80" t="e">
        <f>Q26+T26+W26+Z26+AC26+AF26+AI26+AL26+#REF!</f>
        <v>#REF!</v>
      </c>
      <c r="BB26" s="64" t="e">
        <f t="shared" si="10"/>
        <v>#REF!</v>
      </c>
    </row>
    <row r="27" spans="1:54" x14ac:dyDescent="0.25">
      <c r="A27" s="74">
        <v>24</v>
      </c>
      <c r="B27" s="74">
        <v>24</v>
      </c>
      <c r="C27" s="104"/>
      <c r="D27" s="65"/>
      <c r="E27" s="2">
        <v>3</v>
      </c>
      <c r="F27" s="5">
        <v>69.400000000000006</v>
      </c>
      <c r="G27" s="75"/>
      <c r="H27" s="8">
        <v>1007.95</v>
      </c>
      <c r="I27" s="76" t="e">
        <f>#REF!</f>
        <v>#REF!</v>
      </c>
      <c r="J27" s="75">
        <f t="shared" si="0"/>
        <v>0</v>
      </c>
      <c r="K27" s="76"/>
      <c r="L27" s="76">
        <f>114800-L25</f>
        <v>74037.510000000009</v>
      </c>
      <c r="M27" s="76" t="e">
        <f t="shared" si="1"/>
        <v>#REF!</v>
      </c>
      <c r="N27" s="76" t="b">
        <f t="shared" si="2"/>
        <v>1</v>
      </c>
      <c r="O27" s="77"/>
      <c r="P27" s="78"/>
      <c r="Q27" s="94" t="e">
        <f t="shared" si="3"/>
        <v>#REF!</v>
      </c>
      <c r="R27" s="79">
        <v>1800</v>
      </c>
      <c r="S27" s="86">
        <v>1800</v>
      </c>
      <c r="T27" s="94"/>
      <c r="U27" s="79">
        <v>2100</v>
      </c>
      <c r="V27" s="86">
        <v>2100</v>
      </c>
      <c r="W27" s="94"/>
      <c r="X27" s="79">
        <v>2100</v>
      </c>
      <c r="Y27" s="86">
        <v>2100</v>
      </c>
      <c r="Z27" s="94"/>
      <c r="AA27" s="79"/>
      <c r="AB27" s="86">
        <v>1500</v>
      </c>
      <c r="AC27" s="95"/>
      <c r="AD27" s="79">
        <v>4433.09</v>
      </c>
      <c r="AE27" s="86">
        <v>639.98</v>
      </c>
      <c r="AF27" s="94">
        <v>4433.09</v>
      </c>
      <c r="AG27" s="79">
        <v>3056.4</v>
      </c>
      <c r="AH27" s="86">
        <v>500</v>
      </c>
      <c r="AI27" s="94"/>
      <c r="AJ27" s="79" t="e">
        <f t="shared" si="4"/>
        <v>#REF!</v>
      </c>
      <c r="AK27" s="78"/>
      <c r="AL27" s="94"/>
      <c r="AM27" s="79" t="e">
        <f t="shared" si="5"/>
        <v>#REF!</v>
      </c>
      <c r="AN27" s="78"/>
      <c r="AO27" s="94"/>
      <c r="AP27" s="79">
        <f t="shared" si="6"/>
        <v>0</v>
      </c>
      <c r="AQ27" s="78"/>
      <c r="AR27" s="94"/>
      <c r="AS27" s="79">
        <f t="shared" si="7"/>
        <v>1800</v>
      </c>
      <c r="AT27" s="78"/>
      <c r="AU27" s="94"/>
      <c r="AV27" s="79">
        <f t="shared" si="8"/>
        <v>2100</v>
      </c>
      <c r="AW27" s="78"/>
      <c r="AX27" s="94"/>
      <c r="AY27" s="77">
        <f t="shared" si="9"/>
        <v>0</v>
      </c>
      <c r="AZ27" s="78" t="e">
        <f>P27+S27+V27+Y27+AB27+AE27+AH27+AK27+#REF!</f>
        <v>#REF!</v>
      </c>
      <c r="BA27" s="80" t="e">
        <f>Q27+T27+W27+Z27+AC27+AF27+AI27+AL27+#REF!</f>
        <v>#REF!</v>
      </c>
      <c r="BB27" s="64" t="e">
        <f t="shared" si="10"/>
        <v>#REF!</v>
      </c>
    </row>
    <row r="28" spans="1:54" x14ac:dyDescent="0.25">
      <c r="A28" s="74">
        <v>25</v>
      </c>
      <c r="B28" s="74">
        <v>25</v>
      </c>
      <c r="C28" s="103"/>
      <c r="D28" s="65"/>
      <c r="E28" s="1">
        <v>1</v>
      </c>
      <c r="F28" s="4">
        <v>46.41</v>
      </c>
      <c r="G28" s="75"/>
      <c r="H28" s="7">
        <v>1115.96</v>
      </c>
      <c r="I28" s="76" t="e">
        <f>#REF!</f>
        <v>#REF!</v>
      </c>
      <c r="J28" s="75">
        <f t="shared" si="0"/>
        <v>0</v>
      </c>
      <c r="K28" s="76"/>
      <c r="L28" s="76"/>
      <c r="M28" s="76" t="e">
        <f t="shared" si="1"/>
        <v>#REF!</v>
      </c>
      <c r="N28" s="76" t="b">
        <f t="shared" si="2"/>
        <v>0</v>
      </c>
      <c r="O28" s="77"/>
      <c r="P28" s="78"/>
      <c r="Q28" s="94" t="e">
        <f t="shared" si="3"/>
        <v>#REF!</v>
      </c>
      <c r="R28" s="79"/>
      <c r="S28" s="78"/>
      <c r="T28" s="94"/>
      <c r="U28" s="79"/>
      <c r="V28" s="78"/>
      <c r="W28" s="94"/>
      <c r="X28" s="79"/>
      <c r="Y28" s="78"/>
      <c r="Z28" s="94"/>
      <c r="AA28" s="79" t="e">
        <f>I28*0.12</f>
        <v>#REF!</v>
      </c>
      <c r="AB28" s="78"/>
      <c r="AC28" s="95">
        <v>7463</v>
      </c>
      <c r="AD28" s="79" t="e">
        <f>I28*0.14</f>
        <v>#REF!</v>
      </c>
      <c r="AE28" s="78"/>
      <c r="AF28" s="94">
        <v>8706.84</v>
      </c>
      <c r="AG28" s="79" t="e">
        <f>I28*0.04</f>
        <v>#REF!</v>
      </c>
      <c r="AH28" s="78"/>
      <c r="AI28" s="94"/>
      <c r="AJ28" s="79" t="e">
        <f t="shared" si="4"/>
        <v>#REF!</v>
      </c>
      <c r="AK28" s="78"/>
      <c r="AL28" s="94">
        <v>1155.7</v>
      </c>
      <c r="AM28" s="79" t="e">
        <f t="shared" si="5"/>
        <v>#REF!</v>
      </c>
      <c r="AN28" s="78"/>
      <c r="AO28" s="94">
        <v>1155.7</v>
      </c>
      <c r="AP28" s="79">
        <f t="shared" si="6"/>
        <v>0</v>
      </c>
      <c r="AQ28" s="78"/>
      <c r="AR28" s="94">
        <v>1155.7</v>
      </c>
      <c r="AS28" s="79">
        <f t="shared" si="7"/>
        <v>0</v>
      </c>
      <c r="AT28" s="78"/>
      <c r="AU28" s="94">
        <v>1155.7</v>
      </c>
      <c r="AV28" s="79">
        <f t="shared" si="8"/>
        <v>0</v>
      </c>
      <c r="AW28" s="78"/>
      <c r="AX28" s="94">
        <v>1155.7</v>
      </c>
      <c r="AY28" s="77">
        <f t="shared" si="9"/>
        <v>0</v>
      </c>
      <c r="AZ28" s="78" t="e">
        <f>P28+S28+V28+Y28+AB28+AE28+AH28+AK28+#REF!</f>
        <v>#REF!</v>
      </c>
      <c r="BA28" s="80" t="e">
        <f>Q28+T28+W28+Z28+AC28+AF28+AI28+AL28+#REF!</f>
        <v>#REF!</v>
      </c>
      <c r="BB28" s="64" t="e">
        <f t="shared" si="10"/>
        <v>#REF!</v>
      </c>
    </row>
    <row r="29" spans="1:54" x14ac:dyDescent="0.25">
      <c r="A29" s="74">
        <v>26</v>
      </c>
      <c r="B29" s="74">
        <v>26</v>
      </c>
      <c r="C29" s="111"/>
      <c r="D29" s="112"/>
      <c r="E29" s="1">
        <v>3</v>
      </c>
      <c r="F29" s="4">
        <v>66.400000000000006</v>
      </c>
      <c r="G29" s="75"/>
      <c r="H29" s="7">
        <v>1115.96</v>
      </c>
      <c r="I29" s="76" t="e">
        <f>#REF!</f>
        <v>#REF!</v>
      </c>
      <c r="J29" s="75">
        <f t="shared" si="0"/>
        <v>0</v>
      </c>
      <c r="K29" s="76"/>
      <c r="L29" s="76"/>
      <c r="M29" s="76" t="e">
        <f t="shared" si="1"/>
        <v>#REF!</v>
      </c>
      <c r="N29" s="76" t="b">
        <f t="shared" si="2"/>
        <v>0</v>
      </c>
      <c r="O29" s="77"/>
      <c r="P29" s="78"/>
      <c r="Q29" s="94" t="e">
        <f t="shared" si="3"/>
        <v>#REF!</v>
      </c>
      <c r="R29" s="79"/>
      <c r="S29" s="78"/>
      <c r="T29" s="94"/>
      <c r="U29" s="79"/>
      <c r="V29" s="78"/>
      <c r="W29" s="94"/>
      <c r="X29" s="79"/>
      <c r="Y29" s="78"/>
      <c r="Z29" s="94"/>
      <c r="AA29" s="79" t="e">
        <f>I29*0.12</f>
        <v>#REF!</v>
      </c>
      <c r="AB29" s="78"/>
      <c r="AC29" s="95">
        <v>3610.97</v>
      </c>
      <c r="AD29" s="79" t="e">
        <f>I29*0.14</f>
        <v>#REF!</v>
      </c>
      <c r="AE29" s="78"/>
      <c r="AF29" s="94">
        <v>4212.8</v>
      </c>
      <c r="AG29" s="79" t="e">
        <f>I29*0.04</f>
        <v>#REF!</v>
      </c>
      <c r="AH29" s="78"/>
      <c r="AI29" s="94"/>
      <c r="AJ29" s="79" t="e">
        <f t="shared" si="4"/>
        <v>#REF!</v>
      </c>
      <c r="AK29" s="78"/>
      <c r="AL29" s="94">
        <v>531.79999999999995</v>
      </c>
      <c r="AM29" s="79" t="e">
        <f t="shared" si="5"/>
        <v>#REF!</v>
      </c>
      <c r="AN29" s="78"/>
      <c r="AO29" s="94">
        <v>531.79999999999995</v>
      </c>
      <c r="AP29" s="79">
        <f t="shared" si="6"/>
        <v>0</v>
      </c>
      <c r="AQ29" s="78"/>
      <c r="AR29" s="94">
        <v>531.79999999999995</v>
      </c>
      <c r="AS29" s="79">
        <f t="shared" si="7"/>
        <v>0</v>
      </c>
      <c r="AT29" s="78"/>
      <c r="AU29" s="94">
        <v>531.79999999999995</v>
      </c>
      <c r="AV29" s="79">
        <f t="shared" si="8"/>
        <v>0</v>
      </c>
      <c r="AW29" s="78"/>
      <c r="AX29" s="94">
        <v>531.79999999999995</v>
      </c>
      <c r="AY29" s="77">
        <f t="shared" si="9"/>
        <v>0</v>
      </c>
      <c r="AZ29" s="78" t="e">
        <f>P29+S29+V29+Y29+AB29+AE29+AH29+AK29+#REF!</f>
        <v>#REF!</v>
      </c>
      <c r="BA29" s="80" t="e">
        <f>Q29+T29+W29+Z29+AC29+AF29+AI29+AL29+#REF!</f>
        <v>#REF!</v>
      </c>
      <c r="BB29" s="64" t="e">
        <f t="shared" si="10"/>
        <v>#REF!</v>
      </c>
    </row>
    <row r="30" spans="1:54" x14ac:dyDescent="0.25">
      <c r="A30" s="74">
        <v>27</v>
      </c>
      <c r="B30" s="74">
        <v>27</v>
      </c>
      <c r="C30" s="111"/>
      <c r="D30" s="112"/>
      <c r="E30" s="1">
        <v>2</v>
      </c>
      <c r="F30" s="4">
        <v>57.2</v>
      </c>
      <c r="G30" s="75"/>
      <c r="H30" s="7">
        <v>1115.96</v>
      </c>
      <c r="I30" s="76" t="e">
        <f>#REF!</f>
        <v>#REF!</v>
      </c>
      <c r="J30" s="75">
        <f t="shared" si="0"/>
        <v>0</v>
      </c>
      <c r="K30" s="76"/>
      <c r="L30" s="76"/>
      <c r="M30" s="76" t="e">
        <f t="shared" si="1"/>
        <v>#REF!</v>
      </c>
      <c r="N30" s="76" t="b">
        <f t="shared" si="2"/>
        <v>0</v>
      </c>
      <c r="O30" s="77"/>
      <c r="P30" s="78"/>
      <c r="Q30" s="94" t="e">
        <f t="shared" si="3"/>
        <v>#REF!</v>
      </c>
      <c r="R30" s="79" t="e">
        <f>I30*0.3</f>
        <v>#REF!</v>
      </c>
      <c r="S30" s="78"/>
      <c r="T30" s="94">
        <v>9027.43</v>
      </c>
      <c r="U30" s="79" t="e">
        <f>I30*0.4</f>
        <v>#REF!</v>
      </c>
      <c r="V30" s="78"/>
      <c r="W30" s="94">
        <v>12036.57</v>
      </c>
      <c r="X30" s="79"/>
      <c r="Y30" s="78"/>
      <c r="Z30" s="94"/>
      <c r="AA30" s="79" t="e">
        <f>I30*0.12</f>
        <v>#REF!</v>
      </c>
      <c r="AB30" s="78"/>
      <c r="AC30" s="95">
        <v>3610.97</v>
      </c>
      <c r="AD30" s="79" t="e">
        <f>I30*0.14</f>
        <v>#REF!</v>
      </c>
      <c r="AE30" s="78"/>
      <c r="AF30" s="94">
        <v>4212.8</v>
      </c>
      <c r="AG30" s="79" t="e">
        <f>I30*0.04</f>
        <v>#REF!</v>
      </c>
      <c r="AH30" s="78"/>
      <c r="AI30" s="94"/>
      <c r="AJ30" s="79" t="e">
        <f t="shared" si="4"/>
        <v>#REF!</v>
      </c>
      <c r="AK30" s="78"/>
      <c r="AL30" s="94">
        <v>370.16</v>
      </c>
      <c r="AM30" s="79" t="e">
        <f t="shared" si="5"/>
        <v>#REF!</v>
      </c>
      <c r="AN30" s="78"/>
      <c r="AO30" s="94">
        <v>370.16</v>
      </c>
      <c r="AP30" s="79">
        <f t="shared" si="6"/>
        <v>0</v>
      </c>
      <c r="AQ30" s="78"/>
      <c r="AR30" s="94">
        <v>370.16</v>
      </c>
      <c r="AS30" s="79">
        <f t="shared" si="7"/>
        <v>0</v>
      </c>
      <c r="AT30" s="78"/>
      <c r="AU30" s="94">
        <v>370.16</v>
      </c>
      <c r="AV30" s="79">
        <f t="shared" si="8"/>
        <v>0</v>
      </c>
      <c r="AW30" s="78"/>
      <c r="AX30" s="94">
        <v>370.16</v>
      </c>
      <c r="AY30" s="77">
        <f t="shared" si="9"/>
        <v>0</v>
      </c>
      <c r="AZ30" s="78" t="e">
        <f>P30+S30+V30+Y30+AB30+AE30+AH30+AK30+#REF!</f>
        <v>#REF!</v>
      </c>
      <c r="BA30" s="80" t="e">
        <f>Q30+T30+W30+Z30+AC30+AF30+AI30+AL30+#REF!</f>
        <v>#REF!</v>
      </c>
      <c r="BB30" s="64" t="e">
        <f t="shared" si="10"/>
        <v>#REF!</v>
      </c>
    </row>
    <row r="31" spans="1:54" x14ac:dyDescent="0.25">
      <c r="A31" s="74">
        <v>28</v>
      </c>
      <c r="B31" s="74">
        <v>28</v>
      </c>
      <c r="C31" s="103"/>
      <c r="D31" s="65"/>
      <c r="E31" s="1">
        <v>1</v>
      </c>
      <c r="F31" s="4">
        <v>40.44</v>
      </c>
      <c r="G31" s="75"/>
      <c r="H31" s="7">
        <v>1115.96</v>
      </c>
      <c r="I31" s="76" t="e">
        <f>#REF!</f>
        <v>#REF!</v>
      </c>
      <c r="J31" s="75">
        <f t="shared" si="0"/>
        <v>0</v>
      </c>
      <c r="K31" s="76"/>
      <c r="L31" s="76"/>
      <c r="M31" s="76" t="e">
        <f t="shared" si="1"/>
        <v>#REF!</v>
      </c>
      <c r="N31" s="76" t="b">
        <f t="shared" si="2"/>
        <v>0</v>
      </c>
      <c r="O31" s="77"/>
      <c r="P31" s="78"/>
      <c r="Q31" s="94" t="e">
        <f t="shared" si="3"/>
        <v>#REF!</v>
      </c>
      <c r="R31" s="79" t="e">
        <f>I31*0.3</f>
        <v>#REF!</v>
      </c>
      <c r="S31" s="78">
        <v>1800</v>
      </c>
      <c r="T31" s="94">
        <v>13489.49</v>
      </c>
      <c r="U31" s="79" t="e">
        <f>I31*0.4</f>
        <v>#REF!</v>
      </c>
      <c r="V31" s="78">
        <v>1800</v>
      </c>
      <c r="W31" s="94">
        <v>17985.98</v>
      </c>
      <c r="X31" s="79">
        <v>1800</v>
      </c>
      <c r="Y31" s="78">
        <v>1800</v>
      </c>
      <c r="Z31" s="94"/>
      <c r="AA31" s="79"/>
      <c r="AB31" s="78"/>
      <c r="AC31" s="95"/>
      <c r="AD31" s="79">
        <v>4433.09</v>
      </c>
      <c r="AE31" s="78">
        <v>1700</v>
      </c>
      <c r="AF31" s="94">
        <v>4433.09</v>
      </c>
      <c r="AG31" s="79">
        <v>7256.4</v>
      </c>
      <c r="AH31" s="78">
        <v>1000</v>
      </c>
      <c r="AI31" s="94"/>
      <c r="AJ31" s="79" t="e">
        <f t="shared" si="4"/>
        <v>#REF!</v>
      </c>
      <c r="AK31" s="78">
        <v>44.82</v>
      </c>
      <c r="AL31" s="94">
        <v>833.51</v>
      </c>
      <c r="AM31" s="79" t="e">
        <f t="shared" si="5"/>
        <v>#REF!</v>
      </c>
      <c r="AN31" s="78">
        <v>44.82</v>
      </c>
      <c r="AO31" s="94">
        <v>833.51</v>
      </c>
      <c r="AP31" s="79">
        <f t="shared" si="6"/>
        <v>0</v>
      </c>
      <c r="AQ31" s="78">
        <v>44.82</v>
      </c>
      <c r="AR31" s="94">
        <v>833.51</v>
      </c>
      <c r="AS31" s="79">
        <f t="shared" si="7"/>
        <v>1800</v>
      </c>
      <c r="AT31" s="78">
        <v>44.82</v>
      </c>
      <c r="AU31" s="94">
        <v>833.51</v>
      </c>
      <c r="AV31" s="79">
        <f t="shared" si="8"/>
        <v>1800</v>
      </c>
      <c r="AW31" s="78">
        <v>44.82</v>
      </c>
      <c r="AX31" s="94">
        <v>833.51</v>
      </c>
      <c r="AY31" s="77">
        <f t="shared" si="9"/>
        <v>0</v>
      </c>
      <c r="AZ31" s="78" t="e">
        <f>P31+S31+V31+Y31+AB31+AE31+AH31+AK31+#REF!</f>
        <v>#REF!</v>
      </c>
      <c r="BA31" s="80" t="e">
        <f>Q31+T31+W31+Z31+AC31+AF31+AI31+AL31+#REF!</f>
        <v>#REF!</v>
      </c>
      <c r="BB31" s="64" t="e">
        <f t="shared" si="10"/>
        <v>#REF!</v>
      </c>
    </row>
    <row r="32" spans="1:54" x14ac:dyDescent="0.25">
      <c r="A32" s="74">
        <v>29</v>
      </c>
      <c r="B32" s="74">
        <v>29</v>
      </c>
      <c r="C32" s="111"/>
      <c r="D32" s="112"/>
      <c r="E32" s="1">
        <v>2</v>
      </c>
      <c r="F32" s="4">
        <v>54.42</v>
      </c>
      <c r="G32" s="75"/>
      <c r="H32" s="7">
        <v>1115.96</v>
      </c>
      <c r="I32" s="76" t="e">
        <f>#REF!</f>
        <v>#REF!</v>
      </c>
      <c r="J32" s="75">
        <f t="shared" si="0"/>
        <v>0</v>
      </c>
      <c r="K32" s="76"/>
      <c r="L32" s="76"/>
      <c r="M32" s="76" t="e">
        <f t="shared" si="1"/>
        <v>#REF!</v>
      </c>
      <c r="N32" s="76" t="b">
        <f t="shared" si="2"/>
        <v>0</v>
      </c>
      <c r="O32" s="77"/>
      <c r="P32" s="78"/>
      <c r="Q32" s="94" t="e">
        <f t="shared" si="3"/>
        <v>#REF!</v>
      </c>
      <c r="R32" s="79"/>
      <c r="S32" s="78"/>
      <c r="T32" s="94"/>
      <c r="U32" s="79"/>
      <c r="V32" s="78"/>
      <c r="W32" s="94"/>
      <c r="X32" s="77"/>
      <c r="Y32" s="78"/>
      <c r="Z32" s="94"/>
      <c r="AA32" s="77"/>
      <c r="AB32" s="78"/>
      <c r="AC32" s="95"/>
      <c r="AD32" s="79" t="e">
        <f>I32*0.96</f>
        <v>#REF!</v>
      </c>
      <c r="AE32" s="78"/>
      <c r="AF32" s="94">
        <v>59704.02</v>
      </c>
      <c r="AG32" s="79" t="e">
        <f t="shared" ref="AG32:AG33" si="11">I32*0.04</f>
        <v>#REF!</v>
      </c>
      <c r="AH32" s="78"/>
      <c r="AI32" s="94"/>
      <c r="AJ32" s="79" t="e">
        <f t="shared" si="4"/>
        <v>#REF!</v>
      </c>
      <c r="AK32" s="78"/>
      <c r="AL32" s="94">
        <v>1155.7</v>
      </c>
      <c r="AM32" s="79" t="e">
        <f t="shared" si="5"/>
        <v>#REF!</v>
      </c>
      <c r="AN32" s="78"/>
      <c r="AO32" s="94">
        <v>1155.7</v>
      </c>
      <c r="AP32" s="79">
        <f t="shared" si="6"/>
        <v>0</v>
      </c>
      <c r="AQ32" s="78"/>
      <c r="AR32" s="94">
        <v>1155.7</v>
      </c>
      <c r="AS32" s="79">
        <f t="shared" si="7"/>
        <v>0</v>
      </c>
      <c r="AT32" s="78"/>
      <c r="AU32" s="94">
        <v>1155.7</v>
      </c>
      <c r="AV32" s="79">
        <f t="shared" si="8"/>
        <v>0</v>
      </c>
      <c r="AW32" s="78"/>
      <c r="AX32" s="94">
        <v>1155.7</v>
      </c>
      <c r="AY32" s="77">
        <f t="shared" si="9"/>
        <v>0</v>
      </c>
      <c r="AZ32" s="78" t="e">
        <f>P32+S32+V32+Y32+AB32+AE32+AH32+AK32+#REF!</f>
        <v>#REF!</v>
      </c>
      <c r="BA32" s="80" t="e">
        <f>Q32+T32+W32+Z32+AC32+AF32+AI32+AL32+#REF!</f>
        <v>#REF!</v>
      </c>
      <c r="BB32" s="64" t="e">
        <f t="shared" si="10"/>
        <v>#REF!</v>
      </c>
    </row>
    <row r="33" spans="1:55" x14ac:dyDescent="0.25">
      <c r="A33" s="74">
        <v>30</v>
      </c>
      <c r="B33" s="74">
        <v>30</v>
      </c>
      <c r="C33" s="103"/>
      <c r="D33" s="65"/>
      <c r="E33" s="1">
        <v>3</v>
      </c>
      <c r="F33" s="4">
        <v>69.400000000000006</v>
      </c>
      <c r="G33" s="75"/>
      <c r="H33" s="7">
        <v>1115.96</v>
      </c>
      <c r="I33" s="76" t="e">
        <f>#REF!</f>
        <v>#REF!</v>
      </c>
      <c r="J33" s="75">
        <f t="shared" si="0"/>
        <v>0</v>
      </c>
      <c r="K33" s="76"/>
      <c r="L33" s="76"/>
      <c r="M33" s="76" t="e">
        <f t="shared" si="1"/>
        <v>#REF!</v>
      </c>
      <c r="N33" s="76" t="b">
        <f t="shared" si="2"/>
        <v>0</v>
      </c>
      <c r="O33" s="77"/>
      <c r="P33" s="78"/>
      <c r="Q33" s="94" t="e">
        <f>ROUND(I33*0.6,2)</f>
        <v>#REF!</v>
      </c>
      <c r="R33" s="79"/>
      <c r="S33" s="78"/>
      <c r="T33" s="94"/>
      <c r="U33" s="79"/>
      <c r="V33" s="78"/>
      <c r="W33" s="94"/>
      <c r="X33" s="79"/>
      <c r="Y33" s="78"/>
      <c r="Z33" s="94"/>
      <c r="AA33" s="79" t="e">
        <f>I33*0.12</f>
        <v>#REF!</v>
      </c>
      <c r="AB33" s="78"/>
      <c r="AC33" s="95">
        <v>3610.97</v>
      </c>
      <c r="AD33" s="79" t="e">
        <f>I33*0.14</f>
        <v>#REF!</v>
      </c>
      <c r="AE33" s="78"/>
      <c r="AF33" s="94">
        <v>4212.8</v>
      </c>
      <c r="AG33" s="79" t="e">
        <f t="shared" si="11"/>
        <v>#REF!</v>
      </c>
      <c r="AH33" s="78"/>
      <c r="AI33" s="94"/>
      <c r="AJ33" s="79" t="e">
        <f t="shared" si="4"/>
        <v>#REF!</v>
      </c>
      <c r="AK33" s="78"/>
      <c r="AL33" s="94">
        <v>612.63</v>
      </c>
      <c r="AM33" s="79" t="e">
        <f t="shared" si="5"/>
        <v>#REF!</v>
      </c>
      <c r="AN33" s="78"/>
      <c r="AO33" s="94">
        <v>612.63</v>
      </c>
      <c r="AP33" s="79">
        <f t="shared" si="6"/>
        <v>0</v>
      </c>
      <c r="AQ33" s="78"/>
      <c r="AR33" s="94">
        <v>612.63</v>
      </c>
      <c r="AS33" s="79">
        <f t="shared" si="7"/>
        <v>0</v>
      </c>
      <c r="AT33" s="78"/>
      <c r="AU33" s="94">
        <v>612.63</v>
      </c>
      <c r="AV33" s="79">
        <f t="shared" si="8"/>
        <v>0</v>
      </c>
      <c r="AW33" s="78"/>
      <c r="AX33" s="94">
        <v>612.63</v>
      </c>
      <c r="AY33" s="77">
        <f t="shared" si="9"/>
        <v>0</v>
      </c>
      <c r="AZ33" s="78" t="e">
        <f>P33+S33+V33+Y33+AB33+AE33+AH33+AK33+#REF!</f>
        <v>#REF!</v>
      </c>
      <c r="BA33" s="80" t="e">
        <f>Q33+T33+W33+Z33+AC33+AF33+AI33+AL33+#REF!</f>
        <v>#REF!</v>
      </c>
      <c r="BB33" s="64" t="e">
        <f t="shared" si="10"/>
        <v>#REF!</v>
      </c>
    </row>
    <row r="34" spans="1:55" x14ac:dyDescent="0.25">
      <c r="A34" s="74">
        <v>31</v>
      </c>
      <c r="B34" s="74">
        <v>31</v>
      </c>
      <c r="C34" s="84"/>
      <c r="D34" s="65"/>
      <c r="E34" s="65"/>
      <c r="F34" s="12"/>
      <c r="G34" s="75"/>
      <c r="H34" s="75"/>
      <c r="I34" s="76"/>
      <c r="J34" s="75"/>
      <c r="K34" s="76"/>
      <c r="L34" s="76"/>
      <c r="M34" s="76"/>
      <c r="N34" s="76"/>
      <c r="O34" s="77"/>
      <c r="P34" s="78"/>
      <c r="Q34" s="94"/>
      <c r="R34" s="79"/>
      <c r="S34" s="78"/>
      <c r="T34" s="94"/>
      <c r="U34" s="79"/>
      <c r="V34" s="78"/>
      <c r="W34" s="94"/>
      <c r="X34" s="79"/>
      <c r="Y34" s="78"/>
      <c r="Z34" s="94"/>
      <c r="AA34" s="79"/>
      <c r="AB34" s="78"/>
      <c r="AC34" s="95"/>
      <c r="AD34" s="79"/>
      <c r="AE34" s="78"/>
      <c r="AF34" s="94"/>
      <c r="AG34" s="79"/>
      <c r="AH34" s="78"/>
      <c r="AI34" s="94"/>
      <c r="AJ34" s="79"/>
      <c r="AK34" s="78"/>
      <c r="AL34" s="94"/>
      <c r="AM34" s="79"/>
      <c r="AN34" s="78"/>
      <c r="AO34" s="94"/>
      <c r="AP34" s="79"/>
      <c r="AQ34" s="78"/>
      <c r="AR34" s="94"/>
      <c r="AS34" s="79"/>
      <c r="AT34" s="78"/>
      <c r="AU34" s="94"/>
      <c r="AV34" s="79"/>
      <c r="AW34" s="78"/>
      <c r="AX34" s="94"/>
      <c r="AY34" s="77"/>
      <c r="AZ34" s="78"/>
      <c r="BA34" s="80"/>
      <c r="BB34" s="64">
        <f t="shared" si="10"/>
        <v>0</v>
      </c>
    </row>
    <row r="35" spans="1:55" x14ac:dyDescent="0.25">
      <c r="A35" s="74">
        <v>32</v>
      </c>
      <c r="B35" s="74">
        <v>32</v>
      </c>
      <c r="C35" s="84"/>
      <c r="D35" s="65"/>
      <c r="E35" s="65"/>
      <c r="F35" s="12"/>
      <c r="G35" s="75"/>
      <c r="H35" s="75"/>
      <c r="I35" s="76"/>
      <c r="J35" s="75"/>
      <c r="K35" s="76"/>
      <c r="L35" s="76"/>
      <c r="M35" s="76"/>
      <c r="N35" s="76"/>
      <c r="O35" s="77"/>
      <c r="P35" s="78"/>
      <c r="Q35" s="94"/>
      <c r="R35" s="79"/>
      <c r="S35" s="78"/>
      <c r="T35" s="94"/>
      <c r="U35" s="79"/>
      <c r="V35" s="78"/>
      <c r="W35" s="94"/>
      <c r="X35" s="79"/>
      <c r="Y35" s="78"/>
      <c r="Z35" s="94"/>
      <c r="AA35" s="79"/>
      <c r="AB35" s="78"/>
      <c r="AC35" s="95"/>
      <c r="AD35" s="79"/>
      <c r="AE35" s="78"/>
      <c r="AF35" s="94"/>
      <c r="AG35" s="79"/>
      <c r="AH35" s="78"/>
      <c r="AI35" s="94"/>
      <c r="AJ35" s="79"/>
      <c r="AK35" s="78"/>
      <c r="AL35" s="94"/>
      <c r="AM35" s="79"/>
      <c r="AN35" s="78"/>
      <c r="AO35" s="94"/>
      <c r="AP35" s="79"/>
      <c r="AQ35" s="78"/>
      <c r="AR35" s="94"/>
      <c r="AS35" s="79"/>
      <c r="AT35" s="78"/>
      <c r="AU35" s="94"/>
      <c r="AV35" s="79"/>
      <c r="AW35" s="78"/>
      <c r="AX35" s="94"/>
      <c r="AY35" s="77"/>
      <c r="AZ35" s="78"/>
      <c r="BA35" s="80"/>
      <c r="BB35" s="64">
        <f t="shared" si="10"/>
        <v>0</v>
      </c>
    </row>
    <row r="36" spans="1:55" x14ac:dyDescent="0.25">
      <c r="A36" s="74">
        <v>33</v>
      </c>
      <c r="B36" s="74">
        <v>33</v>
      </c>
      <c r="C36" s="84"/>
      <c r="D36" s="65"/>
      <c r="E36" s="65"/>
      <c r="F36" s="12"/>
      <c r="G36" s="75"/>
      <c r="H36" s="75"/>
      <c r="I36" s="76"/>
      <c r="J36" s="75"/>
      <c r="K36" s="76"/>
      <c r="L36" s="76"/>
      <c r="M36" s="76"/>
      <c r="N36" s="76"/>
      <c r="O36" s="77"/>
      <c r="P36" s="78"/>
      <c r="Q36" s="94"/>
      <c r="R36" s="79"/>
      <c r="S36" s="78"/>
      <c r="T36" s="94"/>
      <c r="U36" s="79"/>
      <c r="V36" s="78"/>
      <c r="W36" s="94"/>
      <c r="X36" s="79"/>
      <c r="Y36" s="78"/>
      <c r="Z36" s="94"/>
      <c r="AA36" s="83"/>
      <c r="AB36" s="78"/>
      <c r="AC36" s="95"/>
      <c r="AD36" s="79"/>
      <c r="AE36" s="78"/>
      <c r="AF36" s="94"/>
      <c r="AG36" s="79"/>
      <c r="AH36" s="78"/>
      <c r="AI36" s="94"/>
      <c r="AJ36" s="79"/>
      <c r="AK36" s="78"/>
      <c r="AL36" s="94"/>
      <c r="AM36" s="79"/>
      <c r="AN36" s="78"/>
      <c r="AO36" s="94"/>
      <c r="AP36" s="79"/>
      <c r="AQ36" s="78"/>
      <c r="AR36" s="94"/>
      <c r="AS36" s="79"/>
      <c r="AT36" s="78"/>
      <c r="AU36" s="94"/>
      <c r="AV36" s="79"/>
      <c r="AW36" s="78"/>
      <c r="AX36" s="94"/>
      <c r="AY36" s="77"/>
      <c r="AZ36" s="78"/>
      <c r="BA36" s="80"/>
      <c r="BB36" s="64">
        <f t="shared" si="10"/>
        <v>0</v>
      </c>
    </row>
    <row r="37" spans="1:55" x14ac:dyDescent="0.25">
      <c r="A37" s="74">
        <v>34</v>
      </c>
      <c r="B37" s="74">
        <v>34</v>
      </c>
      <c r="C37" s="84"/>
      <c r="D37" s="65"/>
      <c r="E37" s="65"/>
      <c r="F37" s="12"/>
      <c r="G37" s="75"/>
      <c r="H37" s="75"/>
      <c r="I37" s="76"/>
      <c r="J37" s="75"/>
      <c r="K37" s="76"/>
      <c r="L37" s="76"/>
      <c r="M37" s="76"/>
      <c r="N37" s="76"/>
      <c r="O37" s="77"/>
      <c r="P37" s="78"/>
      <c r="Q37" s="94"/>
      <c r="R37" s="79"/>
      <c r="S37" s="78"/>
      <c r="T37" s="94"/>
      <c r="U37" s="79"/>
      <c r="V37" s="78"/>
      <c r="W37" s="94"/>
      <c r="X37" s="79"/>
      <c r="Y37" s="78"/>
      <c r="Z37" s="94"/>
      <c r="AA37" s="79"/>
      <c r="AB37" s="78"/>
      <c r="AC37" s="95"/>
      <c r="AD37" s="77"/>
      <c r="AE37" s="78"/>
      <c r="AF37" s="94"/>
      <c r="AG37" s="79"/>
      <c r="AH37" s="78"/>
      <c r="AI37" s="94"/>
      <c r="AJ37" s="79"/>
      <c r="AK37" s="78"/>
      <c r="AL37" s="94"/>
      <c r="AM37" s="79"/>
      <c r="AN37" s="78"/>
      <c r="AO37" s="94"/>
      <c r="AP37" s="79"/>
      <c r="AQ37" s="78"/>
      <c r="AR37" s="94"/>
      <c r="AS37" s="79"/>
      <c r="AT37" s="78"/>
      <c r="AU37" s="94"/>
      <c r="AV37" s="79"/>
      <c r="AW37" s="78"/>
      <c r="AX37" s="94"/>
      <c r="AY37" s="77"/>
      <c r="AZ37" s="78"/>
      <c r="BA37" s="80"/>
      <c r="BB37" s="64">
        <f t="shared" si="10"/>
        <v>0</v>
      </c>
    </row>
    <row r="38" spans="1:55" x14ac:dyDescent="0.25">
      <c r="A38" s="74">
        <v>35</v>
      </c>
      <c r="B38" s="74">
        <v>35</v>
      </c>
      <c r="C38" s="84"/>
      <c r="D38" s="65"/>
      <c r="E38" s="65"/>
      <c r="F38" s="12"/>
      <c r="G38" s="75"/>
      <c r="H38" s="75"/>
      <c r="I38" s="76"/>
      <c r="J38" s="75"/>
      <c r="K38" s="76"/>
      <c r="L38" s="76"/>
      <c r="M38" s="76"/>
      <c r="N38" s="76"/>
      <c r="O38" s="77"/>
      <c r="P38" s="78"/>
      <c r="Q38" s="94"/>
      <c r="R38" s="79"/>
      <c r="S38" s="78"/>
      <c r="T38" s="94"/>
      <c r="U38" s="79"/>
      <c r="V38" s="78"/>
      <c r="W38" s="94"/>
      <c r="X38" s="79"/>
      <c r="Y38" s="78"/>
      <c r="Z38" s="94"/>
      <c r="AA38" s="79"/>
      <c r="AB38" s="78"/>
      <c r="AC38" s="95"/>
      <c r="AD38" s="83"/>
      <c r="AE38" s="78"/>
      <c r="AF38" s="94"/>
      <c r="AG38" s="79"/>
      <c r="AH38" s="78"/>
      <c r="AI38" s="94"/>
      <c r="AJ38" s="79"/>
      <c r="AK38" s="78"/>
      <c r="AL38" s="96"/>
      <c r="AM38" s="79"/>
      <c r="AN38" s="78"/>
      <c r="AO38" s="96"/>
      <c r="AP38" s="79"/>
      <c r="AQ38" s="78"/>
      <c r="AR38" s="96"/>
      <c r="AS38" s="79"/>
      <c r="AT38" s="78"/>
      <c r="AU38" s="96"/>
      <c r="AV38" s="79"/>
      <c r="AW38" s="78"/>
      <c r="AX38" s="96"/>
      <c r="AY38" s="77"/>
      <c r="AZ38" s="78"/>
      <c r="BA38" s="80"/>
      <c r="BB38" s="82">
        <f t="shared" si="10"/>
        <v>0</v>
      </c>
    </row>
    <row r="39" spans="1:55" x14ac:dyDescent="0.25">
      <c r="A39" s="74">
        <v>36</v>
      </c>
      <c r="B39" s="74">
        <v>36</v>
      </c>
      <c r="C39" s="84"/>
      <c r="D39" s="65"/>
      <c r="E39" s="65"/>
      <c r="F39" s="12"/>
      <c r="G39" s="75"/>
      <c r="H39" s="75"/>
      <c r="I39" s="76"/>
      <c r="J39" s="75"/>
      <c r="K39" s="76"/>
      <c r="L39" s="76"/>
      <c r="M39" s="76"/>
      <c r="N39" s="76"/>
      <c r="O39" s="77"/>
      <c r="P39" s="78"/>
      <c r="Q39" s="94"/>
      <c r="R39" s="79"/>
      <c r="S39" s="78"/>
      <c r="T39" s="94"/>
      <c r="U39" s="79"/>
      <c r="V39" s="78"/>
      <c r="W39" s="94"/>
      <c r="X39" s="79"/>
      <c r="Y39" s="78"/>
      <c r="Z39" s="94"/>
      <c r="AA39" s="79"/>
      <c r="AB39" s="78"/>
      <c r="AC39" s="95"/>
      <c r="AD39" s="83"/>
      <c r="AE39" s="78"/>
      <c r="AF39" s="94"/>
      <c r="AG39" s="79"/>
      <c r="AH39" s="78"/>
      <c r="AI39" s="94"/>
      <c r="AJ39" s="79"/>
      <c r="AK39" s="78"/>
      <c r="AL39" s="96"/>
      <c r="AM39" s="79"/>
      <c r="AN39" s="78"/>
      <c r="AO39" s="96"/>
      <c r="AP39" s="79"/>
      <c r="AQ39" s="78"/>
      <c r="AR39" s="96"/>
      <c r="AS39" s="79"/>
      <c r="AT39" s="78"/>
      <c r="AU39" s="96"/>
      <c r="AV39" s="79"/>
      <c r="AW39" s="78"/>
      <c r="AX39" s="96"/>
      <c r="AY39" s="77"/>
      <c r="AZ39" s="78"/>
      <c r="BA39" s="80"/>
      <c r="BB39" s="82">
        <f t="shared" si="10"/>
        <v>0</v>
      </c>
    </row>
    <row r="40" spans="1:55" x14ac:dyDescent="0.25">
      <c r="A40" s="74">
        <v>37</v>
      </c>
      <c r="B40" s="74">
        <v>37</v>
      </c>
      <c r="C40" s="84"/>
      <c r="D40" s="65"/>
      <c r="E40" s="65"/>
      <c r="F40" s="12"/>
      <c r="G40" s="75"/>
      <c r="H40" s="75"/>
      <c r="I40" s="76"/>
      <c r="J40" s="75"/>
      <c r="K40" s="76"/>
      <c r="L40" s="76"/>
      <c r="M40" s="76"/>
      <c r="N40" s="76"/>
      <c r="O40" s="77"/>
      <c r="P40" s="78"/>
      <c r="Q40" s="94"/>
      <c r="R40" s="79"/>
      <c r="S40" s="78"/>
      <c r="T40" s="94"/>
      <c r="U40" s="79"/>
      <c r="V40" s="78"/>
      <c r="W40" s="94"/>
      <c r="X40" s="79"/>
      <c r="Y40" s="78"/>
      <c r="Z40" s="94"/>
      <c r="AA40" s="79"/>
      <c r="AB40" s="78"/>
      <c r="AC40" s="95"/>
      <c r="AD40" s="79"/>
      <c r="AE40" s="78"/>
      <c r="AF40" s="94"/>
      <c r="AG40" s="79"/>
      <c r="AH40" s="78"/>
      <c r="AI40" s="94"/>
      <c r="AJ40" s="79"/>
      <c r="AK40" s="78"/>
      <c r="AL40" s="94"/>
      <c r="AM40" s="79"/>
      <c r="AN40" s="78"/>
      <c r="AO40" s="94"/>
      <c r="AP40" s="79"/>
      <c r="AQ40" s="78"/>
      <c r="AR40" s="94"/>
      <c r="AS40" s="79"/>
      <c r="AT40" s="78"/>
      <c r="AU40" s="94"/>
      <c r="AV40" s="79"/>
      <c r="AW40" s="78"/>
      <c r="AX40" s="94"/>
      <c r="AY40" s="77"/>
      <c r="AZ40" s="78"/>
      <c r="BA40" s="80"/>
      <c r="BB40" s="64">
        <f t="shared" si="10"/>
        <v>0</v>
      </c>
    </row>
    <row r="41" spans="1:55" x14ac:dyDescent="0.25">
      <c r="A41" s="74">
        <v>38</v>
      </c>
      <c r="B41" s="74">
        <v>38</v>
      </c>
      <c r="C41" s="106"/>
      <c r="D41" s="65"/>
      <c r="E41" s="65"/>
      <c r="F41" s="12"/>
      <c r="G41" s="75"/>
      <c r="H41" s="75"/>
      <c r="I41" s="76"/>
      <c r="J41" s="75"/>
      <c r="K41" s="76"/>
      <c r="L41" s="76"/>
      <c r="M41" s="76"/>
      <c r="N41" s="76"/>
      <c r="O41" s="77"/>
      <c r="P41" s="78"/>
      <c r="Q41" s="94"/>
      <c r="R41" s="79"/>
      <c r="S41" s="78"/>
      <c r="T41" s="94"/>
      <c r="U41" s="79"/>
      <c r="V41" s="78"/>
      <c r="W41" s="94"/>
      <c r="X41" s="79"/>
      <c r="Y41" s="78"/>
      <c r="Z41" s="94"/>
      <c r="AA41" s="79"/>
      <c r="AB41" s="78"/>
      <c r="AC41" s="95"/>
      <c r="AD41" s="77"/>
      <c r="AE41" s="78"/>
      <c r="AF41" s="94"/>
      <c r="AG41" s="79"/>
      <c r="AH41" s="78"/>
      <c r="AI41" s="94"/>
      <c r="AJ41" s="79"/>
      <c r="AK41" s="78"/>
      <c r="AL41" s="94"/>
      <c r="AM41" s="79"/>
      <c r="AN41" s="78"/>
      <c r="AO41" s="94"/>
      <c r="AP41" s="79"/>
      <c r="AQ41" s="78"/>
      <c r="AR41" s="94"/>
      <c r="AS41" s="79"/>
      <c r="AT41" s="78"/>
      <c r="AU41" s="94"/>
      <c r="AV41" s="79"/>
      <c r="AW41" s="78"/>
      <c r="AX41" s="94"/>
      <c r="AY41" s="77"/>
      <c r="AZ41" s="78"/>
      <c r="BA41" s="80"/>
      <c r="BB41" s="64">
        <f t="shared" si="10"/>
        <v>0</v>
      </c>
    </row>
    <row r="42" spans="1:55" x14ac:dyDescent="0.25">
      <c r="A42" s="74">
        <v>39</v>
      </c>
      <c r="B42" s="74">
        <v>39</v>
      </c>
      <c r="C42" s="84"/>
      <c r="D42" s="65"/>
      <c r="E42" s="65"/>
      <c r="F42" s="12"/>
      <c r="G42" s="75"/>
      <c r="H42" s="75"/>
      <c r="I42" s="76"/>
      <c r="J42" s="75"/>
      <c r="K42" s="76"/>
      <c r="L42" s="76"/>
      <c r="M42" s="76"/>
      <c r="N42" s="76"/>
      <c r="O42" s="77"/>
      <c r="P42" s="78"/>
      <c r="Q42" s="94"/>
      <c r="R42" s="79"/>
      <c r="S42" s="78"/>
      <c r="T42" s="94"/>
      <c r="U42" s="79"/>
      <c r="V42" s="78"/>
      <c r="W42" s="94"/>
      <c r="X42" s="77"/>
      <c r="Y42" s="78"/>
      <c r="Z42" s="94"/>
      <c r="AA42" s="79"/>
      <c r="AB42" s="78"/>
      <c r="AC42" s="95"/>
      <c r="AD42" s="79"/>
      <c r="AE42" s="78"/>
      <c r="AF42" s="94"/>
      <c r="AG42" s="79"/>
      <c r="AH42" s="78"/>
      <c r="AI42" s="94"/>
      <c r="AJ42" s="79"/>
      <c r="AK42" s="78"/>
      <c r="AL42" s="94"/>
      <c r="AM42" s="79"/>
      <c r="AN42" s="78"/>
      <c r="AO42" s="94"/>
      <c r="AP42" s="79"/>
      <c r="AQ42" s="78"/>
      <c r="AR42" s="94"/>
      <c r="AS42" s="79"/>
      <c r="AT42" s="78"/>
      <c r="AU42" s="94"/>
      <c r="AV42" s="79"/>
      <c r="AW42" s="78"/>
      <c r="AX42" s="94"/>
      <c r="AY42" s="77"/>
      <c r="AZ42" s="78"/>
      <c r="BA42" s="80"/>
      <c r="BB42" s="64">
        <f t="shared" si="10"/>
        <v>0</v>
      </c>
    </row>
    <row r="43" spans="1:55" x14ac:dyDescent="0.25">
      <c r="A43" s="74">
        <v>40</v>
      </c>
      <c r="B43" s="74">
        <v>40</v>
      </c>
      <c r="C43" s="84"/>
      <c r="D43" s="65"/>
      <c r="E43" s="65"/>
      <c r="F43" s="12"/>
      <c r="G43" s="75"/>
      <c r="H43" s="75"/>
      <c r="I43" s="76"/>
      <c r="J43" s="75"/>
      <c r="K43" s="76"/>
      <c r="L43" s="76"/>
      <c r="M43" s="76"/>
      <c r="N43" s="76"/>
      <c r="O43" s="77"/>
      <c r="P43" s="78"/>
      <c r="Q43" s="94"/>
      <c r="R43" s="79"/>
      <c r="S43" s="78"/>
      <c r="T43" s="94"/>
      <c r="U43" s="79"/>
      <c r="V43" s="78"/>
      <c r="W43" s="94"/>
      <c r="X43" s="77"/>
      <c r="Y43" s="78"/>
      <c r="Z43" s="94"/>
      <c r="AA43" s="79"/>
      <c r="AB43" s="78"/>
      <c r="AC43" s="95"/>
      <c r="AD43" s="79"/>
      <c r="AE43" s="78"/>
      <c r="AF43" s="94"/>
      <c r="AG43" s="79"/>
      <c r="AH43" s="78"/>
      <c r="AI43" s="94"/>
      <c r="AJ43" s="79"/>
      <c r="AK43" s="78"/>
      <c r="AL43" s="94"/>
      <c r="AM43" s="79"/>
      <c r="AN43" s="78"/>
      <c r="AO43" s="94"/>
      <c r="AP43" s="79"/>
      <c r="AQ43" s="78"/>
      <c r="AR43" s="94"/>
      <c r="AS43" s="79"/>
      <c r="AT43" s="78"/>
      <c r="AU43" s="94"/>
      <c r="AV43" s="79"/>
      <c r="AW43" s="78"/>
      <c r="AX43" s="94"/>
      <c r="AY43" s="77"/>
      <c r="AZ43" s="78"/>
      <c r="BA43" s="80"/>
      <c r="BB43" s="64">
        <f t="shared" si="10"/>
        <v>0</v>
      </c>
    </row>
    <row r="44" spans="1:55" x14ac:dyDescent="0.25">
      <c r="A44" s="74"/>
      <c r="B44" s="74"/>
      <c r="C44" s="65" t="s">
        <v>8</v>
      </c>
      <c r="D44" s="65"/>
      <c r="E44" s="65"/>
      <c r="F44" s="107">
        <f>SUM(F5:F43)</f>
        <v>1624.9400000000005</v>
      </c>
      <c r="G44" s="107">
        <f>SUM(G5:G43)</f>
        <v>0</v>
      </c>
      <c r="H44" s="97"/>
      <c r="I44" s="97" t="e">
        <f>SUM(I5:I43)</f>
        <v>#REF!</v>
      </c>
      <c r="J44" s="98">
        <f>SUM(J5:J43)</f>
        <v>0</v>
      </c>
      <c r="K44" s="98">
        <f>SUM(K5:K43)</f>
        <v>0</v>
      </c>
      <c r="L44" s="98">
        <f>SUM(L5:L43)</f>
        <v>694606.54</v>
      </c>
      <c r="M44" s="99"/>
      <c r="N44" s="99"/>
      <c r="O44" s="98">
        <f t="shared" ref="O44:BB44" si="12">SUM(O5:O43)</f>
        <v>0</v>
      </c>
      <c r="P44" s="100">
        <f t="shared" si="12"/>
        <v>0</v>
      </c>
      <c r="Q44" s="94" t="e">
        <f t="shared" si="12"/>
        <v>#REF!</v>
      </c>
      <c r="R44" s="98" t="e">
        <f t="shared" si="12"/>
        <v>#REF!</v>
      </c>
      <c r="S44" s="100">
        <f t="shared" si="12"/>
        <v>3600</v>
      </c>
      <c r="T44" s="94">
        <f t="shared" si="12"/>
        <v>77237.41</v>
      </c>
      <c r="U44" s="98" t="e">
        <f t="shared" si="12"/>
        <v>#REF!</v>
      </c>
      <c r="V44" s="100">
        <f t="shared" si="12"/>
        <v>11105.01</v>
      </c>
      <c r="W44" s="94">
        <f t="shared" si="12"/>
        <v>103633.18999999999</v>
      </c>
      <c r="X44" s="98" t="e">
        <f t="shared" si="12"/>
        <v>#REF!</v>
      </c>
      <c r="Y44" s="100">
        <f t="shared" si="12"/>
        <v>5500</v>
      </c>
      <c r="Z44" s="94">
        <f t="shared" si="12"/>
        <v>31584.53</v>
      </c>
      <c r="AA44" s="98" t="e">
        <f t="shared" si="12"/>
        <v>#REF!</v>
      </c>
      <c r="AB44" s="100">
        <f t="shared" si="12"/>
        <v>6900</v>
      </c>
      <c r="AC44" s="94">
        <f t="shared" si="12"/>
        <v>224979.93</v>
      </c>
      <c r="AD44" s="98" t="e">
        <f t="shared" si="12"/>
        <v>#REF!</v>
      </c>
      <c r="AE44" s="100">
        <f t="shared" si="12"/>
        <v>2700</v>
      </c>
      <c r="AF44" s="94">
        <f t="shared" si="12"/>
        <v>304329.40999999992</v>
      </c>
      <c r="AG44" s="98" t="e">
        <f t="shared" si="12"/>
        <v>#REF!</v>
      </c>
      <c r="AH44" s="100">
        <f t="shared" si="12"/>
        <v>28795.56</v>
      </c>
      <c r="AI44" s="94">
        <f t="shared" si="12"/>
        <v>0</v>
      </c>
      <c r="AJ44" s="98" t="e">
        <f t="shared" si="12"/>
        <v>#REF!</v>
      </c>
      <c r="AK44" s="100">
        <f t="shared" si="12"/>
        <v>-1182.03</v>
      </c>
      <c r="AL44" s="94">
        <f t="shared" si="12"/>
        <v>19210.09</v>
      </c>
      <c r="AM44" s="98" t="e">
        <f t="shared" si="12"/>
        <v>#REF!</v>
      </c>
      <c r="AN44" s="100">
        <f t="shared" si="12"/>
        <v>-1182.03</v>
      </c>
      <c r="AO44" s="94">
        <f t="shared" si="12"/>
        <v>19210.09</v>
      </c>
      <c r="AP44" s="98">
        <f t="shared" si="12"/>
        <v>0</v>
      </c>
      <c r="AQ44" s="100">
        <f t="shared" si="12"/>
        <v>-1182.03</v>
      </c>
      <c r="AR44" s="94">
        <f t="shared" si="12"/>
        <v>19210.09</v>
      </c>
      <c r="AS44" s="98">
        <f t="shared" si="12"/>
        <v>3600</v>
      </c>
      <c r="AT44" s="100">
        <f t="shared" si="12"/>
        <v>-1182.03</v>
      </c>
      <c r="AU44" s="94">
        <f t="shared" si="12"/>
        <v>19210.09</v>
      </c>
      <c r="AV44" s="98">
        <f t="shared" si="12"/>
        <v>11105.01</v>
      </c>
      <c r="AW44" s="100">
        <f t="shared" si="12"/>
        <v>-1182.03</v>
      </c>
      <c r="AX44" s="94">
        <f t="shared" si="12"/>
        <v>19210.09</v>
      </c>
      <c r="AY44" s="99">
        <f t="shared" si="12"/>
        <v>0</v>
      </c>
      <c r="AZ44" s="78" t="e">
        <f t="shared" si="12"/>
        <v>#REF!</v>
      </c>
      <c r="BA44" s="80" t="e">
        <f t="shared" si="12"/>
        <v>#REF!</v>
      </c>
      <c r="BB44" s="64" t="e">
        <f t="shared" si="12"/>
        <v>#REF!</v>
      </c>
    </row>
    <row r="45" spans="1:55" x14ac:dyDescent="0.25">
      <c r="A45" s="74"/>
      <c r="B45" s="74"/>
      <c r="C45" s="65"/>
      <c r="D45" s="65"/>
      <c r="E45" s="65"/>
      <c r="F45" s="12"/>
      <c r="G45" s="12"/>
      <c r="H45" s="12"/>
      <c r="I45" s="101"/>
      <c r="J45" s="101"/>
      <c r="K45" s="101"/>
      <c r="L45" s="101"/>
      <c r="M45" s="101"/>
      <c r="N45" s="101"/>
      <c r="O45" s="101"/>
      <c r="P45" s="115" t="e">
        <f>P44+Q44</f>
        <v>#REF!</v>
      </c>
      <c r="Q45" s="116"/>
      <c r="R45" s="101"/>
      <c r="S45" s="115">
        <f>S44+T44</f>
        <v>80837.41</v>
      </c>
      <c r="T45" s="116"/>
      <c r="U45" s="101"/>
      <c r="V45" s="115">
        <f>V44+W44</f>
        <v>114738.19999999998</v>
      </c>
      <c r="W45" s="116"/>
      <c r="X45" s="101"/>
      <c r="Y45" s="115">
        <f>Y44+Z44</f>
        <v>37084.53</v>
      </c>
      <c r="Z45" s="116"/>
      <c r="AA45" s="101"/>
      <c r="AB45" s="115">
        <f>AB44+AC44</f>
        <v>231879.93</v>
      </c>
      <c r="AC45" s="116"/>
      <c r="AD45" s="101"/>
      <c r="AE45" s="115">
        <f>AE44+AF44</f>
        <v>307029.40999999992</v>
      </c>
      <c r="AF45" s="116"/>
      <c r="AG45" s="101"/>
      <c r="AH45" s="115">
        <f>AH44+AI44</f>
        <v>28795.56</v>
      </c>
      <c r="AI45" s="116"/>
      <c r="AJ45" s="101"/>
      <c r="AK45" s="115">
        <f>AK44+AL44</f>
        <v>18028.060000000001</v>
      </c>
      <c r="AL45" s="116"/>
      <c r="AM45" s="101"/>
      <c r="AN45" s="115">
        <f>AN44+AO44</f>
        <v>18028.060000000001</v>
      </c>
      <c r="AO45" s="116"/>
      <c r="AP45" s="101"/>
      <c r="AQ45" s="115">
        <f>AQ44+AR44</f>
        <v>18028.060000000001</v>
      </c>
      <c r="AR45" s="116"/>
      <c r="AS45" s="101"/>
      <c r="AT45" s="115">
        <f>AT44+AU44</f>
        <v>18028.060000000001</v>
      </c>
      <c r="AU45" s="116"/>
      <c r="AV45" s="101"/>
      <c r="AW45" s="115">
        <f>AW44+AX44</f>
        <v>18028.060000000001</v>
      </c>
      <c r="AX45" s="116"/>
      <c r="AY45" s="101"/>
      <c r="AZ45" s="115" t="e">
        <f>AZ44+BA44</f>
        <v>#REF!</v>
      </c>
      <c r="BA45" s="116"/>
      <c r="BB45" s="64"/>
    </row>
    <row r="46" spans="1:55" ht="15" customHeight="1" x14ac:dyDescent="0.25">
      <c r="F46" s="10"/>
      <c r="G46" s="10"/>
      <c r="H46" s="10"/>
      <c r="O46" s="87"/>
      <c r="P46" s="87"/>
      <c r="Q46" s="102"/>
      <c r="R46" s="87"/>
      <c r="S46" s="87"/>
      <c r="T46" s="102"/>
      <c r="U46" s="87"/>
      <c r="V46" s="87"/>
      <c r="W46" s="102"/>
      <c r="X46" s="87"/>
      <c r="Y46" s="87"/>
      <c r="Z46" s="102"/>
      <c r="AA46" s="87"/>
      <c r="AB46" s="87"/>
      <c r="AC46" s="102"/>
      <c r="AD46" s="87"/>
      <c r="AE46" s="87"/>
      <c r="AF46" s="102"/>
      <c r="AG46" s="87"/>
      <c r="AH46" s="87"/>
      <c r="AI46" s="102"/>
      <c r="AJ46" s="87"/>
      <c r="AK46" s="87"/>
      <c r="AL46" s="102"/>
      <c r="AM46" s="102"/>
      <c r="AN46" s="102"/>
      <c r="AO46" s="102"/>
      <c r="AP46" s="102"/>
      <c r="AQ46" s="102"/>
      <c r="AR46" s="102"/>
      <c r="AS46" s="102"/>
      <c r="AT46" s="102"/>
      <c r="AU46" s="102"/>
      <c r="AV46" s="102"/>
      <c r="AW46" s="102"/>
      <c r="AX46" s="102"/>
      <c r="AY46" s="99" t="e">
        <f>P45+S45+V45+Y45+AB45+AE45+AH45+AK45+BB36+#REF!</f>
        <v>#REF!</v>
      </c>
    </row>
    <row r="47" spans="1:55" ht="15.6" customHeight="1" x14ac:dyDescent="0.25">
      <c r="C47" s="88"/>
      <c r="F47" s="11"/>
      <c r="G47" s="11"/>
      <c r="H47" s="11"/>
      <c r="I47" s="64"/>
      <c r="J47" s="64"/>
      <c r="K47" s="64"/>
      <c r="L47" s="64" t="s">
        <v>7</v>
      </c>
      <c r="M47" s="64"/>
      <c r="N47" s="64"/>
      <c r="O47" s="87"/>
      <c r="P47" s="87"/>
      <c r="Q47" s="102"/>
      <c r="R47" s="87"/>
      <c r="S47" s="87"/>
      <c r="T47" s="102"/>
      <c r="U47" s="89" t="e">
        <f>T44+W44+Z44+AC44+Q44</f>
        <v>#REF!</v>
      </c>
      <c r="V47" s="87"/>
      <c r="W47" s="102"/>
      <c r="X47" s="87"/>
      <c r="Y47" s="87"/>
      <c r="Z47" s="102"/>
      <c r="AA47" s="87"/>
      <c r="AB47" s="87"/>
      <c r="AC47" s="102">
        <v>324</v>
      </c>
      <c r="AD47" s="87"/>
      <c r="AE47" s="87"/>
      <c r="AF47" s="102"/>
      <c r="AG47" s="87"/>
      <c r="AH47" s="87"/>
      <c r="AI47" s="102"/>
      <c r="AJ47" s="87"/>
      <c r="AK47" s="89"/>
      <c r="AL47" s="102"/>
      <c r="AM47" s="102"/>
      <c r="AN47" s="102"/>
      <c r="AO47" s="102"/>
      <c r="AP47" s="102"/>
      <c r="AQ47" s="102"/>
      <c r="AR47" s="102"/>
      <c r="AS47" s="102"/>
      <c r="AT47" s="102"/>
      <c r="AU47" s="102"/>
      <c r="AV47" s="102"/>
      <c r="AW47" s="102"/>
      <c r="AX47" s="102"/>
      <c r="AY47" s="99" t="e">
        <f>AZ45+BB36</f>
        <v>#REF!</v>
      </c>
      <c r="BA47" s="90"/>
      <c r="BB47" s="91"/>
      <c r="BC47" s="91"/>
    </row>
    <row r="48" spans="1:55" x14ac:dyDescent="0.25">
      <c r="F48" s="10"/>
      <c r="G48" s="10"/>
      <c r="H48" s="10"/>
      <c r="K48" s="64">
        <f>K5+K6+K9+K10+K13+K14+K17+K18+K21+K22+K25+K26+K29+K30+K33+K34+K37+K38+K41+K42</f>
        <v>0</v>
      </c>
      <c r="O48" s="64"/>
      <c r="V48" s="64"/>
      <c r="AC48" s="64"/>
      <c r="AF48" s="64"/>
      <c r="AZ48" s="63" t="s">
        <v>6</v>
      </c>
      <c r="BA48" s="64" t="e">
        <f>BA5+BA6+BA9+BA10+BA13+BA14+BA17+BA18+BA21+BA22+BA25+BA26+BA29+BA30+BA33+BA34+BA37+BA38+BA41+BA42</f>
        <v>#REF!</v>
      </c>
      <c r="BB48" s="64" t="e">
        <f>AZ5+AZ14+AZ18+AZ25</f>
        <v>#REF!</v>
      </c>
    </row>
    <row r="49" spans="6:54" x14ac:dyDescent="0.25">
      <c r="F49" s="10"/>
      <c r="G49" s="10"/>
      <c r="H49" s="10"/>
      <c r="I49" s="64"/>
      <c r="J49" s="64"/>
      <c r="K49" s="64">
        <f>K24</f>
        <v>0</v>
      </c>
      <c r="L49" s="64"/>
      <c r="M49" s="64"/>
      <c r="N49" s="64"/>
      <c r="AZ49" s="63" t="s">
        <v>5</v>
      </c>
      <c r="BA49" s="64" t="e">
        <f>BA24</f>
        <v>#REF!</v>
      </c>
    </row>
    <row r="50" spans="6:54" x14ac:dyDescent="0.25">
      <c r="F50" s="10"/>
      <c r="G50" s="10"/>
      <c r="H50" s="10"/>
      <c r="I50" s="64"/>
      <c r="J50" s="64"/>
      <c r="K50" s="64">
        <f>K7+K11+K15+K19+K23</f>
        <v>0</v>
      </c>
      <c r="Q50" s="92"/>
      <c r="T50" s="92"/>
      <c r="W50" s="92"/>
      <c r="Z50" s="92"/>
      <c r="AC50" s="92"/>
      <c r="AF50" s="92"/>
      <c r="AI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Z50" s="63" t="s">
        <v>4</v>
      </c>
      <c r="BA50" s="64" t="e">
        <f>BA7+BA11+BA15+BA19+BA23</f>
        <v>#REF!</v>
      </c>
    </row>
    <row r="51" spans="6:54" x14ac:dyDescent="0.25">
      <c r="F51" s="10"/>
      <c r="G51" s="10"/>
      <c r="H51" s="10"/>
      <c r="K51" s="64">
        <f>K27+K31+K35+K39+K43</f>
        <v>0</v>
      </c>
      <c r="Q51" s="92"/>
      <c r="T51" s="92"/>
      <c r="W51" s="92"/>
      <c r="Z51" s="92"/>
      <c r="AC51" s="92"/>
      <c r="AF51" s="92"/>
      <c r="AI51" s="92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Z51" s="91" t="s">
        <v>3</v>
      </c>
      <c r="BA51" s="64" t="e">
        <f>BA27+BA31+BA35+BA39+BA43</f>
        <v>#REF!</v>
      </c>
      <c r="BB51" s="64" t="e">
        <f>AZ27+AZ31</f>
        <v>#REF!</v>
      </c>
    </row>
    <row r="52" spans="6:54" x14ac:dyDescent="0.25">
      <c r="F52" s="10"/>
      <c r="G52" s="10"/>
      <c r="H52" s="10"/>
      <c r="K52" s="64" t="e">
        <f>#REF!+K8+K12+K16+K20</f>
        <v>#REF!</v>
      </c>
      <c r="AZ52" s="63" t="s">
        <v>2</v>
      </c>
      <c r="BA52" s="64" t="e">
        <f>#REF!+BA8+BA12+BA16+BA20</f>
        <v>#REF!</v>
      </c>
    </row>
    <row r="53" spans="6:54" x14ac:dyDescent="0.25">
      <c r="F53" s="10"/>
      <c r="G53" s="10"/>
      <c r="H53" s="10"/>
      <c r="K53" s="64">
        <f>K28+K32+K36+K40</f>
        <v>0</v>
      </c>
      <c r="AZ53" s="63" t="s">
        <v>1</v>
      </c>
      <c r="BA53" s="64" t="e">
        <f>BA28+BA32+BA36+BA40</f>
        <v>#REF!</v>
      </c>
    </row>
    <row r="54" spans="6:54" x14ac:dyDescent="0.25">
      <c r="F54" s="87"/>
      <c r="G54" s="87"/>
      <c r="H54" s="87"/>
      <c r="K54" s="64" t="e">
        <f>SUM(K48:K53)</f>
        <v>#REF!</v>
      </c>
      <c r="BA54" s="64" t="e">
        <f>SUM(BA48:BA53)</f>
        <v>#REF!</v>
      </c>
      <c r="BB54" s="64" t="e">
        <f>SUM(BB48:BB53)</f>
        <v>#REF!</v>
      </c>
    </row>
  </sheetData>
  <mergeCells count="38">
    <mergeCell ref="O2:Q2"/>
    <mergeCell ref="O1:Q1"/>
    <mergeCell ref="AY3:BA3"/>
    <mergeCell ref="AA3:AC3"/>
    <mergeCell ref="AD3:AF3"/>
    <mergeCell ref="AG3:AI3"/>
    <mergeCell ref="AV3:AX3"/>
    <mergeCell ref="AM3:AO3"/>
    <mergeCell ref="AP3:AR3"/>
    <mergeCell ref="AS3:AU3"/>
    <mergeCell ref="H3:H4"/>
    <mergeCell ref="M3:N3"/>
    <mergeCell ref="A3:A4"/>
    <mergeCell ref="C3:C4"/>
    <mergeCell ref="D3:D4"/>
    <mergeCell ref="E3:E4"/>
    <mergeCell ref="F3:F4"/>
    <mergeCell ref="G3:G4"/>
    <mergeCell ref="L3:L4"/>
    <mergeCell ref="K3:K4"/>
    <mergeCell ref="AZ45:BA45"/>
    <mergeCell ref="AH45:AI45"/>
    <mergeCell ref="AE45:AF45"/>
    <mergeCell ref="AB45:AC45"/>
    <mergeCell ref="Y45:Z45"/>
    <mergeCell ref="AW45:AX45"/>
    <mergeCell ref="AN45:AO45"/>
    <mergeCell ref="AQ45:AR45"/>
    <mergeCell ref="AT45:AU45"/>
    <mergeCell ref="V45:W45"/>
    <mergeCell ref="S45:T45"/>
    <mergeCell ref="P45:Q45"/>
    <mergeCell ref="AK45:AL45"/>
    <mergeCell ref="O3:Q3"/>
    <mergeCell ref="R3:T3"/>
    <mergeCell ref="U3:W3"/>
    <mergeCell ref="X3:Z3"/>
    <mergeCell ref="AJ3:AL3"/>
  </mergeCells>
  <pageMargins left="0.70866141732283472" right="0.15748031496062992" top="0.53" bottom="0.19685039370078741" header="1.02" footer="0.15748031496062992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U56"/>
  <sheetViews>
    <sheetView tabSelected="1" view="pageBreakPreview" zoomScaleNormal="100" zoomScaleSheetLayoutView="100" workbookViewId="0">
      <selection activeCell="A36" sqref="A36:D36"/>
    </sheetView>
  </sheetViews>
  <sheetFormatPr defaultRowHeight="12.75" x14ac:dyDescent="0.2"/>
  <cols>
    <col min="1" max="2" width="3.140625" style="13" customWidth="1"/>
    <col min="3" max="3" width="3.7109375" style="13" customWidth="1"/>
    <col min="4" max="4" width="2.5703125" style="13" customWidth="1"/>
    <col min="5" max="5" width="1.28515625" style="13" customWidth="1"/>
    <col min="6" max="29" width="3.140625" style="13" customWidth="1"/>
    <col min="30" max="30" width="4.42578125" style="13" customWidth="1"/>
    <col min="31" max="16384" width="9.140625" style="13"/>
  </cols>
  <sheetData>
    <row r="1" spans="1:47" ht="16.5" customHeight="1" x14ac:dyDescent="0.2"/>
    <row r="2" spans="1:47" ht="16.5" customHeight="1" x14ac:dyDescent="0.2"/>
    <row r="3" spans="1:47" ht="16.5" customHeight="1" x14ac:dyDescent="0.25">
      <c r="A3" s="149">
        <v>43739</v>
      </c>
      <c r="B3" s="150"/>
      <c r="C3" s="150"/>
      <c r="E3" s="13" t="s">
        <v>66</v>
      </c>
    </row>
    <row r="5" spans="1:47" ht="15.75" x14ac:dyDescent="0.25">
      <c r="A5" s="151" t="s">
        <v>56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</row>
    <row r="6" spans="1:47" ht="15.75" customHeight="1" x14ac:dyDescent="0.2">
      <c r="A6" s="152" t="s">
        <v>55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15.75" customHeight="1" x14ac:dyDescent="0.2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</row>
    <row r="8" spans="1:47" ht="6.75" customHeight="1" x14ac:dyDescent="0.25">
      <c r="A8" s="19"/>
      <c r="B8" s="61"/>
      <c r="C8" s="61"/>
      <c r="D8" s="61"/>
      <c r="E8" s="61"/>
      <c r="F8" s="61"/>
      <c r="G8" s="61"/>
      <c r="H8" s="61"/>
      <c r="I8" s="19"/>
      <c r="J8" s="60"/>
      <c r="K8" s="60"/>
      <c r="L8" s="60"/>
      <c r="M8" s="60"/>
      <c r="N8" s="60"/>
      <c r="O8" s="60"/>
      <c r="P8" s="16"/>
      <c r="Q8" s="60"/>
      <c r="R8" s="60"/>
      <c r="S8" s="60"/>
      <c r="T8" s="60"/>
      <c r="U8" s="60"/>
      <c r="V8" s="60"/>
      <c r="W8" s="16"/>
      <c r="X8" s="60"/>
      <c r="Y8" s="60"/>
      <c r="Z8" s="60"/>
      <c r="AA8" s="60"/>
      <c r="AB8" s="60"/>
      <c r="AC8" s="60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</row>
    <row r="9" spans="1:47" ht="18.600000000000001" customHeight="1" x14ac:dyDescent="0.25">
      <c r="A9" s="19" t="s">
        <v>54</v>
      </c>
      <c r="B9" s="59"/>
      <c r="C9" s="59"/>
      <c r="D9" s="59"/>
      <c r="E9" s="154">
        <f>VLOOKUP(N15,оплата!B5:L43,2,FALSE)</f>
        <v>0</v>
      </c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</row>
    <row r="10" spans="1:47" ht="15.75" x14ac:dyDescent="0.25">
      <c r="A10" s="19"/>
      <c r="B10" s="58"/>
      <c r="C10" s="44"/>
      <c r="D10" s="44"/>
      <c r="E10" s="142" t="s">
        <v>53</v>
      </c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</row>
    <row r="11" spans="1:47" ht="18.600000000000001" customHeight="1" x14ac:dyDescent="0.25">
      <c r="A11" s="151" t="s">
        <v>57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3" t="s">
        <v>52</v>
      </c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45">
        <f>VLOOKUP(N15,оплата!B5:M43,3,FALSE)</f>
        <v>0</v>
      </c>
      <c r="Y11" s="145"/>
      <c r="Z11" s="145"/>
      <c r="AA11" s="145"/>
      <c r="AB11" s="145"/>
      <c r="AC11" s="145"/>
      <c r="AD11" s="145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</row>
    <row r="12" spans="1:47" ht="18.600000000000001" customHeight="1" x14ac:dyDescent="0.25">
      <c r="A12" s="19"/>
      <c r="B12" s="19"/>
      <c r="C12" s="19"/>
      <c r="D12" s="19"/>
      <c r="E12" s="58"/>
      <c r="F12" s="19"/>
      <c r="G12" s="19"/>
      <c r="H12" s="19"/>
      <c r="I12" s="19"/>
      <c r="J12" s="16"/>
      <c r="K12" s="16"/>
      <c r="L12" s="141" t="s">
        <v>51</v>
      </c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</row>
    <row r="13" spans="1:47" ht="18.600000000000001" customHeight="1" x14ac:dyDescent="0.25">
      <c r="A13" s="19"/>
      <c r="B13" s="19"/>
      <c r="C13" s="19"/>
      <c r="D13" s="19"/>
      <c r="E13" s="58"/>
      <c r="F13" s="19"/>
      <c r="G13" s="19"/>
      <c r="H13" s="19"/>
      <c r="I13" s="19"/>
      <c r="J13" s="16"/>
      <c r="K13" s="16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</row>
    <row r="14" spans="1:47" ht="10.5" customHeight="1" x14ac:dyDescent="0.25">
      <c r="A14" s="19"/>
      <c r="B14" s="57"/>
      <c r="C14" s="16"/>
      <c r="D14" s="16"/>
      <c r="E14" s="16"/>
      <c r="F14" s="16"/>
      <c r="G14" s="16"/>
      <c r="H14" s="16"/>
      <c r="I14" s="19"/>
      <c r="J14" s="57"/>
      <c r="K14" s="16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</row>
    <row r="15" spans="1:47" ht="18" customHeight="1" x14ac:dyDescent="0.25">
      <c r="A15" s="145">
        <f>VLOOKUP(N15,оплата!B5:M43,4,FALSE)</f>
        <v>2</v>
      </c>
      <c r="B15" s="145"/>
      <c r="C15" s="145"/>
      <c r="D15" s="145"/>
      <c r="E15" s="145"/>
      <c r="F15" s="148" t="s">
        <v>50</v>
      </c>
      <c r="G15" s="148"/>
      <c r="H15" s="148"/>
      <c r="I15" s="148"/>
      <c r="J15" s="148"/>
      <c r="K15" s="148"/>
      <c r="L15" s="148"/>
      <c r="M15" s="148"/>
      <c r="N15" s="146">
        <v>3</v>
      </c>
      <c r="O15" s="146"/>
      <c r="P15" s="146"/>
      <c r="Q15" s="147" t="s">
        <v>49</v>
      </c>
      <c r="R15" s="147"/>
      <c r="S15" s="147"/>
      <c r="T15" s="147"/>
      <c r="U15" s="147"/>
      <c r="V15" s="147"/>
      <c r="W15" s="147"/>
      <c r="X15" s="145">
        <f>VLOOKUP(N15,оплата!B5:M43,5,FALSE)</f>
        <v>57.2</v>
      </c>
      <c r="Y15" s="145"/>
      <c r="Z15" s="145"/>
      <c r="AA15" s="16" t="s">
        <v>48</v>
      </c>
      <c r="AB15" s="16"/>
      <c r="AC15" s="16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</row>
    <row r="16" spans="1:47" ht="18" customHeight="1" x14ac:dyDescent="0.25">
      <c r="A16" s="132" t="s">
        <v>63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</row>
    <row r="17" spans="1:47" ht="9" customHeight="1" x14ac:dyDescent="0.25">
      <c r="A17" s="19"/>
      <c r="B17" s="134"/>
      <c r="C17" s="134"/>
      <c r="D17" s="56"/>
      <c r="E17" s="54"/>
      <c r="F17" s="38"/>
      <c r="G17" s="38"/>
      <c r="H17" s="54"/>
      <c r="I17" s="19"/>
      <c r="J17" s="134"/>
      <c r="K17" s="134"/>
      <c r="L17" s="20"/>
      <c r="M17" s="38"/>
      <c r="N17" s="38"/>
      <c r="O17" s="20"/>
      <c r="P17" s="16"/>
      <c r="Q17" s="134"/>
      <c r="R17" s="134"/>
      <c r="S17" s="20"/>
      <c r="T17" s="38"/>
      <c r="U17" s="38"/>
      <c r="V17" s="20"/>
      <c r="W17" s="16"/>
      <c r="X17" s="55"/>
      <c r="Y17" s="55"/>
      <c r="Z17" s="20"/>
      <c r="AA17" s="38"/>
      <c r="AB17" s="38"/>
      <c r="AC17" s="20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</row>
    <row r="18" spans="1:47" ht="14.25" customHeight="1" x14ac:dyDescent="0.25">
      <c r="A18" s="19" t="s">
        <v>47</v>
      </c>
      <c r="B18" s="16"/>
      <c r="C18" s="16"/>
      <c r="D18" s="16"/>
      <c r="E18" s="54"/>
      <c r="F18" s="38"/>
      <c r="G18" s="38"/>
      <c r="H18" s="54"/>
      <c r="I18" s="19"/>
      <c r="J18" s="16"/>
      <c r="K18" s="16"/>
      <c r="L18" s="20"/>
      <c r="M18" s="38"/>
      <c r="N18" s="38"/>
      <c r="O18" s="20"/>
      <c r="P18" s="16"/>
      <c r="Q18" s="16"/>
      <c r="R18" s="16"/>
      <c r="S18" s="20"/>
      <c r="T18" s="38"/>
      <c r="U18" s="38"/>
      <c r="V18" s="20"/>
      <c r="W18" s="16"/>
      <c r="X18" s="16"/>
      <c r="Y18" s="16"/>
      <c r="Z18" s="20"/>
      <c r="AA18" s="38"/>
      <c r="AB18" s="38"/>
      <c r="AC18" s="20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</row>
    <row r="19" spans="1:47" ht="15.75" x14ac:dyDescent="0.25">
      <c r="A19" s="135" t="e">
        <f>VLOOKUP(N15,оплата!B5:M43,8,FALSE)</f>
        <v>#REF!</v>
      </c>
      <c r="B19" s="135"/>
      <c r="C19" s="135"/>
      <c r="D19" s="135"/>
      <c r="E19" s="30"/>
      <c r="F19" s="29" t="e">
        <f ca="1">[1]!СуммаПрописью(A19)</f>
        <v>#NAME?</v>
      </c>
      <c r="G19" s="26"/>
      <c r="H19" s="28"/>
      <c r="I19" s="24"/>
      <c r="J19" s="26"/>
      <c r="K19" s="26"/>
      <c r="L19" s="26"/>
      <c r="M19" s="26"/>
      <c r="N19" s="26"/>
      <c r="O19" s="28"/>
      <c r="P19" s="24"/>
      <c r="Q19" s="26"/>
      <c r="R19" s="26"/>
      <c r="S19" s="26"/>
      <c r="T19" s="26"/>
      <c r="U19" s="26"/>
      <c r="V19" s="27"/>
      <c r="W19" s="24"/>
      <c r="X19" s="26"/>
      <c r="Y19" s="26"/>
      <c r="Z19" s="26"/>
      <c r="AA19" s="26"/>
      <c r="AB19" s="26"/>
      <c r="AC19" s="28"/>
      <c r="AD19" s="17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</row>
    <row r="20" spans="1:47" ht="15.75" x14ac:dyDescent="0.25">
      <c r="A20" s="19"/>
      <c r="B20" s="19"/>
      <c r="C20" s="49"/>
      <c r="D20" s="49"/>
      <c r="E20" s="16"/>
      <c r="F20" s="16"/>
      <c r="G20" s="16"/>
      <c r="H20" s="16"/>
      <c r="I20" s="19"/>
      <c r="J20" s="136" t="s">
        <v>29</v>
      </c>
      <c r="K20" s="136"/>
      <c r="L20" s="136"/>
      <c r="M20" s="136"/>
      <c r="N20" s="136"/>
      <c r="O20" s="136"/>
      <c r="P20" s="136"/>
      <c r="Q20" s="136"/>
      <c r="R20" s="136"/>
      <c r="S20" s="13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</row>
    <row r="21" spans="1:47" ht="15.75" x14ac:dyDescent="0.25">
      <c r="A21" s="132" t="s">
        <v>46</v>
      </c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7" t="s">
        <v>45</v>
      </c>
      <c r="P21" s="137"/>
      <c r="Q21" s="137"/>
      <c r="R21" s="137"/>
      <c r="S21" s="137"/>
      <c r="T21" s="137"/>
      <c r="U21" s="137"/>
      <c r="V21" s="41"/>
      <c r="W21" s="16"/>
      <c r="X21" s="41"/>
      <c r="Y21" s="49"/>
      <c r="Z21" s="41"/>
      <c r="AA21" s="41"/>
      <c r="AB21" s="41"/>
      <c r="AC21" s="41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</row>
    <row r="22" spans="1:47" ht="7.15" customHeight="1" x14ac:dyDescent="0.25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2"/>
      <c r="P22" s="52"/>
      <c r="Q22" s="52"/>
      <c r="R22" s="52"/>
      <c r="S22" s="52"/>
      <c r="T22" s="52"/>
      <c r="U22" s="52"/>
      <c r="V22" s="41"/>
      <c r="W22" s="16"/>
      <c r="X22" s="41"/>
      <c r="Y22" s="49"/>
      <c r="Z22" s="41"/>
      <c r="AA22" s="41"/>
      <c r="AB22" s="41"/>
      <c r="AC22" s="41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</row>
    <row r="23" spans="1:47" ht="15.75" x14ac:dyDescent="0.25">
      <c r="A23" s="19" t="s">
        <v>44</v>
      </c>
      <c r="B23" s="16"/>
      <c r="C23" s="16"/>
      <c r="D23" s="16"/>
      <c r="E23" s="16"/>
      <c r="F23" s="16"/>
      <c r="G23" s="16"/>
      <c r="H23" s="16"/>
      <c r="I23" s="19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</row>
    <row r="24" spans="1:47" ht="15.75" x14ac:dyDescent="0.25">
      <c r="A24" s="135">
        <v>0</v>
      </c>
      <c r="B24" s="135"/>
      <c r="C24" s="135"/>
      <c r="D24" s="135"/>
      <c r="E24" s="30"/>
      <c r="F24" s="29" t="str">
        <f>[1]!СуммаПрописью(A24)</f>
        <v>Ноль рублей 00 копеек</v>
      </c>
      <c r="G24" s="26"/>
      <c r="H24" s="28"/>
      <c r="I24" s="24"/>
      <c r="J24" s="26"/>
      <c r="K24" s="26"/>
      <c r="L24" s="26"/>
      <c r="M24" s="26"/>
      <c r="N24" s="26"/>
      <c r="O24" s="28"/>
      <c r="P24" s="24"/>
      <c r="Q24" s="26"/>
      <c r="R24" s="26"/>
      <c r="S24" s="26"/>
      <c r="T24" s="26"/>
      <c r="U24" s="26"/>
      <c r="V24" s="27"/>
      <c r="W24" s="24"/>
      <c r="X24" s="26"/>
      <c r="Y24" s="24"/>
      <c r="Z24" s="24"/>
      <c r="AA24" s="24"/>
      <c r="AB24" s="24"/>
      <c r="AC24" s="24"/>
      <c r="AD24" s="17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</row>
    <row r="25" spans="1:47" ht="15.75" x14ac:dyDescent="0.25">
      <c r="A25" s="51"/>
      <c r="B25" s="51"/>
      <c r="C25" s="51"/>
      <c r="D25" s="51"/>
      <c r="E25" s="50"/>
      <c r="F25" s="49"/>
      <c r="G25" s="44"/>
      <c r="H25" s="48"/>
      <c r="I25" s="16"/>
      <c r="J25" s="136" t="s">
        <v>29</v>
      </c>
      <c r="K25" s="136"/>
      <c r="L25" s="136"/>
      <c r="M25" s="136"/>
      <c r="N25" s="136"/>
      <c r="O25" s="136"/>
      <c r="P25" s="136"/>
      <c r="Q25" s="136"/>
      <c r="R25" s="136"/>
      <c r="S25" s="136"/>
      <c r="T25" s="44"/>
      <c r="U25" s="44"/>
      <c r="V25" s="47"/>
      <c r="W25" s="16"/>
      <c r="X25" s="44"/>
      <c r="Y25" s="16"/>
      <c r="Z25" s="16"/>
      <c r="AA25" s="16"/>
      <c r="AB25" s="16"/>
      <c r="AC25" s="16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</row>
    <row r="26" spans="1:47" ht="15.75" x14ac:dyDescent="0.25">
      <c r="A26" s="19" t="s">
        <v>43</v>
      </c>
      <c r="B26" s="46"/>
      <c r="C26" s="16"/>
      <c r="D26" s="16"/>
      <c r="E26" s="16"/>
      <c r="F26" s="16"/>
      <c r="G26" s="16"/>
      <c r="H26" s="16"/>
      <c r="I26" s="20"/>
      <c r="J26" s="46"/>
      <c r="K26" s="16"/>
      <c r="L26" s="16"/>
      <c r="M26" s="16"/>
      <c r="N26" s="16"/>
      <c r="O26" s="16"/>
      <c r="P26" s="16"/>
      <c r="Q26" s="46"/>
      <c r="R26" s="16"/>
      <c r="S26" s="16"/>
      <c r="T26" s="16"/>
      <c r="U26" s="16"/>
      <c r="V26" s="16"/>
      <c r="W26" s="16"/>
      <c r="X26" s="46"/>
      <c r="Y26" s="16"/>
      <c r="Z26" s="16"/>
      <c r="AA26" s="16"/>
      <c r="AB26" s="16"/>
      <c r="AC26" s="16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</row>
    <row r="27" spans="1:47" ht="15.75" x14ac:dyDescent="0.25">
      <c r="A27" s="135">
        <v>0</v>
      </c>
      <c r="B27" s="135"/>
      <c r="C27" s="135"/>
      <c r="D27" s="135"/>
      <c r="E27" s="30"/>
      <c r="F27" s="29" t="str">
        <f>[1]!СуммаПрописью(A27)</f>
        <v>Ноль рублей 00 копеек</v>
      </c>
      <c r="G27" s="26"/>
      <c r="H27" s="28"/>
      <c r="I27" s="24"/>
      <c r="J27" s="26"/>
      <c r="K27" s="26"/>
      <c r="L27" s="26"/>
      <c r="M27" s="26"/>
      <c r="N27" s="26"/>
      <c r="O27" s="28"/>
      <c r="P27" s="24"/>
      <c r="Q27" s="26"/>
      <c r="R27" s="26"/>
      <c r="S27" s="26"/>
      <c r="T27" s="26"/>
      <c r="U27" s="26"/>
      <c r="V27" s="27"/>
      <c r="W27" s="24"/>
      <c r="X27" s="26"/>
      <c r="Y27" s="24"/>
      <c r="Z27" s="25"/>
      <c r="AA27" s="25"/>
      <c r="AB27" s="25"/>
      <c r="AC27" s="24"/>
      <c r="AD27" s="17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</row>
    <row r="28" spans="1:47" ht="15.75" x14ac:dyDescent="0.25">
      <c r="A28" s="19"/>
      <c r="B28" s="16"/>
      <c r="C28" s="16"/>
      <c r="D28" s="16"/>
      <c r="E28" s="23"/>
      <c r="F28" s="16"/>
      <c r="G28" s="16"/>
      <c r="H28" s="20"/>
      <c r="I28" s="20"/>
      <c r="J28" s="22" t="s">
        <v>29</v>
      </c>
      <c r="K28" s="22"/>
      <c r="L28" s="22"/>
      <c r="M28" s="22"/>
      <c r="N28" s="22"/>
      <c r="O28" s="22"/>
      <c r="P28" s="22"/>
      <c r="Q28" s="22"/>
      <c r="R28" s="22"/>
      <c r="S28" s="22"/>
      <c r="T28" s="16"/>
      <c r="U28" s="16"/>
      <c r="V28" s="20"/>
      <c r="W28" s="16"/>
      <c r="X28" s="16"/>
      <c r="Y28" s="16"/>
      <c r="Z28" s="21"/>
      <c r="AA28" s="16"/>
      <c r="AB28" s="16"/>
      <c r="AC28" s="20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</row>
    <row r="29" spans="1:47" ht="15.75" x14ac:dyDescent="0.25">
      <c r="A29" s="132" t="s">
        <v>42</v>
      </c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6"/>
      <c r="Z29" s="21"/>
      <c r="AA29" s="38"/>
      <c r="AB29" s="38"/>
      <c r="AC29" s="20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</row>
    <row r="30" spans="1:47" ht="15.75" x14ac:dyDescent="0.25">
      <c r="A30" s="135">
        <f>VLOOKUP(N15,оплата!B5:L43,7,FALSE)</f>
        <v>1115.96</v>
      </c>
      <c r="B30" s="135"/>
      <c r="C30" s="135"/>
      <c r="D30" s="135"/>
      <c r="E30" s="30"/>
      <c r="F30" s="29" t="e">
        <f ca="1">[1]!СуммаПрописью(A30)</f>
        <v>#NAME?</v>
      </c>
      <c r="G30" s="26"/>
      <c r="H30" s="28"/>
      <c r="I30" s="24"/>
      <c r="J30" s="26"/>
      <c r="K30" s="26"/>
      <c r="L30" s="26"/>
      <c r="M30" s="26"/>
      <c r="N30" s="26"/>
      <c r="O30" s="28"/>
      <c r="P30" s="24"/>
      <c r="Q30" s="26"/>
      <c r="R30" s="26"/>
      <c r="S30" s="26"/>
      <c r="T30" s="26"/>
      <c r="U30" s="26"/>
      <c r="V30" s="27"/>
      <c r="W30" s="24"/>
      <c r="X30" s="26"/>
      <c r="Y30" s="26"/>
      <c r="Z30" s="26"/>
      <c r="AA30" s="26"/>
      <c r="AB30" s="26"/>
      <c r="AC30" s="28"/>
      <c r="AD30" s="17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</row>
    <row r="31" spans="1:47" ht="13.9" customHeight="1" x14ac:dyDescent="0.25">
      <c r="A31" s="19"/>
      <c r="B31" s="16"/>
      <c r="C31" s="16"/>
      <c r="D31" s="16"/>
      <c r="E31" s="23"/>
      <c r="F31" s="16"/>
      <c r="G31" s="16"/>
      <c r="H31" s="20"/>
      <c r="I31" s="20"/>
      <c r="J31" s="22" t="s">
        <v>29</v>
      </c>
      <c r="K31" s="22"/>
      <c r="L31" s="22"/>
      <c r="M31" s="22"/>
      <c r="N31" s="22"/>
      <c r="O31" s="22"/>
      <c r="P31" s="22"/>
      <c r="Q31" s="22"/>
      <c r="R31" s="22"/>
      <c r="S31" s="22"/>
      <c r="T31" s="16"/>
      <c r="U31" s="16"/>
      <c r="V31" s="20"/>
      <c r="W31" s="16"/>
      <c r="X31" s="16"/>
      <c r="Y31" s="16"/>
      <c r="Z31" s="20"/>
      <c r="AA31" s="38"/>
      <c r="AB31" s="38"/>
      <c r="AC31" s="38"/>
      <c r="AD31" s="14"/>
      <c r="AE31" s="14"/>
      <c r="AF31" s="14" t="s">
        <v>41</v>
      </c>
      <c r="AG31" s="14">
        <v>1660518.05</v>
      </c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</row>
    <row r="32" spans="1:47" ht="15.75" x14ac:dyDescent="0.25">
      <c r="A32" s="39" t="s">
        <v>61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109"/>
      <c r="V32" s="109"/>
      <c r="W32" s="109"/>
      <c r="X32" s="109"/>
      <c r="Y32" s="45"/>
      <c r="Z32" s="44"/>
      <c r="AA32" s="38"/>
      <c r="AB32" s="38"/>
      <c r="AC32" s="38"/>
      <c r="AD32" s="110"/>
      <c r="AE32" s="14"/>
      <c r="AF32" s="14" t="s">
        <v>25</v>
      </c>
      <c r="AG32" s="14">
        <v>122786</v>
      </c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</row>
    <row r="33" spans="1:47" ht="15.75" x14ac:dyDescent="0.25">
      <c r="A33" s="19" t="s">
        <v>40</v>
      </c>
      <c r="B33" s="43"/>
      <c r="C33" s="41"/>
      <c r="D33" s="41"/>
      <c r="E33" s="20"/>
      <c r="F33" s="38"/>
      <c r="G33" s="38"/>
      <c r="H33" s="38"/>
      <c r="I33" s="19"/>
      <c r="J33" s="41"/>
      <c r="K33" s="41"/>
      <c r="L33" s="20"/>
      <c r="M33" s="38"/>
      <c r="N33" s="138">
        <f>AG32*100/AG31</f>
        <v>7.3944393437939437</v>
      </c>
      <c r="O33" s="138"/>
      <c r="P33" s="138"/>
      <c r="Q33" s="138"/>
      <c r="R33" s="16" t="s">
        <v>39</v>
      </c>
      <c r="S33" s="20"/>
      <c r="T33" s="38"/>
      <c r="U33" s="38"/>
      <c r="V33" s="38"/>
      <c r="W33" s="16"/>
      <c r="X33" s="41"/>
      <c r="Y33" s="41"/>
      <c r="Z33" s="20"/>
      <c r="AA33" s="38"/>
      <c r="AB33" s="38"/>
      <c r="AC33" s="38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</row>
    <row r="34" spans="1:47" ht="15.75" x14ac:dyDescent="0.25">
      <c r="A34" s="19"/>
      <c r="B34" s="43"/>
      <c r="C34" s="41"/>
      <c r="D34" s="41"/>
      <c r="E34" s="20"/>
      <c r="F34" s="38"/>
      <c r="G34" s="38"/>
      <c r="H34" s="38"/>
      <c r="I34" s="19"/>
      <c r="J34" s="41"/>
      <c r="K34" s="41"/>
      <c r="L34" s="20"/>
      <c r="M34" s="38"/>
      <c r="O34" s="42"/>
      <c r="P34" s="42"/>
      <c r="Q34" s="42"/>
      <c r="R34" s="16"/>
      <c r="S34" s="20"/>
      <c r="T34" s="38"/>
      <c r="U34" s="38"/>
      <c r="V34" s="38"/>
      <c r="W34" s="16"/>
      <c r="X34" s="41"/>
      <c r="Y34" s="41"/>
      <c r="Z34" s="20"/>
      <c r="AA34" s="38"/>
      <c r="AB34" s="38"/>
      <c r="AC34" s="38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</row>
    <row r="35" spans="1:47" ht="16.149999999999999" customHeight="1" x14ac:dyDescent="0.25">
      <c r="A35" s="132" t="s">
        <v>38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</row>
    <row r="36" spans="1:47" ht="15.75" x14ac:dyDescent="0.25">
      <c r="A36" s="155">
        <f>INDEX(оплата!Q5:BA43,MATCH(N15,оплата!B5:B43,),MATCH(EOMONTH(A3,-1)+1,оплата!O3:BA3,))</f>
        <v>531.79999999999995</v>
      </c>
      <c r="B36" s="155"/>
      <c r="C36" s="155"/>
      <c r="D36" s="155"/>
      <c r="E36" s="30"/>
      <c r="F36" s="114" t="s">
        <v>67</v>
      </c>
      <c r="G36" s="26"/>
      <c r="H36" s="28"/>
      <c r="I36" s="24"/>
      <c r="J36" s="26"/>
      <c r="K36" s="26"/>
      <c r="L36" s="26"/>
      <c r="M36" s="26"/>
      <c r="N36" s="26"/>
      <c r="O36" s="28"/>
      <c r="P36" s="24"/>
      <c r="Q36" s="26"/>
      <c r="R36" s="26"/>
      <c r="S36" s="26"/>
      <c r="T36" s="26"/>
      <c r="U36" s="26"/>
      <c r="V36" s="27"/>
      <c r="W36" s="24"/>
      <c r="X36" s="26"/>
      <c r="Y36" s="24"/>
      <c r="Z36" s="24"/>
      <c r="AA36" s="24"/>
      <c r="AB36" s="24"/>
      <c r="AC36" s="24"/>
      <c r="AD36" s="17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</row>
    <row r="37" spans="1:47" ht="15.75" x14ac:dyDescent="0.25">
      <c r="A37" s="19"/>
      <c r="B37" s="16"/>
      <c r="C37" s="16"/>
      <c r="D37" s="16"/>
      <c r="E37" s="38"/>
      <c r="F37" s="38"/>
      <c r="G37" s="38"/>
      <c r="H37" s="40"/>
      <c r="I37" s="19"/>
      <c r="J37" s="22" t="s">
        <v>29</v>
      </c>
      <c r="K37" s="16"/>
      <c r="L37" s="38"/>
      <c r="M37" s="38"/>
      <c r="N37" s="38"/>
      <c r="O37" s="16"/>
      <c r="P37" s="16"/>
      <c r="Q37" s="16"/>
      <c r="R37" s="16"/>
      <c r="S37" s="38"/>
      <c r="T37" s="38"/>
      <c r="U37" s="38"/>
      <c r="V37" s="16"/>
      <c r="W37" s="16"/>
      <c r="X37" s="16"/>
      <c r="Y37" s="16"/>
      <c r="Z37" s="38"/>
      <c r="AA37" s="38"/>
      <c r="AB37" s="38"/>
      <c r="AC37" s="16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</row>
    <row r="38" spans="1:47" ht="15.75" hidden="1" x14ac:dyDescent="0.25">
      <c r="A38" s="39" t="s">
        <v>37</v>
      </c>
      <c r="B38" s="39"/>
      <c r="C38" s="39"/>
      <c r="D38" s="39"/>
      <c r="E38" s="39"/>
      <c r="F38" s="39"/>
      <c r="G38" s="39"/>
      <c r="H38" s="20"/>
      <c r="I38" s="19"/>
      <c r="J38" s="16"/>
      <c r="K38" s="16"/>
      <c r="L38" s="21"/>
      <c r="M38" s="16"/>
      <c r="N38" s="16"/>
      <c r="O38" s="20"/>
      <c r="P38" s="16"/>
      <c r="Q38" s="16"/>
      <c r="R38" s="16"/>
      <c r="S38" s="21"/>
      <c r="T38" s="16"/>
      <c r="U38" s="16"/>
      <c r="V38" s="20"/>
      <c r="W38" s="16"/>
      <c r="X38" s="16"/>
      <c r="Y38" s="16"/>
      <c r="Z38" s="21"/>
      <c r="AA38" s="16"/>
      <c r="AB38" s="16"/>
      <c r="AC38" s="20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</row>
    <row r="39" spans="1:47" ht="18.600000000000001" hidden="1" customHeight="1" x14ac:dyDescent="0.25">
      <c r="A39" s="132" t="s">
        <v>36</v>
      </c>
      <c r="B39" s="132"/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3" t="e">
        <f>A19*N33/100-A24</f>
        <v>#REF!</v>
      </c>
      <c r="T39" s="133"/>
      <c r="U39" s="133"/>
      <c r="V39" s="133"/>
      <c r="W39" s="133"/>
      <c r="X39" s="133"/>
      <c r="Y39" s="133"/>
      <c r="Z39" s="21" t="s">
        <v>32</v>
      </c>
      <c r="AA39" s="38"/>
      <c r="AB39" s="38"/>
      <c r="AC39" s="20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</row>
    <row r="40" spans="1:47" ht="18.600000000000001" hidden="1" customHeight="1" x14ac:dyDescent="0.25">
      <c r="A40" s="132" t="s">
        <v>35</v>
      </c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3" t="e">
        <f>ROUNDUP(A36-S39,2)</f>
        <v>#REF!</v>
      </c>
      <c r="T40" s="133"/>
      <c r="U40" s="133"/>
      <c r="V40" s="133"/>
      <c r="W40" s="133"/>
      <c r="X40" s="133"/>
      <c r="Y40" s="133"/>
      <c r="Z40" s="21" t="s">
        <v>32</v>
      </c>
      <c r="AA40" s="37"/>
      <c r="AB40" s="37"/>
      <c r="AC40" s="36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</row>
    <row r="41" spans="1:47" ht="13.15" hidden="1" customHeight="1" x14ac:dyDescent="0.2">
      <c r="A41" s="35" t="s">
        <v>34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3"/>
      <c r="T41" s="33"/>
      <c r="U41" s="33"/>
      <c r="V41" s="33"/>
      <c r="W41" s="33"/>
      <c r="X41" s="33"/>
      <c r="Y41" s="33"/>
      <c r="Z41" s="32"/>
      <c r="AA41" s="32"/>
      <c r="AB41" s="32"/>
      <c r="AC41" s="32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</row>
    <row r="42" spans="1:47" ht="19.899999999999999" hidden="1" customHeight="1" x14ac:dyDescent="0.25">
      <c r="A42" s="132" t="s">
        <v>33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3"/>
      <c r="T42" s="133"/>
      <c r="U42" s="133"/>
      <c r="V42" s="133"/>
      <c r="W42" s="133"/>
      <c r="X42" s="133"/>
      <c r="Y42" s="133"/>
      <c r="Z42" s="21" t="s">
        <v>32</v>
      </c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</row>
    <row r="43" spans="1:47" ht="27" hidden="1" customHeight="1" x14ac:dyDescent="0.25">
      <c r="A43" s="143" t="s">
        <v>31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</row>
    <row r="44" spans="1:47" ht="13.9" customHeight="1" x14ac:dyDescent="0.25">
      <c r="A44" s="31" t="s">
        <v>30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</row>
    <row r="45" spans="1:47" ht="46.5" customHeight="1" x14ac:dyDescent="0.2">
      <c r="A45" s="140" t="s">
        <v>64</v>
      </c>
      <c r="B45" s="140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140"/>
      <c r="Z45" s="140"/>
      <c r="AA45" s="140"/>
      <c r="AB45" s="140"/>
      <c r="AC45" s="140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</row>
    <row r="46" spans="1:47" ht="13.9" customHeight="1" x14ac:dyDescent="0.25">
      <c r="A46" s="135">
        <f>A36</f>
        <v>531.79999999999995</v>
      </c>
      <c r="B46" s="135"/>
      <c r="C46" s="135"/>
      <c r="D46" s="135"/>
      <c r="E46" s="30"/>
      <c r="F46" s="29" t="e">
        <f ca="1">[1]!СуммаПрописью(A46)</f>
        <v>#NAME?</v>
      </c>
      <c r="G46" s="26"/>
      <c r="H46" s="28"/>
      <c r="I46" s="24"/>
      <c r="J46" s="26"/>
      <c r="K46" s="26"/>
      <c r="L46" s="26"/>
      <c r="M46" s="26"/>
      <c r="N46" s="26"/>
      <c r="O46" s="28"/>
      <c r="P46" s="24"/>
      <c r="Q46" s="26"/>
      <c r="R46" s="26"/>
      <c r="S46" s="26"/>
      <c r="T46" s="26"/>
      <c r="U46" s="26"/>
      <c r="V46" s="27"/>
      <c r="W46" s="24"/>
      <c r="X46" s="26"/>
      <c r="Y46" s="24"/>
      <c r="Z46" s="25"/>
      <c r="AA46" s="25"/>
      <c r="AB46" s="25"/>
      <c r="AC46" s="24"/>
      <c r="AD46" s="17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</row>
    <row r="47" spans="1:47" ht="13.9" customHeight="1" x14ac:dyDescent="0.25">
      <c r="A47" s="19"/>
      <c r="B47" s="16"/>
      <c r="C47" s="16"/>
      <c r="D47" s="16"/>
      <c r="E47" s="23"/>
      <c r="F47" s="16"/>
      <c r="G47" s="16"/>
      <c r="H47" s="20"/>
      <c r="I47" s="20"/>
      <c r="J47" s="22" t="s">
        <v>29</v>
      </c>
      <c r="K47" s="22"/>
      <c r="L47" s="22"/>
      <c r="M47" s="22"/>
      <c r="N47" s="22"/>
      <c r="O47" s="22"/>
      <c r="P47" s="22"/>
      <c r="Q47" s="22"/>
      <c r="R47" s="22"/>
      <c r="S47" s="22"/>
      <c r="T47" s="16"/>
      <c r="U47" s="16"/>
      <c r="V47" s="20"/>
      <c r="W47" s="16"/>
      <c r="X47" s="16"/>
      <c r="Y47" s="16"/>
      <c r="Z47" s="21"/>
      <c r="AA47" s="16"/>
      <c r="AB47" s="16"/>
      <c r="AC47" s="20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</row>
    <row r="48" spans="1:47" ht="48" customHeight="1" x14ac:dyDescent="0.2">
      <c r="A48" s="140" t="s">
        <v>65</v>
      </c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</row>
    <row r="49" spans="1:47" ht="13.9" customHeight="1" x14ac:dyDescent="0.25">
      <c r="A49" s="135">
        <v>0</v>
      </c>
      <c r="B49" s="135"/>
      <c r="C49" s="135"/>
      <c r="D49" s="135"/>
      <c r="E49" s="30"/>
      <c r="F49" s="29" t="str">
        <f>[1]!СуммаПрописью(A49)</f>
        <v>Ноль рублей 00 копеек</v>
      </c>
      <c r="G49" s="26"/>
      <c r="H49" s="28"/>
      <c r="I49" s="24"/>
      <c r="J49" s="26"/>
      <c r="K49" s="26"/>
      <c r="L49" s="26"/>
      <c r="M49" s="26"/>
      <c r="N49" s="26"/>
      <c r="O49" s="28"/>
      <c r="P49" s="24"/>
      <c r="Q49" s="26"/>
      <c r="R49" s="26"/>
      <c r="S49" s="26"/>
      <c r="T49" s="26"/>
      <c r="U49" s="26"/>
      <c r="V49" s="27"/>
      <c r="W49" s="24"/>
      <c r="X49" s="26"/>
      <c r="Y49" s="24"/>
      <c r="Z49" s="25"/>
      <c r="AA49" s="25"/>
      <c r="AB49" s="25"/>
      <c r="AC49" s="24"/>
      <c r="AD49" s="17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</row>
    <row r="50" spans="1:47" ht="13.9" customHeight="1" x14ac:dyDescent="0.25">
      <c r="A50" s="19"/>
      <c r="B50" s="16"/>
      <c r="C50" s="16"/>
      <c r="D50" s="16"/>
      <c r="E50" s="23"/>
      <c r="F50" s="16"/>
      <c r="G50" s="16"/>
      <c r="H50" s="20"/>
      <c r="I50" s="20"/>
      <c r="J50" s="22" t="s">
        <v>29</v>
      </c>
      <c r="K50" s="22"/>
      <c r="L50" s="22"/>
      <c r="M50" s="22"/>
      <c r="N50" s="22"/>
      <c r="O50" s="22"/>
      <c r="P50" s="22"/>
      <c r="Q50" s="22"/>
      <c r="R50" s="22"/>
      <c r="S50" s="22"/>
      <c r="T50" s="16"/>
      <c r="U50" s="16"/>
      <c r="V50" s="20"/>
      <c r="W50" s="16"/>
      <c r="X50" s="16"/>
      <c r="Y50" s="16"/>
      <c r="Z50" s="21"/>
      <c r="AA50" s="16"/>
      <c r="AB50" s="16"/>
      <c r="AC50" s="20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</row>
    <row r="51" spans="1:47" ht="8.25" customHeight="1" x14ac:dyDescent="0.2">
      <c r="C51" s="14"/>
      <c r="D51" s="14"/>
      <c r="E51" s="14"/>
      <c r="F51" s="14"/>
      <c r="G51" s="14"/>
      <c r="H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</row>
    <row r="52" spans="1:47" ht="15.75" x14ac:dyDescent="0.25">
      <c r="A52" s="19" t="s">
        <v>28</v>
      </c>
      <c r="B52" s="19"/>
      <c r="C52" s="16"/>
      <c r="D52" s="16"/>
      <c r="E52" s="16"/>
      <c r="F52" s="16"/>
      <c r="G52" s="16"/>
      <c r="H52" s="16"/>
      <c r="I52" s="139"/>
      <c r="J52" s="139"/>
      <c r="K52" s="139"/>
      <c r="L52" s="139"/>
      <c r="M52" s="139"/>
      <c r="N52" s="139"/>
      <c r="O52" s="139"/>
      <c r="P52" s="139"/>
      <c r="Q52" s="139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</row>
    <row r="53" spans="1:47" x14ac:dyDescent="0.2">
      <c r="C53" s="14"/>
      <c r="D53" s="14"/>
      <c r="E53" s="14"/>
      <c r="F53" s="14"/>
      <c r="G53" s="14"/>
      <c r="H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</row>
    <row r="54" spans="1:47" x14ac:dyDescent="0.2">
      <c r="C54" s="14"/>
      <c r="D54" s="14"/>
      <c r="E54" s="14"/>
      <c r="F54" s="14"/>
      <c r="G54" s="14"/>
      <c r="H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</row>
    <row r="55" spans="1:47" ht="15.75" x14ac:dyDescent="0.25">
      <c r="A55" s="19" t="s">
        <v>27</v>
      </c>
      <c r="B55" s="15"/>
      <c r="J55" s="17"/>
      <c r="K55" s="17"/>
      <c r="L55" s="18"/>
      <c r="M55" s="17"/>
      <c r="N55" s="17"/>
      <c r="O55" s="17"/>
      <c r="P55" s="17"/>
      <c r="V55" s="16"/>
      <c r="W55" s="14"/>
      <c r="X55" s="15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1:47" ht="12" customHeight="1" x14ac:dyDescent="0.25">
      <c r="B56" s="15"/>
      <c r="J56" s="142" t="s">
        <v>26</v>
      </c>
      <c r="K56" s="142"/>
      <c r="L56" s="142"/>
      <c r="M56" s="142"/>
      <c r="N56" s="142"/>
      <c r="O56" s="142"/>
      <c r="P56" s="142"/>
      <c r="V56" s="14"/>
      <c r="W56" s="14"/>
      <c r="X56" s="15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</row>
  </sheetData>
  <mergeCells count="43">
    <mergeCell ref="A16:AD16"/>
    <mergeCell ref="A3:C3"/>
    <mergeCell ref="A5:AC5"/>
    <mergeCell ref="A6:AC6"/>
    <mergeCell ref="E10:AC10"/>
    <mergeCell ref="A11:K11"/>
    <mergeCell ref="X11:AD11"/>
    <mergeCell ref="L11:W11"/>
    <mergeCell ref="E9:AD9"/>
    <mergeCell ref="A15:E15"/>
    <mergeCell ref="N15:P15"/>
    <mergeCell ref="Q15:W15"/>
    <mergeCell ref="X15:Z15"/>
    <mergeCell ref="F15:M15"/>
    <mergeCell ref="A49:D49"/>
    <mergeCell ref="I52:Q52"/>
    <mergeCell ref="A45:AC45"/>
    <mergeCell ref="L12:AD14"/>
    <mergeCell ref="J56:P56"/>
    <mergeCell ref="A46:D46"/>
    <mergeCell ref="A48:AC48"/>
    <mergeCell ref="A42:R42"/>
    <mergeCell ref="S42:Y42"/>
    <mergeCell ref="A24:D24"/>
    <mergeCell ref="S40:Y40"/>
    <mergeCell ref="A27:D27"/>
    <mergeCell ref="A29:X29"/>
    <mergeCell ref="A30:D30"/>
    <mergeCell ref="A43:AA43"/>
    <mergeCell ref="A35:AC35"/>
    <mergeCell ref="A36:D36"/>
    <mergeCell ref="A39:R39"/>
    <mergeCell ref="S39:Y39"/>
    <mergeCell ref="A40:R40"/>
    <mergeCell ref="B17:C17"/>
    <mergeCell ref="J17:K17"/>
    <mergeCell ref="Q17:R17"/>
    <mergeCell ref="A19:D19"/>
    <mergeCell ref="J20:S20"/>
    <mergeCell ref="A21:N21"/>
    <mergeCell ref="O21:U21"/>
    <mergeCell ref="N33:Q33"/>
    <mergeCell ref="J25:S25"/>
  </mergeCells>
  <printOptions horizontalCentered="1"/>
  <pageMargins left="1.1811023622047245" right="0.31496062992125984" top="0.98425196850393704" bottom="0.35433070866141736" header="1.3779527559055118" footer="0.31496062992125984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оплата</vt:lpstr>
      <vt:lpstr>справка в банк</vt:lpstr>
      <vt:lpstr>'справка в банк'!Область_печати</vt:lpstr>
      <vt:lpstr>ФИО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2018-12-27T11:20:28Z</dcterms:modified>
</cp:coreProperties>
</file>