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/>
  <mc:AlternateContent xmlns:mc="http://schemas.openxmlformats.org/markup-compatibility/2006">
    <mc:Choice Requires="x15">
      <x15ac:absPath xmlns:x15ac="http://schemas.microsoft.com/office/spreadsheetml/2010/11/ac" url="C:\Users\Раб5\Desktop\"/>
    </mc:Choice>
  </mc:AlternateContent>
  <xr:revisionPtr revIDLastSave="0" documentId="13_ncr:1_{030767C8-309D-4A1E-8CBA-A048CEA01960}" xr6:coauthVersionLast="40" xr6:coauthVersionMax="40" xr10:uidLastSave="{00000000-0000-0000-0000-000000000000}"/>
  <bookViews>
    <workbookView xWindow="0" yWindow="0" windowWidth="20490" windowHeight="7485" xr2:uid="{00000000-000D-0000-FFFF-FFFF00000000}"/>
  </bookViews>
  <sheets>
    <sheet name="Матч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4" i="1" l="1"/>
  <c r="G24" i="1"/>
  <c r="F24" i="1"/>
  <c r="E24" i="1"/>
  <c r="I24" i="1" s="1"/>
  <c r="H23" i="1"/>
  <c r="G23" i="1"/>
  <c r="F23" i="1"/>
  <c r="E23" i="1"/>
  <c r="I23" i="1" s="1"/>
  <c r="H22" i="1"/>
  <c r="G22" i="1"/>
  <c r="F22" i="1"/>
  <c r="E22" i="1"/>
  <c r="I22" i="1" s="1"/>
  <c r="H21" i="1"/>
  <c r="G21" i="1"/>
  <c r="F21" i="1"/>
  <c r="E21" i="1"/>
  <c r="I21" i="1" s="1"/>
  <c r="H20" i="1"/>
  <c r="G20" i="1"/>
  <c r="F20" i="1"/>
  <c r="E20" i="1"/>
  <c r="I20" i="1" s="1"/>
  <c r="H19" i="1"/>
  <c r="G19" i="1"/>
  <c r="F19" i="1"/>
  <c r="E19" i="1"/>
  <c r="I19" i="1" s="1"/>
  <c r="H18" i="1"/>
  <c r="G18" i="1"/>
  <c r="F18" i="1"/>
  <c r="E18" i="1"/>
  <c r="I18" i="1" s="1"/>
  <c r="H17" i="1"/>
  <c r="G17" i="1"/>
  <c r="F17" i="1"/>
  <c r="E17" i="1"/>
  <c r="I17" i="1" s="1"/>
  <c r="H16" i="1"/>
  <c r="G16" i="1"/>
  <c r="F16" i="1"/>
  <c r="E16" i="1"/>
  <c r="I16" i="1" s="1"/>
  <c r="Q15" i="1"/>
  <c r="H15" i="1"/>
  <c r="G15" i="1"/>
  <c r="F15" i="1"/>
  <c r="E15" i="1"/>
  <c r="I15" i="1" s="1"/>
  <c r="H11" i="1"/>
  <c r="G11" i="1"/>
  <c r="F11" i="1"/>
  <c r="E11" i="1"/>
  <c r="H10" i="1"/>
  <c r="G10" i="1"/>
  <c r="F10" i="1"/>
  <c r="E10" i="1"/>
  <c r="H9" i="1"/>
  <c r="G9" i="1"/>
  <c r="F9" i="1"/>
  <c r="E9" i="1"/>
  <c r="H8" i="1"/>
  <c r="G8" i="1"/>
  <c r="F8" i="1"/>
  <c r="E8" i="1"/>
  <c r="H7" i="1"/>
  <c r="G7" i="1"/>
  <c r="F7" i="1"/>
  <c r="E7" i="1"/>
  <c r="H6" i="1"/>
  <c r="G6" i="1"/>
  <c r="F6" i="1"/>
  <c r="E6" i="1"/>
  <c r="H5" i="1"/>
  <c r="G5" i="1"/>
  <c r="F5" i="1"/>
  <c r="E5" i="1"/>
  <c r="H4" i="1"/>
  <c r="G4" i="1"/>
  <c r="F4" i="1"/>
  <c r="E4" i="1"/>
  <c r="H3" i="1"/>
  <c r="G3" i="1"/>
  <c r="F3" i="1"/>
  <c r="E3" i="1"/>
  <c r="Q2" i="1"/>
  <c r="H2" i="1"/>
  <c r="G2" i="1"/>
  <c r="F2" i="1"/>
  <c r="E2" i="1"/>
  <c r="I2" i="1" s="1"/>
  <c r="D1" i="1" a="1"/>
  <c r="D1" i="1" s="1"/>
  <c r="K2" i="1" l="1"/>
  <c r="P2" i="1"/>
  <c r="L2" i="1"/>
  <c r="J2" i="1"/>
  <c r="P16" i="1"/>
  <c r="L16" i="1"/>
  <c r="J16" i="1"/>
  <c r="K16" i="1"/>
  <c r="O16" i="1" s="1"/>
  <c r="P17" i="1"/>
  <c r="L17" i="1"/>
  <c r="J17" i="1"/>
  <c r="K17" i="1"/>
  <c r="O17" i="1" s="1"/>
  <c r="P18" i="1"/>
  <c r="L18" i="1"/>
  <c r="J18" i="1"/>
  <c r="K18" i="1"/>
  <c r="O18" i="1" s="1"/>
  <c r="P19" i="1"/>
  <c r="L19" i="1"/>
  <c r="J19" i="1"/>
  <c r="K19" i="1"/>
  <c r="O19" i="1" s="1"/>
  <c r="P20" i="1"/>
  <c r="L20" i="1"/>
  <c r="J20" i="1"/>
  <c r="K20" i="1"/>
  <c r="O20" i="1" s="1"/>
  <c r="P21" i="1"/>
  <c r="L21" i="1"/>
  <c r="J21" i="1"/>
  <c r="K21" i="1"/>
  <c r="O21" i="1" s="1"/>
  <c r="P22" i="1"/>
  <c r="L22" i="1"/>
  <c r="J22" i="1"/>
  <c r="K22" i="1"/>
  <c r="O22" i="1" s="1"/>
  <c r="P23" i="1"/>
  <c r="L23" i="1"/>
  <c r="J23" i="1"/>
  <c r="K23" i="1"/>
  <c r="O23" i="1" s="1"/>
  <c r="P24" i="1"/>
  <c r="L24" i="1"/>
  <c r="J24" i="1"/>
  <c r="K24" i="1"/>
  <c r="O24" i="1" s="1"/>
  <c r="I3" i="1"/>
  <c r="I5" i="1"/>
  <c r="I6" i="1"/>
  <c r="I7" i="1"/>
  <c r="I8" i="1"/>
  <c r="I9" i="1"/>
  <c r="I10" i="1"/>
  <c r="I11" i="1"/>
  <c r="P15" i="1"/>
  <c r="L15" i="1"/>
  <c r="J15" i="1"/>
  <c r="S16" i="1"/>
  <c r="K15" i="1"/>
  <c r="Q16" i="1"/>
  <c r="I4" i="1"/>
  <c r="T15" i="1" l="1"/>
  <c r="R15" i="1"/>
  <c r="S15" i="1"/>
  <c r="T16" i="1"/>
  <c r="P11" i="1"/>
  <c r="L11" i="1"/>
  <c r="J11" i="1"/>
  <c r="K11" i="1"/>
  <c r="O11" i="1" s="1"/>
  <c r="P9" i="1"/>
  <c r="L9" i="1"/>
  <c r="J9" i="1"/>
  <c r="K9" i="1"/>
  <c r="O9" i="1" s="1"/>
  <c r="P7" i="1"/>
  <c r="L7" i="1"/>
  <c r="J7" i="1"/>
  <c r="K7" i="1"/>
  <c r="O7" i="1" s="1"/>
  <c r="L5" i="1"/>
  <c r="J5" i="1"/>
  <c r="P5" i="1"/>
  <c r="K5" i="1"/>
  <c r="O5" i="1" s="1"/>
  <c r="O2" i="1"/>
  <c r="K4" i="1"/>
  <c r="O4" i="1" s="1"/>
  <c r="J4" i="1"/>
  <c r="S3" i="1" s="1"/>
  <c r="AA3" i="1" s="1"/>
  <c r="P4" i="1"/>
  <c r="L4" i="1"/>
  <c r="K25" i="1"/>
  <c r="O15" i="1"/>
  <c r="K26" i="1"/>
  <c r="L25" i="1"/>
  <c r="R16" i="1"/>
  <c r="L26" i="1"/>
  <c r="P10" i="1"/>
  <c r="L10" i="1"/>
  <c r="J10" i="1"/>
  <c r="K10" i="1"/>
  <c r="O10" i="1" s="1"/>
  <c r="P8" i="1"/>
  <c r="L8" i="1"/>
  <c r="J8" i="1"/>
  <c r="K8" i="1"/>
  <c r="O8" i="1" s="1"/>
  <c r="P6" i="1"/>
  <c r="L6" i="1"/>
  <c r="J6" i="1"/>
  <c r="T3" i="1" s="1"/>
  <c r="K6" i="1"/>
  <c r="O6" i="1" s="1"/>
  <c r="K3" i="1"/>
  <c r="O3" i="1" s="1"/>
  <c r="J3" i="1"/>
  <c r="S2" i="1" s="1"/>
  <c r="P3" i="1"/>
  <c r="AE9" i="1" s="1"/>
  <c r="L3" i="1"/>
  <c r="L12" i="1"/>
  <c r="N2" i="1" s="1"/>
  <c r="R3" i="1"/>
  <c r="Q3" i="1"/>
  <c r="Y3" i="1" s="1"/>
  <c r="L13" i="1"/>
  <c r="Z3" i="1" l="1"/>
  <c r="AB3" i="1"/>
  <c r="N3" i="1"/>
  <c r="N4" i="1" s="1"/>
  <c r="K13" i="1"/>
  <c r="M3" i="1" s="1"/>
  <c r="AM9" i="1"/>
  <c r="AG9" i="1"/>
  <c r="AI9" i="1" s="1"/>
  <c r="AA9" i="1"/>
  <c r="U9" i="1"/>
  <c r="AJ9" i="1"/>
  <c r="X9" i="1"/>
  <c r="Z9" i="1" s="1"/>
  <c r="AD9" i="1"/>
  <c r="AF9" i="1" s="1"/>
  <c r="R9" i="1"/>
  <c r="AH9" i="1"/>
  <c r="AN9" i="1"/>
  <c r="Y9" i="1"/>
  <c r="AK9" i="1"/>
  <c r="T2" i="1"/>
  <c r="AB2" i="1"/>
  <c r="AB4" i="1" s="1"/>
  <c r="K12" i="1"/>
  <c r="M2" i="1" s="1"/>
  <c r="V9" i="1"/>
  <c r="AB9" i="1"/>
  <c r="S9" i="1"/>
  <c r="R2" i="1"/>
  <c r="Z2" i="1" s="1"/>
  <c r="T9" i="1" l="1"/>
  <c r="W9" i="1"/>
  <c r="Z4" i="1"/>
  <c r="M4" i="1"/>
  <c r="M5" i="1"/>
  <c r="AL9" i="1"/>
  <c r="AC9" i="1"/>
  <c r="AO9" i="1"/>
  <c r="AA2" i="1"/>
  <c r="AA4" i="1" s="1"/>
  <c r="Z5" i="1" l="1"/>
</calcChain>
</file>

<file path=xl/sharedStrings.xml><?xml version="1.0" encoding="utf-8"?>
<sst xmlns="http://schemas.openxmlformats.org/spreadsheetml/2006/main" count="124" uniqueCount="62">
  <si>
    <t>Команда-</t>
  </si>
  <si>
    <t>Команда1</t>
  </si>
  <si>
    <t>Команда2</t>
  </si>
  <si>
    <t>Голы1</t>
  </si>
  <si>
    <t>Голы2</t>
  </si>
  <si>
    <t>Где играла</t>
  </si>
  <si>
    <t>Результат</t>
  </si>
  <si>
    <t>Забито</t>
  </si>
  <si>
    <t>Пропущено</t>
  </si>
  <si>
    <t>П1</t>
  </si>
  <si>
    <t>П2</t>
  </si>
  <si>
    <t>Д+Г</t>
  </si>
  <si>
    <t>Игр</t>
  </si>
  <si>
    <t>В</t>
  </si>
  <si>
    <t>Н</t>
  </si>
  <si>
    <t>П</t>
  </si>
  <si>
    <t>Победа 1</t>
  </si>
  <si>
    <t>Ничья</t>
  </si>
  <si>
    <t>Победа 2</t>
  </si>
  <si>
    <t>Pachuca W</t>
  </si>
  <si>
    <t>Puebla W</t>
  </si>
  <si>
    <t>0:0</t>
  </si>
  <si>
    <t>10 матчей</t>
  </si>
  <si>
    <t>Cruz Azul W</t>
  </si>
  <si>
    <t>2:4</t>
  </si>
  <si>
    <t>Club America W</t>
  </si>
  <si>
    <t>0:1</t>
  </si>
  <si>
    <t>Среднее</t>
  </si>
  <si>
    <t>U.N.A.M.- Pumas W</t>
  </si>
  <si>
    <t>5:1</t>
  </si>
  <si>
    <t>Toluca W</t>
  </si>
  <si>
    <t>ТМ 0.5</t>
  </si>
  <si>
    <t>ТМ 0.5 Д+Г</t>
  </si>
  <si>
    <t>Ср. знач</t>
  </si>
  <si>
    <t>ТМ 1.5</t>
  </si>
  <si>
    <t>ТМ 1.5 Д+Г</t>
  </si>
  <si>
    <t>ТМ 2.5</t>
  </si>
  <si>
    <t>ТМ 2.5 Д+Г</t>
  </si>
  <si>
    <t>ТМ 3.5</t>
  </si>
  <si>
    <t>ТМ 3.5 Д+Г</t>
  </si>
  <si>
    <t>ТБ 0.5</t>
  </si>
  <si>
    <t>ТБ 0.5 Д+Г</t>
  </si>
  <si>
    <t>ТБ 1.5</t>
  </si>
  <si>
    <t>ТБ 1.5 Д+Г</t>
  </si>
  <si>
    <t>ТБ 2.5</t>
  </si>
  <si>
    <t>ТБ 2.5 Д+Г</t>
  </si>
  <si>
    <t>ТБ 3.5</t>
  </si>
  <si>
    <t>ТБ 3.5 Д+Г</t>
  </si>
  <si>
    <t>3:2</t>
  </si>
  <si>
    <t>Lobos BUAP W</t>
  </si>
  <si>
    <t>2:3</t>
  </si>
  <si>
    <t>Veracruz W</t>
  </si>
  <si>
    <t>3:0</t>
  </si>
  <si>
    <t>В гостях</t>
  </si>
  <si>
    <t>Club Tijuana W</t>
  </si>
  <si>
    <t>1:2</t>
  </si>
  <si>
    <t>0:2</t>
  </si>
  <si>
    <t>0:3</t>
  </si>
  <si>
    <t>3:1</t>
  </si>
  <si>
    <t>2:1</t>
  </si>
  <si>
    <t>1:0</t>
  </si>
  <si>
    <t>4:1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</si>
</sst>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4" x14ac:knownFonts="1">
    <font>
      <sz val="11"/>
      <color rgb="FF000000"/>
      <name val="Calibri"/>
    </font>
    <font>
      <b/>
      <sz val="12"/>
      <color rgb="FF000000"/>
      <name val="Tahoma"/>
    </font>
    <font>
      <sz val="10"/>
      <color rgb="FF000000"/>
      <name val="Tahoma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 applyAlignment="1"/>
    <xf numFmtId="49" fontId="1" fillId="0" borderId="3" xfId="0" applyNumberFormat="1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0" fontId="0" fillId="0" borderId="4" xfId="0" applyBorder="1"/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49" fontId="2" fillId="0" borderId="0" xfId="0" applyNumberFormat="1" applyFont="1"/>
    <xf numFmtId="49" fontId="0" fillId="0" borderId="3" xfId="0" applyNumberFormat="1" applyBorder="1"/>
    <xf numFmtId="1" fontId="0" fillId="0" borderId="3" xfId="0" applyNumberFormat="1" applyBorder="1"/>
    <xf numFmtId="0" fontId="0" fillId="0" borderId="3" xfId="0" applyBorder="1"/>
    <xf numFmtId="164" fontId="0" fillId="0" borderId="3" xfId="0" applyNumberFormat="1" applyBorder="1"/>
    <xf numFmtId="164" fontId="0" fillId="0" borderId="1" xfId="0" applyNumberFormat="1" applyBorder="1"/>
    <xf numFmtId="0" fontId="0" fillId="0" borderId="2" xfId="0" applyBorder="1"/>
    <xf numFmtId="165" fontId="0" fillId="0" borderId="3" xfId="0" applyNumberFormat="1" applyBorder="1"/>
    <xf numFmtId="9" fontId="0" fillId="0" borderId="0" xfId="0" applyNumberFormat="1"/>
    <xf numFmtId="164" fontId="0" fillId="0" borderId="3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49" fontId="0" fillId="0" borderId="0" xfId="0" applyNumberFormat="1"/>
    <xf numFmtId="164" fontId="0" fillId="0" borderId="0" xfId="0" applyNumberFormat="1"/>
    <xf numFmtId="0" fontId="3" fillId="2" borderId="5" xfId="0" applyFont="1" applyFill="1" applyBorder="1" applyAlignment="1">
      <alignment horizontal="center" vertical="center"/>
    </xf>
    <xf numFmtId="9" fontId="0" fillId="2" borderId="3" xfId="0" applyNumberFormat="1" applyFill="1" applyBorder="1" applyAlignment="1">
      <alignment horizontal="center" vertical="center"/>
    </xf>
    <xf numFmtId="9" fontId="0" fillId="0" borderId="3" xfId="0" applyNumberFormat="1" applyBorder="1"/>
    <xf numFmtId="1" fontId="0" fillId="0" borderId="0" xfId="0" applyNumberFormat="1"/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/>
    <xf numFmtId="165" fontId="0" fillId="3" borderId="3" xfId="0" applyNumberForma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000"/>
  <sheetViews>
    <sheetView tabSelected="1" topLeftCell="M1" workbookViewId="0">
      <selection activeCell="Z4" sqref="Z4:AB4"/>
    </sheetView>
  </sheetViews>
  <sheetFormatPr defaultColWidth="14.42578125" defaultRowHeight="15" customHeight="1" x14ac:dyDescent="0.25"/>
  <cols>
    <col min="1" max="3" width="8.7109375" style="24" customWidth="1"/>
    <col min="4" max="4" width="24.85546875" style="24" customWidth="1"/>
    <col min="5" max="10" width="8.7109375" style="24" customWidth="1"/>
    <col min="11" max="11" width="8.42578125" style="24" customWidth="1"/>
    <col min="12" max="12" width="13" style="24" customWidth="1"/>
    <col min="13" max="14" width="8.7109375" style="24" customWidth="1"/>
    <col min="15" max="17" width="8.7109375" style="24" hidden="1" customWidth="1"/>
    <col min="18" max="18" width="7.28515625" style="24" hidden="1" customWidth="1"/>
    <col min="19" max="19" width="11.42578125" style="24" hidden="1" customWidth="1"/>
    <col min="20" max="20" width="8.7109375" style="24" hidden="1" customWidth="1"/>
    <col min="21" max="21" width="7.28515625" style="24" hidden="1" customWidth="1"/>
    <col min="22" max="22" width="11.28515625" style="24" hidden="1" customWidth="1"/>
    <col min="23" max="23" width="8.7109375" style="24" hidden="1" customWidth="1"/>
    <col min="24" max="24" width="7.28515625" style="24" hidden="1" customWidth="1"/>
    <col min="25" max="25" width="18" style="24" customWidth="1"/>
    <col min="26" max="26" width="10.140625" style="24" customWidth="1"/>
    <col min="27" max="27" width="8.7109375" style="24" customWidth="1"/>
    <col min="28" max="29" width="11.140625" style="24" customWidth="1"/>
    <col min="30" max="30" width="6.7109375" style="24" customWidth="1"/>
    <col min="31" max="31" width="10.7109375" style="24" customWidth="1"/>
    <col min="32" max="32" width="8.7109375" style="24" customWidth="1"/>
    <col min="33" max="33" width="6.7109375" style="24" customWidth="1"/>
    <col min="34" max="34" width="10.7109375" style="24" customWidth="1"/>
    <col min="35" max="35" width="8.7109375" style="24" customWidth="1"/>
    <col min="36" max="36" width="6.7109375" style="24" customWidth="1"/>
    <col min="37" max="37" width="10.7109375" style="24" customWidth="1"/>
    <col min="38" max="38" width="8.7109375" style="24" customWidth="1"/>
    <col min="39" max="39" width="6.7109375" style="24" customWidth="1"/>
    <col min="40" max="40" width="10.7109375" style="24" customWidth="1"/>
    <col min="41" max="41" width="8.7109375" style="24" customWidth="1"/>
  </cols>
  <sheetData>
    <row r="1" spans="1:41" ht="15.75" x14ac:dyDescent="0.25">
      <c r="A1" s="25" t="s">
        <v>0</v>
      </c>
      <c r="B1" s="26"/>
      <c r="C1" s="26"/>
      <c r="D1" s="1" t="str">
        <f t="array" ref="D1">INDEX(E2:E11,MATCH(MAX(COUNTIF(E2:E11,E2:E11)),COUNTIF(E2:E11,E2:E11),0))</f>
        <v>Pachuca W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3" t="s">
        <v>9</v>
      </c>
      <c r="N1" s="3" t="s">
        <v>10</v>
      </c>
      <c r="P1" s="4" t="s">
        <v>11</v>
      </c>
      <c r="Q1" s="5" t="s">
        <v>12</v>
      </c>
      <c r="R1" s="5" t="s">
        <v>13</v>
      </c>
      <c r="S1" s="5" t="s">
        <v>14</v>
      </c>
      <c r="T1" s="5" t="s">
        <v>15</v>
      </c>
      <c r="V1" s="6"/>
      <c r="W1" s="6"/>
      <c r="Y1" s="5"/>
      <c r="Z1" s="5" t="s">
        <v>16</v>
      </c>
      <c r="AA1" s="5" t="s">
        <v>17</v>
      </c>
      <c r="AB1" s="5" t="s">
        <v>18</v>
      </c>
      <c r="AC1" s="6"/>
    </row>
    <row r="2" spans="1:41" x14ac:dyDescent="0.25">
      <c r="A2" s="7"/>
      <c r="B2" s="7" t="s">
        <v>19</v>
      </c>
      <c r="C2" s="7" t="s">
        <v>20</v>
      </c>
      <c r="D2" s="7" t="s">
        <v>21</v>
      </c>
      <c r="E2" s="8" t="str">
        <f t="shared" ref="E2:E11" si="0">B2</f>
        <v>Pachuca W</v>
      </c>
      <c r="F2" s="8" t="str">
        <f t="shared" ref="F2:F11" si="1">C2</f>
        <v>Puebla W</v>
      </c>
      <c r="G2" s="9">
        <f t="shared" ref="G2:G11" si="2">VALUE(LEFT(D2,FIND(":",D2,1)-1))</f>
        <v>0</v>
      </c>
      <c r="H2" s="9">
        <f t="shared" ref="H2:H11" si="3">--MID(D2,SEARCH(":",D2)+1,10)</f>
        <v>0</v>
      </c>
      <c r="I2" s="10" t="str">
        <f t="shared" ref="I2:I11" si="4">IF(E2=$D$1,"Дома","В гостях")</f>
        <v>Дома</v>
      </c>
      <c r="J2" s="10" t="str">
        <f t="shared" ref="J2:J11" si="5">IF(I2="Дома",IF(G2&gt;H2,"В",IF(G2=H2,"Н","П")),IF(G2&lt;H2,"В",IF(G2=H2,"Н","П")))</f>
        <v>Н</v>
      </c>
      <c r="K2" s="9">
        <f t="shared" ref="K2:K11" si="6">IF(I2="Дома",G2,H2)</f>
        <v>0</v>
      </c>
      <c r="L2" s="9">
        <f t="shared" ref="L2:L11" si="7">IF(I2="Дома",H2,G2)</f>
        <v>0</v>
      </c>
      <c r="M2" s="11">
        <f>(K12+L25)/2</f>
        <v>2.0499999999999998</v>
      </c>
      <c r="N2" s="12">
        <f>(L12+K25)/2</f>
        <v>0.7</v>
      </c>
      <c r="O2" s="9">
        <f t="shared" ref="O2:O11" si="8">SUM(K2:L2)</f>
        <v>0</v>
      </c>
      <c r="P2" s="9">
        <f t="shared" ref="P2:P11" si="9">IF(I2="Дома",SUM(G2:H2))</f>
        <v>0</v>
      </c>
      <c r="Q2" s="13">
        <f>ROWS(B2:B11)</f>
        <v>10</v>
      </c>
      <c r="R2" s="10">
        <f>COUNTIF(J2:J11,"В")</f>
        <v>7</v>
      </c>
      <c r="S2" s="10">
        <f>COUNTIF(J2:J11,"Н")</f>
        <v>2</v>
      </c>
      <c r="T2" s="10">
        <f>COUNTIF(J2:J11,"П")</f>
        <v>1</v>
      </c>
      <c r="Y2" s="10" t="s">
        <v>22</v>
      </c>
      <c r="Z2" s="14">
        <f>(R2/Q2)/(R2/Q2+S2/Q2+S15/Q15+R15/Q15)</f>
        <v>0.63636363636363635</v>
      </c>
      <c r="AA2" s="14">
        <f>(S2/Q2+S15/Q15)/(R2/Q2+S2/Q2+S15/Q15+R15/Q15)</f>
        <v>0.27272727272727282</v>
      </c>
      <c r="AB2" s="14">
        <f>(R15/Q15)/(R2/Q2+S2/Q2+S15/Q15+R15/Q15)</f>
        <v>9.0909090909090925E-2</v>
      </c>
      <c r="AC2" s="15"/>
    </row>
    <row r="3" spans="1:41" x14ac:dyDescent="0.25">
      <c r="A3" s="7"/>
      <c r="B3" s="7" t="s">
        <v>23</v>
      </c>
      <c r="C3" s="7" t="s">
        <v>19</v>
      </c>
      <c r="D3" s="7" t="s">
        <v>24</v>
      </c>
      <c r="E3" s="8" t="str">
        <f t="shared" si="0"/>
        <v>Cruz Azul W</v>
      </c>
      <c r="F3" s="8" t="str">
        <f t="shared" si="1"/>
        <v>Pachuca W</v>
      </c>
      <c r="G3" s="9">
        <f t="shared" si="2"/>
        <v>2</v>
      </c>
      <c r="H3" s="9">
        <f t="shared" si="3"/>
        <v>4</v>
      </c>
      <c r="I3" s="10" t="str">
        <f t="shared" si="4"/>
        <v>В гостях</v>
      </c>
      <c r="J3" s="10" t="str">
        <f t="shared" si="5"/>
        <v>В</v>
      </c>
      <c r="K3" s="9">
        <f t="shared" si="6"/>
        <v>4</v>
      </c>
      <c r="L3" s="9">
        <f t="shared" si="7"/>
        <v>2</v>
      </c>
      <c r="M3" s="11">
        <f>(K13+L26)/2</f>
        <v>2.2666666666666666</v>
      </c>
      <c r="N3" s="12">
        <f>(K26+L13)/2</f>
        <v>0.9</v>
      </c>
      <c r="O3" s="9">
        <f t="shared" si="8"/>
        <v>6</v>
      </c>
      <c r="P3" s="9" t="b">
        <f t="shared" si="9"/>
        <v>0</v>
      </c>
      <c r="Q3" s="13">
        <f>COUNTIF(I2:I11,"Дома")</f>
        <v>5</v>
      </c>
      <c r="R3" s="10">
        <f>COUNTIFS(I2:I11,"Дома",J2:J11,"В")</f>
        <v>3</v>
      </c>
      <c r="S3" s="10">
        <f>COUNTIFS(I2:I11,"Дома",J2:J11,"Н")</f>
        <v>1</v>
      </c>
      <c r="T3" s="10">
        <f>COUNTIFS(I2:I11,"Дома",J2:J11,"П")</f>
        <v>1</v>
      </c>
      <c r="Y3" s="10" t="str">
        <f>CONCATENATE(SUM(Q3,Q16)," Дома+В гостях")</f>
        <v>11 Дома+В гостях</v>
      </c>
      <c r="Z3" s="14">
        <f>(R3/Q3)/(R3/Q3+S3/Q3+S16/Q16+R16/Q16)</f>
        <v>0.62068965517241381</v>
      </c>
      <c r="AA3" s="14">
        <f>(S3/Q3+S16/Q16)/(R3/Q3+S3/Q3+S16/Q16+R16/Q16)</f>
        <v>0.20689655172413793</v>
      </c>
      <c r="AB3" s="14">
        <f>(R16/Q16)/(R3/Q3+S3/Q3+S16/Q16+R16/Q16)</f>
        <v>0.17241379310344826</v>
      </c>
      <c r="AC3" s="15"/>
    </row>
    <row r="4" spans="1:41" x14ac:dyDescent="0.25">
      <c r="A4" s="7"/>
      <c r="B4" s="7" t="s">
        <v>19</v>
      </c>
      <c r="C4" s="7" t="s">
        <v>25</v>
      </c>
      <c r="D4" s="7" t="s">
        <v>26</v>
      </c>
      <c r="E4" s="8" t="str">
        <f t="shared" si="0"/>
        <v>Pachuca W</v>
      </c>
      <c r="F4" s="8" t="str">
        <f t="shared" si="1"/>
        <v>Club America W</v>
      </c>
      <c r="G4" s="9">
        <f t="shared" si="2"/>
        <v>0</v>
      </c>
      <c r="H4" s="9">
        <f t="shared" si="3"/>
        <v>1</v>
      </c>
      <c r="I4" s="10" t="str">
        <f t="shared" si="4"/>
        <v>Дома</v>
      </c>
      <c r="J4" s="10" t="str">
        <f t="shared" si="5"/>
        <v>П</v>
      </c>
      <c r="K4" s="9">
        <f t="shared" si="6"/>
        <v>0</v>
      </c>
      <c r="L4" s="9">
        <f t="shared" si="7"/>
        <v>1</v>
      </c>
      <c r="M4" s="11">
        <f>ROUNDDOWN(AVERAGE(M2:M3),0)</f>
        <v>2</v>
      </c>
      <c r="N4" s="12">
        <f>ROUNDDOWN(AVERAGE(N2:N3),0)</f>
        <v>0</v>
      </c>
      <c r="O4" s="9">
        <f t="shared" si="8"/>
        <v>1</v>
      </c>
      <c r="P4" s="9">
        <f t="shared" si="9"/>
        <v>1</v>
      </c>
      <c r="Y4" s="9" t="s">
        <v>27</v>
      </c>
      <c r="Z4" s="27">
        <f>AVERAGE(Z2:Z3)</f>
        <v>0.62852664576802508</v>
      </c>
      <c r="AA4" s="27">
        <f>AVERAGE(AA2:AA3)</f>
        <v>0.23981191222570536</v>
      </c>
      <c r="AB4" s="27">
        <f>AVERAGE(AB2:AB3)</f>
        <v>0.13166144200626959</v>
      </c>
      <c r="AC4" s="15"/>
    </row>
    <row r="5" spans="1:41" x14ac:dyDescent="0.25">
      <c r="A5" s="7"/>
      <c r="B5" s="7" t="s">
        <v>25</v>
      </c>
      <c r="C5" s="7" t="s">
        <v>19</v>
      </c>
      <c r="D5" s="7" t="s">
        <v>21</v>
      </c>
      <c r="E5" s="8" t="str">
        <f t="shared" si="0"/>
        <v>Club America W</v>
      </c>
      <c r="F5" s="8" t="str">
        <f t="shared" si="1"/>
        <v>Pachuca W</v>
      </c>
      <c r="G5" s="9">
        <f t="shared" si="2"/>
        <v>0</v>
      </c>
      <c r="H5" s="9">
        <f t="shared" si="3"/>
        <v>0</v>
      </c>
      <c r="I5" s="10" t="str">
        <f t="shared" si="4"/>
        <v>В гостях</v>
      </c>
      <c r="J5" s="10" t="str">
        <f t="shared" si="5"/>
        <v>Н</v>
      </c>
      <c r="K5" s="9">
        <f t="shared" si="6"/>
        <v>0</v>
      </c>
      <c r="L5" s="9">
        <f t="shared" si="7"/>
        <v>0</v>
      </c>
      <c r="M5" s="16">
        <f>AVERAGE(M2:M3)+AVERAGE(N2:N3)</f>
        <v>2.958333333333333</v>
      </c>
      <c r="N5" s="17"/>
      <c r="O5" s="9">
        <f t="shared" si="8"/>
        <v>0</v>
      </c>
      <c r="P5" s="9" t="b">
        <f t="shared" si="9"/>
        <v>0</v>
      </c>
      <c r="Y5" s="10" t="s">
        <v>6</v>
      </c>
      <c r="Z5" s="10" t="str">
        <f>IF(AND(Z4&gt;AB4,Z4&gt;AA4),"П1",IF(AND(AA4&gt;Z4,AA4&gt;AB4),"Х",IF(AND(AB4&gt;Z4,AB4&gt;AA4),"П2",IF(Z4=AB4,"О",IF(Z4=AA4,"1Х",IF(AB4=AA4,"2Х"))))))</f>
        <v>П1</v>
      </c>
      <c r="AA5" s="10"/>
      <c r="AB5" s="10"/>
      <c r="AC5" s="15"/>
    </row>
    <row r="6" spans="1:41" x14ac:dyDescent="0.25">
      <c r="A6" s="18"/>
      <c r="B6" s="18" t="s">
        <v>19</v>
      </c>
      <c r="C6" s="7" t="s">
        <v>28</v>
      </c>
      <c r="D6" s="7" t="s">
        <v>29</v>
      </c>
      <c r="E6" s="8" t="str">
        <f t="shared" si="0"/>
        <v>Pachuca W</v>
      </c>
      <c r="F6" s="8" t="str">
        <f t="shared" si="1"/>
        <v>U.N.A.M.- Pumas W</v>
      </c>
      <c r="G6" s="9">
        <f t="shared" si="2"/>
        <v>5</v>
      </c>
      <c r="H6" s="9">
        <f t="shared" si="3"/>
        <v>1</v>
      </c>
      <c r="I6" s="10" t="str">
        <f t="shared" si="4"/>
        <v>Дома</v>
      </c>
      <c r="J6" s="10" t="str">
        <f t="shared" si="5"/>
        <v>В</v>
      </c>
      <c r="K6" s="9">
        <f t="shared" si="6"/>
        <v>5</v>
      </c>
      <c r="L6" s="9">
        <f t="shared" si="7"/>
        <v>1</v>
      </c>
      <c r="M6" s="6"/>
      <c r="O6" s="9">
        <f t="shared" si="8"/>
        <v>6</v>
      </c>
      <c r="P6" s="9">
        <f t="shared" si="9"/>
        <v>6</v>
      </c>
    </row>
    <row r="7" spans="1:41" x14ac:dyDescent="0.25">
      <c r="A7" s="18"/>
      <c r="B7" s="18" t="s">
        <v>28</v>
      </c>
      <c r="C7" s="7" t="s">
        <v>19</v>
      </c>
      <c r="D7" s="7" t="s">
        <v>26</v>
      </c>
      <c r="E7" s="8" t="str">
        <f t="shared" si="0"/>
        <v>U.N.A.M.- Pumas W</v>
      </c>
      <c r="F7" s="8" t="str">
        <f t="shared" si="1"/>
        <v>Pachuca W</v>
      </c>
      <c r="G7" s="9">
        <f t="shared" si="2"/>
        <v>0</v>
      </c>
      <c r="H7" s="9">
        <f t="shared" si="3"/>
        <v>1</v>
      </c>
      <c r="I7" s="10" t="str">
        <f t="shared" si="4"/>
        <v>В гостях</v>
      </c>
      <c r="J7" s="10" t="str">
        <f t="shared" si="5"/>
        <v>В</v>
      </c>
      <c r="K7" s="9">
        <f t="shared" si="6"/>
        <v>1</v>
      </c>
      <c r="L7" s="9">
        <f t="shared" si="7"/>
        <v>0</v>
      </c>
      <c r="M7" s="6"/>
      <c r="N7" s="19"/>
      <c r="O7" s="9">
        <f t="shared" si="8"/>
        <v>1</v>
      </c>
      <c r="P7" s="9" t="b">
        <f t="shared" si="9"/>
        <v>0</v>
      </c>
    </row>
    <row r="8" spans="1:41" x14ac:dyDescent="0.25">
      <c r="A8" s="18"/>
      <c r="B8" s="18" t="s">
        <v>30</v>
      </c>
      <c r="C8" s="7" t="s">
        <v>19</v>
      </c>
      <c r="D8" s="7" t="s">
        <v>26</v>
      </c>
      <c r="E8" s="8" t="str">
        <f t="shared" si="0"/>
        <v>Toluca W</v>
      </c>
      <c r="F8" s="8" t="str">
        <f t="shared" si="1"/>
        <v>Pachuca W</v>
      </c>
      <c r="G8" s="9">
        <f t="shared" si="2"/>
        <v>0</v>
      </c>
      <c r="H8" s="9">
        <f t="shared" si="3"/>
        <v>1</v>
      </c>
      <c r="I8" s="10" t="str">
        <f t="shared" si="4"/>
        <v>В гостях</v>
      </c>
      <c r="J8" s="10" t="str">
        <f t="shared" si="5"/>
        <v>В</v>
      </c>
      <c r="K8" s="9">
        <f t="shared" si="6"/>
        <v>1</v>
      </c>
      <c r="L8" s="9">
        <f t="shared" si="7"/>
        <v>0</v>
      </c>
      <c r="M8" s="15"/>
      <c r="N8" s="19"/>
      <c r="O8" s="9">
        <f t="shared" si="8"/>
        <v>1</v>
      </c>
      <c r="P8" s="9" t="b">
        <f t="shared" si="9"/>
        <v>0</v>
      </c>
      <c r="R8" s="20" t="s">
        <v>31</v>
      </c>
      <c r="S8" s="20" t="s">
        <v>32</v>
      </c>
      <c r="T8" s="20" t="s">
        <v>33</v>
      </c>
      <c r="U8" s="20" t="s">
        <v>34</v>
      </c>
      <c r="V8" s="20" t="s">
        <v>35</v>
      </c>
      <c r="W8" s="20" t="s">
        <v>33</v>
      </c>
      <c r="X8" s="20" t="s">
        <v>36</v>
      </c>
      <c r="Y8" s="20" t="s">
        <v>37</v>
      </c>
      <c r="Z8" s="20" t="s">
        <v>33</v>
      </c>
      <c r="AA8" s="20" t="s">
        <v>38</v>
      </c>
      <c r="AB8" s="20" t="s">
        <v>39</v>
      </c>
      <c r="AC8" s="20" t="s">
        <v>33</v>
      </c>
      <c r="AD8" s="20" t="s">
        <v>40</v>
      </c>
      <c r="AE8" s="20" t="s">
        <v>41</v>
      </c>
      <c r="AF8" s="20" t="s">
        <v>33</v>
      </c>
      <c r="AG8" s="20" t="s">
        <v>42</v>
      </c>
      <c r="AH8" s="20" t="s">
        <v>43</v>
      </c>
      <c r="AI8" s="20" t="s">
        <v>33</v>
      </c>
      <c r="AJ8" s="20" t="s">
        <v>44</v>
      </c>
      <c r="AK8" s="20" t="s">
        <v>45</v>
      </c>
      <c r="AL8" s="20" t="s">
        <v>33</v>
      </c>
      <c r="AM8" s="20" t="s">
        <v>46</v>
      </c>
      <c r="AN8" s="20" t="s">
        <v>47</v>
      </c>
      <c r="AO8" s="20" t="s">
        <v>33</v>
      </c>
    </row>
    <row r="9" spans="1:41" x14ac:dyDescent="0.25">
      <c r="A9" s="18"/>
      <c r="B9" s="18" t="s">
        <v>19</v>
      </c>
      <c r="C9" s="7" t="s">
        <v>25</v>
      </c>
      <c r="D9" s="7" t="s">
        <v>48</v>
      </c>
      <c r="E9" s="8" t="str">
        <f t="shared" si="0"/>
        <v>Pachuca W</v>
      </c>
      <c r="F9" s="8" t="str">
        <f t="shared" si="1"/>
        <v>Club America W</v>
      </c>
      <c r="G9" s="9">
        <f t="shared" si="2"/>
        <v>3</v>
      </c>
      <c r="H9" s="9">
        <f t="shared" si="3"/>
        <v>2</v>
      </c>
      <c r="I9" s="10" t="str">
        <f t="shared" si="4"/>
        <v>Дома</v>
      </c>
      <c r="J9" s="10" t="str">
        <f t="shared" si="5"/>
        <v>В</v>
      </c>
      <c r="K9" s="9">
        <f t="shared" si="6"/>
        <v>3</v>
      </c>
      <c r="L9" s="9">
        <f t="shared" si="7"/>
        <v>2</v>
      </c>
      <c r="N9" s="19"/>
      <c r="O9" s="9">
        <f t="shared" si="8"/>
        <v>5</v>
      </c>
      <c r="P9" s="9">
        <f t="shared" si="9"/>
        <v>5</v>
      </c>
      <c r="R9" s="21">
        <f>(COUNTIF(O2:O11,"&lt;0.5")+COUNTIF(O15:O24,"&lt;0.5"))/COUNT(O2:O11,O15:O24)</f>
        <v>0</v>
      </c>
      <c r="S9" s="21">
        <f>(COUNTIF(P2:P11,"&lt;0.5")+COUNTIF(P15:P24,"&lt;0.5"))/COUNT(P2:P11,P15:P24)</f>
        <v>0</v>
      </c>
      <c r="T9" s="21" t="str">
        <f>IF(AND(R9&gt;=70%,S9&gt;=70%),AVERAGE(R9:S9),"н/д")</f>
        <v>н/д</v>
      </c>
      <c r="U9" s="21">
        <f>(COUNTIF(O2:O11,"&lt;1.5")+COUNTIF(O15:O24,"&lt;1.5"))/COUNT(O2:O11,O15:O24)</f>
        <v>1</v>
      </c>
      <c r="V9" s="21">
        <f>(COUNTIF(P2:P11,"&lt;1.5")+COUNTIF(P15:P24,"&lt;1.5"))/COUNT(P2:P11,P15:P24)</f>
        <v>1</v>
      </c>
      <c r="W9" s="21">
        <f>IF(AND(U9&gt;=70%,V9&gt;=70%),AVERAGE(U9:V9),"н/д")</f>
        <v>1</v>
      </c>
      <c r="X9" s="21">
        <f>(COUNTIF(O2:O11,"&lt;2.5")+COUNTIF(O15:O24,"&lt;2.5"))/COUNT(O2:O11,O15:O24)</f>
        <v>1</v>
      </c>
      <c r="Y9" s="21">
        <f>(COUNTIF(P2:P11,"&lt;2,5")+COUNTIF(P15:P24,"&lt;2,5"))/COUNT(P2:P11,P15:P24)</f>
        <v>0.27272727272727271</v>
      </c>
      <c r="Z9" s="21" t="str">
        <f>IF(AND(X9&gt;=70%,Y9&gt;=70%),AVERAGE(X9:Y9),"н/д")</f>
        <v>н/д</v>
      </c>
      <c r="AA9" s="21">
        <f>(COUNTIF(O2:O11,"&lt;3,5")+COUNTIF(O15:O24,"&lt;3,5"))/COUNT(O2:O11,O15:O24)</f>
        <v>0.65</v>
      </c>
      <c r="AB9" s="21">
        <f>(COUNTIF(P2:P11,"&lt;3,5")+COUNTIF(P15:P24,"&lt;3,5"))/COUNT(P2:P11,P15:P24)</f>
        <v>0.54545454545454541</v>
      </c>
      <c r="AC9" s="21" t="str">
        <f>IF(AND(AA9&gt;=70%,AB9&gt;=70%),AVERAGE(AA9:AB9),"н/д")</f>
        <v>н/д</v>
      </c>
      <c r="AD9" s="21">
        <f>(COUNTIF(O2:O11,"&gt;0,5")+COUNTIF(O15:O24,"&gt;0,5"))/COUNT(O2:O11,O15:O24)</f>
        <v>0.85</v>
      </c>
      <c r="AE9" s="21">
        <f>(COUNTIF(P2:P11,"&gt;0,5")+COUNTIF(P15:P24,"&gt;0,5"))/COUNT(P2:P11,P15:P24)</f>
        <v>0.90909090909090906</v>
      </c>
      <c r="AF9" s="21">
        <f>IF(AND(AD9&gt;=70%,AE9&gt;=70%),AVERAGE(AD9:AE9),"н/д")</f>
        <v>0.87954545454545452</v>
      </c>
      <c r="AG9" s="21">
        <f>(COUNTIF(O2:O11,"&gt;1,5")+COUNTIF(O15:O24,"&gt;1,5"))/COUNT(O2:O11,O15:O24)</f>
        <v>0.65</v>
      </c>
      <c r="AH9" s="21">
        <f>(COUNTIF(P2:P11,"&gt;1,5")+COUNTIF(P15:P24,"&gt;1,5"))/COUNT(P2:P11,P15:P24)</f>
        <v>0.72727272727272729</v>
      </c>
      <c r="AI9" s="21" t="str">
        <f>IF(AND(AG9&gt;=70%,AH9&gt;=70%),AVERAGE(AG9:AH9),"н/д")</f>
        <v>н/д</v>
      </c>
      <c r="AJ9" s="21">
        <f>(COUNTIF(O2:O11,"&gt;2,5")+COUNTIF(O15:O24,"&gt;2,5"))/COUNT(O2:O11,O15:O24)</f>
        <v>0.55000000000000004</v>
      </c>
      <c r="AK9" s="21">
        <f>(COUNTIF(P2:P11,"&gt;2,5")+COUNTIF(P15:P24,"&gt;2,5"))/COUNT(P2:P11,P15:P24)</f>
        <v>0.72727272727272729</v>
      </c>
      <c r="AL9" s="21" t="str">
        <f>IF(AND(AJ9&gt;=70%,AK9&gt;=70%),AVERAGE(AJ9:AK9),"н/д")</f>
        <v>н/д</v>
      </c>
      <c r="AM9" s="21">
        <f>(COUNTIF(O2:O11,"&gt;3,5")+COUNTIF(O15:O24,"&gt;3,5"))/COUNT(O2:O11,O15:O24)</f>
        <v>0.35</v>
      </c>
      <c r="AN9" s="22">
        <f>(COUNTIF(P2:P11,"&gt;3,5")+COUNTIF(P15:P24,"&gt;3,5"))/COUNT(P2:P11,P15:P24)</f>
        <v>0.45454545454545453</v>
      </c>
      <c r="AO9" s="22" t="str">
        <f>IF(AND(AM9&gt;=70%,AN9&gt;=70%),AVERAGE(AM9:AN9),"н/д")</f>
        <v>н/д</v>
      </c>
    </row>
    <row r="10" spans="1:41" x14ac:dyDescent="0.25">
      <c r="A10" s="18"/>
      <c r="B10" s="18" t="s">
        <v>49</v>
      </c>
      <c r="C10" s="7" t="s">
        <v>19</v>
      </c>
      <c r="D10" s="7" t="s">
        <v>50</v>
      </c>
      <c r="E10" s="8" t="str">
        <f t="shared" si="0"/>
        <v>Lobos BUAP W</v>
      </c>
      <c r="F10" s="8" t="str">
        <f t="shared" si="1"/>
        <v>Pachuca W</v>
      </c>
      <c r="G10" s="9">
        <f t="shared" si="2"/>
        <v>2</v>
      </c>
      <c r="H10" s="9">
        <f t="shared" si="3"/>
        <v>3</v>
      </c>
      <c r="I10" s="10" t="str">
        <f t="shared" si="4"/>
        <v>В гостях</v>
      </c>
      <c r="J10" s="10" t="str">
        <f t="shared" si="5"/>
        <v>В</v>
      </c>
      <c r="K10" s="9">
        <f t="shared" si="6"/>
        <v>3</v>
      </c>
      <c r="L10" s="9">
        <f t="shared" si="7"/>
        <v>2</v>
      </c>
      <c r="O10" s="9">
        <f t="shared" si="8"/>
        <v>5</v>
      </c>
      <c r="P10" s="9" t="b">
        <f t="shared" si="9"/>
        <v>0</v>
      </c>
    </row>
    <row r="11" spans="1:41" x14ac:dyDescent="0.25">
      <c r="A11" s="18"/>
      <c r="B11" s="18" t="s">
        <v>19</v>
      </c>
      <c r="C11" s="7" t="s">
        <v>51</v>
      </c>
      <c r="D11" s="7" t="s">
        <v>52</v>
      </c>
      <c r="E11" s="8" t="str">
        <f t="shared" si="0"/>
        <v>Pachuca W</v>
      </c>
      <c r="F11" s="8" t="str">
        <f t="shared" si="1"/>
        <v>Veracruz W</v>
      </c>
      <c r="G11" s="9">
        <f t="shared" si="2"/>
        <v>3</v>
      </c>
      <c r="H11" s="9">
        <f t="shared" si="3"/>
        <v>0</v>
      </c>
      <c r="I11" s="10" t="str">
        <f t="shared" si="4"/>
        <v>Дома</v>
      </c>
      <c r="J11" s="10" t="str">
        <f t="shared" si="5"/>
        <v>В</v>
      </c>
      <c r="K11" s="9">
        <f t="shared" si="6"/>
        <v>3</v>
      </c>
      <c r="L11" s="9">
        <f t="shared" si="7"/>
        <v>0</v>
      </c>
      <c r="O11" s="9">
        <f t="shared" si="8"/>
        <v>3</v>
      </c>
      <c r="P11" s="9">
        <f t="shared" si="9"/>
        <v>3</v>
      </c>
    </row>
    <row r="12" spans="1:41" x14ac:dyDescent="0.25">
      <c r="E12" s="10"/>
      <c r="F12" s="10"/>
      <c r="G12" s="10"/>
      <c r="H12" s="10"/>
      <c r="I12" s="10"/>
      <c r="J12" s="10" t="s">
        <v>22</v>
      </c>
      <c r="K12" s="11">
        <f>AVERAGE(K2:K11)</f>
        <v>2</v>
      </c>
      <c r="L12" s="11">
        <f>AVERAGE(L2:L11)</f>
        <v>0.8</v>
      </c>
      <c r="P12" s="23"/>
    </row>
    <row r="13" spans="1:41" x14ac:dyDescent="0.25">
      <c r="E13" s="10"/>
      <c r="F13" s="10"/>
      <c r="G13" s="10"/>
      <c r="H13" s="10"/>
      <c r="I13" s="10"/>
      <c r="J13" s="10" t="s">
        <v>53</v>
      </c>
      <c r="K13" s="11">
        <f>AVERAGEIFS(K2:K11,I2:I11,"Дома")</f>
        <v>2.2000000000000002</v>
      </c>
      <c r="L13" s="11">
        <f>AVERAGEIFS(L2:L11,I2:I11,"Дома")</f>
        <v>0.8</v>
      </c>
      <c r="P13" s="23"/>
    </row>
    <row r="14" spans="1:41" ht="15.75" x14ac:dyDescent="0.25">
      <c r="A14" s="25" t="s">
        <v>0</v>
      </c>
      <c r="B14" s="26"/>
      <c r="C14" s="26"/>
      <c r="D14" s="1" t="s">
        <v>54</v>
      </c>
      <c r="E14" s="2" t="s">
        <v>1</v>
      </c>
      <c r="F14" s="2" t="s">
        <v>2</v>
      </c>
      <c r="G14" s="2" t="s">
        <v>3</v>
      </c>
      <c r="H14" s="2" t="s">
        <v>4</v>
      </c>
      <c r="I14" s="2" t="s">
        <v>5</v>
      </c>
      <c r="J14" s="2" t="s">
        <v>6</v>
      </c>
      <c r="K14" s="2" t="s">
        <v>7</v>
      </c>
      <c r="L14" s="2" t="s">
        <v>8</v>
      </c>
      <c r="P14" s="23"/>
      <c r="Q14" s="5" t="s">
        <v>12</v>
      </c>
      <c r="R14" s="5" t="s">
        <v>13</v>
      </c>
      <c r="S14" s="5" t="s">
        <v>14</v>
      </c>
      <c r="T14" s="5" t="s">
        <v>15</v>
      </c>
      <c r="V14" s="6"/>
      <c r="W14" s="6"/>
      <c r="Y14" s="6"/>
    </row>
    <row r="15" spans="1:41" x14ac:dyDescent="0.25">
      <c r="A15" s="7"/>
      <c r="B15" s="7" t="s">
        <v>51</v>
      </c>
      <c r="C15" s="7" t="s">
        <v>54</v>
      </c>
      <c r="D15" s="7" t="s">
        <v>55</v>
      </c>
      <c r="E15" s="8" t="str">
        <f t="shared" ref="E15:E24" si="10">B15</f>
        <v>Veracruz W</v>
      </c>
      <c r="F15" s="8" t="str">
        <f t="shared" ref="F15:F24" si="11">C15</f>
        <v>Club Tijuana W</v>
      </c>
      <c r="G15" s="9">
        <f t="shared" ref="G15:G24" si="12">VALUE(LEFT(D15,FIND(":",D15,1)-1))</f>
        <v>1</v>
      </c>
      <c r="H15" s="9">
        <f t="shared" ref="H15:H24" si="13">--MID(D15,SEARCH(":",D15)+1,10)</f>
        <v>2</v>
      </c>
      <c r="I15" s="10" t="str">
        <f t="shared" ref="I15:I24" si="14">IF(E15=$D$14,"Дома","В гостях")</f>
        <v>В гостях</v>
      </c>
      <c r="J15" s="10" t="str">
        <f t="shared" ref="J15:J24" si="15">IF(I15="Дома",IF(G15&gt;H15,"В",IF(G15=H15,"Н","П")),IF(G15&lt;H15,"В",IF(G15=H15,"Н","П")))</f>
        <v>В</v>
      </c>
      <c r="K15" s="9">
        <f t="shared" ref="K15:K24" si="16">IF(I15="Дома",G15,H15)</f>
        <v>2</v>
      </c>
      <c r="L15" s="9">
        <f t="shared" ref="L15:L24" si="17">IF(I15="Дома",H15,G15)</f>
        <v>1</v>
      </c>
      <c r="O15" s="9">
        <f t="shared" ref="O15:O24" si="18">SUM(K15:L15)</f>
        <v>3</v>
      </c>
      <c r="P15" s="9">
        <f t="shared" ref="P15:P24" si="19">IF(I15="В гостях",SUM(G15:H15))</f>
        <v>3</v>
      </c>
      <c r="Q15" s="13">
        <f>ROWS(B15:B24)</f>
        <v>10</v>
      </c>
      <c r="R15" s="10">
        <f>COUNTIF(J15:J24,"В")</f>
        <v>1</v>
      </c>
      <c r="S15" s="10">
        <f>COUNTIF(J15:J24,"Н")</f>
        <v>1</v>
      </c>
      <c r="T15" s="10">
        <f>COUNTIF(J15:J24,"П")</f>
        <v>8</v>
      </c>
    </row>
    <row r="16" spans="1:41" x14ac:dyDescent="0.25">
      <c r="A16" s="7"/>
      <c r="B16" s="7" t="s">
        <v>54</v>
      </c>
      <c r="C16" s="7" t="s">
        <v>28</v>
      </c>
      <c r="D16" s="7" t="s">
        <v>56</v>
      </c>
      <c r="E16" s="8" t="str">
        <f t="shared" si="10"/>
        <v>Club Tijuana W</v>
      </c>
      <c r="F16" s="8" t="str">
        <f t="shared" si="11"/>
        <v>U.N.A.M.- Pumas W</v>
      </c>
      <c r="G16" s="9">
        <f t="shared" si="12"/>
        <v>0</v>
      </c>
      <c r="H16" s="9">
        <f t="shared" si="13"/>
        <v>2</v>
      </c>
      <c r="I16" s="10" t="str">
        <f t="shared" si="14"/>
        <v>Дома</v>
      </c>
      <c r="J16" s="10" t="str">
        <f t="shared" si="15"/>
        <v>П</v>
      </c>
      <c r="K16" s="9">
        <f t="shared" si="16"/>
        <v>0</v>
      </c>
      <c r="L16" s="9">
        <f t="shared" si="17"/>
        <v>2</v>
      </c>
      <c r="O16" s="9">
        <f t="shared" si="18"/>
        <v>2</v>
      </c>
      <c r="P16" s="9" t="b">
        <f t="shared" si="19"/>
        <v>0</v>
      </c>
      <c r="Q16" s="13">
        <f>COUNTIF(I15:I24,"В гостях")</f>
        <v>6</v>
      </c>
      <c r="R16" s="10">
        <f>COUNTIFS(I15:I24,"В гостях",J15:J24,"В")</f>
        <v>1</v>
      </c>
      <c r="S16" s="10">
        <f>COUNTIFS(I15:I24,"В гостях",J15:J24,"Н")</f>
        <v>0</v>
      </c>
      <c r="T16" s="10">
        <f>COUNTIFS(I15:I24,"В гостях",J15:J24,"П")</f>
        <v>5</v>
      </c>
    </row>
    <row r="17" spans="1:16" x14ac:dyDescent="0.25">
      <c r="A17" s="7"/>
      <c r="B17" s="7" t="s">
        <v>54</v>
      </c>
      <c r="C17" s="7" t="s">
        <v>20</v>
      </c>
      <c r="D17" s="7" t="s">
        <v>57</v>
      </c>
      <c r="E17" s="8" t="str">
        <f t="shared" si="10"/>
        <v>Club Tijuana W</v>
      </c>
      <c r="F17" s="8" t="str">
        <f t="shared" si="11"/>
        <v>Puebla W</v>
      </c>
      <c r="G17" s="9">
        <f t="shared" si="12"/>
        <v>0</v>
      </c>
      <c r="H17" s="9">
        <f t="shared" si="13"/>
        <v>3</v>
      </c>
      <c r="I17" s="10" t="str">
        <f t="shared" si="14"/>
        <v>Дома</v>
      </c>
      <c r="J17" s="10" t="str">
        <f t="shared" si="15"/>
        <v>П</v>
      </c>
      <c r="K17" s="9">
        <f t="shared" si="16"/>
        <v>0</v>
      </c>
      <c r="L17" s="9">
        <f t="shared" si="17"/>
        <v>3</v>
      </c>
      <c r="O17" s="9">
        <f t="shared" si="18"/>
        <v>3</v>
      </c>
      <c r="P17" s="9" t="b">
        <f t="shared" si="19"/>
        <v>0</v>
      </c>
    </row>
    <row r="18" spans="1:16" x14ac:dyDescent="0.25">
      <c r="A18" s="7"/>
      <c r="B18" s="7" t="s">
        <v>23</v>
      </c>
      <c r="C18" s="7" t="s">
        <v>54</v>
      </c>
      <c r="D18" s="7" t="s">
        <v>58</v>
      </c>
      <c r="E18" s="8" t="str">
        <f t="shared" si="10"/>
        <v>Cruz Azul W</v>
      </c>
      <c r="F18" s="8" t="str">
        <f t="shared" si="11"/>
        <v>Club Tijuana W</v>
      </c>
      <c r="G18" s="9">
        <f t="shared" si="12"/>
        <v>3</v>
      </c>
      <c r="H18" s="9">
        <f t="shared" si="13"/>
        <v>1</v>
      </c>
      <c r="I18" s="10" t="str">
        <f t="shared" si="14"/>
        <v>В гостях</v>
      </c>
      <c r="J18" s="10" t="str">
        <f t="shared" si="15"/>
        <v>П</v>
      </c>
      <c r="K18" s="9">
        <f t="shared" si="16"/>
        <v>1</v>
      </c>
      <c r="L18" s="9">
        <f t="shared" si="17"/>
        <v>3</v>
      </c>
      <c r="O18" s="9">
        <f t="shared" si="18"/>
        <v>4</v>
      </c>
      <c r="P18" s="9">
        <f t="shared" si="19"/>
        <v>4</v>
      </c>
    </row>
    <row r="19" spans="1:16" x14ac:dyDescent="0.25">
      <c r="A19" s="18"/>
      <c r="B19" s="18" t="s">
        <v>30</v>
      </c>
      <c r="C19" s="7" t="s">
        <v>54</v>
      </c>
      <c r="D19" s="7" t="s">
        <v>58</v>
      </c>
      <c r="E19" s="8" t="str">
        <f t="shared" si="10"/>
        <v>Toluca W</v>
      </c>
      <c r="F19" s="8" t="str">
        <f t="shared" si="11"/>
        <v>Club Tijuana W</v>
      </c>
      <c r="G19" s="9">
        <f t="shared" si="12"/>
        <v>3</v>
      </c>
      <c r="H19" s="9">
        <f t="shared" si="13"/>
        <v>1</v>
      </c>
      <c r="I19" s="10" t="str">
        <f t="shared" si="14"/>
        <v>В гостях</v>
      </c>
      <c r="J19" s="10" t="str">
        <f t="shared" si="15"/>
        <v>П</v>
      </c>
      <c r="K19" s="9">
        <f t="shared" si="16"/>
        <v>1</v>
      </c>
      <c r="L19" s="9">
        <f t="shared" si="17"/>
        <v>3</v>
      </c>
      <c r="O19" s="9">
        <f t="shared" si="18"/>
        <v>4</v>
      </c>
      <c r="P19" s="9">
        <f t="shared" si="19"/>
        <v>4</v>
      </c>
    </row>
    <row r="20" spans="1:16" x14ac:dyDescent="0.25">
      <c r="A20" s="18"/>
      <c r="B20" s="18" t="s">
        <v>25</v>
      </c>
      <c r="C20" s="7" t="s">
        <v>54</v>
      </c>
      <c r="D20" s="7" t="s">
        <v>59</v>
      </c>
      <c r="E20" s="8" t="str">
        <f t="shared" si="10"/>
        <v>Club America W</v>
      </c>
      <c r="F20" s="8" t="str">
        <f t="shared" si="11"/>
        <v>Club Tijuana W</v>
      </c>
      <c r="G20" s="9">
        <f t="shared" si="12"/>
        <v>2</v>
      </c>
      <c r="H20" s="9">
        <f t="shared" si="13"/>
        <v>1</v>
      </c>
      <c r="I20" s="10" t="str">
        <f t="shared" si="14"/>
        <v>В гостях</v>
      </c>
      <c r="J20" s="10" t="str">
        <f t="shared" si="15"/>
        <v>П</v>
      </c>
      <c r="K20" s="9">
        <f t="shared" si="16"/>
        <v>1</v>
      </c>
      <c r="L20" s="9">
        <f t="shared" si="17"/>
        <v>2</v>
      </c>
      <c r="O20" s="9">
        <f t="shared" si="18"/>
        <v>3</v>
      </c>
      <c r="P20" s="9">
        <f t="shared" si="19"/>
        <v>3</v>
      </c>
    </row>
    <row r="21" spans="1:16" ht="15.75" customHeight="1" x14ac:dyDescent="0.25">
      <c r="A21" s="18"/>
      <c r="B21" s="18" t="s">
        <v>54</v>
      </c>
      <c r="C21" s="7" t="s">
        <v>49</v>
      </c>
      <c r="D21" s="7" t="s">
        <v>56</v>
      </c>
      <c r="E21" s="8" t="str">
        <f t="shared" si="10"/>
        <v>Club Tijuana W</v>
      </c>
      <c r="F21" s="8" t="str">
        <f t="shared" si="11"/>
        <v>Lobos BUAP W</v>
      </c>
      <c r="G21" s="9">
        <f t="shared" si="12"/>
        <v>0</v>
      </c>
      <c r="H21" s="9">
        <f t="shared" si="13"/>
        <v>2</v>
      </c>
      <c r="I21" s="10" t="str">
        <f t="shared" si="14"/>
        <v>Дома</v>
      </c>
      <c r="J21" s="10" t="str">
        <f t="shared" si="15"/>
        <v>П</v>
      </c>
      <c r="K21" s="9">
        <f t="shared" si="16"/>
        <v>0</v>
      </c>
      <c r="L21" s="9">
        <f t="shared" si="17"/>
        <v>2</v>
      </c>
      <c r="O21" s="9">
        <f t="shared" si="18"/>
        <v>2</v>
      </c>
      <c r="P21" s="9" t="b">
        <f t="shared" si="19"/>
        <v>0</v>
      </c>
    </row>
    <row r="22" spans="1:16" ht="15.75" customHeight="1" x14ac:dyDescent="0.25">
      <c r="A22" s="18"/>
      <c r="B22" s="18" t="s">
        <v>19</v>
      </c>
      <c r="C22" s="7" t="s">
        <v>54</v>
      </c>
      <c r="D22" s="7" t="s">
        <v>60</v>
      </c>
      <c r="E22" s="8" t="str">
        <f t="shared" si="10"/>
        <v>Pachuca W</v>
      </c>
      <c r="F22" s="8" t="str">
        <f t="shared" si="11"/>
        <v>Club Tijuana W</v>
      </c>
      <c r="G22" s="9">
        <f t="shared" si="12"/>
        <v>1</v>
      </c>
      <c r="H22" s="9">
        <f t="shared" si="13"/>
        <v>0</v>
      </c>
      <c r="I22" s="10" t="str">
        <f t="shared" si="14"/>
        <v>В гостях</v>
      </c>
      <c r="J22" s="10" t="str">
        <f t="shared" si="15"/>
        <v>П</v>
      </c>
      <c r="K22" s="9">
        <f t="shared" si="16"/>
        <v>0</v>
      </c>
      <c r="L22" s="9">
        <f t="shared" si="17"/>
        <v>1</v>
      </c>
      <c r="O22" s="9">
        <f t="shared" si="18"/>
        <v>1</v>
      </c>
      <c r="P22" s="9">
        <f t="shared" si="19"/>
        <v>1</v>
      </c>
    </row>
    <row r="23" spans="1:16" ht="15.75" customHeight="1" x14ac:dyDescent="0.25">
      <c r="A23" s="18"/>
      <c r="B23" s="18" t="s">
        <v>54</v>
      </c>
      <c r="C23" s="7" t="s">
        <v>51</v>
      </c>
      <c r="D23" s="7" t="s">
        <v>21</v>
      </c>
      <c r="E23" s="8" t="str">
        <f t="shared" si="10"/>
        <v>Club Tijuana W</v>
      </c>
      <c r="F23" s="8" t="str">
        <f t="shared" si="11"/>
        <v>Veracruz W</v>
      </c>
      <c r="G23" s="9">
        <f t="shared" si="12"/>
        <v>0</v>
      </c>
      <c r="H23" s="9">
        <f t="shared" si="13"/>
        <v>0</v>
      </c>
      <c r="I23" s="10" t="str">
        <f t="shared" si="14"/>
        <v>Дома</v>
      </c>
      <c r="J23" s="10" t="str">
        <f t="shared" si="15"/>
        <v>Н</v>
      </c>
      <c r="K23" s="9">
        <f t="shared" si="16"/>
        <v>0</v>
      </c>
      <c r="L23" s="9">
        <f t="shared" si="17"/>
        <v>0</v>
      </c>
      <c r="O23" s="9">
        <f t="shared" si="18"/>
        <v>0</v>
      </c>
      <c r="P23" s="9" t="b">
        <f t="shared" si="19"/>
        <v>0</v>
      </c>
    </row>
    <row r="24" spans="1:16" ht="15.75" customHeight="1" x14ac:dyDescent="0.25">
      <c r="A24" s="18"/>
      <c r="B24" s="18" t="s">
        <v>28</v>
      </c>
      <c r="C24" s="7" t="s">
        <v>54</v>
      </c>
      <c r="D24" s="7" t="s">
        <v>61</v>
      </c>
      <c r="E24" s="8" t="str">
        <f t="shared" si="10"/>
        <v>U.N.A.M.- Pumas W</v>
      </c>
      <c r="F24" s="8" t="str">
        <f t="shared" si="11"/>
        <v>Club Tijuana W</v>
      </c>
      <c r="G24" s="9">
        <f t="shared" si="12"/>
        <v>4</v>
      </c>
      <c r="H24" s="9">
        <f t="shared" si="13"/>
        <v>1</v>
      </c>
      <c r="I24" s="10" t="str">
        <f t="shared" si="14"/>
        <v>В гостях</v>
      </c>
      <c r="J24" s="10" t="str">
        <f t="shared" si="15"/>
        <v>П</v>
      </c>
      <c r="K24" s="9">
        <f t="shared" si="16"/>
        <v>1</v>
      </c>
      <c r="L24" s="9">
        <f t="shared" si="17"/>
        <v>4</v>
      </c>
      <c r="O24" s="9">
        <f t="shared" si="18"/>
        <v>5</v>
      </c>
      <c r="P24" s="9">
        <f t="shared" si="19"/>
        <v>5</v>
      </c>
    </row>
    <row r="25" spans="1:16" ht="15.75" customHeight="1" x14ac:dyDescent="0.25">
      <c r="E25" s="10"/>
      <c r="F25" s="10"/>
      <c r="G25" s="10"/>
      <c r="H25" s="10"/>
      <c r="I25" s="10"/>
      <c r="J25" s="10" t="s">
        <v>22</v>
      </c>
      <c r="K25" s="11">
        <f>AVERAGE(K15:K24)</f>
        <v>0.6</v>
      </c>
      <c r="L25" s="11">
        <f>AVERAGE(L15:L24)</f>
        <v>2.1</v>
      </c>
      <c r="P25" s="23"/>
    </row>
    <row r="26" spans="1:16" ht="15.75" customHeight="1" x14ac:dyDescent="0.25">
      <c r="E26" s="10"/>
      <c r="F26" s="10"/>
      <c r="G26" s="10"/>
      <c r="H26" s="10"/>
      <c r="I26" s="10"/>
      <c r="J26" s="10" t="s">
        <v>53</v>
      </c>
      <c r="K26" s="11">
        <f>AVERAGEIFS(K15:K24,I15:I24,"В гостях")</f>
        <v>1</v>
      </c>
      <c r="L26" s="11">
        <f>AVERAGEIFS(L15:L24,I15:I24,"В гостях")</f>
        <v>2.3333333333333335</v>
      </c>
      <c r="P26" s="23"/>
    </row>
    <row r="27" spans="1:16" ht="15.75" customHeight="1" x14ac:dyDescent="0.25"/>
    <row r="28" spans="1:16" ht="15.75" customHeight="1" x14ac:dyDescent="0.25"/>
    <row r="29" spans="1:16" ht="15.75" customHeight="1" x14ac:dyDescent="0.25"/>
    <row r="30" spans="1:16" ht="15.75" customHeight="1" x14ac:dyDescent="0.25"/>
    <row r="31" spans="1:16" ht="15.75" customHeight="1" x14ac:dyDescent="0.25"/>
    <row r="32" spans="1:1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">
    <mergeCell ref="A14:C14"/>
    <mergeCell ref="A1:C1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Матч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Раб5</cp:lastModifiedBy>
  <dcterms:created xsi:type="dcterms:W3CDTF">2019-01-21T23:58:57Z</dcterms:created>
  <dcterms:modified xsi:type="dcterms:W3CDTF">2019-01-21T21:30:33Z</dcterms:modified>
</cp:coreProperties>
</file>