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Раб5\Desktop\"/>
    </mc:Choice>
  </mc:AlternateContent>
  <xr:revisionPtr revIDLastSave="0" documentId="13_ncr:1_{D16D54A1-CDDD-4C63-BC7D-C1138E306874}" xr6:coauthVersionLast="40" xr6:coauthVersionMax="40" xr10:uidLastSave="{00000000-0000-0000-0000-000000000000}"/>
  <bookViews>
    <workbookView xWindow="0" yWindow="0" windowWidth="20490" windowHeight="7530" tabRatio="678" xr2:uid="{00000000-000D-0000-FFFF-FFFF00000000}"/>
  </bookViews>
  <sheets>
    <sheet name="Матч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2" l="1"/>
  <c r="D1" i="2"/>
  <c r="M16" i="2" l="1"/>
  <c r="M17" i="2"/>
  <c r="M18" i="2"/>
  <c r="M19" i="2"/>
  <c r="M20" i="2"/>
  <c r="M21" i="2"/>
  <c r="M22" i="2"/>
  <c r="M23" i="2"/>
  <c r="M24" i="2"/>
  <c r="M15" i="2"/>
  <c r="L16" i="2"/>
  <c r="L17" i="2"/>
  <c r="L18" i="2"/>
  <c r="L19" i="2"/>
  <c r="L20" i="2"/>
  <c r="L21" i="2"/>
  <c r="L22" i="2"/>
  <c r="L23" i="2"/>
  <c r="L24" i="2"/>
  <c r="L15" i="2"/>
  <c r="K16" i="2"/>
  <c r="K17" i="2"/>
  <c r="K18" i="2"/>
  <c r="K19" i="2"/>
  <c r="K20" i="2"/>
  <c r="K21" i="2"/>
  <c r="K22" i="2"/>
  <c r="K23" i="2"/>
  <c r="K24" i="2"/>
  <c r="K15" i="2"/>
  <c r="J16" i="2"/>
  <c r="J17" i="2"/>
  <c r="J18" i="2"/>
  <c r="J19" i="2"/>
  <c r="J20" i="2"/>
  <c r="J21" i="2"/>
  <c r="J22" i="2"/>
  <c r="J23" i="2"/>
  <c r="J24" i="2"/>
  <c r="J15" i="2"/>
  <c r="M3" i="2"/>
  <c r="M4" i="2"/>
  <c r="M5" i="2"/>
  <c r="M6" i="2"/>
  <c r="M7" i="2"/>
  <c r="M8" i="2"/>
  <c r="M9" i="2"/>
  <c r="M10" i="2"/>
  <c r="M11" i="2"/>
  <c r="M2" i="2"/>
  <c r="L3" i="2"/>
  <c r="L4" i="2"/>
  <c r="L5" i="2"/>
  <c r="L6" i="2"/>
  <c r="L7" i="2"/>
  <c r="L8" i="2"/>
  <c r="L9" i="2"/>
  <c r="L10" i="2"/>
  <c r="L11" i="2"/>
  <c r="L2" i="2"/>
  <c r="K3" i="2"/>
  <c r="K4" i="2"/>
  <c r="K5" i="2"/>
  <c r="K6" i="2"/>
  <c r="K7" i="2"/>
  <c r="K8" i="2"/>
  <c r="K9" i="2"/>
  <c r="K10" i="2"/>
  <c r="K11" i="2"/>
  <c r="K2" i="2"/>
  <c r="J3" i="2"/>
  <c r="J4" i="2"/>
  <c r="J5" i="2"/>
  <c r="J6" i="2"/>
  <c r="J7" i="2"/>
  <c r="J8" i="2"/>
  <c r="J9" i="2"/>
  <c r="J10" i="2"/>
  <c r="J11" i="2"/>
  <c r="J2" i="2"/>
  <c r="V15" i="2" l="1"/>
  <c r="V2" i="2"/>
  <c r="N3" i="2" l="1"/>
  <c r="N15" i="2"/>
  <c r="U15" i="2" s="1"/>
  <c r="N10" i="2" l="1"/>
  <c r="P10" i="2" s="1"/>
  <c r="N8" i="2"/>
  <c r="U8" i="2" s="1"/>
  <c r="N6" i="2"/>
  <c r="Q6" i="2" s="1"/>
  <c r="N4" i="2"/>
  <c r="U4" i="2" s="1"/>
  <c r="N2" i="2"/>
  <c r="U2" i="2" s="1"/>
  <c r="N11" i="2"/>
  <c r="U11" i="2" s="1"/>
  <c r="N9" i="2"/>
  <c r="U9" i="2" s="1"/>
  <c r="N7" i="2"/>
  <c r="U7" i="2" s="1"/>
  <c r="N5" i="2"/>
  <c r="U5" i="2" s="1"/>
  <c r="O15" i="2"/>
  <c r="P15" i="2"/>
  <c r="Q15" i="2"/>
  <c r="N23" i="2"/>
  <c r="U23" i="2" s="1"/>
  <c r="N21" i="2"/>
  <c r="U21" i="2" s="1"/>
  <c r="N19" i="2"/>
  <c r="U19" i="2" s="1"/>
  <c r="N17" i="2"/>
  <c r="U17" i="2" s="1"/>
  <c r="N16" i="2"/>
  <c r="U16" i="2" s="1"/>
  <c r="N24" i="2"/>
  <c r="U24" i="2" s="1"/>
  <c r="N22" i="2"/>
  <c r="U22" i="2" s="1"/>
  <c r="N20" i="2"/>
  <c r="U20" i="2" s="1"/>
  <c r="N18" i="2"/>
  <c r="U18" i="2" s="1"/>
  <c r="P8" i="2"/>
  <c r="O6" i="2"/>
  <c r="U3" i="2"/>
  <c r="Q3" i="2"/>
  <c r="O3" i="2"/>
  <c r="P3" i="2"/>
  <c r="T3" i="2" l="1"/>
  <c r="Q2" i="2"/>
  <c r="P5" i="2"/>
  <c r="P2" i="2"/>
  <c r="T2" i="2" s="1"/>
  <c r="Q5" i="2"/>
  <c r="P9" i="2"/>
  <c r="U6" i="2"/>
  <c r="O10" i="2"/>
  <c r="Q9" i="2"/>
  <c r="U10" i="2"/>
  <c r="V3" i="2"/>
  <c r="O2" i="2"/>
  <c r="O5" i="2"/>
  <c r="O9" i="2"/>
  <c r="P6" i="2"/>
  <c r="T6" i="2" s="1"/>
  <c r="Q10" i="2"/>
  <c r="T10" i="2" s="1"/>
  <c r="P11" i="2"/>
  <c r="P7" i="2"/>
  <c r="P4" i="2"/>
  <c r="Q7" i="2"/>
  <c r="Q11" i="2"/>
  <c r="Q4" i="2"/>
  <c r="Q8" i="2"/>
  <c r="T8" i="2" s="1"/>
  <c r="O7" i="2"/>
  <c r="O11" i="2"/>
  <c r="O4" i="2"/>
  <c r="O8" i="2"/>
  <c r="Q20" i="2"/>
  <c r="P20" i="2"/>
  <c r="O20" i="2"/>
  <c r="Q24" i="2"/>
  <c r="P24" i="2"/>
  <c r="O24" i="2"/>
  <c r="O17" i="2"/>
  <c r="Q17" i="2"/>
  <c r="P17" i="2"/>
  <c r="O21" i="2"/>
  <c r="Q21" i="2"/>
  <c r="P21" i="2"/>
  <c r="V16" i="2"/>
  <c r="T15" i="2"/>
  <c r="Q18" i="2"/>
  <c r="P18" i="2"/>
  <c r="O18" i="2"/>
  <c r="Q22" i="2"/>
  <c r="P22" i="2"/>
  <c r="O22" i="2"/>
  <c r="O16" i="2"/>
  <c r="Q16" i="2"/>
  <c r="P16" i="2"/>
  <c r="O19" i="2"/>
  <c r="Q19" i="2"/>
  <c r="P19" i="2"/>
  <c r="O23" i="2"/>
  <c r="Q23" i="2"/>
  <c r="P23" i="2"/>
  <c r="AA9" i="2" l="1"/>
  <c r="T5" i="2"/>
  <c r="AG9" i="2"/>
  <c r="P13" i="2"/>
  <c r="T9" i="2"/>
  <c r="AS9" i="2"/>
  <c r="AD3" i="2"/>
  <c r="T11" i="2"/>
  <c r="AJ9" i="2"/>
  <c r="AM9" i="2"/>
  <c r="AD9" i="2"/>
  <c r="X9" i="2"/>
  <c r="AP9" i="2"/>
  <c r="Q12" i="2"/>
  <c r="P12" i="2"/>
  <c r="T7" i="2"/>
  <c r="X3" i="2"/>
  <c r="Q13" i="2"/>
  <c r="T4" i="2"/>
  <c r="Y2" i="2"/>
  <c r="X2" i="2"/>
  <c r="Y3" i="2"/>
  <c r="W2" i="2"/>
  <c r="W3" i="2"/>
  <c r="T21" i="2"/>
  <c r="T20" i="2"/>
  <c r="T23" i="2"/>
  <c r="T22" i="2"/>
  <c r="T16" i="2"/>
  <c r="P25" i="2"/>
  <c r="W15" i="2"/>
  <c r="X15" i="2"/>
  <c r="Y15" i="2"/>
  <c r="W16" i="2"/>
  <c r="X16" i="2"/>
  <c r="P26" i="2"/>
  <c r="Y16" i="2"/>
  <c r="T19" i="2"/>
  <c r="Q25" i="2"/>
  <c r="R2" i="2" s="1"/>
  <c r="Q26" i="2"/>
  <c r="T18" i="2"/>
  <c r="T17" i="2"/>
  <c r="T24" i="2"/>
  <c r="R3" i="2" l="1"/>
  <c r="S2" i="2"/>
  <c r="AG2" i="2"/>
  <c r="AR9" i="2"/>
  <c r="AT9" i="2" s="1"/>
  <c r="S3" i="2"/>
  <c r="AO9" i="2"/>
  <c r="AQ9" i="2" s="1"/>
  <c r="Z9" i="2"/>
  <c r="AB9" i="2" s="1"/>
  <c r="W9" i="2"/>
  <c r="Y9" i="2" s="1"/>
  <c r="AF9" i="2"/>
  <c r="AH9" i="2" s="1"/>
  <c r="AL9" i="2"/>
  <c r="AN9" i="2" s="1"/>
  <c r="AC9" i="2"/>
  <c r="AE9" i="2" s="1"/>
  <c r="AI9" i="2"/>
  <c r="AK9" i="2" s="1"/>
  <c r="AF2" i="2"/>
  <c r="AE2" i="2"/>
  <c r="R4" i="2"/>
  <c r="AE3" i="2"/>
  <c r="AF3" i="2"/>
  <c r="AG3" i="2"/>
  <c r="R5" i="2" l="1"/>
  <c r="S4" i="2"/>
  <c r="AG4" i="2"/>
  <c r="AE4" i="2"/>
  <c r="AF4" i="2"/>
  <c r="AE5" i="2" l="1"/>
</calcChain>
</file>

<file path=xl/sharedStrings.xml><?xml version="1.0" encoding="utf-8"?>
<sst xmlns="http://schemas.openxmlformats.org/spreadsheetml/2006/main" count="215" uniqueCount="127">
  <si>
    <t>Победа 2</t>
  </si>
  <si>
    <t>Ничья</t>
  </si>
  <si>
    <t>10 матчей</t>
  </si>
  <si>
    <t>Команда-</t>
  </si>
  <si>
    <t>Команда1</t>
  </si>
  <si>
    <t>Команда2</t>
  </si>
  <si>
    <t>Голы1</t>
  </si>
  <si>
    <t>Голы2</t>
  </si>
  <si>
    <t>Где играла</t>
  </si>
  <si>
    <t>Результат</t>
  </si>
  <si>
    <t>Забито</t>
  </si>
  <si>
    <t>Пропущено</t>
  </si>
  <si>
    <t>П1</t>
  </si>
  <si>
    <t>П2</t>
  </si>
  <si>
    <t>ТМ 3.5</t>
  </si>
  <si>
    <t>ТБ 1.5</t>
  </si>
  <si>
    <t>ТБ 2.5</t>
  </si>
  <si>
    <t>ТБ 3.5</t>
  </si>
  <si>
    <t>ТМ 1.5</t>
  </si>
  <si>
    <t>ТМ 2.5</t>
  </si>
  <si>
    <t>ТБ 0.5</t>
  </si>
  <si>
    <t>ТМ 0.5</t>
  </si>
  <si>
    <t>Игр</t>
  </si>
  <si>
    <t>В</t>
  </si>
  <si>
    <t>Н</t>
  </si>
  <si>
    <t>П</t>
  </si>
  <si>
    <t>Победа 1</t>
  </si>
  <si>
    <t>Среднее</t>
  </si>
  <si>
    <t>ТМ 3.5 Д+Г</t>
  </si>
  <si>
    <t>Д+Г</t>
  </si>
  <si>
    <t>ТМ 2.5 Д+Г</t>
  </si>
  <si>
    <t>Ср. знач</t>
  </si>
  <si>
    <t>ТМ 0.5 Д+Г</t>
  </si>
  <si>
    <t>ТМ 1.5 Д+Г</t>
  </si>
  <si>
    <t>ТБ 0.5 Д+Г</t>
  </si>
  <si>
    <t>ТБ 1.5 Д+Г</t>
  </si>
  <si>
    <t>ТБ 2.5 Д+Г</t>
  </si>
  <si>
    <t>ТБ 3.5 Д+Г</t>
  </si>
  <si>
    <t>1.60</t>
  </si>
  <si>
    <t>2:2</t>
  </si>
  <si>
    <t>details</t>
  </si>
  <si>
    <t>23.12.2018</t>
  </si>
  <si>
    <t>2:1</t>
  </si>
  <si>
    <t>1:1</t>
  </si>
  <si>
    <t>1:0</t>
  </si>
  <si>
    <t>2:0</t>
  </si>
  <si>
    <t>09.12.2018</t>
  </si>
  <si>
    <t>25.11.2018</t>
  </si>
  <si>
    <t>3.73</t>
  </si>
  <si>
    <t>11.11.2018</t>
  </si>
  <si>
    <t>3.70</t>
  </si>
  <si>
    <t>13.01.2019</t>
  </si>
  <si>
    <t>1.99</t>
  </si>
  <si>
    <t>3.67</t>
  </si>
  <si>
    <t>0:1</t>
  </si>
  <si>
    <t>18.11.2018</t>
  </si>
  <si>
    <t>0:0</t>
  </si>
  <si>
    <t>3:1</t>
  </si>
  <si>
    <t>3.37</t>
  </si>
  <si>
    <t>3.45</t>
  </si>
  <si>
    <t>3.16</t>
  </si>
  <si>
    <t>06.01.2019</t>
  </si>
  <si>
    <t>0:2</t>
  </si>
  <si>
    <t>2.89</t>
  </si>
  <si>
    <t>16.12.2018</t>
  </si>
  <si>
    <t>3:0</t>
  </si>
  <si>
    <t>02.12.2018</t>
  </si>
  <si>
    <t>3.04</t>
  </si>
  <si>
    <t>05.01.2019</t>
  </si>
  <si>
    <t>2.84</t>
  </si>
  <si>
    <t>2.51</t>
  </si>
  <si>
    <t>2.70</t>
  </si>
  <si>
    <t>3.71</t>
  </si>
  <si>
    <t>3.06</t>
  </si>
  <si>
    <t>3.51</t>
  </si>
  <si>
    <t>3.20</t>
  </si>
  <si>
    <t>2.62</t>
  </si>
  <si>
    <t>04.11.2018</t>
  </si>
  <si>
    <t>1.79</t>
  </si>
  <si>
    <t>3.34</t>
  </si>
  <si>
    <t>1.76</t>
  </si>
  <si>
    <t>3.22</t>
  </si>
  <si>
    <t>2.36</t>
  </si>
  <si>
    <t>5:0</t>
  </si>
  <si>
    <t>1.87</t>
  </si>
  <si>
    <t>4.21</t>
  </si>
  <si>
    <t>4.33</t>
  </si>
  <si>
    <t>4.16</t>
  </si>
  <si>
    <t>1.70</t>
  </si>
  <si>
    <t>4.79</t>
  </si>
  <si>
    <t>2.30</t>
  </si>
  <si>
    <t>2.32</t>
  </si>
  <si>
    <t>3.02</t>
  </si>
  <si>
    <t>2.96</t>
  </si>
  <si>
    <t>3.19</t>
  </si>
  <si>
    <t>3.25</t>
  </si>
  <si>
    <t>2.05</t>
  </si>
  <si>
    <t>3.12</t>
  </si>
  <si>
    <t>2.47</t>
  </si>
  <si>
    <t>2.19</t>
  </si>
  <si>
    <t>1.65</t>
  </si>
  <si>
    <t>2.82</t>
  </si>
  <si>
    <t>1.52</t>
  </si>
  <si>
    <t>1.49</t>
  </si>
  <si>
    <t>1.78</t>
  </si>
  <si>
    <t>2.72</t>
  </si>
  <si>
    <t>4.15</t>
  </si>
  <si>
    <t>01.11.2018</t>
  </si>
  <si>
    <t>3.03</t>
  </si>
  <si>
    <t>Asco</t>
  </si>
  <si>
    <t>FE Grama</t>
  </si>
  <si>
    <t>Granollers</t>
  </si>
  <si>
    <t>Llagostera Costa Brava</t>
  </si>
  <si>
    <t>Terrassa</t>
  </si>
  <si>
    <t>Reus Deportiu B</t>
  </si>
  <si>
    <t>Santboia</t>
  </si>
  <si>
    <t>San Cristobal CP</t>
  </si>
  <si>
    <t>Prat</t>
  </si>
  <si>
    <t>UE Figueres</t>
  </si>
  <si>
    <t>Martinenc</t>
  </si>
  <si>
    <t>Castelldefels</t>
  </si>
  <si>
    <t>CE Europa</t>
  </si>
  <si>
    <t>Pobla Mafumet</t>
  </si>
  <si>
    <t>4.57</t>
  </si>
  <si>
    <t>5.31</t>
  </si>
  <si>
    <t>5.38</t>
  </si>
  <si>
    <t>5.84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</si>
</sst>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49" fontId="0" fillId="0" borderId="0" xfId="0" applyNumberFormat="1"/>
    <xf numFmtId="164" fontId="0" fillId="0" borderId="0" xfId="0" applyNumberFormat="1"/>
    <xf numFmtId="49" fontId="3" fillId="0" borderId="0" xfId="0" applyNumberFormat="1" applyFont="1"/>
    <xf numFmtId="1" fontId="0" fillId="0" borderId="0" xfId="0" applyNumberFormat="1"/>
    <xf numFmtId="0" fontId="0" fillId="0" borderId="0" xfId="0" applyAlignment="1">
      <alignment horizontal="center"/>
    </xf>
    <xf numFmtId="9" fontId="0" fillId="0" borderId="0" xfId="1" applyFont="1"/>
    <xf numFmtId="9" fontId="0" fillId="0" borderId="0" xfId="0" applyNumberFormat="1"/>
    <xf numFmtId="0" fontId="1" fillId="2" borderId="2" xfId="0" applyFont="1" applyFill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9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Fill="1" applyBorder="1"/>
    <xf numFmtId="49" fontId="0" fillId="0" borderId="1" xfId="0" applyNumberFormat="1" applyFill="1" applyBorder="1"/>
    <xf numFmtId="1" fontId="0" fillId="0" borderId="1" xfId="0" applyNumberFormat="1" applyFill="1" applyBorder="1"/>
    <xf numFmtId="0" fontId="0" fillId="0" borderId="1" xfId="0" applyFill="1" applyBorder="1"/>
    <xf numFmtId="164" fontId="0" fillId="0" borderId="1" xfId="0" applyNumberFormat="1" applyBorder="1"/>
    <xf numFmtId="0" fontId="3" fillId="0" borderId="1" xfId="0" applyFont="1" applyFill="1" applyBorder="1" applyAlignment="1">
      <alignment horizontal="center"/>
    </xf>
    <xf numFmtId="1" fontId="0" fillId="0" borderId="1" xfId="0" applyNumberFormat="1" applyBorder="1"/>
    <xf numFmtId="164" fontId="0" fillId="0" borderId="3" xfId="0" applyNumberFormat="1" applyBorder="1"/>
    <xf numFmtId="0" fontId="0" fillId="0" borderId="4" xfId="0" applyBorder="1"/>
    <xf numFmtId="0" fontId="0" fillId="0" borderId="5" xfId="0" applyBorder="1"/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0" xfId="1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165" fontId="0" fillId="0" borderId="1" xfId="0" applyNumberFormat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6"/>
  <sheetViews>
    <sheetView tabSelected="1" zoomScale="80" zoomScaleNormal="80" workbookViewId="0">
      <selection activeCell="D14" sqref="D14:E14"/>
    </sheetView>
  </sheetViews>
  <sheetFormatPr defaultRowHeight="15" x14ac:dyDescent="0.25"/>
  <cols>
    <col min="4" max="4" width="24.85546875" customWidth="1"/>
    <col min="5" max="9" width="21.85546875" hidden="1" customWidth="1"/>
    <col min="16" max="16" width="8.42578125" customWidth="1"/>
    <col min="17" max="17" width="13" customWidth="1"/>
    <col min="20" max="22" width="0" hidden="1" customWidth="1"/>
    <col min="23" max="23" width="7.28515625" hidden="1" customWidth="1"/>
    <col min="24" max="24" width="11.42578125" hidden="1" customWidth="1"/>
    <col min="25" max="25" width="8.7109375" hidden="1" customWidth="1"/>
    <col min="26" max="26" width="7.28515625" hidden="1" customWidth="1"/>
    <col min="27" max="27" width="11.28515625" hidden="1" customWidth="1"/>
    <col min="28" max="28" width="8.7109375" hidden="1" customWidth="1"/>
    <col min="29" max="29" width="7.28515625" hidden="1" customWidth="1"/>
    <col min="30" max="30" width="18" bestFit="1" customWidth="1"/>
    <col min="31" max="31" width="10.140625" bestFit="1" customWidth="1"/>
    <col min="33" max="34" width="11.140625" customWidth="1"/>
    <col min="35" max="35" width="6.7109375" bestFit="1" customWidth="1"/>
    <col min="36" max="36" width="10.7109375" bestFit="1" customWidth="1"/>
    <col min="37" max="37" width="8.7109375" bestFit="1" customWidth="1"/>
    <col min="38" max="38" width="6.7109375" bestFit="1" customWidth="1"/>
    <col min="39" max="39" width="10.7109375" bestFit="1" customWidth="1"/>
    <col min="40" max="40" width="8.7109375" bestFit="1" customWidth="1"/>
    <col min="41" max="41" width="6.7109375" bestFit="1" customWidth="1"/>
    <col min="42" max="42" width="10.7109375" bestFit="1" customWidth="1"/>
    <col min="43" max="43" width="8.7109375" bestFit="1" customWidth="1"/>
    <col min="44" max="44" width="6.7109375" bestFit="1" customWidth="1"/>
    <col min="45" max="45" width="10.7109375" bestFit="1" customWidth="1"/>
    <col min="46" max="46" width="8.7109375" bestFit="1" customWidth="1"/>
  </cols>
  <sheetData>
    <row r="1" spans="1:46" ht="15.75" x14ac:dyDescent="0.25">
      <c r="A1" s="29" t="s">
        <v>3</v>
      </c>
      <c r="B1" s="29"/>
      <c r="C1" s="29"/>
      <c r="D1" s="29" t="e">
        <f>INDEX(F2:F11,MATCH(MAX(COUNTIF(F2:F11,F2:F11)),COUNTIF(F2:F11,F2:F11),0))</f>
        <v>#N/A</v>
      </c>
      <c r="E1" s="30"/>
      <c r="F1" s="26"/>
      <c r="G1" s="26"/>
      <c r="H1" s="26"/>
      <c r="I1" s="26"/>
      <c r="J1" s="13" t="s">
        <v>4</v>
      </c>
      <c r="K1" s="13" t="s">
        <v>5</v>
      </c>
      <c r="L1" s="13" t="s">
        <v>6</v>
      </c>
      <c r="M1" s="13" t="s">
        <v>7</v>
      </c>
      <c r="N1" s="13" t="s">
        <v>8</v>
      </c>
      <c r="O1" s="13" t="s">
        <v>9</v>
      </c>
      <c r="P1" s="13" t="s">
        <v>10</v>
      </c>
      <c r="Q1" s="13" t="s">
        <v>11</v>
      </c>
      <c r="R1" s="18" t="s">
        <v>12</v>
      </c>
      <c r="S1" s="18" t="s">
        <v>13</v>
      </c>
      <c r="U1" s="22" t="s">
        <v>29</v>
      </c>
      <c r="V1" s="11" t="s">
        <v>22</v>
      </c>
      <c r="W1" s="11" t="s">
        <v>23</v>
      </c>
      <c r="X1" s="11" t="s">
        <v>24</v>
      </c>
      <c r="Y1" s="11" t="s">
        <v>25</v>
      </c>
      <c r="AA1" s="5"/>
      <c r="AB1" s="5"/>
      <c r="AD1" s="11"/>
      <c r="AE1" s="11" t="s">
        <v>26</v>
      </c>
      <c r="AF1" s="11" t="s">
        <v>1</v>
      </c>
      <c r="AG1" s="11" t="s">
        <v>0</v>
      </c>
      <c r="AH1" s="5"/>
    </row>
    <row r="2" spans="1:46" x14ac:dyDescent="0.25">
      <c r="A2" s="3"/>
      <c r="B2" s="3" t="s">
        <v>109</v>
      </c>
      <c r="C2" s="3" t="s">
        <v>110</v>
      </c>
      <c r="D2" s="3" t="s">
        <v>43</v>
      </c>
      <c r="E2" s="3" t="s">
        <v>99</v>
      </c>
      <c r="F2" s="3" t="s">
        <v>92</v>
      </c>
      <c r="G2" s="3" t="s">
        <v>73</v>
      </c>
      <c r="H2" s="3" t="s">
        <v>40</v>
      </c>
      <c r="I2" s="3" t="s">
        <v>51</v>
      </c>
      <c r="J2" s="14" t="str">
        <f>B2</f>
        <v>Asco</v>
      </c>
      <c r="K2" s="14" t="str">
        <f>C2</f>
        <v>FE Grama</v>
      </c>
      <c r="L2" s="15">
        <f>VALUE(LEFT(D2,FIND(":",D2,1)-1))</f>
        <v>1</v>
      </c>
      <c r="M2" s="15">
        <f>--MID(D2,SEARCH(":",D2)+1,10)</f>
        <v>1</v>
      </c>
      <c r="N2" s="16" t="e">
        <f>IF(J2=$D$1,"Дома","В гостях")</f>
        <v>#N/A</v>
      </c>
      <c r="O2" s="16" t="e">
        <f t="shared" ref="O2:O11" si="0">IF(N2="Дома",IF(L2&gt;M2,"В",IF(L2=M2,"Н","П")),IF(L2&lt;M2,"В",IF(L2=M2,"Н","П")))</f>
        <v>#N/A</v>
      </c>
      <c r="P2" s="15" t="e">
        <f t="shared" ref="P2:P11" si="1">IF(N2="Дома",L2,M2)</f>
        <v>#N/A</v>
      </c>
      <c r="Q2" s="15" t="e">
        <f t="shared" ref="Q2:Q11" si="2">IF(N2="Дома",M2,L2)</f>
        <v>#N/A</v>
      </c>
      <c r="R2" s="17" t="e">
        <f>(P12+Q25)/2</f>
        <v>#N/A</v>
      </c>
      <c r="S2" s="20" t="e">
        <f>(Q12+P25)/2</f>
        <v>#N/A</v>
      </c>
      <c r="T2" s="19" t="e">
        <f>SUM(P2:Q2)</f>
        <v>#N/A</v>
      </c>
      <c r="U2" s="19" t="e">
        <f>IF(N2="Дома",SUM(L2:M2))</f>
        <v>#N/A</v>
      </c>
      <c r="V2" s="21">
        <f>ROWS(B2:B11)</f>
        <v>10</v>
      </c>
      <c r="W2" s="12">
        <f>COUNTIF(O2:O11,"В")</f>
        <v>0</v>
      </c>
      <c r="X2" s="12">
        <f>COUNTIF(O2:O11,"Н")</f>
        <v>0</v>
      </c>
      <c r="Y2" s="12">
        <f>COUNTIF(O2:O11,"П")</f>
        <v>0</v>
      </c>
      <c r="AD2" s="12" t="s">
        <v>2</v>
      </c>
      <c r="AE2" s="28" t="e">
        <f>(W2/V2)/(W2/V2+X2/V2+X15/V15+W15/V15)</f>
        <v>#DIV/0!</v>
      </c>
      <c r="AF2" s="28" t="e">
        <f>(X2/V2+X15/V15)/(W2/V2+X2/V2+X15/V15+W15/V15)</f>
        <v>#DIV/0!</v>
      </c>
      <c r="AG2" s="28" t="e">
        <f>(W15/V15)/(W2/V2+X2/V2+X15/V15+W15/V15)</f>
        <v>#DIV/0!</v>
      </c>
      <c r="AH2" s="6"/>
    </row>
    <row r="3" spans="1:46" x14ac:dyDescent="0.25">
      <c r="A3" s="3"/>
      <c r="B3" s="3" t="s">
        <v>110</v>
      </c>
      <c r="C3" s="3" t="s">
        <v>120</v>
      </c>
      <c r="D3" s="3" t="s">
        <v>62</v>
      </c>
      <c r="E3" s="3" t="s">
        <v>96</v>
      </c>
      <c r="F3" s="3" t="s">
        <v>108</v>
      </c>
      <c r="G3" s="3" t="s">
        <v>79</v>
      </c>
      <c r="H3" s="3" t="s">
        <v>40</v>
      </c>
      <c r="I3" s="3" t="s">
        <v>61</v>
      </c>
      <c r="J3" s="14" t="str">
        <f t="shared" ref="J3:J11" si="3">B3</f>
        <v>FE Grama</v>
      </c>
      <c r="K3" s="14" t="str">
        <f t="shared" ref="K3:K11" si="4">C3</f>
        <v>Castelldefels</v>
      </c>
      <c r="L3" s="15">
        <f t="shared" ref="L3:L11" si="5">VALUE(LEFT(D3,FIND(":",D3,1)-1))</f>
        <v>0</v>
      </c>
      <c r="M3" s="15">
        <f t="shared" ref="M3:M11" si="6">--MID(D3,SEARCH(":",D3)+1,10)</f>
        <v>2</v>
      </c>
      <c r="N3" s="16" t="e">
        <f t="shared" ref="N3:N11" si="7">IF(J3=$D$1,"Дома","В гостях")</f>
        <v>#N/A</v>
      </c>
      <c r="O3" s="16" t="e">
        <f t="shared" si="0"/>
        <v>#N/A</v>
      </c>
      <c r="P3" s="15" t="e">
        <f t="shared" si="1"/>
        <v>#N/A</v>
      </c>
      <c r="Q3" s="15" t="e">
        <f t="shared" si="2"/>
        <v>#N/A</v>
      </c>
      <c r="R3" s="17" t="e">
        <f>(P13+Q26)/2</f>
        <v>#DIV/0!</v>
      </c>
      <c r="S3" s="20" t="e">
        <f>(P26+Q13)/2</f>
        <v>#DIV/0!</v>
      </c>
      <c r="T3" s="19" t="e">
        <f t="shared" ref="T3:T11" si="8">SUM(P3:Q3)</f>
        <v>#N/A</v>
      </c>
      <c r="U3" s="19" t="e">
        <f t="shared" ref="U3:U11" si="9">IF(N3="Дома",SUM(L3:M3))</f>
        <v>#N/A</v>
      </c>
      <c r="V3" s="21">
        <f>COUNTIF(N2:N11,"Дома")</f>
        <v>0</v>
      </c>
      <c r="W3" s="12">
        <f>COUNTIFS(N2:N11,"Дома",O2:O11,"В")</f>
        <v>0</v>
      </c>
      <c r="X3" s="12">
        <f>COUNTIFS(N2:N11,"Дома",O2:O11,"Н")</f>
        <v>0</v>
      </c>
      <c r="Y3" s="12">
        <f>COUNTIFS(N2:N11,"Дома",O2:O11,"П")</f>
        <v>0</v>
      </c>
      <c r="AD3" s="12" t="str">
        <f>CONCATENATE(SUM(V3,V16)," Дома+В гостях")</f>
        <v>0 Дома+В гостях</v>
      </c>
      <c r="AE3" s="28" t="e">
        <f>(W3/V3)/(W3/V3+X3/V3+X16/V16+W16/V16)</f>
        <v>#DIV/0!</v>
      </c>
      <c r="AF3" s="28" t="e">
        <f>(X3/V3+X16/V16)/(W3/V3+X3/V3+X16/V16+W16/V16)</f>
        <v>#DIV/0!</v>
      </c>
      <c r="AG3" s="28" t="e">
        <f>(W16/V16)/(W3/V3+X3/V3+X16/V16+W16/V16)</f>
        <v>#DIV/0!</v>
      </c>
      <c r="AH3" s="6"/>
    </row>
    <row r="4" spans="1:46" x14ac:dyDescent="0.25">
      <c r="A4" s="3"/>
      <c r="B4" s="3" t="s">
        <v>111</v>
      </c>
      <c r="C4" s="3" t="s">
        <v>110</v>
      </c>
      <c r="D4" s="3" t="s">
        <v>45</v>
      </c>
      <c r="E4" s="3" t="s">
        <v>88</v>
      </c>
      <c r="F4" s="3" t="s">
        <v>79</v>
      </c>
      <c r="G4" s="3" t="s">
        <v>86</v>
      </c>
      <c r="H4" s="3" t="s">
        <v>40</v>
      </c>
      <c r="I4" s="3" t="s">
        <v>41</v>
      </c>
      <c r="J4" s="14" t="str">
        <f t="shared" si="3"/>
        <v>Granollers</v>
      </c>
      <c r="K4" s="14" t="str">
        <f t="shared" si="4"/>
        <v>FE Grama</v>
      </c>
      <c r="L4" s="15">
        <f t="shared" si="5"/>
        <v>2</v>
      </c>
      <c r="M4" s="15">
        <f t="shared" si="6"/>
        <v>0</v>
      </c>
      <c r="N4" s="16" t="e">
        <f t="shared" si="7"/>
        <v>#N/A</v>
      </c>
      <c r="O4" s="16" t="e">
        <f t="shared" si="0"/>
        <v>#N/A</v>
      </c>
      <c r="P4" s="15" t="e">
        <f t="shared" si="1"/>
        <v>#N/A</v>
      </c>
      <c r="Q4" s="15" t="e">
        <f t="shared" si="2"/>
        <v>#N/A</v>
      </c>
      <c r="R4" s="17" t="e">
        <f>ROUNDDOWN(AVERAGE(R2:R3),0)</f>
        <v>#N/A</v>
      </c>
      <c r="S4" s="20" t="e">
        <f>ROUNDDOWN(AVERAGE(S2:S3),0)</f>
        <v>#N/A</v>
      </c>
      <c r="T4" s="19" t="e">
        <f t="shared" si="8"/>
        <v>#N/A</v>
      </c>
      <c r="U4" s="19" t="e">
        <f t="shared" si="9"/>
        <v>#N/A</v>
      </c>
      <c r="AD4" s="15" t="s">
        <v>27</v>
      </c>
      <c r="AE4" s="27" t="e">
        <f>AVERAGE(AE2:AE3)</f>
        <v>#DIV/0!</v>
      </c>
      <c r="AF4" s="27" t="e">
        <f>AVERAGE(AF2:AF3)</f>
        <v>#DIV/0!</v>
      </c>
      <c r="AG4" s="27" t="e">
        <f>AVERAGE(AG2:AG3)</f>
        <v>#DIV/0!</v>
      </c>
      <c r="AH4" s="6"/>
    </row>
    <row r="5" spans="1:46" x14ac:dyDescent="0.25">
      <c r="A5" s="3"/>
      <c r="B5" s="3" t="s">
        <v>110</v>
      </c>
      <c r="C5" s="3" t="s">
        <v>112</v>
      </c>
      <c r="D5" s="3" t="s">
        <v>62</v>
      </c>
      <c r="E5" s="3" t="s">
        <v>89</v>
      </c>
      <c r="F5" s="3" t="s">
        <v>74</v>
      </c>
      <c r="G5" s="3" t="s">
        <v>38</v>
      </c>
      <c r="H5" s="3" t="s">
        <v>40</v>
      </c>
      <c r="I5" s="3" t="s">
        <v>64</v>
      </c>
      <c r="J5" s="14" t="str">
        <f t="shared" si="3"/>
        <v>FE Grama</v>
      </c>
      <c r="K5" s="14" t="str">
        <f t="shared" si="4"/>
        <v>Llagostera Costa Brava</v>
      </c>
      <c r="L5" s="15">
        <f t="shared" si="5"/>
        <v>0</v>
      </c>
      <c r="M5" s="15">
        <f t="shared" si="6"/>
        <v>2</v>
      </c>
      <c r="N5" s="16" t="e">
        <f t="shared" si="7"/>
        <v>#N/A</v>
      </c>
      <c r="O5" s="16" t="e">
        <f t="shared" si="0"/>
        <v>#N/A</v>
      </c>
      <c r="P5" s="15" t="e">
        <f t="shared" si="1"/>
        <v>#N/A</v>
      </c>
      <c r="Q5" s="15" t="e">
        <f t="shared" si="2"/>
        <v>#N/A</v>
      </c>
      <c r="R5" s="23" t="e">
        <f>AVERAGE(R2:R3)+AVERAGE(S2:S3)</f>
        <v>#N/A</v>
      </c>
      <c r="S5" s="24"/>
      <c r="T5" s="19" t="e">
        <f t="shared" si="8"/>
        <v>#N/A</v>
      </c>
      <c r="U5" s="19" t="e">
        <f t="shared" si="9"/>
        <v>#N/A</v>
      </c>
      <c r="AD5" s="12" t="s">
        <v>9</v>
      </c>
      <c r="AE5" s="12" t="e">
        <f>IF(AND(AE4&gt;AG4,AE4&gt;AF4),"П1",IF(AND(AF4&gt;AE4,AF4&gt;AG4),"Х",IF(AND(AG4&gt;AE4,AG4&gt;AF4),"П2",IF(AE4=AG4,"О",IF(AE4=AF4,"1Х",IF(AG4=AF4,"2Х"))))))</f>
        <v>#DIV/0!</v>
      </c>
      <c r="AF5" s="12"/>
      <c r="AG5" s="12"/>
      <c r="AH5" s="7"/>
    </row>
    <row r="6" spans="1:46" x14ac:dyDescent="0.25">
      <c r="A6" s="1"/>
      <c r="B6" s="1" t="s">
        <v>113</v>
      </c>
      <c r="C6" s="3" t="s">
        <v>110</v>
      </c>
      <c r="D6" s="3" t="s">
        <v>39</v>
      </c>
      <c r="E6" s="3" t="s">
        <v>103</v>
      </c>
      <c r="F6" s="3" t="s">
        <v>53</v>
      </c>
      <c r="G6" s="3" t="s">
        <v>126</v>
      </c>
      <c r="H6" s="3" t="s">
        <v>40</v>
      </c>
      <c r="I6" s="3" t="s">
        <v>46</v>
      </c>
      <c r="J6" s="14" t="str">
        <f t="shared" si="3"/>
        <v>Terrassa</v>
      </c>
      <c r="K6" s="14" t="str">
        <f t="shared" si="4"/>
        <v>FE Grama</v>
      </c>
      <c r="L6" s="15">
        <f t="shared" si="5"/>
        <v>2</v>
      </c>
      <c r="M6" s="15">
        <f t="shared" si="6"/>
        <v>2</v>
      </c>
      <c r="N6" s="16" t="e">
        <f t="shared" si="7"/>
        <v>#N/A</v>
      </c>
      <c r="O6" s="16" t="e">
        <f t="shared" si="0"/>
        <v>#N/A</v>
      </c>
      <c r="P6" s="15" t="e">
        <f t="shared" si="1"/>
        <v>#N/A</v>
      </c>
      <c r="Q6" s="15" t="e">
        <f t="shared" si="2"/>
        <v>#N/A</v>
      </c>
      <c r="R6" s="25"/>
      <c r="T6" s="19" t="e">
        <f t="shared" si="8"/>
        <v>#N/A</v>
      </c>
      <c r="U6" s="19" t="e">
        <f t="shared" si="9"/>
        <v>#N/A</v>
      </c>
    </row>
    <row r="7" spans="1:46" ht="15.75" thickBot="1" x14ac:dyDescent="0.3">
      <c r="A7" s="1"/>
      <c r="B7" s="1" t="s">
        <v>114</v>
      </c>
      <c r="C7" s="3" t="s">
        <v>110</v>
      </c>
      <c r="D7" s="3" t="s">
        <v>45</v>
      </c>
      <c r="E7" s="3" t="s">
        <v>80</v>
      </c>
      <c r="F7" s="3" t="s">
        <v>95</v>
      </c>
      <c r="G7" s="3" t="s">
        <v>85</v>
      </c>
      <c r="H7" s="3" t="s">
        <v>40</v>
      </c>
      <c r="I7" s="3" t="s">
        <v>47</v>
      </c>
      <c r="J7" s="14" t="str">
        <f t="shared" si="3"/>
        <v>Reus Deportiu B</v>
      </c>
      <c r="K7" s="14" t="str">
        <f t="shared" si="4"/>
        <v>FE Grama</v>
      </c>
      <c r="L7" s="15">
        <f t="shared" si="5"/>
        <v>2</v>
      </c>
      <c r="M7" s="15">
        <f t="shared" si="6"/>
        <v>0</v>
      </c>
      <c r="N7" s="16" t="e">
        <f t="shared" si="7"/>
        <v>#N/A</v>
      </c>
      <c r="O7" s="16" t="e">
        <f t="shared" si="0"/>
        <v>#N/A</v>
      </c>
      <c r="P7" s="15" t="e">
        <f t="shared" si="1"/>
        <v>#N/A</v>
      </c>
      <c r="Q7" s="15" t="e">
        <f t="shared" si="2"/>
        <v>#N/A</v>
      </c>
      <c r="R7" s="25"/>
      <c r="S7" s="2"/>
      <c r="T7" s="19" t="e">
        <f t="shared" si="8"/>
        <v>#N/A</v>
      </c>
      <c r="U7" s="19" t="e">
        <f t="shared" si="9"/>
        <v>#N/A</v>
      </c>
    </row>
    <row r="8" spans="1:46" x14ac:dyDescent="0.25">
      <c r="A8" s="1"/>
      <c r="B8" s="1" t="s">
        <v>110</v>
      </c>
      <c r="C8" s="3" t="s">
        <v>115</v>
      </c>
      <c r="D8" s="3" t="s">
        <v>65</v>
      </c>
      <c r="E8" s="3" t="s">
        <v>84</v>
      </c>
      <c r="F8" s="3" t="s">
        <v>81</v>
      </c>
      <c r="G8" s="3" t="s">
        <v>72</v>
      </c>
      <c r="H8" s="3" t="s">
        <v>40</v>
      </c>
      <c r="I8" s="3" t="s">
        <v>55</v>
      </c>
      <c r="J8" s="14" t="str">
        <f t="shared" si="3"/>
        <v>FE Grama</v>
      </c>
      <c r="K8" s="14" t="str">
        <f t="shared" si="4"/>
        <v>Santboia</v>
      </c>
      <c r="L8" s="15">
        <f t="shared" si="5"/>
        <v>3</v>
      </c>
      <c r="M8" s="15">
        <f t="shared" si="6"/>
        <v>0</v>
      </c>
      <c r="N8" s="16" t="e">
        <f t="shared" si="7"/>
        <v>#N/A</v>
      </c>
      <c r="O8" s="16" t="e">
        <f t="shared" si="0"/>
        <v>#N/A</v>
      </c>
      <c r="P8" s="15" t="e">
        <f t="shared" si="1"/>
        <v>#N/A</v>
      </c>
      <c r="Q8" s="15" t="e">
        <f t="shared" si="2"/>
        <v>#N/A</v>
      </c>
      <c r="R8" s="6"/>
      <c r="S8" s="2"/>
      <c r="T8" s="19" t="e">
        <f t="shared" si="8"/>
        <v>#N/A</v>
      </c>
      <c r="U8" s="19" t="e">
        <f t="shared" si="9"/>
        <v>#N/A</v>
      </c>
      <c r="W8" s="8" t="s">
        <v>21</v>
      </c>
      <c r="X8" s="8" t="s">
        <v>32</v>
      </c>
      <c r="Y8" s="8" t="s">
        <v>31</v>
      </c>
      <c r="Z8" s="8" t="s">
        <v>18</v>
      </c>
      <c r="AA8" s="8" t="s">
        <v>33</v>
      </c>
      <c r="AB8" s="8" t="s">
        <v>31</v>
      </c>
      <c r="AC8" s="8" t="s">
        <v>19</v>
      </c>
      <c r="AD8" s="8" t="s">
        <v>30</v>
      </c>
      <c r="AE8" s="8" t="s">
        <v>31</v>
      </c>
      <c r="AF8" s="8" t="s">
        <v>14</v>
      </c>
      <c r="AG8" s="8" t="s">
        <v>28</v>
      </c>
      <c r="AH8" s="8" t="s">
        <v>31</v>
      </c>
      <c r="AI8" s="8" t="s">
        <v>20</v>
      </c>
      <c r="AJ8" s="8" t="s">
        <v>34</v>
      </c>
      <c r="AK8" s="8" t="s">
        <v>31</v>
      </c>
      <c r="AL8" s="8" t="s">
        <v>15</v>
      </c>
      <c r="AM8" s="8" t="s">
        <v>35</v>
      </c>
      <c r="AN8" s="8" t="s">
        <v>31</v>
      </c>
      <c r="AO8" s="8" t="s">
        <v>16</v>
      </c>
      <c r="AP8" s="8" t="s">
        <v>36</v>
      </c>
      <c r="AQ8" s="8" t="s">
        <v>31</v>
      </c>
      <c r="AR8" s="8" t="s">
        <v>17</v>
      </c>
      <c r="AS8" s="8" t="s">
        <v>37</v>
      </c>
      <c r="AT8" s="8" t="s">
        <v>31</v>
      </c>
    </row>
    <row r="9" spans="1:46" x14ac:dyDescent="0.25">
      <c r="A9" s="1"/>
      <c r="B9" s="1" t="s">
        <v>116</v>
      </c>
      <c r="C9" s="3" t="s">
        <v>110</v>
      </c>
      <c r="D9" s="3" t="s">
        <v>43</v>
      </c>
      <c r="E9" s="3"/>
      <c r="F9" s="3"/>
      <c r="G9" s="3"/>
      <c r="H9" s="3" t="s">
        <v>40</v>
      </c>
      <c r="I9" s="3" t="s">
        <v>49</v>
      </c>
      <c r="J9" s="14" t="str">
        <f t="shared" si="3"/>
        <v>San Cristobal CP</v>
      </c>
      <c r="K9" s="14" t="str">
        <f t="shared" si="4"/>
        <v>FE Grama</v>
      </c>
      <c r="L9" s="15">
        <f t="shared" si="5"/>
        <v>1</v>
      </c>
      <c r="M9" s="15">
        <f t="shared" si="6"/>
        <v>1</v>
      </c>
      <c r="N9" s="16" t="e">
        <f t="shared" si="7"/>
        <v>#N/A</v>
      </c>
      <c r="O9" s="16" t="e">
        <f t="shared" si="0"/>
        <v>#N/A</v>
      </c>
      <c r="P9" s="15" t="e">
        <f t="shared" si="1"/>
        <v>#N/A</v>
      </c>
      <c r="Q9" s="15" t="e">
        <f t="shared" si="2"/>
        <v>#N/A</v>
      </c>
      <c r="S9" s="2"/>
      <c r="T9" s="19" t="e">
        <f t="shared" si="8"/>
        <v>#N/A</v>
      </c>
      <c r="U9" s="19" t="e">
        <f t="shared" si="9"/>
        <v>#N/A</v>
      </c>
      <c r="W9" s="9" t="e">
        <f>(COUNTIF(T2:T11,"&lt;0.5")+COUNTIF(T15:T24,"&lt;0.5"))/COUNT(T2:T11,T15:T24)</f>
        <v>#DIV/0!</v>
      </c>
      <c r="X9" s="9" t="e">
        <f>(COUNTIF(U2:U11,"&lt;0.5")+COUNTIF(U15:U24,"&lt;0.5"))/COUNT(U2:U11,U15:U24)</f>
        <v>#DIV/0!</v>
      </c>
      <c r="Y9" s="9" t="e">
        <f>IF(AND(W9&gt;=70%,X9&gt;=70%),AVERAGE(W9:X9),"н/д")</f>
        <v>#DIV/0!</v>
      </c>
      <c r="Z9" s="9" t="e">
        <f>(COUNTIF(T2:T11,"&lt;1.5")+COUNTIF(T15:T24,"&lt;1.5"))/COUNT(T2:T11,T15:T24)</f>
        <v>#DIV/0!</v>
      </c>
      <c r="AA9" s="9" t="e">
        <f>(COUNTIF(U2:U11,"&lt;1.5")+COUNTIF(U15:U24,"&lt;1.5"))/COUNT(U2:U11,U15:U24)</f>
        <v>#DIV/0!</v>
      </c>
      <c r="AB9" s="9" t="e">
        <f>IF(AND(Z9&gt;=70%,AA9&gt;=70%),AVERAGE(Z9:AA9),"н/д")</f>
        <v>#DIV/0!</v>
      </c>
      <c r="AC9" s="9" t="e">
        <f>(COUNTIF(T2:T11,"&lt;2.5")+COUNTIF(T15:T24,"&lt;2.5"))/COUNT(T2:T11,T15:T24)</f>
        <v>#DIV/0!</v>
      </c>
      <c r="AD9" s="9" t="e">
        <f>(COUNTIF(U2:U11,"&lt;2.5")+COUNTIF(U15:U24,"&lt;2.5"))/COUNT(U2:U11,U15:U24)</f>
        <v>#DIV/0!</v>
      </c>
      <c r="AE9" s="9" t="e">
        <f>IF(AND(AC9&gt;=70%,AD9&gt;=70%),AVERAGE(AC9:AD9),"н/д")</f>
        <v>#DIV/0!</v>
      </c>
      <c r="AF9" s="9" t="e">
        <f>(COUNTIF(T2:T11,"&lt;3.5")+COUNTIF(T15:T24,"&lt;3.5"))/COUNT(T2:T11,T15:T24)</f>
        <v>#DIV/0!</v>
      </c>
      <c r="AG9" s="9" t="e">
        <f>(COUNTIF(U2:U11,"&lt;3.5")+COUNTIF(U15:U24,"&lt;3.5"))/COUNT(U2:U11,U15:U24)</f>
        <v>#DIV/0!</v>
      </c>
      <c r="AH9" s="9" t="e">
        <f>IF(AND(AF9&gt;=70%,AG9&gt;=70%),AVERAGE(AF9:AG9),"н/д")</f>
        <v>#DIV/0!</v>
      </c>
      <c r="AI9" s="9" t="e">
        <f>(COUNTIF(T2:T11,"&gt;0.5")+COUNTIF(T15:T24,"&gt;0.5"))/COUNT(T2:T11,T15:T24)</f>
        <v>#DIV/0!</v>
      </c>
      <c r="AJ9" s="9" t="e">
        <f>(COUNTIF(U2:U11,"&gt;0.5")+COUNTIF(U15:U24,"&gt;0.5"))/COUNT(U2:U11,U15:U24)</f>
        <v>#DIV/0!</v>
      </c>
      <c r="AK9" s="9" t="e">
        <f>IF(AND(AI9&gt;=70%,AJ9&gt;=70%),AVERAGE(AI9:AJ9),"н/д")</f>
        <v>#DIV/0!</v>
      </c>
      <c r="AL9" s="9" t="e">
        <f>(COUNTIF(T2:T11,"&gt;1.5")+COUNTIF(T15:T24,"&gt;1.5"))/COUNT(T2:T11,T15:T24)</f>
        <v>#DIV/0!</v>
      </c>
      <c r="AM9" s="9" t="e">
        <f>(COUNTIF(U2:U11,"&gt;1.5")+COUNTIF(U15:U24,"&gt;1.5"))/COUNT(U2:U11,U15:U24)</f>
        <v>#DIV/0!</v>
      </c>
      <c r="AN9" s="9" t="e">
        <f>IF(AND(AL9&gt;=70%,AM9&gt;=70%),AVERAGE(AL9:AM9),"н/д")</f>
        <v>#DIV/0!</v>
      </c>
      <c r="AO9" s="9" t="e">
        <f>(COUNTIF(T2:T11,"&gt;2.5")+COUNTIF(T15:T24,"&gt;2.5"))/COUNT(T2:T11,T15:T24)</f>
        <v>#DIV/0!</v>
      </c>
      <c r="AP9" s="9" t="e">
        <f>(COUNTIF(U2:U11,"&gt;2.5")+COUNTIF(U15:U24,"&gt;2.5"))/COUNT(U2:U11,U15:U24)</f>
        <v>#DIV/0!</v>
      </c>
      <c r="AQ9" s="9" t="e">
        <f>IF(AND(AO9&gt;=70%,AP9&gt;=70%),AVERAGE(AO9:AP9),"н/д")</f>
        <v>#DIV/0!</v>
      </c>
      <c r="AR9" s="9" t="e">
        <f>(COUNTIF(T2:T11,"&gt;3.5")+COUNTIF(T15:T24,"&gt;3.5"))/COUNT(T2:T11,T15:T24)</f>
        <v>#DIV/0!</v>
      </c>
      <c r="AS9" s="10" t="e">
        <f>(COUNTIF(U2:U11,"&gt;3.5")+COUNTIF(U15:U24,"&gt;3.5"))/COUNT(U2:U11,U15:U24)</f>
        <v>#DIV/0!</v>
      </c>
      <c r="AT9" s="10" t="e">
        <f>IF(AND(AR9&gt;=70%,AS9&gt;=70%),AVERAGE(AR9:AS9),"н/д")</f>
        <v>#DIV/0!</v>
      </c>
    </row>
    <row r="10" spans="1:46" x14ac:dyDescent="0.25">
      <c r="A10" s="1"/>
      <c r="B10" s="1" t="s">
        <v>110</v>
      </c>
      <c r="C10" s="3" t="s">
        <v>117</v>
      </c>
      <c r="D10" s="3" t="s">
        <v>56</v>
      </c>
      <c r="E10" s="3" t="s">
        <v>87</v>
      </c>
      <c r="F10" s="3" t="s">
        <v>60</v>
      </c>
      <c r="G10" s="3" t="s">
        <v>78</v>
      </c>
      <c r="H10" s="3" t="s">
        <v>40</v>
      </c>
      <c r="I10" s="3" t="s">
        <v>77</v>
      </c>
      <c r="J10" s="14" t="str">
        <f t="shared" si="3"/>
        <v>FE Grama</v>
      </c>
      <c r="K10" s="14" t="str">
        <f t="shared" si="4"/>
        <v>Prat</v>
      </c>
      <c r="L10" s="15">
        <f t="shared" si="5"/>
        <v>0</v>
      </c>
      <c r="M10" s="15">
        <f t="shared" si="6"/>
        <v>0</v>
      </c>
      <c r="N10" s="16" t="e">
        <f t="shared" si="7"/>
        <v>#N/A</v>
      </c>
      <c r="O10" s="16" t="e">
        <f t="shared" si="0"/>
        <v>#N/A</v>
      </c>
      <c r="P10" s="15" t="e">
        <f t="shared" si="1"/>
        <v>#N/A</v>
      </c>
      <c r="Q10" s="15" t="e">
        <f t="shared" si="2"/>
        <v>#N/A</v>
      </c>
      <c r="T10" s="19" t="e">
        <f t="shared" si="8"/>
        <v>#N/A</v>
      </c>
      <c r="U10" s="19" t="e">
        <f t="shared" si="9"/>
        <v>#N/A</v>
      </c>
    </row>
    <row r="11" spans="1:46" x14ac:dyDescent="0.25">
      <c r="A11" s="1"/>
      <c r="B11" s="1" t="s">
        <v>118</v>
      </c>
      <c r="C11" s="3" t="s">
        <v>110</v>
      </c>
      <c r="D11" s="3" t="s">
        <v>45</v>
      </c>
      <c r="E11" s="3" t="s">
        <v>90</v>
      </c>
      <c r="F11" s="3" t="s">
        <v>97</v>
      </c>
      <c r="G11" s="3" t="s">
        <v>105</v>
      </c>
      <c r="H11" s="3" t="s">
        <v>40</v>
      </c>
      <c r="I11" s="3" t="s">
        <v>107</v>
      </c>
      <c r="J11" s="14" t="str">
        <f t="shared" si="3"/>
        <v>UE Figueres</v>
      </c>
      <c r="K11" s="14" t="str">
        <f t="shared" si="4"/>
        <v>FE Grama</v>
      </c>
      <c r="L11" s="15">
        <f t="shared" si="5"/>
        <v>2</v>
      </c>
      <c r="M11" s="15">
        <f t="shared" si="6"/>
        <v>0</v>
      </c>
      <c r="N11" s="16" t="e">
        <f t="shared" si="7"/>
        <v>#N/A</v>
      </c>
      <c r="O11" s="16" t="e">
        <f t="shared" si="0"/>
        <v>#N/A</v>
      </c>
      <c r="P11" s="15" t="e">
        <f t="shared" si="1"/>
        <v>#N/A</v>
      </c>
      <c r="Q11" s="15" t="e">
        <f t="shared" si="2"/>
        <v>#N/A</v>
      </c>
      <c r="T11" s="19" t="e">
        <f t="shared" si="8"/>
        <v>#N/A</v>
      </c>
      <c r="U11" s="19" t="e">
        <f t="shared" si="9"/>
        <v>#N/A</v>
      </c>
    </row>
    <row r="12" spans="1:46" x14ac:dyDescent="0.25">
      <c r="J12" s="12"/>
      <c r="K12" s="12"/>
      <c r="L12" s="12"/>
      <c r="M12" s="12"/>
      <c r="N12" s="12"/>
      <c r="O12" s="12" t="s">
        <v>2</v>
      </c>
      <c r="P12" s="17" t="e">
        <f>AVERAGE(P2:P11)</f>
        <v>#N/A</v>
      </c>
      <c r="Q12" s="17" t="e">
        <f>AVERAGE(Q2:Q11)</f>
        <v>#N/A</v>
      </c>
      <c r="U12" s="4"/>
    </row>
    <row r="13" spans="1:46" x14ac:dyDescent="0.25">
      <c r="J13" s="12"/>
      <c r="K13" s="12"/>
      <c r="L13" s="12"/>
      <c r="M13" s="12"/>
      <c r="N13" s="12"/>
      <c r="O13" s="12"/>
      <c r="P13" s="17" t="e">
        <f>AVERAGEIFS(P2:P11,N2:N11,"Дома")</f>
        <v>#DIV/0!</v>
      </c>
      <c r="Q13" s="17" t="e">
        <f>AVERAGEIFS(Q2:Q11,N2:N11,"Дома")</f>
        <v>#DIV/0!</v>
      </c>
      <c r="U13" s="4"/>
    </row>
    <row r="14" spans="1:46" ht="15.75" x14ac:dyDescent="0.25">
      <c r="A14" s="29" t="s">
        <v>3</v>
      </c>
      <c r="B14" s="29"/>
      <c r="C14" s="29"/>
      <c r="D14" s="29" t="e">
        <f>INDEX(F2:F11,MATCH(MAX(COUNTIF(F2:F11,F2:F11)),COUNTIF(F2:F11,F2:F11),0))</f>
        <v>#N/A</v>
      </c>
      <c r="E14" s="30"/>
      <c r="F14" s="26"/>
      <c r="G14" s="26"/>
      <c r="H14" s="26"/>
      <c r="I14" s="26"/>
      <c r="J14" s="13" t="s">
        <v>4</v>
      </c>
      <c r="K14" s="13" t="s">
        <v>5</v>
      </c>
      <c r="L14" s="13" t="s">
        <v>6</v>
      </c>
      <c r="M14" s="13" t="s">
        <v>7</v>
      </c>
      <c r="N14" s="13" t="s">
        <v>8</v>
      </c>
      <c r="O14" s="13" t="s">
        <v>9</v>
      </c>
      <c r="P14" s="13" t="s">
        <v>10</v>
      </c>
      <c r="Q14" s="13" t="s">
        <v>11</v>
      </c>
      <c r="U14" s="4"/>
      <c r="V14" s="11" t="s">
        <v>22</v>
      </c>
      <c r="W14" s="11" t="s">
        <v>23</v>
      </c>
      <c r="X14" s="11" t="s">
        <v>24</v>
      </c>
      <c r="Y14" s="11" t="s">
        <v>25</v>
      </c>
      <c r="AA14" s="5"/>
      <c r="AB14" s="5"/>
      <c r="AD14" s="5"/>
    </row>
    <row r="15" spans="1:46" x14ac:dyDescent="0.25">
      <c r="A15" s="3"/>
      <c r="B15" s="3" t="s">
        <v>122</v>
      </c>
      <c r="C15" s="3" t="s">
        <v>111</v>
      </c>
      <c r="D15" s="3" t="s">
        <v>54</v>
      </c>
      <c r="E15" s="3" t="s">
        <v>98</v>
      </c>
      <c r="F15" s="3" t="s">
        <v>67</v>
      </c>
      <c r="G15" s="3" t="s">
        <v>76</v>
      </c>
      <c r="H15" s="3" t="s">
        <v>40</v>
      </c>
      <c r="I15" s="3" t="s">
        <v>51</v>
      </c>
      <c r="J15" s="14" t="str">
        <f>B15</f>
        <v>Pobla Mafumet</v>
      </c>
      <c r="K15" s="14" t="str">
        <f>C15</f>
        <v>Granollers</v>
      </c>
      <c r="L15" s="15">
        <f>VALUE(LEFT(D15,FIND(":",D15,1)-1))</f>
        <v>0</v>
      </c>
      <c r="M15" s="15">
        <f>--MID(D15,SEARCH(":",D15)+1,10)</f>
        <v>1</v>
      </c>
      <c r="N15" s="16" t="e">
        <f>IF(J15=$D$14,"Дома","В гостях")</f>
        <v>#N/A</v>
      </c>
      <c r="O15" s="16" t="e">
        <f t="shared" ref="O15:O24" si="10">IF(N15="Дома",IF(L15&gt;M15,"В",IF(L15=M15,"Н","П")),IF(L15&lt;M15,"В",IF(L15=M15,"Н","П")))</f>
        <v>#N/A</v>
      </c>
      <c r="P15" s="15" t="e">
        <f t="shared" ref="P15:P24" si="11">IF(N15="Дома",L15,M15)</f>
        <v>#N/A</v>
      </c>
      <c r="Q15" s="15" t="e">
        <f t="shared" ref="Q15:Q24" si="12">IF(N15="Дома",M15,L15)</f>
        <v>#N/A</v>
      </c>
      <c r="T15" s="19" t="e">
        <f>SUM(P15:Q15)</f>
        <v>#N/A</v>
      </c>
      <c r="U15" s="19" t="e">
        <f>IF(N15="В гостях",SUM(L15:M15))</f>
        <v>#N/A</v>
      </c>
      <c r="V15" s="21">
        <f>ROWS(B15:B24)</f>
        <v>10</v>
      </c>
      <c r="W15" s="12">
        <f>COUNTIF(O15:O24,"В")</f>
        <v>0</v>
      </c>
      <c r="X15" s="12">
        <f>COUNTIF(O15:O24,"Н")</f>
        <v>0</v>
      </c>
      <c r="Y15" s="12">
        <f>COUNTIF(O15:O24,"П")</f>
        <v>0</v>
      </c>
    </row>
    <row r="16" spans="1:46" x14ac:dyDescent="0.25">
      <c r="A16" s="3"/>
      <c r="B16" s="3" t="s">
        <v>112</v>
      </c>
      <c r="C16" s="3" t="s">
        <v>122</v>
      </c>
      <c r="D16" s="3" t="s">
        <v>57</v>
      </c>
      <c r="E16" s="3" t="s">
        <v>100</v>
      </c>
      <c r="F16" s="3" t="s">
        <v>59</v>
      </c>
      <c r="G16" s="3" t="s">
        <v>123</v>
      </c>
      <c r="H16" s="3" t="s">
        <v>40</v>
      </c>
      <c r="I16" s="3" t="s">
        <v>68</v>
      </c>
      <c r="J16" s="14" t="str">
        <f t="shared" ref="J16:J24" si="13">B16</f>
        <v>Llagostera Costa Brava</v>
      </c>
      <c r="K16" s="14" t="str">
        <f t="shared" ref="K16:K24" si="14">C16</f>
        <v>Pobla Mafumet</v>
      </c>
      <c r="L16" s="15">
        <f t="shared" ref="L16:L24" si="15">VALUE(LEFT(D16,FIND(":",D16,1)-1))</f>
        <v>3</v>
      </c>
      <c r="M16" s="15">
        <f t="shared" ref="M16:M24" si="16">--MID(D16,SEARCH(":",D16)+1,10)</f>
        <v>1</v>
      </c>
      <c r="N16" s="16" t="e">
        <f t="shared" ref="N16:N24" si="17">IF(J16=$D$14,"Дома","В гостях")</f>
        <v>#N/A</v>
      </c>
      <c r="O16" s="16" t="e">
        <f t="shared" si="10"/>
        <v>#N/A</v>
      </c>
      <c r="P16" s="15" t="e">
        <f t="shared" si="11"/>
        <v>#N/A</v>
      </c>
      <c r="Q16" s="15" t="e">
        <f t="shared" si="12"/>
        <v>#N/A</v>
      </c>
      <c r="T16" s="19" t="e">
        <f t="shared" ref="T16:T24" si="18">SUM(P16:Q16)</f>
        <v>#N/A</v>
      </c>
      <c r="U16" s="19" t="e">
        <f t="shared" ref="U16:U24" si="19">IF(N16="В гостях",SUM(L16:M16))</f>
        <v>#N/A</v>
      </c>
      <c r="V16" s="21">
        <f>COUNTIF(N15:N24,"В гостях")</f>
        <v>0</v>
      </c>
      <c r="W16" s="12">
        <f>COUNTIFS(N15:N24,"В гостях",O15:O24,"В")</f>
        <v>0</v>
      </c>
      <c r="X16" s="12">
        <f>COUNTIFS(N15:N24,"В гостях",O15:O24,"Н")</f>
        <v>0</v>
      </c>
      <c r="Y16" s="12">
        <f>COUNTIFS(N15:N24,"В гостях",O15:O24,"П")</f>
        <v>0</v>
      </c>
    </row>
    <row r="17" spans="1:21" x14ac:dyDescent="0.25">
      <c r="A17" s="3"/>
      <c r="B17" s="3" t="s">
        <v>113</v>
      </c>
      <c r="C17" s="3" t="s">
        <v>122</v>
      </c>
      <c r="D17" s="3" t="s">
        <v>45</v>
      </c>
      <c r="E17" s="3" t="s">
        <v>104</v>
      </c>
      <c r="F17" s="3" t="s">
        <v>94</v>
      </c>
      <c r="G17" s="3" t="s">
        <v>106</v>
      </c>
      <c r="H17" s="3" t="s">
        <v>40</v>
      </c>
      <c r="I17" s="3" t="s">
        <v>41</v>
      </c>
      <c r="J17" s="14" t="str">
        <f t="shared" si="13"/>
        <v>Terrassa</v>
      </c>
      <c r="K17" s="14" t="str">
        <f t="shared" si="14"/>
        <v>Pobla Mafumet</v>
      </c>
      <c r="L17" s="15">
        <f t="shared" si="15"/>
        <v>2</v>
      </c>
      <c r="M17" s="15">
        <f t="shared" si="16"/>
        <v>0</v>
      </c>
      <c r="N17" s="16" t="e">
        <f t="shared" si="17"/>
        <v>#N/A</v>
      </c>
      <c r="O17" s="16" t="e">
        <f t="shared" si="10"/>
        <v>#N/A</v>
      </c>
      <c r="P17" s="15" t="e">
        <f t="shared" si="11"/>
        <v>#N/A</v>
      </c>
      <c r="Q17" s="15" t="e">
        <f t="shared" si="12"/>
        <v>#N/A</v>
      </c>
      <c r="T17" s="19" t="e">
        <f t="shared" si="18"/>
        <v>#N/A</v>
      </c>
      <c r="U17" s="19" t="e">
        <f t="shared" si="19"/>
        <v>#N/A</v>
      </c>
    </row>
    <row r="18" spans="1:21" x14ac:dyDescent="0.25">
      <c r="A18" s="3"/>
      <c r="B18" s="3" t="s">
        <v>114</v>
      </c>
      <c r="C18" s="3" t="s">
        <v>122</v>
      </c>
      <c r="D18" s="3" t="s">
        <v>43</v>
      </c>
      <c r="E18" s="3" t="s">
        <v>52</v>
      </c>
      <c r="F18" s="3" t="s">
        <v>75</v>
      </c>
      <c r="G18" s="3" t="s">
        <v>58</v>
      </c>
      <c r="H18" s="3" t="s">
        <v>40</v>
      </c>
      <c r="I18" s="3" t="s">
        <v>46</v>
      </c>
      <c r="J18" s="14" t="str">
        <f t="shared" si="13"/>
        <v>Reus Deportiu B</v>
      </c>
      <c r="K18" s="14" t="str">
        <f t="shared" si="14"/>
        <v>Pobla Mafumet</v>
      </c>
      <c r="L18" s="15">
        <f t="shared" si="15"/>
        <v>1</v>
      </c>
      <c r="M18" s="15">
        <f t="shared" si="16"/>
        <v>1</v>
      </c>
      <c r="N18" s="16" t="e">
        <f t="shared" si="17"/>
        <v>#N/A</v>
      </c>
      <c r="O18" s="16" t="e">
        <f t="shared" si="10"/>
        <v>#N/A</v>
      </c>
      <c r="P18" s="15" t="e">
        <f t="shared" si="11"/>
        <v>#N/A</v>
      </c>
      <c r="Q18" s="15" t="e">
        <f t="shared" si="12"/>
        <v>#N/A</v>
      </c>
      <c r="T18" s="19" t="e">
        <f t="shared" si="18"/>
        <v>#N/A</v>
      </c>
      <c r="U18" s="19" t="e">
        <f t="shared" si="19"/>
        <v>#N/A</v>
      </c>
    </row>
    <row r="19" spans="1:21" x14ac:dyDescent="0.25">
      <c r="A19" s="1"/>
      <c r="B19" s="1" t="s">
        <v>122</v>
      </c>
      <c r="C19" s="3" t="s">
        <v>115</v>
      </c>
      <c r="D19" s="3" t="s">
        <v>42</v>
      </c>
      <c r="E19" s="3" t="s">
        <v>102</v>
      </c>
      <c r="F19" s="3" t="s">
        <v>50</v>
      </c>
      <c r="G19" s="3" t="s">
        <v>124</v>
      </c>
      <c r="H19" s="3" t="s">
        <v>40</v>
      </c>
      <c r="I19" s="3" t="s">
        <v>66</v>
      </c>
      <c r="J19" s="14" t="str">
        <f t="shared" si="13"/>
        <v>Pobla Mafumet</v>
      </c>
      <c r="K19" s="14" t="str">
        <f t="shared" si="14"/>
        <v>Santboia</v>
      </c>
      <c r="L19" s="15">
        <f t="shared" si="15"/>
        <v>2</v>
      </c>
      <c r="M19" s="15">
        <f t="shared" si="16"/>
        <v>1</v>
      </c>
      <c r="N19" s="16" t="e">
        <f t="shared" si="17"/>
        <v>#N/A</v>
      </c>
      <c r="O19" s="16" t="e">
        <f t="shared" si="10"/>
        <v>#N/A</v>
      </c>
      <c r="P19" s="15" t="e">
        <f t="shared" si="11"/>
        <v>#N/A</v>
      </c>
      <c r="Q19" s="15" t="e">
        <f t="shared" si="12"/>
        <v>#N/A</v>
      </c>
      <c r="T19" s="19" t="e">
        <f t="shared" si="18"/>
        <v>#N/A</v>
      </c>
      <c r="U19" s="19" t="e">
        <f t="shared" si="19"/>
        <v>#N/A</v>
      </c>
    </row>
    <row r="20" spans="1:21" x14ac:dyDescent="0.25">
      <c r="A20" s="1"/>
      <c r="B20" s="1" t="s">
        <v>116</v>
      </c>
      <c r="C20" s="3" t="s">
        <v>122</v>
      </c>
      <c r="D20" s="3" t="s">
        <v>44</v>
      </c>
      <c r="E20" s="3"/>
      <c r="F20" s="3"/>
      <c r="G20" s="3"/>
      <c r="H20" s="3" t="s">
        <v>40</v>
      </c>
      <c r="I20" s="3" t="s">
        <v>47</v>
      </c>
      <c r="J20" s="14" t="str">
        <f t="shared" si="13"/>
        <v>San Cristobal CP</v>
      </c>
      <c r="K20" s="14" t="str">
        <f t="shared" si="14"/>
        <v>Pobla Mafumet</v>
      </c>
      <c r="L20" s="15">
        <f t="shared" si="15"/>
        <v>1</v>
      </c>
      <c r="M20" s="15">
        <f t="shared" si="16"/>
        <v>0</v>
      </c>
      <c r="N20" s="16" t="e">
        <f t="shared" si="17"/>
        <v>#N/A</v>
      </c>
      <c r="O20" s="16" t="e">
        <f t="shared" si="10"/>
        <v>#N/A</v>
      </c>
      <c r="P20" s="15" t="e">
        <f t="shared" si="11"/>
        <v>#N/A</v>
      </c>
      <c r="Q20" s="15" t="e">
        <f t="shared" si="12"/>
        <v>#N/A</v>
      </c>
      <c r="T20" s="19" t="e">
        <f t="shared" si="18"/>
        <v>#N/A</v>
      </c>
      <c r="U20" s="19" t="e">
        <f t="shared" si="19"/>
        <v>#N/A</v>
      </c>
    </row>
    <row r="21" spans="1:21" x14ac:dyDescent="0.25">
      <c r="A21" s="1"/>
      <c r="B21" s="1" t="s">
        <v>122</v>
      </c>
      <c r="C21" s="3" t="s">
        <v>117</v>
      </c>
      <c r="D21" s="3" t="s">
        <v>54</v>
      </c>
      <c r="E21" s="3" t="s">
        <v>70</v>
      </c>
      <c r="F21" s="3" t="s">
        <v>63</v>
      </c>
      <c r="G21" s="3" t="s">
        <v>71</v>
      </c>
      <c r="H21" s="3" t="s">
        <v>40</v>
      </c>
      <c r="I21" s="3" t="s">
        <v>55</v>
      </c>
      <c r="J21" s="14" t="str">
        <f t="shared" si="13"/>
        <v>Pobla Mafumet</v>
      </c>
      <c r="K21" s="14" t="str">
        <f t="shared" si="14"/>
        <v>Prat</v>
      </c>
      <c r="L21" s="15">
        <f t="shared" si="15"/>
        <v>0</v>
      </c>
      <c r="M21" s="15">
        <f t="shared" si="16"/>
        <v>1</v>
      </c>
      <c r="N21" s="16" t="e">
        <f t="shared" si="17"/>
        <v>#N/A</v>
      </c>
      <c r="O21" s="16" t="e">
        <f t="shared" si="10"/>
        <v>#N/A</v>
      </c>
      <c r="P21" s="15" t="e">
        <f t="shared" si="11"/>
        <v>#N/A</v>
      </c>
      <c r="Q21" s="15" t="e">
        <f t="shared" si="12"/>
        <v>#N/A</v>
      </c>
      <c r="T21" s="19" t="e">
        <f t="shared" si="18"/>
        <v>#N/A</v>
      </c>
      <c r="U21" s="19" t="e">
        <f t="shared" si="19"/>
        <v>#N/A</v>
      </c>
    </row>
    <row r="22" spans="1:21" x14ac:dyDescent="0.25">
      <c r="A22" s="1"/>
      <c r="B22" s="1" t="s">
        <v>118</v>
      </c>
      <c r="C22" s="3" t="s">
        <v>122</v>
      </c>
      <c r="D22" s="3" t="s">
        <v>43</v>
      </c>
      <c r="E22" s="3" t="s">
        <v>91</v>
      </c>
      <c r="F22" s="3" t="s">
        <v>92</v>
      </c>
      <c r="G22" s="3" t="s">
        <v>69</v>
      </c>
      <c r="H22" s="3" t="s">
        <v>40</v>
      </c>
      <c r="I22" s="3" t="s">
        <v>49</v>
      </c>
      <c r="J22" s="14" t="str">
        <f t="shared" si="13"/>
        <v>UE Figueres</v>
      </c>
      <c r="K22" s="14" t="str">
        <f t="shared" si="14"/>
        <v>Pobla Mafumet</v>
      </c>
      <c r="L22" s="15">
        <f t="shared" si="15"/>
        <v>1</v>
      </c>
      <c r="M22" s="15">
        <f t="shared" si="16"/>
        <v>1</v>
      </c>
      <c r="N22" s="16" t="e">
        <f t="shared" si="17"/>
        <v>#N/A</v>
      </c>
      <c r="O22" s="16" t="e">
        <f t="shared" si="10"/>
        <v>#N/A</v>
      </c>
      <c r="P22" s="15" t="e">
        <f t="shared" si="11"/>
        <v>#N/A</v>
      </c>
      <c r="Q22" s="15" t="e">
        <f t="shared" si="12"/>
        <v>#N/A</v>
      </c>
      <c r="T22" s="19" t="e">
        <f t="shared" si="18"/>
        <v>#N/A</v>
      </c>
      <c r="U22" s="19" t="e">
        <f t="shared" si="19"/>
        <v>#N/A</v>
      </c>
    </row>
    <row r="23" spans="1:21" x14ac:dyDescent="0.25">
      <c r="A23" s="1"/>
      <c r="B23" s="1" t="s">
        <v>122</v>
      </c>
      <c r="C23" s="3" t="s">
        <v>119</v>
      </c>
      <c r="D23" s="3" t="s">
        <v>83</v>
      </c>
      <c r="E23" s="3" t="s">
        <v>102</v>
      </c>
      <c r="F23" s="3" t="s">
        <v>48</v>
      </c>
      <c r="G23" s="3" t="s">
        <v>125</v>
      </c>
      <c r="H23" s="3" t="s">
        <v>40</v>
      </c>
      <c r="I23" s="3" t="s">
        <v>77</v>
      </c>
      <c r="J23" s="14" t="str">
        <f t="shared" si="13"/>
        <v>Pobla Mafumet</v>
      </c>
      <c r="K23" s="14" t="str">
        <f t="shared" si="14"/>
        <v>Martinenc</v>
      </c>
      <c r="L23" s="15">
        <f t="shared" si="15"/>
        <v>5</v>
      </c>
      <c r="M23" s="15">
        <f t="shared" si="16"/>
        <v>0</v>
      </c>
      <c r="N23" s="16" t="e">
        <f t="shared" si="17"/>
        <v>#N/A</v>
      </c>
      <c r="O23" s="16" t="e">
        <f t="shared" si="10"/>
        <v>#N/A</v>
      </c>
      <c r="P23" s="15" t="e">
        <f t="shared" si="11"/>
        <v>#N/A</v>
      </c>
      <c r="Q23" s="15" t="e">
        <f t="shared" si="12"/>
        <v>#N/A</v>
      </c>
      <c r="T23" s="19" t="e">
        <f t="shared" si="18"/>
        <v>#N/A</v>
      </c>
      <c r="U23" s="19" t="e">
        <f t="shared" si="19"/>
        <v>#N/A</v>
      </c>
    </row>
    <row r="24" spans="1:21" x14ac:dyDescent="0.25">
      <c r="A24" s="1"/>
      <c r="B24" s="1" t="s">
        <v>121</v>
      </c>
      <c r="C24" s="3" t="s">
        <v>122</v>
      </c>
      <c r="D24" s="3" t="s">
        <v>65</v>
      </c>
      <c r="E24" s="3" t="s">
        <v>82</v>
      </c>
      <c r="F24" s="3" t="s">
        <v>93</v>
      </c>
      <c r="G24" s="3" t="s">
        <v>101</v>
      </c>
      <c r="H24" s="3" t="s">
        <v>40</v>
      </c>
      <c r="I24" s="3" t="s">
        <v>107</v>
      </c>
      <c r="J24" s="14" t="str">
        <f t="shared" si="13"/>
        <v>CE Europa</v>
      </c>
      <c r="K24" s="14" t="str">
        <f t="shared" si="14"/>
        <v>Pobla Mafumet</v>
      </c>
      <c r="L24" s="15">
        <f t="shared" si="15"/>
        <v>3</v>
      </c>
      <c r="M24" s="15">
        <f t="shared" si="16"/>
        <v>0</v>
      </c>
      <c r="N24" s="16" t="e">
        <f t="shared" si="17"/>
        <v>#N/A</v>
      </c>
      <c r="O24" s="16" t="e">
        <f t="shared" si="10"/>
        <v>#N/A</v>
      </c>
      <c r="P24" s="15" t="e">
        <f t="shared" si="11"/>
        <v>#N/A</v>
      </c>
      <c r="Q24" s="15" t="e">
        <f t="shared" si="12"/>
        <v>#N/A</v>
      </c>
      <c r="T24" s="19" t="e">
        <f t="shared" si="18"/>
        <v>#N/A</v>
      </c>
      <c r="U24" s="19" t="e">
        <f t="shared" si="19"/>
        <v>#N/A</v>
      </c>
    </row>
    <row r="25" spans="1:21" x14ac:dyDescent="0.25">
      <c r="J25" s="12"/>
      <c r="K25" s="12"/>
      <c r="L25" s="12"/>
      <c r="M25" s="12"/>
      <c r="N25" s="12"/>
      <c r="O25" s="12" t="s">
        <v>2</v>
      </c>
      <c r="P25" s="17" t="e">
        <f>AVERAGE(P15:P24)</f>
        <v>#N/A</v>
      </c>
      <c r="Q25" s="17" t="e">
        <f>AVERAGE(Q15:Q24)</f>
        <v>#N/A</v>
      </c>
      <c r="U25" s="4"/>
    </row>
    <row r="26" spans="1:21" x14ac:dyDescent="0.25">
      <c r="J26" s="12"/>
      <c r="K26" s="12"/>
      <c r="L26" s="12"/>
      <c r="M26" s="12"/>
      <c r="N26" s="12"/>
      <c r="O26" s="12"/>
      <c r="P26" s="17" t="e">
        <f>AVERAGEIFS(P15:P24,N15:N24,"В гостях")</f>
        <v>#DIV/0!</v>
      </c>
      <c r="Q26" s="17" t="e">
        <f>AVERAGEIFS(Q15:Q24,N15:N24,"В гостях")</f>
        <v>#DIV/0!</v>
      </c>
      <c r="U26" s="4"/>
    </row>
  </sheetData>
  <mergeCells count="4">
    <mergeCell ref="A14:C14"/>
    <mergeCell ref="D14:E14"/>
    <mergeCell ref="A1:C1"/>
    <mergeCell ref="D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Матч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Раб5</dc:creator>
  <cp:lastModifiedBy>Раб5</cp:lastModifiedBy>
  <cp:lastPrinted>2017-04-02T20:01:30Z</cp:lastPrinted>
  <dcterms:created xsi:type="dcterms:W3CDTF">2017-01-10T07:45:31Z</dcterms:created>
  <dcterms:modified xsi:type="dcterms:W3CDTF">2019-01-20T11:50:06Z</dcterms:modified>
</cp:coreProperties>
</file>