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12" yWindow="-12" windowWidth="23088" windowHeight="4812" activeTab="1"/>
  </bookViews>
  <sheets>
    <sheet name="Учёт" sheetId="6" r:id="rId1"/>
    <sheet name="Табель" sheetId="9" r:id="rId2"/>
    <sheet name="Данные" sheetId="7" r:id="rId3"/>
    <sheet name="Доход" sheetId="5" r:id="rId4"/>
  </sheets>
  <definedNames>
    <definedName name="_xlnm.Print_Area" localSheetId="3">Доход!$B$1:$F$18</definedName>
    <definedName name="_xlnm.Print_Area" localSheetId="1">Табель!#REF!</definedName>
    <definedName name="ФИО">Данные!$A$2:$A$51</definedName>
  </definedNames>
  <calcPr calcId="125725"/>
</workbook>
</file>

<file path=xl/calcChain.xml><?xml version="1.0" encoding="utf-8"?>
<calcChain xmlns="http://schemas.openxmlformats.org/spreadsheetml/2006/main">
  <c r="B21" i="7"/>
  <c r="C21"/>
  <c r="C7" l="1"/>
  <c r="E46" l="1"/>
  <c r="G46" s="1"/>
  <c r="E47"/>
  <c r="G47" s="1"/>
  <c r="E48"/>
  <c r="G48" s="1"/>
  <c r="E49"/>
  <c r="E50"/>
  <c r="E51"/>
  <c r="G51" s="1"/>
  <c r="G49"/>
  <c r="G50"/>
  <c r="H46"/>
  <c r="H47"/>
  <c r="H48"/>
  <c r="H49"/>
  <c r="H50"/>
  <c r="H51"/>
  <c r="K46"/>
  <c r="K47"/>
  <c r="K48"/>
  <c r="K49"/>
  <c r="K50"/>
  <c r="K51"/>
  <c r="C20" l="1"/>
  <c r="B11"/>
  <c r="B10"/>
  <c r="E31" l="1"/>
  <c r="G31" s="1"/>
  <c r="H31"/>
  <c r="K31"/>
  <c r="AK46" i="9" l="1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Y7"/>
  <c r="AA7" s="1"/>
  <c r="AJ6"/>
  <c r="AI6"/>
  <c r="AH6"/>
  <c r="AG6"/>
  <c r="AF6"/>
  <c r="AE6"/>
  <c r="AD6"/>
  <c r="AC6"/>
  <c r="AB6"/>
  <c r="AA6"/>
  <c r="Z6"/>
  <c r="Y6"/>
  <c r="X6"/>
  <c r="W6"/>
  <c r="AJ5"/>
  <c r="AI5"/>
  <c r="AH5"/>
  <c r="AG5"/>
  <c r="AF5"/>
  <c r="AE5"/>
  <c r="AD5"/>
  <c r="AC5"/>
  <c r="AB5"/>
  <c r="AA5"/>
  <c r="Z5"/>
  <c r="Y5"/>
  <c r="X5"/>
  <c r="W5"/>
  <c r="AJ4"/>
  <c r="AI4"/>
  <c r="AH4"/>
  <c r="AG4"/>
  <c r="AF4"/>
  <c r="AE4"/>
  <c r="AD4"/>
  <c r="AC4"/>
  <c r="AB4"/>
  <c r="AA4"/>
  <c r="Z4"/>
  <c r="Y4"/>
  <c r="X4"/>
  <c r="W4"/>
  <c r="AJ3"/>
  <c r="AI3"/>
  <c r="AH3"/>
  <c r="AG3"/>
  <c r="AF3"/>
  <c r="AE3"/>
  <c r="AD3"/>
  <c r="AC3"/>
  <c r="AB3"/>
  <c r="AA3"/>
  <c r="Z3"/>
  <c r="Y3"/>
  <c r="X3"/>
  <c r="W3"/>
  <c r="AK2"/>
  <c r="AK3" s="1"/>
  <c r="AB1"/>
  <c r="V1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G7"/>
  <c r="E7"/>
  <c r="P6"/>
  <c r="O6"/>
  <c r="N6"/>
  <c r="M6"/>
  <c r="L6"/>
  <c r="K6"/>
  <c r="J6"/>
  <c r="I6"/>
  <c r="H6"/>
  <c r="G6"/>
  <c r="F6"/>
  <c r="E6"/>
  <c r="D6"/>
  <c r="C6"/>
  <c r="P5"/>
  <c r="O5"/>
  <c r="N5"/>
  <c r="M5"/>
  <c r="L5"/>
  <c r="K5"/>
  <c r="J5"/>
  <c r="I5"/>
  <c r="H5"/>
  <c r="G5"/>
  <c r="F5"/>
  <c r="E5"/>
  <c r="D5"/>
  <c r="C5"/>
  <c r="P4"/>
  <c r="O4"/>
  <c r="N4"/>
  <c r="M4"/>
  <c r="L4"/>
  <c r="K4"/>
  <c r="J4"/>
  <c r="I4"/>
  <c r="H4"/>
  <c r="G4"/>
  <c r="F4"/>
  <c r="E4"/>
  <c r="D4"/>
  <c r="C4"/>
  <c r="P3"/>
  <c r="O3"/>
  <c r="N3"/>
  <c r="M3"/>
  <c r="L3"/>
  <c r="K3"/>
  <c r="J3"/>
  <c r="I3"/>
  <c r="H3"/>
  <c r="G3"/>
  <c r="F3"/>
  <c r="E3"/>
  <c r="D3"/>
  <c r="C3"/>
  <c r="Q2"/>
  <c r="Q3" s="1"/>
  <c r="B1"/>
  <c r="D2" i="6"/>
  <c r="D3"/>
  <c r="D4"/>
  <c r="D5"/>
  <c r="S2"/>
  <c r="S3"/>
  <c r="S4"/>
  <c r="S5"/>
  <c r="T2"/>
  <c r="V2" s="1"/>
  <c r="T3"/>
  <c r="U3" s="1"/>
  <c r="T4"/>
  <c r="U4" s="1"/>
  <c r="T5"/>
  <c r="U5" s="1"/>
  <c r="AK4" i="9" l="1"/>
  <c r="Y1" s="1"/>
  <c r="Q4"/>
  <c r="Q5" s="1"/>
  <c r="S4" s="1"/>
  <c r="AC7"/>
  <c r="I7"/>
  <c r="V4" i="6"/>
  <c r="W4" s="1"/>
  <c r="V3"/>
  <c r="W3" s="1"/>
  <c r="V5"/>
  <c r="W5" s="1"/>
  <c r="U2"/>
  <c r="W2" s="1"/>
  <c r="AK5" i="9" l="1"/>
  <c r="AM3" s="1"/>
  <c r="AM2"/>
  <c r="S2"/>
  <c r="E1"/>
  <c r="AE7"/>
  <c r="S3"/>
  <c r="K7"/>
  <c r="AM4" l="1"/>
  <c r="AG7"/>
  <c r="M7"/>
  <c r="C11" i="7"/>
  <c r="C10"/>
  <c r="L7"/>
  <c r="L5"/>
  <c r="B5"/>
  <c r="C5"/>
  <c r="AI7" i="9" l="1"/>
  <c r="AL21" s="1"/>
  <c r="AL13"/>
  <c r="AL12"/>
  <c r="AL11"/>
  <c r="AL20"/>
  <c r="AL17"/>
  <c r="AL18"/>
  <c r="AL22"/>
  <c r="O7"/>
  <c r="R12" s="1"/>
  <c r="R38"/>
  <c r="R34"/>
  <c r="R30"/>
  <c r="R17"/>
  <c r="R11"/>
  <c r="R39"/>
  <c r="R14"/>
  <c r="R21"/>
  <c r="AL14" l="1"/>
  <c r="AL26"/>
  <c r="AL10"/>
  <c r="AL29"/>
  <c r="AL44"/>
  <c r="AL32"/>
  <c r="AL39"/>
  <c r="AL45"/>
  <c r="AL41"/>
  <c r="AL27"/>
  <c r="AL42"/>
  <c r="AL31"/>
  <c r="AL23"/>
  <c r="AL35"/>
  <c r="AL19"/>
  <c r="AL33"/>
  <c r="AL43"/>
  <c r="AL28"/>
  <c r="AL38"/>
  <c r="AL16"/>
  <c r="AL36"/>
  <c r="AL15"/>
  <c r="AL24"/>
  <c r="AL37"/>
  <c r="AL40"/>
  <c r="AL25"/>
  <c r="AL34"/>
  <c r="AL46"/>
  <c r="AL30"/>
  <c r="R29"/>
  <c r="R20"/>
  <c r="R10"/>
  <c r="R13"/>
  <c r="R22"/>
  <c r="R23"/>
  <c r="R16"/>
  <c r="R26"/>
  <c r="R25"/>
  <c r="R35"/>
  <c r="R41"/>
  <c r="R45"/>
  <c r="R31"/>
  <c r="R15"/>
  <c r="R46"/>
  <c r="R19"/>
  <c r="R32"/>
  <c r="R18"/>
  <c r="R28"/>
  <c r="R33"/>
  <c r="R44"/>
  <c r="R36"/>
  <c r="R40"/>
  <c r="R37"/>
  <c r="R42"/>
  <c r="R27"/>
  <c r="R43"/>
  <c r="R24"/>
  <c r="AM5" l="1"/>
  <c r="AM6" s="1"/>
  <c r="S5"/>
  <c r="S6" s="1"/>
  <c r="H1" l="1"/>
  <c r="K2" i="7" l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2"/>
  <c r="K33"/>
  <c r="K34"/>
  <c r="K35"/>
  <c r="K36"/>
  <c r="K37"/>
  <c r="K38"/>
  <c r="K39"/>
  <c r="K40"/>
  <c r="K41"/>
  <c r="K42"/>
  <c r="K43"/>
  <c r="K44"/>
  <c r="K45"/>
  <c r="H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2"/>
  <c r="H33"/>
  <c r="H34"/>
  <c r="H35"/>
  <c r="H36"/>
  <c r="H37"/>
  <c r="H38"/>
  <c r="H39"/>
  <c r="H40"/>
  <c r="H41"/>
  <c r="H42"/>
  <c r="H43"/>
  <c r="H44"/>
  <c r="H45"/>
  <c r="E3"/>
  <c r="E4"/>
  <c r="E6"/>
  <c r="E8"/>
  <c r="E9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33"/>
  <c r="E34"/>
  <c r="E35"/>
  <c r="E36"/>
  <c r="E37"/>
  <c r="E38"/>
  <c r="E39"/>
  <c r="E40"/>
  <c r="E41"/>
  <c r="E42"/>
  <c r="E43"/>
  <c r="E44"/>
  <c r="E45"/>
  <c r="E11" l="1"/>
  <c r="E10"/>
  <c r="E7"/>
  <c r="E5"/>
  <c r="C2" l="1"/>
  <c r="E2" s="1"/>
  <c r="I2" l="1"/>
  <c r="I3" l="1"/>
  <c r="I4"/>
  <c r="I8"/>
  <c r="I9"/>
  <c r="I4" i="6"/>
  <c r="K4" s="1"/>
  <c r="G7" i="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2"/>
  <c r="G33"/>
  <c r="G34"/>
  <c r="G35"/>
  <c r="G36"/>
  <c r="G37"/>
  <c r="G38"/>
  <c r="G39"/>
  <c r="G40"/>
  <c r="G41"/>
  <c r="G42"/>
  <c r="G43"/>
  <c r="G44"/>
  <c r="G45"/>
  <c r="G6"/>
  <c r="G5"/>
  <c r="G4"/>
  <c r="G3"/>
  <c r="G2"/>
  <c r="I2" i="6" l="1"/>
  <c r="K2" s="1"/>
  <c r="N2" s="1"/>
  <c r="I5"/>
  <c r="K5" s="1"/>
  <c r="N5" s="1"/>
  <c r="I3"/>
  <c r="K3" s="1"/>
  <c r="N4"/>
  <c r="I6" i="7"/>
  <c r="N3" i="6" l="1"/>
  <c r="O31" i="7" l="1"/>
  <c r="P24"/>
  <c r="P17"/>
  <c r="P25"/>
  <c r="P16"/>
  <c r="P22"/>
  <c r="P27"/>
  <c r="P26"/>
  <c r="O24"/>
  <c r="O26"/>
  <c r="O23"/>
  <c r="O22"/>
  <c r="O16"/>
  <c r="O17"/>
  <c r="O2"/>
  <c r="O27"/>
  <c r="O8" l="1"/>
  <c r="O14"/>
  <c r="O28"/>
  <c r="O3"/>
  <c r="O21"/>
  <c r="O15"/>
  <c r="O9"/>
  <c r="O19"/>
  <c r="O4"/>
  <c r="O10"/>
  <c r="O13"/>
  <c r="O11"/>
  <c r="O5"/>
  <c r="O7"/>
  <c r="O12"/>
  <c r="O18"/>
  <c r="O6" l="1"/>
  <c r="O20"/>
  <c r="P3" i="6" l="1"/>
  <c r="Q3" s="1"/>
  <c r="P2"/>
  <c r="Q2" s="1"/>
  <c r="P4"/>
  <c r="Q4" s="1"/>
  <c r="P5"/>
  <c r="Q5" s="1"/>
  <c r="X2" l="1"/>
  <c r="Y2" s="1"/>
  <c r="R2"/>
  <c r="R5"/>
  <c r="X5"/>
  <c r="Y5" s="1"/>
  <c r="R3"/>
  <c r="X3"/>
  <c r="Y3" s="1"/>
  <c r="X4"/>
  <c r="Y4" s="1"/>
  <c r="R4"/>
  <c r="P28" i="7" l="1"/>
  <c r="P23"/>
  <c r="P31"/>
  <c r="P48"/>
  <c r="P49"/>
  <c r="P46"/>
  <c r="P51"/>
  <c r="P50"/>
  <c r="P47"/>
  <c r="P21"/>
  <c r="P14"/>
  <c r="P7"/>
  <c r="P11"/>
  <c r="P10"/>
  <c r="P18"/>
  <c r="P19"/>
  <c r="P13"/>
  <c r="P8"/>
  <c r="P9"/>
  <c r="P20"/>
  <c r="P15"/>
  <c r="P12"/>
  <c r="P4"/>
  <c r="P5"/>
  <c r="P3"/>
  <c r="P6"/>
  <c r="M46" l="1"/>
  <c r="N46" s="1"/>
  <c r="M50"/>
  <c r="N50" s="1"/>
  <c r="M47"/>
  <c r="N47" s="1"/>
  <c r="M48"/>
  <c r="N48" s="1"/>
  <c r="M51"/>
  <c r="N51" s="1"/>
  <c r="M49"/>
  <c r="N49" s="1"/>
  <c r="M31"/>
  <c r="N31" s="1"/>
  <c r="M4"/>
  <c r="N4" s="1"/>
  <c r="M16"/>
  <c r="N16" s="1"/>
  <c r="M3"/>
  <c r="N3" s="1"/>
  <c r="M11"/>
  <c r="N11" s="1"/>
  <c r="M2"/>
  <c r="N2" s="1"/>
  <c r="M25"/>
  <c r="N25" s="1"/>
  <c r="M17"/>
  <c r="N17" s="1"/>
  <c r="M20"/>
  <c r="N20" s="1"/>
  <c r="M27"/>
  <c r="N27" s="1"/>
  <c r="M10"/>
  <c r="N10" s="1"/>
  <c r="M18"/>
  <c r="N18" s="1"/>
  <c r="M28"/>
  <c r="N28" s="1"/>
  <c r="M21"/>
  <c r="N21" s="1"/>
  <c r="M22"/>
  <c r="N22" s="1"/>
  <c r="M9"/>
  <c r="N9" s="1"/>
  <c r="M8"/>
  <c r="N8" s="1"/>
  <c r="M12"/>
  <c r="N12" s="1"/>
  <c r="M5"/>
  <c r="N5" s="1"/>
  <c r="M24"/>
  <c r="N24" s="1"/>
  <c r="M13"/>
  <c r="N13" s="1"/>
  <c r="M6"/>
  <c r="N6" s="1"/>
  <c r="M23"/>
  <c r="N23" s="1"/>
  <c r="M14"/>
  <c r="N14" s="1"/>
  <c r="M7"/>
  <c r="N7" s="1"/>
  <c r="M33"/>
  <c r="N33" s="1"/>
  <c r="M26"/>
  <c r="N26" s="1"/>
  <c r="M19"/>
  <c r="N19" s="1"/>
  <c r="M15"/>
  <c r="N15" s="1"/>
  <c r="M39"/>
  <c r="N39" s="1"/>
  <c r="Q31" l="1"/>
  <c r="M43"/>
  <c r="N43" s="1"/>
  <c r="M30"/>
  <c r="N30" s="1"/>
  <c r="M44"/>
  <c r="N44" s="1"/>
  <c r="M42"/>
  <c r="N42" s="1"/>
  <c r="M37"/>
  <c r="N37" s="1"/>
  <c r="M35"/>
  <c r="N35" s="1"/>
  <c r="M45"/>
  <c r="N45" s="1"/>
  <c r="M38"/>
  <c r="N38" s="1"/>
  <c r="Q9"/>
  <c r="Q12"/>
  <c r="M40"/>
  <c r="N40" s="1"/>
  <c r="Q4"/>
  <c r="Q18"/>
  <c r="Q16"/>
  <c r="Q14"/>
  <c r="Q6"/>
  <c r="Q13"/>
  <c r="Q27"/>
  <c r="Q17"/>
  <c r="M36"/>
  <c r="N36" s="1"/>
  <c r="Q11"/>
  <c r="Q21"/>
  <c r="Q24"/>
  <c r="M32"/>
  <c r="N32" s="1"/>
  <c r="M29"/>
  <c r="N29" s="1"/>
  <c r="M34"/>
  <c r="N34" s="1"/>
  <c r="M41"/>
  <c r="N41" s="1"/>
  <c r="Q10"/>
  <c r="Q15"/>
  <c r="Q23"/>
  <c r="Q7"/>
  <c r="Q19"/>
  <c r="Q26"/>
  <c r="Q5"/>
  <c r="Q20"/>
  <c r="Q22"/>
  <c r="Q3"/>
  <c r="Q8"/>
  <c r="Q28"/>
  <c r="Q25"/>
  <c r="Q48" l="1"/>
  <c r="Q51"/>
  <c r="Q49"/>
  <c r="Q50"/>
  <c r="Q47"/>
  <c r="Q46"/>
  <c r="P2"/>
  <c r="Q2" s="1"/>
  <c r="O50" l="1"/>
  <c r="O48"/>
  <c r="O46"/>
  <c r="O47"/>
  <c r="O49"/>
  <c r="O51"/>
  <c r="O39"/>
  <c r="O25"/>
  <c r="O30"/>
  <c r="O32"/>
  <c r="O44"/>
  <c r="O33"/>
  <c r="O36"/>
  <c r="O43"/>
  <c r="O34"/>
  <c r="O42"/>
  <c r="O35"/>
  <c r="O37"/>
  <c r="O41"/>
  <c r="O40"/>
  <c r="O45"/>
  <c r="O29"/>
  <c r="O38"/>
  <c r="P38"/>
  <c r="Q38" s="1"/>
  <c r="P35"/>
  <c r="Q35" s="1"/>
  <c r="P36"/>
  <c r="Q36" s="1"/>
  <c r="P32"/>
  <c r="Q32" s="1"/>
  <c r="P37"/>
  <c r="Q37" s="1"/>
  <c r="P40"/>
  <c r="Q40" s="1"/>
  <c r="P44"/>
  <c r="Q44" s="1"/>
  <c r="P43"/>
  <c r="Q43" s="1"/>
  <c r="P45"/>
  <c r="Q45" s="1"/>
  <c r="P33"/>
  <c r="Q33" s="1"/>
  <c r="P41"/>
  <c r="Q41" s="1"/>
  <c r="P30"/>
  <c r="Q30" s="1"/>
  <c r="P42"/>
  <c r="Q42" s="1"/>
  <c r="P29"/>
  <c r="Q29" s="1"/>
  <c r="P34"/>
  <c r="Q34" s="1"/>
  <c r="P39"/>
  <c r="Q39" s="1"/>
</calcChain>
</file>

<file path=xl/comments1.xml><?xml version="1.0" encoding="utf-8"?>
<comments xmlns="http://schemas.openxmlformats.org/spreadsheetml/2006/main">
  <authors>
    <author>Сергей Скрягин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600 р. за январь ЛМК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не вышла на смену в ночь со 2 на 3.02.19
штраф за ночь с 09 по 10.02.19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600 р. за январь ЛМК
600 р. 15.02.19
400 р. 22.02.19
700 р. 28.02.19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за ЛМК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за пьянство в смену с 31-01.02.19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400 р. 15.02.19
200 р. 22.02.19
800 р. 01.03.19
400 р. 07.03.19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Сергей Скрягин:
</t>
        </r>
        <r>
          <rPr>
            <sz val="9"/>
            <color indexed="81"/>
            <rFont val="Tahoma"/>
            <family val="2"/>
            <charset val="204"/>
          </rPr>
          <t>за ЛМК</t>
        </r>
      </text>
    </comment>
    <comment ref="F8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пьяная пришла на смену 11.02.19
+такси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на смену 11.02.19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600 р. 15.02.19
400 р. 22.02.19
800 р. 28.02.19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на смену 11.02.19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600 р. 15.02.19
400 р. 22.02.19
800 р. 28.02.19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на смену 11.02.19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сам сделал флюорографию
200 р. 28.02.19
600 р. 02.03.19</t>
        </r>
      </text>
    </comment>
    <comment ref="C21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была своя флюография
400 р. 28.02.19
600 р. 07.03.19
1000 р. 14.03.19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204"/>
          </rPr>
          <t>Сергей Скрягин:</t>
        </r>
        <r>
          <rPr>
            <sz val="9"/>
            <color indexed="81"/>
            <rFont val="Tahoma"/>
            <family val="2"/>
            <charset val="204"/>
          </rPr>
          <t xml:space="preserve">
такси 09.03.19 проспала</t>
        </r>
      </text>
    </comment>
  </commentList>
</comments>
</file>

<file path=xl/sharedStrings.xml><?xml version="1.0" encoding="utf-8"?>
<sst xmlns="http://schemas.openxmlformats.org/spreadsheetml/2006/main" count="284" uniqueCount="159">
  <si>
    <t>Страховые взносы</t>
  </si>
  <si>
    <t>да</t>
  </si>
  <si>
    <t>Цена за час работы работника</t>
  </si>
  <si>
    <t>Сколько работников у вас работает</t>
  </si>
  <si>
    <t>Доход</t>
  </si>
  <si>
    <t>1. Приход</t>
  </si>
  <si>
    <t>Официально</t>
  </si>
  <si>
    <t>Цена за час работы работника б/нал</t>
  </si>
  <si>
    <t>нет</t>
  </si>
  <si>
    <t>Заработок за час работы работника</t>
  </si>
  <si>
    <t>% проводки</t>
  </si>
  <si>
    <t>2. Заработок работника</t>
  </si>
  <si>
    <t>Премия</t>
  </si>
  <si>
    <t>УСН</t>
  </si>
  <si>
    <t>НДФЛ</t>
  </si>
  <si>
    <t>Страховые взносы 27,1%</t>
  </si>
  <si>
    <t>ИТОГО</t>
  </si>
  <si>
    <t>В руб за час</t>
  </si>
  <si>
    <t>В руб за день</t>
  </si>
  <si>
    <t>3. Налоги с часа</t>
  </si>
  <si>
    <t>Премирование</t>
  </si>
  <si>
    <t>В % - премия</t>
  </si>
  <si>
    <t>Итого</t>
  </si>
  <si>
    <t>Проживание</t>
  </si>
  <si>
    <t>5. Доход</t>
  </si>
  <si>
    <t>4. Расходы</t>
  </si>
  <si>
    <t>ЛМК с работника</t>
  </si>
  <si>
    <t>Одежда с работника</t>
  </si>
  <si>
    <t>Питание наше</t>
  </si>
  <si>
    <t>Итого за рабочий месяц</t>
  </si>
  <si>
    <t>В руб за месяц</t>
  </si>
  <si>
    <t>Количество смен в месяц</t>
  </si>
  <si>
    <t xml:space="preserve">Заработок работника за смену </t>
  </si>
  <si>
    <t>Кол-во рабочих часов в день от заказчика</t>
  </si>
  <si>
    <t>Кол-во рабочих часов в день для работников</t>
  </si>
  <si>
    <t xml:space="preserve">В % </t>
  </si>
  <si>
    <t>Обнал 3%</t>
  </si>
  <si>
    <t>до 20 смен</t>
  </si>
  <si>
    <t>с 21 смены</t>
  </si>
  <si>
    <t>с 41 смены</t>
  </si>
  <si>
    <t>Валовый</t>
  </si>
  <si>
    <t>"-УСН"</t>
  </si>
  <si>
    <t>НДФЛ с работника</t>
  </si>
  <si>
    <t>От заказчика</t>
  </si>
  <si>
    <t>№ п/п</t>
  </si>
  <si>
    <t>Дата</t>
  </si>
  <si>
    <t>ФИО</t>
  </si>
  <si>
    <t>Часы</t>
  </si>
  <si>
    <t>Заработок работника</t>
  </si>
  <si>
    <t>Долг работнику</t>
  </si>
  <si>
    <t>Приход денег</t>
  </si>
  <si>
    <t>Зуева Ольга Геннадьевна</t>
  </si>
  <si>
    <t>Саралиева Альбика Руслановна</t>
  </si>
  <si>
    <t>Саралиева Любовь Викторовна</t>
  </si>
  <si>
    <t>Шумилкина Юлия Александровна</t>
  </si>
  <si>
    <t>Рейтинг</t>
  </si>
  <si>
    <t>Выплачено работнику</t>
  </si>
  <si>
    <t>Штраф</t>
  </si>
  <si>
    <t>% дохода</t>
  </si>
  <si>
    <t>ЛМК</t>
  </si>
  <si>
    <t>Спецодежда</t>
  </si>
  <si>
    <t>Мед. Осмотр</t>
  </si>
  <si>
    <t>Удержано</t>
  </si>
  <si>
    <t>Долг</t>
  </si>
  <si>
    <t>Осипова Наталья Викторовна</t>
  </si>
  <si>
    <t>Осипов Евгений Николаевич</t>
  </si>
  <si>
    <t>д (8-20)</t>
  </si>
  <si>
    <t>н (20-8)</t>
  </si>
  <si>
    <t>№ недели</t>
  </si>
  <si>
    <t>Кол-во выходов</t>
  </si>
  <si>
    <t>Категория</t>
  </si>
  <si>
    <t>Бригадир/премия</t>
  </si>
  <si>
    <t>при изменении данных меняется учёт!!! НЕ МЕНЯТЬ</t>
  </si>
  <si>
    <t>Подпись</t>
  </si>
  <si>
    <t>Месяц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</si>
  <si>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</si>
  <si>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</si>
  <si>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</si>
  <si>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</si>
  <si>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</si>
  <si>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</si>
  <si>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</si>
  <si>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День</t>
  </si>
  <si>
    <t>Ночь</t>
  </si>
  <si>
    <t>Декада</t>
  </si>
  <si>
    <t>запланировано</t>
  </si>
  <si>
    <t>разница</t>
  </si>
  <si>
    <t>ИТОГО за неделю</t>
  </si>
  <si>
    <t>в смене</t>
  </si>
  <si>
    <t>в резерве</t>
  </si>
  <si>
    <t>в графике</t>
  </si>
  <si>
    <t>ВАЛ</t>
  </si>
  <si>
    <t>Выплачено</t>
  </si>
  <si>
    <t>Номер недели</t>
  </si>
  <si>
    <t>не выход</t>
  </si>
  <si>
    <t>Итого начислено за неделю</t>
  </si>
  <si>
    <t>чистая прибыль</t>
  </si>
  <si>
    <t>наценка, %</t>
  </si>
  <si>
    <t>Степанова Екатерина Петровна (П)</t>
  </si>
  <si>
    <t>Барышникова Ольга Ивановна (П)</t>
  </si>
  <si>
    <t>Пименова Людмила Алексеевна (ОД)</t>
  </si>
  <si>
    <t>Попов Александр Александрович (О)</t>
  </si>
  <si>
    <t>Липатов Иван Алексеевич (О)</t>
  </si>
  <si>
    <t>Николаева Евгения Геннадьевна (О)</t>
  </si>
  <si>
    <t>Бровкина Алла Николаевна (ОД)</t>
  </si>
  <si>
    <t>Хафизова Кадрия Рустамовна (П)</t>
  </si>
  <si>
    <t>Жохова Екатерина Николаевна (П)</t>
  </si>
  <si>
    <t>Попова Елена Николаевна (О)</t>
  </si>
  <si>
    <t>Липатова Анастасия Алексеевна (О)</t>
  </si>
  <si>
    <t>Погодина Елена Петровна (О)</t>
  </si>
  <si>
    <t>Дементьев Владимир Анатольевич (О)</t>
  </si>
  <si>
    <t>Дворянчикова Людмила Сергеевна (О)</t>
  </si>
  <si>
    <t>Дворянчиков Даниил Сергеевич (О)</t>
  </si>
  <si>
    <t>Шокурова Римма Александровна (О)</t>
  </si>
  <si>
    <t>сдала</t>
  </si>
  <si>
    <t>конферсия за неделю</t>
  </si>
  <si>
    <t>средняя конверсия по клиенту</t>
  </si>
  <si>
    <t>сдал</t>
  </si>
  <si>
    <t>Темарцев Кирилл Викторович (О)</t>
  </si>
  <si>
    <t>.- УСН</t>
  </si>
  <si>
    <t>Андрияшина Надежда Васильевна (П)</t>
  </si>
  <si>
    <t>Хомутова Ольга Николаевна (О)</t>
  </si>
  <si>
    <t>Арсёнова Анна Анатольевна (О)</t>
  </si>
  <si>
    <t>ИТОГО налоги</t>
  </si>
  <si>
    <t>ИТОГО доход</t>
  </si>
  <si>
    <t>Доход ВАЛ</t>
  </si>
  <si>
    <t>% дохода ВАЛ</t>
  </si>
  <si>
    <t xml:space="preserve">% чистого дохода </t>
  </si>
  <si>
    <t>Налоги</t>
  </si>
  <si>
    <t>Текщий итог по работнику</t>
  </si>
  <si>
    <t>К выплате на сегодня</t>
  </si>
  <si>
    <t>Кол-во не выходов</t>
  </si>
  <si>
    <t>Март</t>
  </si>
  <si>
    <t>Егорова Надежда Владимировна (О)</t>
  </si>
  <si>
    <t>Костригина Раиса Яковлевна (О)</t>
  </si>
  <si>
    <t>Слеповичева Анастасия Александровна (О)</t>
  </si>
  <si>
    <t>Котрахова Елена Витальевна (О)</t>
  </si>
  <si>
    <t>Катышова Галина Васильевна (О)</t>
  </si>
  <si>
    <t>часов по выходам</t>
  </si>
  <si>
    <t>вал по выходам</t>
  </si>
  <si>
    <t>часов по плану</t>
  </si>
  <si>
    <t>вал по плану</t>
  </si>
  <si>
    <t>Арясова Елена Александровна (О)</t>
  </si>
  <si>
    <t>Апаров Сергей Николаевич (О)</t>
  </si>
  <si>
    <t>Герасимова Ольга Владимировна (О)</t>
  </si>
  <si>
    <t>Ерохина Дания Сяидовна (О)</t>
  </si>
  <si>
    <t>Федорова Анастасия Петровна (П)</t>
  </si>
  <si>
    <t>Пантелеева Любовь Владимировна (ПН)</t>
  </si>
  <si>
    <t>Харченко Галина Васильевна (О)</t>
  </si>
  <si>
    <t>Харченко Галина Васильевна (ОД)</t>
  </si>
  <si>
    <t>Калчева Софья Андоновна (ОД)</t>
  </si>
  <si>
    <t>Дудорова Галина Геннадьевна (ПД)</t>
  </si>
  <si>
    <t>Дугина Ольга Николаевна (П)</t>
  </si>
  <si>
    <t>Голованова Мария Семеновна (ПД)</t>
  </si>
  <si>
    <t>Шелехова Ольга Владимировна (ОД)</t>
  </si>
  <si>
    <t>Сарайкина Юлия Викторовна (ОД)</t>
  </si>
  <si>
    <t>Давыдов Александр Дмитреевич (О)</t>
  </si>
  <si>
    <t>Старостина Мария Викторовна (О)</t>
  </si>
  <si>
    <t>ИНН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</si>
</sst>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\ &quot;₽&quot;_-;\-* #,##0\ &quot;₽&quot;_-;_-* &quot;-&quot;??\ &quot;₽&quot;_-;_-@_-"/>
    <numFmt numFmtId="165" formatCode="_-* #,##0\ _₽_-;\-* #,##0\ _₽_-;_-* &quot;-&quot;??\ _₽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6"/>
      <color theme="4" tint="-0.499984740745262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7"/>
      <color rgb="FFF3B42D"/>
      <name val="HelveticaNeueCy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rgb="FF516BD7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6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trike/>
      <sz val="11"/>
      <color theme="9" tint="0.39997558519241921"/>
      <name val="Calibri"/>
      <family val="2"/>
      <charset val="204"/>
    </font>
    <font>
      <strike/>
      <u/>
      <sz val="11"/>
      <color theme="9" tint="0.39997558519241921"/>
      <name val="Calibri"/>
      <family val="2"/>
      <charset val="204"/>
    </font>
    <font>
      <sz val="11"/>
      <color theme="10"/>
      <name val="Calibri"/>
      <family val="2"/>
      <charset val="204"/>
    </font>
    <font>
      <sz val="20"/>
      <color rgb="FF00B050"/>
      <name val="Times New Roman"/>
      <family val="1"/>
      <charset val="204"/>
    </font>
    <font>
      <strike/>
      <u/>
      <sz val="11"/>
      <color theme="10"/>
      <name val="Calibri"/>
      <family val="2"/>
      <charset val="204"/>
    </font>
    <font>
      <strike/>
      <sz val="11"/>
      <color theme="4" tint="-0.249977111117893"/>
      <name val="Calibri"/>
      <family val="2"/>
      <charset val="204"/>
    </font>
    <font>
      <strike/>
      <sz val="11"/>
      <color theme="1"/>
      <name val="Calibri"/>
      <family val="2"/>
      <charset val="204"/>
    </font>
    <font>
      <sz val="20"/>
      <color rgb="FF00B0F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1" applyNumberFormat="0" applyFill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214">
    <xf numFmtId="0" fontId="0" fillId="0" borderId="0" xfId="0"/>
    <xf numFmtId="0" fontId="0" fillId="0" borderId="0" xfId="0" applyProtection="1">
      <protection locked="0"/>
    </xf>
    <xf numFmtId="0" fontId="0" fillId="4" borderId="0" xfId="2" applyFont="1" applyFill="1" applyBorder="1" applyAlignment="1" applyProtection="1">
      <alignment horizontal="left" vertical="center" wrapText="1"/>
      <protection locked="0"/>
    </xf>
    <xf numFmtId="44" fontId="0" fillId="2" borderId="0" xfId="3" applyFont="1" applyFill="1" applyBorder="1" applyProtection="1"/>
    <xf numFmtId="44" fontId="0" fillId="5" borderId="0" xfId="3" applyFont="1" applyFill="1" applyBorder="1" applyProtection="1"/>
    <xf numFmtId="44" fontId="5" fillId="2" borderId="0" xfId="3" applyFont="1" applyFill="1" applyBorder="1" applyProtection="1"/>
    <xf numFmtId="44" fontId="0" fillId="0" borderId="0" xfId="0" applyNumberFormat="1" applyProtection="1"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4" fontId="5" fillId="0" borderId="0" xfId="0" applyNumberFormat="1" applyFont="1" applyProtection="1">
      <protection locked="0"/>
    </xf>
    <xf numFmtId="44" fontId="0" fillId="2" borderId="0" xfId="3" applyFont="1" applyFill="1" applyBorder="1" applyAlignment="1" applyProtection="1">
      <alignment horizontal="center"/>
    </xf>
    <xf numFmtId="0" fontId="9" fillId="0" borderId="0" xfId="0" applyFont="1"/>
    <xf numFmtId="44" fontId="5" fillId="2" borderId="0" xfId="3" applyFont="1" applyFill="1" applyBorder="1" applyAlignment="1" applyProtection="1"/>
    <xf numFmtId="10" fontId="8" fillId="0" borderId="0" xfId="1" applyNumberFormat="1" applyFont="1" applyFill="1" applyBorder="1" applyAlignment="1" applyProtection="1">
      <alignment horizontal="center"/>
    </xf>
    <xf numFmtId="10" fontId="0" fillId="2" borderId="0" xfId="1" applyNumberFormat="1" applyFont="1" applyFill="1" applyBorder="1" applyProtection="1"/>
    <xf numFmtId="44" fontId="0" fillId="2" borderId="3" xfId="3" applyFont="1" applyFill="1" applyBorder="1" applyProtection="1"/>
    <xf numFmtId="44" fontId="0" fillId="2" borderId="4" xfId="3" applyFont="1" applyFill="1" applyBorder="1" applyProtection="1"/>
    <xf numFmtId="44" fontId="0" fillId="2" borderId="6" xfId="3" applyFont="1" applyFill="1" applyBorder="1" applyProtection="1"/>
    <xf numFmtId="10" fontId="0" fillId="2" borderId="6" xfId="1" applyNumberFormat="1" applyFont="1" applyFill="1" applyBorder="1" applyProtection="1"/>
    <xf numFmtId="44" fontId="5" fillId="2" borderId="11" xfId="3" applyFont="1" applyFill="1" applyBorder="1" applyAlignment="1" applyProtection="1"/>
    <xf numFmtId="44" fontId="5" fillId="2" borderId="12" xfId="3" applyFont="1" applyFill="1" applyBorder="1" applyAlignment="1" applyProtection="1"/>
    <xf numFmtId="44" fontId="0" fillId="2" borderId="3" xfId="3" applyFont="1" applyFill="1" applyBorder="1" applyAlignment="1" applyProtection="1">
      <alignment horizontal="center"/>
    </xf>
    <xf numFmtId="44" fontId="0" fillId="2" borderId="4" xfId="3" applyFont="1" applyFill="1" applyBorder="1" applyAlignment="1" applyProtection="1">
      <alignment horizontal="center"/>
    </xf>
    <xf numFmtId="44" fontId="0" fillId="2" borderId="6" xfId="3" applyFont="1" applyFill="1" applyBorder="1" applyAlignment="1" applyProtection="1">
      <alignment horizontal="center"/>
    </xf>
    <xf numFmtId="44" fontId="0" fillId="2" borderId="2" xfId="3" applyFont="1" applyFill="1" applyBorder="1" applyAlignment="1" applyProtection="1">
      <alignment horizontal="center"/>
    </xf>
    <xf numFmtId="44" fontId="0" fillId="2" borderId="5" xfId="3" applyFont="1" applyFill="1" applyBorder="1" applyAlignment="1" applyProtection="1">
      <alignment horizontal="center"/>
    </xf>
    <xf numFmtId="44" fontId="0" fillId="2" borderId="2" xfId="3" applyFont="1" applyFill="1" applyBorder="1" applyProtection="1"/>
    <xf numFmtId="44" fontId="0" fillId="2" borderId="5" xfId="3" applyFont="1" applyFill="1" applyBorder="1" applyProtection="1"/>
    <xf numFmtId="10" fontId="0" fillId="2" borderId="5" xfId="1" applyNumberFormat="1" applyFont="1" applyFill="1" applyBorder="1" applyProtection="1"/>
    <xf numFmtId="44" fontId="5" fillId="2" borderId="10" xfId="3" applyFont="1" applyFill="1" applyBorder="1" applyAlignment="1" applyProtection="1"/>
    <xf numFmtId="44" fontId="0" fillId="2" borderId="12" xfId="3" applyFont="1" applyFill="1" applyBorder="1" applyProtection="1"/>
    <xf numFmtId="44" fontId="0" fillId="2" borderId="10" xfId="3" applyFont="1" applyFill="1" applyBorder="1" applyProtection="1"/>
    <xf numFmtId="44" fontId="0" fillId="5" borderId="5" xfId="3" applyFont="1" applyFill="1" applyBorder="1" applyProtection="1"/>
    <xf numFmtId="0" fontId="0" fillId="2" borderId="5" xfId="0" applyFill="1" applyBorder="1" applyProtection="1"/>
    <xf numFmtId="9" fontId="0" fillId="2" borderId="5" xfId="1" applyFont="1" applyFill="1" applyBorder="1" applyProtection="1"/>
    <xf numFmtId="44" fontId="0" fillId="2" borderId="15" xfId="3" applyFont="1" applyFill="1" applyBorder="1" applyProtection="1"/>
    <xf numFmtId="0" fontId="0" fillId="5" borderId="15" xfId="0" applyFill="1" applyBorder="1" applyProtection="1"/>
    <xf numFmtId="9" fontId="0" fillId="5" borderId="15" xfId="1" applyFont="1" applyFill="1" applyBorder="1" applyProtection="1"/>
    <xf numFmtId="44" fontId="0" fillId="2" borderId="16" xfId="3" applyFont="1" applyFill="1" applyBorder="1" applyProtection="1"/>
    <xf numFmtId="44" fontId="0" fillId="2" borderId="14" xfId="3" applyFont="1" applyFill="1" applyBorder="1" applyProtection="1"/>
    <xf numFmtId="0" fontId="0" fillId="4" borderId="13" xfId="2" applyFont="1" applyFill="1" applyBorder="1" applyAlignment="1" applyProtection="1">
      <alignment horizontal="center" vertical="center" wrapText="1"/>
      <protection locked="0"/>
    </xf>
    <xf numFmtId="44" fontId="0" fillId="2" borderId="13" xfId="3" applyFont="1" applyFill="1" applyBorder="1" applyProtection="1"/>
    <xf numFmtId="0" fontId="0" fillId="5" borderId="0" xfId="0" applyFill="1" applyBorder="1" applyAlignment="1" applyProtection="1">
      <alignment horizontal="center" vertical="center"/>
    </xf>
    <xf numFmtId="44" fontId="10" fillId="0" borderId="0" xfId="0" applyNumberFormat="1" applyFont="1" applyAlignment="1" applyProtection="1">
      <alignment horizontal="center" vertical="center"/>
      <protection locked="0"/>
    </xf>
    <xf numFmtId="44" fontId="0" fillId="2" borderId="0" xfId="3" applyFont="1" applyFill="1" applyBorder="1" applyAlignment="1" applyProtection="1">
      <alignment horizontal="center"/>
    </xf>
    <xf numFmtId="0" fontId="14" fillId="0" borderId="0" xfId="0" applyFont="1"/>
    <xf numFmtId="44" fontId="12" fillId="6" borderId="0" xfId="3" applyNumberFormat="1" applyFont="1" applyFill="1"/>
    <xf numFmtId="44" fontId="12" fillId="0" borderId="0" xfId="3" applyNumberFormat="1" applyFont="1"/>
    <xf numFmtId="0" fontId="11" fillId="0" borderId="0" xfId="5" applyFont="1" applyBorder="1" applyAlignment="1" applyProtection="1"/>
    <xf numFmtId="44" fontId="12" fillId="6" borderId="0" xfId="3" applyNumberFormat="1" applyFont="1" applyFill="1" applyBorder="1"/>
    <xf numFmtId="0" fontId="15" fillId="0" borderId="0" xfId="0" applyFont="1"/>
    <xf numFmtId="0" fontId="16" fillId="0" borderId="0" xfId="0" applyFont="1"/>
    <xf numFmtId="0" fontId="16" fillId="0" borderId="0" xfId="0" applyFont="1" applyFill="1" applyAlignment="1">
      <alignment horizontal="left"/>
    </xf>
    <xf numFmtId="165" fontId="12" fillId="0" borderId="0" xfId="4" applyNumberFormat="1" applyFont="1"/>
    <xf numFmtId="165" fontId="14" fillId="0" borderId="0" xfId="4" applyNumberFormat="1" applyFont="1"/>
    <xf numFmtId="14" fontId="12" fillId="0" borderId="0" xfId="0" applyNumberFormat="1" applyFont="1" applyBorder="1"/>
    <xf numFmtId="14" fontId="12" fillId="6" borderId="0" xfId="0" applyNumberFormat="1" applyFont="1" applyFill="1" applyBorder="1"/>
    <xf numFmtId="0" fontId="12" fillId="0" borderId="0" xfId="0" applyFont="1" applyBorder="1"/>
    <xf numFmtId="0" fontId="12" fillId="6" borderId="0" xfId="0" applyFont="1" applyFill="1" applyBorder="1"/>
    <xf numFmtId="165" fontId="12" fillId="6" borderId="0" xfId="4" applyNumberFormat="1" applyFont="1" applyFill="1"/>
    <xf numFmtId="0" fontId="11" fillId="6" borderId="0" xfId="5" applyFont="1" applyFill="1" applyAlignment="1" applyProtection="1"/>
    <xf numFmtId="0" fontId="11" fillId="0" borderId="0" xfId="5" applyFont="1" applyAlignment="1" applyProtection="1"/>
    <xf numFmtId="44" fontId="12" fillId="0" borderId="18" xfId="3" applyNumberFormat="1" applyFont="1" applyBorder="1"/>
    <xf numFmtId="165" fontId="12" fillId="0" borderId="18" xfId="4" applyNumberFormat="1" applyFont="1" applyBorder="1"/>
    <xf numFmtId="14" fontId="12" fillId="6" borderId="0" xfId="0" applyNumberFormat="1" applyFont="1" applyFill="1" applyBorder="1" applyAlignment="1">
      <alignment horizontal="center"/>
    </xf>
    <xf numFmtId="165" fontId="12" fillId="6" borderId="0" xfId="4" applyNumberFormat="1" applyFont="1" applyFill="1" applyBorder="1" applyAlignment="1">
      <alignment horizontal="center"/>
    </xf>
    <xf numFmtId="0" fontId="12" fillId="6" borderId="0" xfId="0" applyNumberFormat="1" applyFont="1" applyFill="1" applyBorder="1"/>
    <xf numFmtId="14" fontId="12" fillId="0" borderId="0" xfId="0" applyNumberFormat="1" applyFont="1" applyBorder="1" applyAlignment="1">
      <alignment horizontal="center"/>
    </xf>
    <xf numFmtId="165" fontId="12" fillId="0" borderId="0" xfId="4" applyNumberFormat="1" applyFont="1" applyBorder="1" applyAlignment="1">
      <alignment horizontal="center"/>
    </xf>
    <xf numFmtId="0" fontId="12" fillId="0" borderId="0" xfId="0" applyNumberFormat="1" applyFont="1" applyBorder="1"/>
    <xf numFmtId="44" fontId="12" fillId="0" borderId="0" xfId="3" applyNumberFormat="1" applyFont="1" applyBorder="1"/>
    <xf numFmtId="44" fontId="12" fillId="6" borderId="0" xfId="3" applyFont="1" applyFill="1"/>
    <xf numFmtId="44" fontId="12" fillId="0" borderId="0" xfId="3" applyFont="1"/>
    <xf numFmtId="44" fontId="12" fillId="0" borderId="0" xfId="3" applyFont="1" applyBorder="1"/>
    <xf numFmtId="0" fontId="14" fillId="0" borderId="0" xfId="0" applyFont="1" applyAlignment="1">
      <alignment horizontal="center"/>
    </xf>
    <xf numFmtId="1" fontId="0" fillId="0" borderId="0" xfId="0" applyNumberFormat="1"/>
    <xf numFmtId="0" fontId="11" fillId="0" borderId="0" xfId="5" applyAlignment="1" applyProtection="1"/>
    <xf numFmtId="0" fontId="13" fillId="0" borderId="18" xfId="0" applyFont="1" applyBorder="1" applyAlignment="1">
      <alignment horizontal="center" vertical="center" wrapText="1"/>
    </xf>
    <xf numFmtId="0" fontId="21" fillId="0" borderId="21" xfId="0" applyFont="1" applyBorder="1"/>
    <xf numFmtId="0" fontId="24" fillId="0" borderId="17" xfId="0" applyFont="1" applyBorder="1" applyAlignment="1">
      <alignment wrapText="1"/>
    </xf>
    <xf numFmtId="0" fontId="21" fillId="0" borderId="19" xfId="0" applyFont="1" applyBorder="1"/>
    <xf numFmtId="0" fontId="23" fillId="0" borderId="19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/>
    </xf>
    <xf numFmtId="0" fontId="23" fillId="3" borderId="28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7" fillId="0" borderId="17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13" fillId="0" borderId="0" xfId="0" applyFont="1" applyBorder="1" applyAlignment="1">
      <alignment horizontal="center" vertical="center" wrapText="1"/>
    </xf>
    <xf numFmtId="44" fontId="12" fillId="6" borderId="0" xfId="3" applyFont="1" applyFill="1" applyBorder="1"/>
    <xf numFmtId="0" fontId="25" fillId="0" borderId="27" xfId="0" applyFont="1" applyFill="1" applyBorder="1" applyAlignment="1">
      <alignment horizontal="center" vertical="center"/>
    </xf>
    <xf numFmtId="165" fontId="12" fillId="6" borderId="0" xfId="4" applyNumberFormat="1" applyFont="1" applyFill="1" applyBorder="1"/>
    <xf numFmtId="165" fontId="12" fillId="0" borderId="0" xfId="4" applyNumberFormat="1" applyFont="1" applyBorder="1"/>
    <xf numFmtId="0" fontId="23" fillId="0" borderId="23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164" fontId="23" fillId="0" borderId="32" xfId="3" applyNumberFormat="1" applyFont="1" applyFill="1" applyBorder="1" applyAlignment="1">
      <alignment horizontal="center" vertical="center"/>
    </xf>
    <xf numFmtId="164" fontId="23" fillId="0" borderId="33" xfId="3" applyNumberFormat="1" applyFont="1" applyFill="1" applyBorder="1" applyAlignment="1">
      <alignment horizontal="center" vertical="center"/>
    </xf>
    <xf numFmtId="44" fontId="12" fillId="0" borderId="0" xfId="3" applyNumberFormat="1" applyFont="1" applyFill="1" applyBorder="1"/>
    <xf numFmtId="165" fontId="12" fillId="0" borderId="0" xfId="4" applyNumberFormat="1" applyFont="1" applyFill="1"/>
    <xf numFmtId="44" fontId="12" fillId="0" borderId="0" xfId="3" applyFont="1" applyFill="1"/>
    <xf numFmtId="0" fontId="28" fillId="6" borderId="0" xfId="5" applyFont="1" applyFill="1" applyBorder="1" applyAlignment="1" applyProtection="1"/>
    <xf numFmtId="44" fontId="28" fillId="6" borderId="0" xfId="3" applyNumberFormat="1" applyFont="1" applyFill="1"/>
    <xf numFmtId="165" fontId="28" fillId="6" borderId="0" xfId="4" applyNumberFormat="1" applyFont="1" applyFill="1"/>
    <xf numFmtId="44" fontId="28" fillId="6" borderId="0" xfId="3" applyFont="1" applyFill="1"/>
    <xf numFmtId="0" fontId="28" fillId="0" borderId="0" xfId="5" applyFont="1" applyBorder="1" applyAlignment="1" applyProtection="1"/>
    <xf numFmtId="44" fontId="28" fillId="0" borderId="0" xfId="3" applyNumberFormat="1" applyFont="1"/>
    <xf numFmtId="165" fontId="28" fillId="0" borderId="0" xfId="4" applyNumberFormat="1" applyFont="1"/>
    <xf numFmtId="44" fontId="28" fillId="0" borderId="0" xfId="3" applyFont="1"/>
    <xf numFmtId="44" fontId="29" fillId="6" borderId="0" xfId="3" applyFont="1" applyFill="1"/>
    <xf numFmtId="0" fontId="30" fillId="0" borderId="0" xfId="5" applyFont="1" applyBorder="1" applyAlignment="1" applyProtection="1"/>
    <xf numFmtId="9" fontId="12" fillId="0" borderId="0" xfId="1" applyNumberFormat="1" applyFont="1" applyBorder="1"/>
    <xf numFmtId="9" fontId="12" fillId="6" borderId="0" xfId="1" applyNumberFormat="1" applyFont="1" applyFill="1" applyBorder="1"/>
    <xf numFmtId="9" fontId="15" fillId="0" borderId="0" xfId="1" applyFont="1"/>
    <xf numFmtId="9" fontId="15" fillId="0" borderId="0" xfId="0" applyNumberFormat="1" applyFont="1"/>
    <xf numFmtId="14" fontId="26" fillId="0" borderId="27" xfId="0" applyNumberFormat="1" applyFont="1" applyFill="1" applyBorder="1" applyAlignment="1">
      <alignment horizontal="center" vertical="center"/>
    </xf>
    <xf numFmtId="14" fontId="26" fillId="3" borderId="37" xfId="0" applyNumberFormat="1" applyFont="1" applyFill="1" applyBorder="1" applyAlignment="1">
      <alignment horizontal="center" vertical="center"/>
    </xf>
    <xf numFmtId="44" fontId="0" fillId="0" borderId="0" xfId="3" applyFont="1"/>
    <xf numFmtId="10" fontId="12" fillId="6" borderId="0" xfId="1" applyNumberFormat="1" applyFont="1" applyFill="1" applyBorder="1"/>
    <xf numFmtId="10" fontId="12" fillId="0" borderId="0" xfId="1" applyNumberFormat="1" applyFont="1" applyBorder="1"/>
    <xf numFmtId="10" fontId="0" fillId="0" borderId="0" xfId="1" applyNumberFormat="1" applyFont="1"/>
    <xf numFmtId="0" fontId="12" fillId="6" borderId="0" xfId="0" applyFont="1" applyFill="1" applyBorder="1" applyAlignment="1">
      <alignment horizontal="center" vertical="center"/>
    </xf>
    <xf numFmtId="0" fontId="12" fillId="6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left"/>
    </xf>
    <xf numFmtId="164" fontId="17" fillId="0" borderId="21" xfId="3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44" fontId="17" fillId="0" borderId="36" xfId="3" applyFont="1" applyBorder="1" applyAlignment="1">
      <alignment horizontal="center" vertical="center"/>
    </xf>
    <xf numFmtId="9" fontId="17" fillId="0" borderId="37" xfId="1" applyFont="1" applyBorder="1" applyAlignment="1">
      <alignment horizontal="center" vertical="center"/>
    </xf>
    <xf numFmtId="0" fontId="24" fillId="0" borderId="39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24" fillId="0" borderId="37" xfId="0" applyFont="1" applyBorder="1" applyAlignment="1">
      <alignment vertical="center" wrapText="1"/>
    </xf>
    <xf numFmtId="44" fontId="17" fillId="0" borderId="40" xfId="3" applyFont="1" applyBorder="1" applyAlignment="1">
      <alignment horizontal="center" vertical="center"/>
    </xf>
    <xf numFmtId="0" fontId="24" fillId="0" borderId="40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44" fontId="17" fillId="0" borderId="37" xfId="3" applyFont="1" applyBorder="1" applyAlignment="1">
      <alignment horizontal="center" vertical="center"/>
    </xf>
    <xf numFmtId="0" fontId="24" fillId="0" borderId="37" xfId="0" applyFont="1" applyBorder="1" applyAlignment="1">
      <alignment horizontal="left" vertical="center" wrapText="1"/>
    </xf>
    <xf numFmtId="0" fontId="31" fillId="0" borderId="17" xfId="0" applyFont="1" applyBorder="1" applyAlignment="1">
      <alignment wrapText="1"/>
    </xf>
    <xf numFmtId="0" fontId="32" fillId="0" borderId="0" xfId="5" applyFont="1" applyAlignment="1" applyProtection="1"/>
    <xf numFmtId="44" fontId="33" fillId="0" borderId="0" xfId="3" applyNumberFormat="1" applyFont="1"/>
    <xf numFmtId="165" fontId="33" fillId="0" borderId="0" xfId="4" applyNumberFormat="1" applyFont="1"/>
    <xf numFmtId="44" fontId="33" fillId="0" borderId="0" xfId="3" applyFont="1"/>
    <xf numFmtId="44" fontId="34" fillId="0" borderId="0" xfId="3" applyFont="1"/>
    <xf numFmtId="10" fontId="34" fillId="0" borderId="0" xfId="1" applyNumberFormat="1" applyFont="1"/>
    <xf numFmtId="44" fontId="33" fillId="6" borderId="0" xfId="3" applyNumberFormat="1" applyFont="1" applyFill="1" applyBorder="1"/>
    <xf numFmtId="165" fontId="33" fillId="6" borderId="0" xfId="4" applyNumberFormat="1" applyFont="1" applyFill="1"/>
    <xf numFmtId="44" fontId="33" fillId="6" borderId="0" xfId="3" applyFont="1" applyFill="1"/>
    <xf numFmtId="44" fontId="0" fillId="0" borderId="0" xfId="3" applyFont="1" applyBorder="1"/>
    <xf numFmtId="10" fontId="0" fillId="0" borderId="0" xfId="1" applyNumberFormat="1" applyFont="1" applyBorder="1"/>
    <xf numFmtId="0" fontId="35" fillId="0" borderId="17" xfId="0" applyFont="1" applyBorder="1" applyAlignment="1">
      <alignment wrapText="1"/>
    </xf>
    <xf numFmtId="1" fontId="13" fillId="0" borderId="18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4" fontId="26" fillId="0" borderId="35" xfId="0" applyNumberFormat="1" applyFont="1" applyBorder="1" applyAlignment="1">
      <alignment horizontal="center" vertical="center"/>
    </xf>
    <xf numFmtId="14" fontId="26" fillId="0" borderId="33" xfId="0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14" fontId="26" fillId="0" borderId="19" xfId="0" applyNumberFormat="1" applyFont="1" applyBorder="1" applyAlignment="1">
      <alignment horizontal="center" vertical="center"/>
    </xf>
    <xf numFmtId="14" fontId="26" fillId="0" borderId="20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164" fontId="17" fillId="0" borderId="43" xfId="3" applyNumberFormat="1" applyFont="1" applyBorder="1" applyAlignment="1">
      <alignment horizontal="center" vertical="center"/>
    </xf>
    <xf numFmtId="164" fontId="17" fillId="0" borderId="44" xfId="3" applyNumberFormat="1" applyFont="1" applyBorder="1" applyAlignment="1">
      <alignment horizontal="center" vertical="center"/>
    </xf>
    <xf numFmtId="44" fontId="5" fillId="0" borderId="0" xfId="0" applyNumberFormat="1" applyFont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5" fillId="4" borderId="0" xfId="2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44" fontId="0" fillId="2" borderId="0" xfId="3" applyFont="1" applyFill="1" applyBorder="1" applyAlignment="1" applyProtection="1">
      <alignment horizontal="center"/>
    </xf>
    <xf numFmtId="9" fontId="0" fillId="2" borderId="11" xfId="1" applyFont="1" applyFill="1" applyBorder="1" applyAlignment="1" applyProtection="1">
      <alignment horizontal="center"/>
    </xf>
    <xf numFmtId="9" fontId="0" fillId="2" borderId="12" xfId="1" applyFont="1" applyFill="1" applyBorder="1" applyAlignment="1" applyProtection="1">
      <alignment horizontal="center"/>
    </xf>
    <xf numFmtId="0" fontId="0" fillId="4" borderId="10" xfId="2" applyFont="1" applyFill="1" applyBorder="1" applyAlignment="1" applyProtection="1">
      <alignment horizontal="center" vertical="center" wrapText="1"/>
      <protection locked="0"/>
    </xf>
    <xf numFmtId="0" fontId="0" fillId="4" borderId="12" xfId="2" applyFont="1" applyFill="1" applyBorder="1" applyAlignment="1" applyProtection="1">
      <alignment horizontal="center" vertical="center" wrapText="1"/>
      <protection locked="0"/>
    </xf>
    <xf numFmtId="9" fontId="0" fillId="2" borderId="10" xfId="1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5" fillId="4" borderId="2" xfId="2" applyFont="1" applyFill="1" applyBorder="1" applyAlignment="1" applyProtection="1">
      <alignment horizontal="left" vertical="center" wrapText="1"/>
      <protection locked="0"/>
    </xf>
    <xf numFmtId="0" fontId="5" fillId="4" borderId="3" xfId="2" applyFont="1" applyFill="1" applyBorder="1" applyAlignment="1" applyProtection="1">
      <alignment horizontal="left" vertical="center" wrapText="1"/>
      <protection locked="0"/>
    </xf>
    <xf numFmtId="0" fontId="5" fillId="4" borderId="4" xfId="2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top" wrapText="1"/>
      <protection locked="0"/>
    </xf>
    <xf numFmtId="44" fontId="0" fillId="4" borderId="0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</xf>
    <xf numFmtId="44" fontId="0" fillId="2" borderId="0" xfId="3" applyFont="1" applyFill="1" applyBorder="1" applyAlignment="1" applyProtection="1">
      <alignment horizontal="center" vertical="center"/>
    </xf>
    <xf numFmtId="0" fontId="5" fillId="4" borderId="0" xfId="2" applyFont="1" applyFill="1" applyBorder="1" applyAlignment="1" applyProtection="1">
      <alignment horizontal="center" vertical="center" wrapText="1"/>
      <protection locked="0"/>
    </xf>
    <xf numFmtId="165" fontId="0" fillId="5" borderId="0" xfId="4" applyNumberFormat="1" applyFont="1" applyFill="1" applyBorder="1" applyAlignment="1" applyProtection="1">
      <alignment horizontal="center" vertical="center"/>
    </xf>
  </cellXfs>
  <cellStyles count="7">
    <cellStyle name="Гиперссылка" xfId="5" builtinId="8"/>
    <cellStyle name="Денежный" xfId="3" builtinId="4"/>
    <cellStyle name="Заголовок 2" xfId="2" builtinId="17"/>
    <cellStyle name="Обычный" xfId="0" builtinId="0"/>
    <cellStyle name="Обычный 2" xfId="6"/>
    <cellStyle name="Процентный" xfId="1" builtinId="5"/>
    <cellStyle name="Финансовый" xfId="4" builtinId="3"/>
  </cellStyles>
  <dxfs count="15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" formatCode="0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none"/>
      </font>
      <alignment horizontal="general" vertical="bottom" textRotation="0" wrapText="0" indent="0" relativeIndent="0" justifyLastLine="0" shrinkToFit="0" mergeCell="0" readingOrder="0"/>
      <protection locked="1" hidden="0"/>
    </dxf>
    <dxf>
      <border outline="0">
        <top style="thin">
          <color theme="4"/>
        </top>
      </border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center" vertical="center" textRotation="0" wrapText="1" indent="0" relativeIndent="0" justifyLastLine="0" shrinkToFit="0" mergeCell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9" tint="-0.24994659260841701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92D050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\ _₽_-;\-* #,##0\ _₽_-;_-* &quot;-&quot;??\ _₽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\ _₽_-;\-* #,##0\ _₽_-;_-* &quot;-&quot;??\ _₽_-;_-@_-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center" vertical="center" textRotation="0" wrapText="1" indent="0" relativeIndent="0" justifyLastLine="0" shrinkToFit="0" mergeCell="0" readingOrder="0"/>
    </dxf>
    <dxf>
      <font>
        <color rgb="FFC00000"/>
      </font>
      <fill>
        <patternFill>
          <bgColor rgb="FFFFC5D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  <color rgb="FFFF9966"/>
      <color rgb="FFFFC5DF"/>
      <color rgb="FFA1EE82"/>
      <color rgb="FF516BD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Таблица2" displayName="Таблица2" ref="A1:Y5" totalsRowShown="0" headerRowDxfId="146" dataDxfId="145" tableBorderDxfId="144" dataCellStyle="Денежный">
  <autoFilter ref="A1:Y5">
    <filterColumn colId="19"/>
    <filterColumn colId="20"/>
    <filterColumn colId="21"/>
    <filterColumn colId="22"/>
    <filterColumn colId="23"/>
    <filterColumn colId="24"/>
  </autoFilter>
  <tableColumns count="25">
    <tableColumn id="1" name="№ п/п" dataDxfId="143"/>
    <tableColumn id="2" name="Месяц" dataDxfId="142"/>
    <tableColumn id="3" name="Декада" dataDxfId="141"/>
    <tableColumn id="4" name="Номер недели" dataDxfId="140">
      <calculatedColumnFormula>IF(Учёт!$E2&gt;0,WEEKNUM(Учёт!$E2,2),WEEKNUM(Учёт!$F2,2))</calculatedColumnFormula>
    </tableColumn>
    <tableColumn id="5" name="День" dataDxfId="139"/>
    <tableColumn id="6" name="Ночь" dataDxfId="138"/>
    <tableColumn id="7" name="Бригадир/премия" dataDxfId="137" dataCellStyle="Финансовый"/>
    <tableColumn id="8" name="ФИО" dataDxfId="136"/>
    <tableColumn id="9" name="Рейтинг" dataDxfId="135">
      <calculatedColumnFormula>IFERROR(VLOOKUP(Учёт!$H2,Данные!A:I,9,FALSE)+Учёт!$G2,0)</calculatedColumnFormula>
    </tableColumn>
    <tableColumn id="10" name="Часы" dataDxfId="134"/>
    <tableColumn id="11" name="Заработок работника" dataDxfId="133" dataCellStyle="Денежный">
      <calculatedColumnFormula>IF(Учёт!$I2=1,Доход!$G$18*Учёт!$J2,IF(Учёт!$I2=2,Доход!$H$18*Учёт!$J2,IF(Учёт!$I2=3,Доход!$I$18*Учёт!$J2,IF(Учёт!$I2&gt;3,Доход!I22+100,0))))</calculatedColumnFormula>
    </tableColumn>
    <tableColumn id="12" name="Штраф" dataDxfId="132"/>
    <tableColumn id="13" name="Выплачено работнику" dataDxfId="131"/>
    <tableColumn id="14" name="Долг работнику" dataDxfId="130" dataCellStyle="Денежный">
      <calculatedColumnFormula>Учёт!$K2</calculatedColumnFormula>
    </tableColumn>
    <tableColumn id="15" name="Приход денег" dataDxfId="129" dataCellStyle="Денежный"/>
    <tableColumn id="16" name="От заказчика" dataDxfId="128" dataCellStyle="Денежный">
      <calculatedColumnFormula>IF(Учёт!$O2="да",Доход!$F$12*Учёт!$J2,0)</calculatedColumnFormula>
    </tableColumn>
    <tableColumn id="17" name="Доход ВАЛ" dataDxfId="127" dataCellStyle="Денежный">
      <calculatedColumnFormula>Учёт!$P2-Учёт!$N2</calculatedColumnFormula>
    </tableColumn>
    <tableColumn id="18" name="% дохода ВАЛ" dataDxfId="126" dataCellStyle="Процентный">
      <calculatedColumnFormula>IFERROR(Q2/P2,0)</calculatedColumnFormula>
    </tableColumn>
    <tableColumn id="19" name="ВАЛ" dataDxfId="125" dataCellStyle="Денежный">
      <calculatedColumnFormula>J2*135</calculatedColumnFormula>
    </tableColumn>
    <tableColumn id="25" name="Официально" dataDxfId="124" dataCellStyle="Финансовый">
      <calculatedColumnFormula>IFERROR(VLOOKUP(H:H,Данные!A:K,10,FALSE),0)</calculatedColumnFormula>
    </tableColumn>
    <tableColumn id="20" name="НДФЛ" dataDxfId="123" dataCellStyle="Денежный">
      <calculatedColumnFormula>IF(Таблица2[[#This Row],[Официально]]=1,Таблица2[[#This Row],[Часы]]*10*0.13,0)</calculatedColumnFormula>
    </tableColumn>
    <tableColumn id="21" name="Страховые взносы" dataDxfId="122" dataCellStyle="Денежный">
      <calculatedColumnFormula>IF(Таблица2[[#This Row],[Официально]]=1,Таблица2[[#This Row],[Часы]]*10*0.271,0)</calculatedColumnFormula>
    </tableColumn>
    <tableColumn id="22" name="ИТОГО налоги" dataDxfId="121" dataCellStyle="Денежный">
      <calculatedColumnFormula>Таблица2[[#This Row],[НДФЛ]]+Таблица2[[#This Row],[Страховые взносы]]</calculatedColumnFormula>
    </tableColumn>
    <tableColumn id="23" name="ИТОГО доход" dataDxfId="120" dataCellStyle="Денежный">
      <calculatedColumnFormula>Таблица2[[#This Row],[Доход ВАЛ]]-Таблица2[[#This Row],[ИТОГО налоги]]</calculatedColumnFormula>
    </tableColumn>
    <tableColumn id="24" name="% чистого дохода " dataDxfId="119" dataCellStyle="Процентный">
      <calculatedColumnFormula>IFERROR(X2/Таблица2[[#This Row],[От заказчика]],0)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:R51" totalsRowShown="0" headerRowDxfId="23" headerRowBorderDxfId="22" tableBorderDxfId="21">
  <autoFilter ref="A1:R51">
    <filterColumn colId="9"/>
    <filterColumn colId="10"/>
    <filterColumn colId="11"/>
    <filterColumn colId="13"/>
    <filterColumn colId="14"/>
    <filterColumn colId="15"/>
    <filterColumn colId="16"/>
    <filterColumn colId="17"/>
  </autoFilter>
  <tableColumns count="18">
    <tableColumn id="1" name="ФИО" dataDxfId="20" dataCellStyle="Гиперссылка"/>
    <tableColumn id="2" name="ЛМК" dataDxfId="19" dataCellStyle="Денежный"/>
    <tableColumn id="3" name="Мед. Осмотр" dataDxfId="18" dataCellStyle="Денежный"/>
    <tableColumn id="4" name="Спецодежда" dataDxfId="17" dataCellStyle="Денежный"/>
    <tableColumn id="5" name="Итого" dataDxfId="16" dataCellStyle="Денежный">
      <calculatedColumnFormula>SUM(B2:C2)</calculatedColumnFormula>
    </tableColumn>
    <tableColumn id="6" name="Удержано" dataDxfId="15" dataCellStyle="Денежный"/>
    <tableColumn id="7" name="Долг" dataDxfId="14" dataCellStyle="Денежный">
      <calculatedColumnFormula>Данные!$E2+Данные!$F2</calculatedColumnFormula>
    </tableColumn>
    <tableColumn id="8" name="Кол-во выходов" dataDxfId="13" dataCellStyle="Финансовый">
      <calculatedColumnFormula>COUNTIFS(Учёт!H:H,Данные!$A2,Учёт!J:J,"&gt;0")</calculatedColumnFormula>
    </tableColumn>
    <tableColumn id="9" name="Категория" dataDxfId="12" dataCellStyle="Финансовый">
      <calculatedColumnFormula>IF(Данные!$H2&lt;=20,1,IF(Данные!$H2&lt;=40,2,IF(Данные!$H2&gt;40,3,0)))</calculatedColumnFormula>
    </tableColumn>
    <tableColumn id="14" name="Официально" dataDxfId="11" dataCellStyle="Финансовый"/>
    <tableColumn id="19" name="Кол-во не выходов" dataDxfId="10" dataCellStyle="Финансовый">
      <calculatedColumnFormula>COUNTIFS(Учёт!H:H,Таблица1[[#This Row],[ФИО]],Учёт!J:J,"=0")</calculatedColumnFormula>
    </tableColumn>
    <tableColumn id="12" name="Выплачено" dataDxfId="9" dataCellStyle="Денежный"/>
    <tableColumn id="10" name="К выплате на сегодня" dataDxfId="8" dataCellStyle="Денежный">
      <calculatedColumnFormula>SUMIF(Учёт!H:K,Данные!A2,Учёт!K:K)-Таблица1[[#This Row],[Выплачено]]</calculatedColumnFormula>
    </tableColumn>
    <tableColumn id="13" name="Текщий итог по работнику" dataDxfId="7" dataCellStyle="Денежный">
      <calculatedColumnFormula>Таблица1[[#This Row],[К выплате на сегодня]]-Таблица1[[#This Row],[Долг]]</calculatedColumnFormula>
    </tableColumn>
    <tableColumn id="15" name="Налоги" dataDxfId="6" dataCellStyle="Денежный">
      <calculatedColumnFormula>SUMIF(Учёт!H:W,Таблица1[[#This Row],[ФИО]],Учёт!W:W)</calculatedColumnFormula>
    </tableColumn>
    <tableColumn id="16" name="Доход" dataCellStyle="Денежный">
      <calculatedColumnFormula>SUMIF(Учёт!H:X,Таблица1[[#This Row],[ФИО]],Учёт!X:X)</calculatedColumnFormula>
    </tableColumn>
    <tableColumn id="17" name="% дохода" dataDxfId="5" dataCellStyle="Процентный">
      <calculatedColumnFormula>IFERROR(Таблица1[[#This Row],[Доход]]/SUMIF(Учёт!H:P,Таблица1[[#This Row],[ФИО]],Учёт!P:P),0)</calculatedColumnFormula>
    </tableColumn>
    <tableColumn id="11" name="ИНН" data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hrm-pr.ru/employees/17542/view" TargetMode="External"/><Relationship Id="rId13" Type="http://schemas.openxmlformats.org/officeDocument/2006/relationships/hyperlink" Target="https://hrm-pr.ru/employees/17631/view" TargetMode="External"/><Relationship Id="rId18" Type="http://schemas.openxmlformats.org/officeDocument/2006/relationships/hyperlink" Target="https://hrm-pr.ru/employees/17987/view" TargetMode="External"/><Relationship Id="rId26" Type="http://schemas.openxmlformats.org/officeDocument/2006/relationships/hyperlink" Target="https://hrm-pr.ru/employees/19428/view" TargetMode="External"/><Relationship Id="rId3" Type="http://schemas.openxmlformats.org/officeDocument/2006/relationships/hyperlink" Target="https://hrm-pr.ru/employees/17593/view" TargetMode="External"/><Relationship Id="rId21" Type="http://schemas.openxmlformats.org/officeDocument/2006/relationships/hyperlink" Target="https://hrm-pr.ru/employees/19161/view" TargetMode="External"/><Relationship Id="rId34" Type="http://schemas.openxmlformats.org/officeDocument/2006/relationships/hyperlink" Target="https://hrm-pr.ru/employees/19711/view" TargetMode="External"/><Relationship Id="rId7" Type="http://schemas.openxmlformats.org/officeDocument/2006/relationships/hyperlink" Target="https://hrm-pr.ru/employees/17541/view" TargetMode="External"/><Relationship Id="rId12" Type="http://schemas.openxmlformats.org/officeDocument/2006/relationships/hyperlink" Target="https://hrm-pr.ru/employees/17635/view" TargetMode="External"/><Relationship Id="rId17" Type="http://schemas.openxmlformats.org/officeDocument/2006/relationships/hyperlink" Target="https://hrm-pr.ru/employees/17986/view" TargetMode="External"/><Relationship Id="rId25" Type="http://schemas.openxmlformats.org/officeDocument/2006/relationships/hyperlink" Target="https://hrm-pr.ru/employees/19389/view" TargetMode="External"/><Relationship Id="rId33" Type="http://schemas.openxmlformats.org/officeDocument/2006/relationships/hyperlink" Target="https://hrm-pr.ru/employees/19710/view" TargetMode="External"/><Relationship Id="rId38" Type="http://schemas.openxmlformats.org/officeDocument/2006/relationships/comments" Target="../comments1.xml"/><Relationship Id="rId2" Type="http://schemas.openxmlformats.org/officeDocument/2006/relationships/hyperlink" Target="https://hrm-pr.ru/employees/17617/view" TargetMode="External"/><Relationship Id="rId16" Type="http://schemas.openxmlformats.org/officeDocument/2006/relationships/hyperlink" Target="https://hrm-pr.ru/employees/17911/view" TargetMode="External"/><Relationship Id="rId20" Type="http://schemas.openxmlformats.org/officeDocument/2006/relationships/hyperlink" Target="https://hrm-pr.ru/employees/18694/view" TargetMode="External"/><Relationship Id="rId29" Type="http://schemas.openxmlformats.org/officeDocument/2006/relationships/hyperlink" Target="https://hrm-pr.ru/employees/19254/view" TargetMode="External"/><Relationship Id="rId1" Type="http://schemas.openxmlformats.org/officeDocument/2006/relationships/hyperlink" Target="https://hrm-pr.ru/employees/14672/view" TargetMode="External"/><Relationship Id="rId6" Type="http://schemas.openxmlformats.org/officeDocument/2006/relationships/hyperlink" Target="https://hrm-pr.ru/employees/17817/view" TargetMode="External"/><Relationship Id="rId11" Type="http://schemas.openxmlformats.org/officeDocument/2006/relationships/hyperlink" Target="https://hrm-pr.ru/employees/17658/view" TargetMode="External"/><Relationship Id="rId24" Type="http://schemas.openxmlformats.org/officeDocument/2006/relationships/hyperlink" Target="https://hrm-pr.ru/employees/19249/view" TargetMode="External"/><Relationship Id="rId32" Type="http://schemas.openxmlformats.org/officeDocument/2006/relationships/hyperlink" Target="https://hrm-pr.ru/employees/19610/view" TargetMode="External"/><Relationship Id="rId37" Type="http://schemas.openxmlformats.org/officeDocument/2006/relationships/table" Target="../tables/table2.xml"/><Relationship Id="rId5" Type="http://schemas.openxmlformats.org/officeDocument/2006/relationships/hyperlink" Target="https://hrm-pr.ru/employees/17483/view" TargetMode="External"/><Relationship Id="rId15" Type="http://schemas.openxmlformats.org/officeDocument/2006/relationships/hyperlink" Target="https://hrm-pr.ru/employees/18251/view" TargetMode="External"/><Relationship Id="rId23" Type="http://schemas.openxmlformats.org/officeDocument/2006/relationships/hyperlink" Target="https://hrm-pr.ru/employees/17821/view" TargetMode="External"/><Relationship Id="rId28" Type="http://schemas.openxmlformats.org/officeDocument/2006/relationships/hyperlink" Target="https://hrm-pr.ru/employees/19251/view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s://hrm-pr.ru/employees/17690/view" TargetMode="External"/><Relationship Id="rId19" Type="http://schemas.openxmlformats.org/officeDocument/2006/relationships/hyperlink" Target="https://hrm-pr.ru/employees/17716/view" TargetMode="External"/><Relationship Id="rId31" Type="http://schemas.openxmlformats.org/officeDocument/2006/relationships/hyperlink" Target="https://hrm-pr.ru/employees/19613/view" TargetMode="External"/><Relationship Id="rId4" Type="http://schemas.openxmlformats.org/officeDocument/2006/relationships/hyperlink" Target="https://hrm-pr.ru/employees/17626/view" TargetMode="External"/><Relationship Id="rId9" Type="http://schemas.openxmlformats.org/officeDocument/2006/relationships/hyperlink" Target="https://hrm-pr.ru/employees/17739/view" TargetMode="External"/><Relationship Id="rId14" Type="http://schemas.openxmlformats.org/officeDocument/2006/relationships/hyperlink" Target="https://hrm-pr.ru/employees/18136/view" TargetMode="External"/><Relationship Id="rId22" Type="http://schemas.openxmlformats.org/officeDocument/2006/relationships/hyperlink" Target="https://hrm-pr.ru/employees/19164/view" TargetMode="External"/><Relationship Id="rId27" Type="http://schemas.openxmlformats.org/officeDocument/2006/relationships/hyperlink" Target="https://hrm-pr.ru/employees/19414/view" TargetMode="External"/><Relationship Id="rId30" Type="http://schemas.openxmlformats.org/officeDocument/2006/relationships/hyperlink" Target="https://hrm-pr.ru/employees/19233/view" TargetMode="External"/><Relationship Id="rId35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" sqref="G2"/>
    </sheetView>
  </sheetViews>
  <sheetFormatPr defaultRowHeight="14.4"/>
  <cols>
    <col min="1" max="1" width="8.5546875" style="44" customWidth="1"/>
    <col min="2" max="2" width="8.6640625" style="44" customWidth="1"/>
    <col min="3" max="3" width="9.33203125" style="73" customWidth="1"/>
    <col min="4" max="4" width="15.5546875" style="73" customWidth="1"/>
    <col min="5" max="5" width="11.21875" style="44" bestFit="1" customWidth="1"/>
    <col min="6" max="6" width="11.109375" style="44" bestFit="1" customWidth="1"/>
    <col min="7" max="7" width="9.33203125" style="53" customWidth="1"/>
    <col min="8" max="8" width="38" style="44" customWidth="1"/>
    <col min="9" max="9" width="9.77734375" style="44" customWidth="1"/>
    <col min="10" max="10" width="7.33203125" style="44" customWidth="1"/>
    <col min="11" max="11" width="21.88671875" style="44" customWidth="1"/>
    <col min="12" max="12" width="8.88671875" style="44" customWidth="1"/>
    <col min="13" max="13" width="22.5546875" style="44" hidden="1" customWidth="1"/>
    <col min="14" max="14" width="16.77734375" style="44" hidden="1" customWidth="1"/>
    <col min="15" max="15" width="14.77734375" style="44" customWidth="1"/>
    <col min="16" max="16" width="14.33203125" style="44" customWidth="1"/>
    <col min="17" max="17" width="10.88671875" style="44" customWidth="1"/>
    <col min="18" max="19" width="11.109375" style="44" customWidth="1"/>
    <col min="20" max="20" width="13.77734375" style="44" customWidth="1"/>
    <col min="21" max="25" width="11.109375" style="44" customWidth="1"/>
    <col min="26" max="16384" width="8.88671875" style="44"/>
  </cols>
  <sheetData>
    <row r="1" spans="1:25" ht="27.6" customHeight="1">
      <c r="A1" s="89" t="s">
        <v>44</v>
      </c>
      <c r="B1" s="89" t="s">
        <v>74</v>
      </c>
      <c r="C1" s="89" t="s">
        <v>84</v>
      </c>
      <c r="D1" s="89" t="s">
        <v>93</v>
      </c>
      <c r="E1" s="89" t="s">
        <v>82</v>
      </c>
      <c r="F1" s="89" t="s">
        <v>83</v>
      </c>
      <c r="G1" s="89" t="s">
        <v>71</v>
      </c>
      <c r="H1" s="89" t="s">
        <v>46</v>
      </c>
      <c r="I1" s="89" t="s">
        <v>55</v>
      </c>
      <c r="J1" s="89" t="s">
        <v>47</v>
      </c>
      <c r="K1" s="89" t="s">
        <v>48</v>
      </c>
      <c r="L1" s="89" t="s">
        <v>57</v>
      </c>
      <c r="M1" s="89" t="s">
        <v>56</v>
      </c>
      <c r="N1" s="89" t="s">
        <v>49</v>
      </c>
      <c r="O1" s="89" t="s">
        <v>50</v>
      </c>
      <c r="P1" s="89" t="s">
        <v>43</v>
      </c>
      <c r="Q1" s="89" t="s">
        <v>125</v>
      </c>
      <c r="R1" s="89" t="s">
        <v>126</v>
      </c>
      <c r="S1" s="76" t="s">
        <v>91</v>
      </c>
      <c r="T1" s="89" t="s">
        <v>6</v>
      </c>
      <c r="U1" s="89" t="s">
        <v>14</v>
      </c>
      <c r="V1" s="89" t="s">
        <v>0</v>
      </c>
      <c r="W1" s="89" t="s">
        <v>123</v>
      </c>
      <c r="X1" s="89" t="s">
        <v>124</v>
      </c>
      <c r="Y1" s="89" t="s">
        <v>127</v>
      </c>
    </row>
    <row r="2" spans="1:25">
      <c r="A2" s="57">
        <v>1</v>
      </c>
      <c r="B2" s="57" t="s">
        <v>132</v>
      </c>
      <c r="C2" s="122">
        <v>1</v>
      </c>
      <c r="D2" s="123">
        <f>IF(Учёт!$E2&gt;0,WEEKNUM(Учёт!$E2,2),WEEKNUM(Учёт!$F2,2))</f>
        <v>11</v>
      </c>
      <c r="E2" s="63"/>
      <c r="F2" s="63">
        <v>43536</v>
      </c>
      <c r="G2" s="64">
        <v>1</v>
      </c>
      <c r="H2" s="57" t="s">
        <v>113</v>
      </c>
      <c r="I2" s="65">
        <f>IFERROR(VLOOKUP(Учёт!$H2,Данные!A:I,9,FALSE)+Учёт!$G2,0)</f>
        <v>2</v>
      </c>
      <c r="J2" s="57">
        <v>12</v>
      </c>
      <c r="K2" s="48">
        <f>IF(Учёт!$I2=1,Доход!$G$18*Учёт!$J2,IF(Учёт!$I2=2,Доход!$H$18*Учёт!$J2,IF(Учёт!$I2=3,Доход!$I$18*Учёт!$J2,IF(Учёт!$I2&gt;3,Доход!I204+100,0))))</f>
        <v>1099.9992</v>
      </c>
      <c r="L2" s="57"/>
      <c r="M2" s="57"/>
      <c r="N2" s="48">
        <f>Учёт!$K2</f>
        <v>1099.9992</v>
      </c>
      <c r="O2" s="48" t="s">
        <v>1</v>
      </c>
      <c r="P2" s="48">
        <f>IF(Учёт!$O2="да",Доход!$F$12*Учёт!$J2,0)</f>
        <v>1522.8</v>
      </c>
      <c r="Q2" s="48">
        <f>Учёт!$P2-Учёт!$N2</f>
        <v>422.80079999999998</v>
      </c>
      <c r="R2" s="113">
        <f t="shared" ref="R2:R5" si="0">IFERROR(Q2/P2,0)</f>
        <v>0.27764696611505124</v>
      </c>
      <c r="S2" s="48">
        <f t="shared" ref="S2:S5" si="1">J2*135</f>
        <v>1620</v>
      </c>
      <c r="T2" s="92">
        <f>IFERROR(VLOOKUP(H:H,Данные!A:K,10,FALSE),0)</f>
        <v>0</v>
      </c>
      <c r="U2" s="48">
        <f>IF(Таблица2[[#This Row],[Официально]]=1,Таблица2[[#This Row],[Часы]]*10*0.13,0)</f>
        <v>0</v>
      </c>
      <c r="V2" s="48">
        <f>IF(Таблица2[[#This Row],[Официально]]=1,Таблица2[[#This Row],[Часы]]*10*0.271,0)</f>
        <v>0</v>
      </c>
      <c r="W2" s="48">
        <f>Таблица2[[#This Row],[НДФЛ]]+Таблица2[[#This Row],[Страховые взносы]]</f>
        <v>0</v>
      </c>
      <c r="X2" s="48">
        <f>Таблица2[[#This Row],[Доход ВАЛ]]-Таблица2[[#This Row],[ИТОГО налоги]]</f>
        <v>422.80079999999998</v>
      </c>
      <c r="Y2" s="119">
        <f>IFERROR(X2/Таблица2[[#This Row],[От заказчика]],0)</f>
        <v>0.27764696611505124</v>
      </c>
    </row>
    <row r="3" spans="1:25">
      <c r="A3" s="56">
        <v>2</v>
      </c>
      <c r="B3" s="56" t="s">
        <v>132</v>
      </c>
      <c r="C3" s="124">
        <v>1</v>
      </c>
      <c r="D3" s="125">
        <f>IF(Учёт!$E3&gt;0,WEEKNUM(Учёт!$E3,2),WEEKNUM(Учёт!$F3,2))</f>
        <v>11</v>
      </c>
      <c r="E3" s="54"/>
      <c r="F3" s="66">
        <v>43536</v>
      </c>
      <c r="G3" s="67">
        <v>1</v>
      </c>
      <c r="H3" s="56" t="s">
        <v>118</v>
      </c>
      <c r="I3" s="68">
        <f>IFERROR(VLOOKUP(Учёт!$H3,Данные!A:I,9,FALSE)+Учёт!$G3,0)</f>
        <v>2</v>
      </c>
      <c r="J3" s="56">
        <v>12</v>
      </c>
      <c r="K3" s="69">
        <f>IF(Учёт!$I3=1,Доход!$G$18*Учёт!$J3,IF(Учёт!$I3=2,Доход!$H$18*Учёт!$J3,IF(Учёт!$I3=3,Доход!$I$18*Учёт!$J3,IF(Учёт!$I3&gt;3,Доход!I205+100,0))))</f>
        <v>1099.9992</v>
      </c>
      <c r="L3" s="56"/>
      <c r="M3" s="56"/>
      <c r="N3" s="69">
        <f>Учёт!$K3</f>
        <v>1099.9992</v>
      </c>
      <c r="O3" s="69" t="s">
        <v>1</v>
      </c>
      <c r="P3" s="69">
        <f>IF(Учёт!$O3="да",Доход!$F$12*Учёт!$J3,0)</f>
        <v>1522.8</v>
      </c>
      <c r="Q3" s="69">
        <f>Учёт!$P3-Учёт!$N3</f>
        <v>422.80079999999998</v>
      </c>
      <c r="R3" s="112">
        <f t="shared" si="0"/>
        <v>0.27764696611505124</v>
      </c>
      <c r="S3" s="69">
        <f t="shared" si="1"/>
        <v>1620</v>
      </c>
      <c r="T3" s="93">
        <f>IFERROR(VLOOKUP(H:H,Данные!A:K,10,FALSE),0)</f>
        <v>1</v>
      </c>
      <c r="U3" s="69">
        <f>IF(Таблица2[[#This Row],[Официально]]=1,Таблица2[[#This Row],[Часы]]*10*0.13,0)</f>
        <v>15.600000000000001</v>
      </c>
      <c r="V3" s="69">
        <f>IF(Таблица2[[#This Row],[Официально]]=1,Таблица2[[#This Row],[Часы]]*10*0.271,0)</f>
        <v>32.520000000000003</v>
      </c>
      <c r="W3" s="69">
        <f>Таблица2[[#This Row],[НДФЛ]]+Таблица2[[#This Row],[Страховые взносы]]</f>
        <v>48.120000000000005</v>
      </c>
      <c r="X3" s="69">
        <f>Таблица2[[#This Row],[Доход ВАЛ]]-Таблица2[[#This Row],[ИТОГО налоги]]</f>
        <v>374.68079999999998</v>
      </c>
      <c r="Y3" s="120">
        <f>IFERROR(X3/Таблица2[[#This Row],[От заказчика]],0)</f>
        <v>0.24604728132387707</v>
      </c>
    </row>
    <row r="4" spans="1:25">
      <c r="A4" s="57">
        <v>3</v>
      </c>
      <c r="B4" s="57" t="s">
        <v>132</v>
      </c>
      <c r="C4" s="122">
        <v>1</v>
      </c>
      <c r="D4" s="123">
        <f>IF(Учёт!$E4&gt;0,WEEKNUM(Учёт!$E4,2),WEEKNUM(Учёт!$F4,2))</f>
        <v>11</v>
      </c>
      <c r="E4" s="55"/>
      <c r="F4" s="63">
        <v>43536</v>
      </c>
      <c r="G4" s="64"/>
      <c r="H4" s="57" t="s">
        <v>108</v>
      </c>
      <c r="I4" s="65">
        <f>IFERROR(VLOOKUP(Учёт!$H4,Данные!A:I,9,FALSE)+Учёт!$G4,0)</f>
        <v>1</v>
      </c>
      <c r="J4" s="57">
        <v>12</v>
      </c>
      <c r="K4" s="48">
        <f>IF(Учёт!$I4=1,Доход!$G$18*Учёт!$J4,IF(Учёт!$I4=2,Доход!$H$18*Учёт!$J4,IF(Учёт!$I4=3,Доход!$I$18*Учёт!$J4,IF(Учёт!$I4&gt;3,Доход!I206+100,0))))</f>
        <v>999.9999600000001</v>
      </c>
      <c r="L4" s="57"/>
      <c r="M4" s="57"/>
      <c r="N4" s="48">
        <f>Учёт!$K4</f>
        <v>999.9999600000001</v>
      </c>
      <c r="O4" s="48" t="s">
        <v>1</v>
      </c>
      <c r="P4" s="48">
        <f>IF(Учёт!$O4="да",Доход!$F$12*Учёт!$J4,0)</f>
        <v>1522.8</v>
      </c>
      <c r="Q4" s="48">
        <f>Учёт!$P4-Учёт!$N4</f>
        <v>522.80003999999985</v>
      </c>
      <c r="R4" s="113">
        <f t="shared" si="0"/>
        <v>0.34331497241922765</v>
      </c>
      <c r="S4" s="48">
        <f t="shared" si="1"/>
        <v>1620</v>
      </c>
      <c r="T4" s="92">
        <f>IFERROR(VLOOKUP(H:H,Данные!A:K,10,FALSE),0)</f>
        <v>0</v>
      </c>
      <c r="U4" s="48">
        <f>IF(Таблица2[[#This Row],[Официально]]=1,Таблица2[[#This Row],[Часы]]*10*0.13,0)</f>
        <v>0</v>
      </c>
      <c r="V4" s="48">
        <f>IF(Таблица2[[#This Row],[Официально]]=1,Таблица2[[#This Row],[Часы]]*10*0.271,0)</f>
        <v>0</v>
      </c>
      <c r="W4" s="48">
        <f>Таблица2[[#This Row],[НДФЛ]]+Таблица2[[#This Row],[Страховые взносы]]</f>
        <v>0</v>
      </c>
      <c r="X4" s="48">
        <f>Таблица2[[#This Row],[Доход ВАЛ]]-Таблица2[[#This Row],[ИТОГО налоги]]</f>
        <v>522.80003999999985</v>
      </c>
      <c r="Y4" s="119">
        <f>IFERROR(X4/Таблица2[[#This Row],[От заказчика]],0)</f>
        <v>0.34331497241922765</v>
      </c>
    </row>
    <row r="5" spans="1:25">
      <c r="A5" s="56">
        <v>4</v>
      </c>
      <c r="B5" s="56" t="s">
        <v>132</v>
      </c>
      <c r="C5" s="124">
        <v>1</v>
      </c>
      <c r="D5" s="125">
        <f>IF(Учёт!$E5&gt;0,WEEKNUM(Учёт!$E5,2),WEEKNUM(Учёт!$F5,2))</f>
        <v>11</v>
      </c>
      <c r="E5" s="54"/>
      <c r="F5" s="66">
        <v>43536</v>
      </c>
      <c r="G5" s="67"/>
      <c r="H5" s="56" t="s">
        <v>107</v>
      </c>
      <c r="I5" s="68">
        <f>IFERROR(VLOOKUP(Учёт!$H5,Данные!A:I,9,FALSE)+Учёт!$G5,0)</f>
        <v>1</v>
      </c>
      <c r="J5" s="56">
        <v>12</v>
      </c>
      <c r="K5" s="69">
        <f>IF(Учёт!$I5=1,Доход!$G$18*Учёт!$J5,IF(Учёт!$I5=2,Доход!$H$18*Учёт!$J5,IF(Учёт!$I5=3,Доход!$I$18*Учёт!$J5,IF(Учёт!$I5&gt;3,Доход!I207+100,0))))</f>
        <v>999.9999600000001</v>
      </c>
      <c r="L5" s="56"/>
      <c r="M5" s="56"/>
      <c r="N5" s="69">
        <f>Учёт!$K5</f>
        <v>999.9999600000001</v>
      </c>
      <c r="O5" s="69" t="s">
        <v>1</v>
      </c>
      <c r="P5" s="69">
        <f>IF(Учёт!$O5="да",Доход!$F$12*Учёт!$J5,0)</f>
        <v>1522.8</v>
      </c>
      <c r="Q5" s="69">
        <f>Учёт!$P5-Учёт!$N5</f>
        <v>522.80003999999985</v>
      </c>
      <c r="R5" s="112">
        <f t="shared" si="0"/>
        <v>0.34331497241922765</v>
      </c>
      <c r="S5" s="69">
        <f t="shared" si="1"/>
        <v>1620</v>
      </c>
      <c r="T5" s="93">
        <f>IFERROR(VLOOKUP(H:H,Данные!A:K,10,FALSE),0)</f>
        <v>1</v>
      </c>
      <c r="U5" s="69">
        <f>IF(Таблица2[[#This Row],[Официально]]=1,Таблица2[[#This Row],[Часы]]*10*0.13,0)</f>
        <v>15.600000000000001</v>
      </c>
      <c r="V5" s="69">
        <f>IF(Таблица2[[#This Row],[Официально]]=1,Таблица2[[#This Row],[Часы]]*10*0.271,0)</f>
        <v>32.520000000000003</v>
      </c>
      <c r="W5" s="69">
        <f>Таблица2[[#This Row],[НДФЛ]]+Таблица2[[#This Row],[Страховые взносы]]</f>
        <v>48.120000000000005</v>
      </c>
      <c r="X5" s="69">
        <f>Таблица2[[#This Row],[Доход ВАЛ]]-Таблица2[[#This Row],[ИТОГО налоги]]</f>
        <v>474.68003999999985</v>
      </c>
      <c r="Y5" s="120">
        <f>IFERROR(X5/Таблица2[[#This Row],[От заказчика]],0)</f>
        <v>0.31171528762805351</v>
      </c>
    </row>
  </sheetData>
  <conditionalFormatting sqref="I1:I1048576">
    <cfRule type="cellIs" dxfId="152" priority="7" operator="equal">
      <formula>3</formula>
    </cfRule>
    <cfRule type="cellIs" dxfId="151" priority="8" operator="equal">
      <formula>2</formula>
    </cfRule>
  </conditionalFormatting>
  <conditionalFormatting sqref="L2:L5">
    <cfRule type="cellIs" dxfId="150" priority="6" operator="greaterThan">
      <formula>0</formula>
    </cfRule>
  </conditionalFormatting>
  <conditionalFormatting sqref="E2:F5">
    <cfRule type="expression" dxfId="149" priority="5">
      <formula>E2:F2=TODAY()</formula>
    </cfRule>
  </conditionalFormatting>
  <conditionalFormatting sqref="J1:J1048576">
    <cfRule type="cellIs" dxfId="148" priority="4" operator="equal">
      <formula>0</formula>
    </cfRule>
  </conditionalFormatting>
  <conditionalFormatting sqref="H1:H1048576">
    <cfRule type="expression" dxfId="147" priority="2">
      <formula>IF(J1=0,1,0)</formula>
    </cfRule>
  </conditionalFormatting>
  <dataValidations count="1">
    <dataValidation type="list" allowBlank="1" showInputMessage="1" showErrorMessage="1" sqref="H1:H1048576">
      <formula1>Данные!A:A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N46"/>
  <sheetViews>
    <sheetView tabSelected="1" topLeftCell="A3" zoomScale="30" zoomScaleNormal="30" zoomScaleSheetLayoutView="40" workbookViewId="0">
      <selection activeCell="C24" sqref="C24"/>
    </sheetView>
  </sheetViews>
  <sheetFormatPr defaultRowHeight="18"/>
  <cols>
    <col min="1" max="1" width="12.88671875" style="49" bestFit="1" customWidth="1"/>
    <col min="2" max="2" width="64.5546875" style="49" customWidth="1"/>
    <col min="3" max="16" width="17.6640625" style="49" customWidth="1"/>
    <col min="17" max="17" width="23.77734375" style="49" bestFit="1" customWidth="1"/>
    <col min="18" max="18" width="24.88671875" style="49" customWidth="1"/>
    <col min="19" max="19" width="36.77734375" style="49" customWidth="1"/>
    <col min="20" max="20" width="45.44140625" style="49" customWidth="1"/>
    <col min="21" max="21" width="12.88671875" style="49" bestFit="1" customWidth="1"/>
    <col min="22" max="22" width="39.77734375" style="49" bestFit="1" customWidth="1"/>
    <col min="23" max="36" width="17.6640625" style="49" customWidth="1"/>
    <col min="37" max="37" width="23.77734375" style="49" bestFit="1" customWidth="1"/>
    <col min="38" max="38" width="24.88671875" style="49" customWidth="1"/>
    <col min="39" max="39" width="36.77734375" style="49" customWidth="1"/>
    <col min="40" max="40" width="45.44140625" style="49" customWidth="1"/>
    <col min="41" max="16384" width="8.88671875" style="49"/>
  </cols>
  <sheetData>
    <row r="1" spans="1:40" ht="18.600000000000001" thickBot="1">
      <c r="A1" s="50" t="s">
        <v>68</v>
      </c>
      <c r="B1" s="51">
        <f>WEEKNUM(C7,1)</f>
        <v>12</v>
      </c>
      <c r="C1" s="49" t="s">
        <v>115</v>
      </c>
      <c r="E1" s="114">
        <f>Q4/Q2</f>
        <v>0.98484848484848486</v>
      </c>
      <c r="F1" s="49" t="s">
        <v>116</v>
      </c>
      <c r="H1" s="115" t="e">
        <f>AVERAGE(#REF!,#REF!,#REF!,#REF!,#REF!,#REF!,$E$1)</f>
        <v>#REF!</v>
      </c>
      <c r="U1" s="50" t="s">
        <v>68</v>
      </c>
      <c r="V1" s="51">
        <f>WEEKNUM(W7,1)</f>
        <v>13</v>
      </c>
      <c r="W1" s="49" t="s">
        <v>115</v>
      </c>
      <c r="Y1" s="114" t="e">
        <f>AK4/AK2</f>
        <v>#DIV/0!</v>
      </c>
      <c r="Z1" s="49" t="s">
        <v>116</v>
      </c>
      <c r="AB1" s="115" t="e">
        <f>AVERAGE(#REF!,#REF!,#REF!,#REF!)</f>
        <v>#REF!</v>
      </c>
    </row>
    <row r="2" spans="1:40" ht="47.4" customHeight="1">
      <c r="A2" s="179" t="s">
        <v>85</v>
      </c>
      <c r="B2" s="180"/>
      <c r="C2" s="126">
        <v>6</v>
      </c>
      <c r="D2" s="81"/>
      <c r="E2" s="80">
        <v>10</v>
      </c>
      <c r="F2" s="81">
        <v>6</v>
      </c>
      <c r="G2" s="80"/>
      <c r="H2" s="81">
        <v>6</v>
      </c>
      <c r="I2" s="80">
        <v>8</v>
      </c>
      <c r="J2" s="81">
        <v>7</v>
      </c>
      <c r="K2" s="80">
        <v>6</v>
      </c>
      <c r="L2" s="81">
        <v>7</v>
      </c>
      <c r="M2" s="80"/>
      <c r="N2" s="81">
        <v>3</v>
      </c>
      <c r="O2" s="80">
        <v>6</v>
      </c>
      <c r="P2" s="130">
        <v>1</v>
      </c>
      <c r="Q2" s="134">
        <f>SUM(C2:P2)*12</f>
        <v>792</v>
      </c>
      <c r="R2" s="135" t="s">
        <v>140</v>
      </c>
      <c r="S2" s="96">
        <f>Q4-Q2</f>
        <v>-12</v>
      </c>
      <c r="T2" s="141" t="s">
        <v>86</v>
      </c>
      <c r="U2" s="179" t="s">
        <v>85</v>
      </c>
      <c r="V2" s="180"/>
      <c r="W2" s="126"/>
      <c r="X2" s="81"/>
      <c r="Y2" s="80"/>
      <c r="Z2" s="81"/>
      <c r="AA2" s="80"/>
      <c r="AB2" s="81"/>
      <c r="AC2" s="80"/>
      <c r="AD2" s="81"/>
      <c r="AE2" s="80"/>
      <c r="AF2" s="81"/>
      <c r="AG2" s="80"/>
      <c r="AH2" s="81"/>
      <c r="AI2" s="80"/>
      <c r="AJ2" s="130"/>
      <c r="AK2" s="134">
        <f>SUM(W2:AJ2)*12</f>
        <v>0</v>
      </c>
      <c r="AL2" s="135" t="s">
        <v>140</v>
      </c>
      <c r="AM2" s="96">
        <f>AK4-AK2</f>
        <v>0</v>
      </c>
      <c r="AN2" s="141" t="s">
        <v>86</v>
      </c>
    </row>
    <row r="3" spans="1:40" ht="47.4" customHeight="1">
      <c r="A3" s="172" t="s">
        <v>88</v>
      </c>
      <c r="B3" s="181"/>
      <c r="C3" s="127">
        <f t="shared" ref="C3:P3" si="0">COUNTIF(C10:C46,"1")</f>
        <v>6</v>
      </c>
      <c r="D3" s="83">
        <f t="shared" si="0"/>
        <v>0</v>
      </c>
      <c r="E3" s="82">
        <f t="shared" si="0"/>
        <v>10</v>
      </c>
      <c r="F3" s="83">
        <f t="shared" si="0"/>
        <v>6</v>
      </c>
      <c r="G3" s="82">
        <f t="shared" si="0"/>
        <v>0</v>
      </c>
      <c r="H3" s="83">
        <f t="shared" si="0"/>
        <v>6</v>
      </c>
      <c r="I3" s="82">
        <f t="shared" si="0"/>
        <v>8</v>
      </c>
      <c r="J3" s="83">
        <f t="shared" si="0"/>
        <v>7</v>
      </c>
      <c r="K3" s="82">
        <f t="shared" si="0"/>
        <v>6</v>
      </c>
      <c r="L3" s="83">
        <f t="shared" si="0"/>
        <v>6</v>
      </c>
      <c r="M3" s="82">
        <f t="shared" si="0"/>
        <v>0</v>
      </c>
      <c r="N3" s="83">
        <f t="shared" si="0"/>
        <v>3</v>
      </c>
      <c r="O3" s="82">
        <f t="shared" si="0"/>
        <v>6</v>
      </c>
      <c r="P3" s="131">
        <f t="shared" si="0"/>
        <v>1</v>
      </c>
      <c r="Q3" s="136">
        <f>Q2*135</f>
        <v>106920</v>
      </c>
      <c r="R3" s="137" t="s">
        <v>141</v>
      </c>
      <c r="S3" s="139">
        <f>Q5-Q3</f>
        <v>-1620</v>
      </c>
      <c r="T3" s="142"/>
      <c r="U3" s="172" t="s">
        <v>88</v>
      </c>
      <c r="V3" s="181"/>
      <c r="W3" s="127">
        <f t="shared" ref="W3:AJ3" si="1">COUNTIF(W10:W46,"1")</f>
        <v>0</v>
      </c>
      <c r="X3" s="83">
        <f t="shared" si="1"/>
        <v>0</v>
      </c>
      <c r="Y3" s="82">
        <f t="shared" si="1"/>
        <v>0</v>
      </c>
      <c r="Z3" s="83">
        <f t="shared" si="1"/>
        <v>0</v>
      </c>
      <c r="AA3" s="82">
        <f t="shared" si="1"/>
        <v>0</v>
      </c>
      <c r="AB3" s="83">
        <f t="shared" si="1"/>
        <v>0</v>
      </c>
      <c r="AC3" s="82">
        <f t="shared" si="1"/>
        <v>0</v>
      </c>
      <c r="AD3" s="83">
        <f t="shared" si="1"/>
        <v>0</v>
      </c>
      <c r="AE3" s="82">
        <f t="shared" si="1"/>
        <v>0</v>
      </c>
      <c r="AF3" s="83">
        <f t="shared" si="1"/>
        <v>0</v>
      </c>
      <c r="AG3" s="82">
        <f t="shared" si="1"/>
        <v>0</v>
      </c>
      <c r="AH3" s="83">
        <f t="shared" si="1"/>
        <v>0</v>
      </c>
      <c r="AI3" s="82">
        <f t="shared" si="1"/>
        <v>0</v>
      </c>
      <c r="AJ3" s="131">
        <f t="shared" si="1"/>
        <v>0</v>
      </c>
      <c r="AK3" s="136">
        <f>AK2*135</f>
        <v>0</v>
      </c>
      <c r="AL3" s="137" t="s">
        <v>141</v>
      </c>
      <c r="AM3" s="139">
        <f>AK5-AK3</f>
        <v>0</v>
      </c>
      <c r="AN3" s="142"/>
    </row>
    <row r="4" spans="1:40" ht="47.4" customHeight="1" thickBot="1">
      <c r="A4" s="172" t="s">
        <v>89</v>
      </c>
      <c r="B4" s="181"/>
      <c r="C4" s="128">
        <f t="shared" ref="C4:P4" si="2">COUNTIF(C10:C46,"2")</f>
        <v>3</v>
      </c>
      <c r="D4" s="84">
        <f t="shared" si="2"/>
        <v>0</v>
      </c>
      <c r="E4" s="91">
        <f t="shared" si="2"/>
        <v>0</v>
      </c>
      <c r="F4" s="84">
        <f t="shared" si="2"/>
        <v>0</v>
      </c>
      <c r="G4" s="91">
        <f t="shared" si="2"/>
        <v>2</v>
      </c>
      <c r="H4" s="84">
        <f t="shared" si="2"/>
        <v>1</v>
      </c>
      <c r="I4" s="91">
        <f t="shared" si="2"/>
        <v>2</v>
      </c>
      <c r="J4" s="84">
        <f t="shared" si="2"/>
        <v>2</v>
      </c>
      <c r="K4" s="91">
        <f t="shared" si="2"/>
        <v>0</v>
      </c>
      <c r="L4" s="84">
        <f t="shared" si="2"/>
        <v>4</v>
      </c>
      <c r="M4" s="91">
        <f t="shared" si="2"/>
        <v>1</v>
      </c>
      <c r="N4" s="84">
        <f t="shared" si="2"/>
        <v>1</v>
      </c>
      <c r="O4" s="91">
        <f t="shared" si="2"/>
        <v>3</v>
      </c>
      <c r="P4" s="132">
        <f t="shared" si="2"/>
        <v>2</v>
      </c>
      <c r="Q4" s="146">
        <f>SUM(C3:P3)*12</f>
        <v>780</v>
      </c>
      <c r="R4" s="138" t="s">
        <v>138</v>
      </c>
      <c r="S4" s="147">
        <f>Q5*0.94</f>
        <v>98982</v>
      </c>
      <c r="T4" s="148" t="s">
        <v>119</v>
      </c>
      <c r="U4" s="172" t="s">
        <v>89</v>
      </c>
      <c r="V4" s="181"/>
      <c r="W4" s="128">
        <f t="shared" ref="W4:AJ4" si="3">COUNTIF(W10:W46,"2")</f>
        <v>0</v>
      </c>
      <c r="X4" s="84">
        <f t="shared" si="3"/>
        <v>0</v>
      </c>
      <c r="Y4" s="91">
        <f t="shared" si="3"/>
        <v>0</v>
      </c>
      <c r="Z4" s="84">
        <f t="shared" si="3"/>
        <v>0</v>
      </c>
      <c r="AA4" s="91">
        <f t="shared" si="3"/>
        <v>0</v>
      </c>
      <c r="AB4" s="84">
        <f t="shared" si="3"/>
        <v>0</v>
      </c>
      <c r="AC4" s="91">
        <f t="shared" si="3"/>
        <v>0</v>
      </c>
      <c r="AD4" s="84">
        <f t="shared" si="3"/>
        <v>0</v>
      </c>
      <c r="AE4" s="91">
        <f t="shared" si="3"/>
        <v>0</v>
      </c>
      <c r="AF4" s="84">
        <f t="shared" si="3"/>
        <v>0</v>
      </c>
      <c r="AG4" s="91">
        <f t="shared" si="3"/>
        <v>0</v>
      </c>
      <c r="AH4" s="84">
        <f t="shared" si="3"/>
        <v>0</v>
      </c>
      <c r="AI4" s="91">
        <f t="shared" si="3"/>
        <v>0</v>
      </c>
      <c r="AJ4" s="132">
        <f t="shared" si="3"/>
        <v>0</v>
      </c>
      <c r="AK4" s="146">
        <f>SUM(W3:AJ3)*12</f>
        <v>0</v>
      </c>
      <c r="AL4" s="138" t="s">
        <v>138</v>
      </c>
      <c r="AM4" s="147">
        <f>AK5*0.94</f>
        <v>0</v>
      </c>
      <c r="AN4" s="148" t="s">
        <v>119</v>
      </c>
    </row>
    <row r="5" spans="1:40" ht="47.4" customHeight="1">
      <c r="A5" s="172" t="s">
        <v>90</v>
      </c>
      <c r="B5" s="181"/>
      <c r="C5" s="127">
        <f>COUNT(C10:C46)</f>
        <v>12</v>
      </c>
      <c r="D5" s="83">
        <f t="shared" ref="D5:P5" si="4">COUNT(D10:D46)</f>
        <v>3</v>
      </c>
      <c r="E5" s="82">
        <f t="shared" si="4"/>
        <v>13</v>
      </c>
      <c r="F5" s="83">
        <f t="shared" si="4"/>
        <v>9</v>
      </c>
      <c r="G5" s="82">
        <f t="shared" si="4"/>
        <v>4</v>
      </c>
      <c r="H5" s="83">
        <f t="shared" si="4"/>
        <v>9</v>
      </c>
      <c r="I5" s="82">
        <f t="shared" si="4"/>
        <v>14</v>
      </c>
      <c r="J5" s="83">
        <f t="shared" si="4"/>
        <v>11</v>
      </c>
      <c r="K5" s="82">
        <f t="shared" si="4"/>
        <v>9</v>
      </c>
      <c r="L5" s="83">
        <f t="shared" si="4"/>
        <v>13</v>
      </c>
      <c r="M5" s="82">
        <f t="shared" si="4"/>
        <v>4</v>
      </c>
      <c r="N5" s="83">
        <f t="shared" si="4"/>
        <v>7</v>
      </c>
      <c r="O5" s="82">
        <f t="shared" si="4"/>
        <v>10</v>
      </c>
      <c r="P5" s="131">
        <f t="shared" si="4"/>
        <v>5</v>
      </c>
      <c r="Q5" s="182">
        <f>Q4*135</f>
        <v>105300</v>
      </c>
      <c r="R5" s="167" t="s">
        <v>139</v>
      </c>
      <c r="S5" s="144">
        <f>S4-SUM(R10:R46)</f>
        <v>98982</v>
      </c>
      <c r="T5" s="145" t="s">
        <v>96</v>
      </c>
      <c r="U5" s="172" t="s">
        <v>90</v>
      </c>
      <c r="V5" s="181"/>
      <c r="W5" s="127">
        <f>COUNT(W10:W46)</f>
        <v>0</v>
      </c>
      <c r="X5" s="83">
        <f t="shared" ref="X5:AJ5" si="5">COUNT(X10:X46)</f>
        <v>0</v>
      </c>
      <c r="Y5" s="82">
        <f t="shared" si="5"/>
        <v>0</v>
      </c>
      <c r="Z5" s="83">
        <f t="shared" si="5"/>
        <v>0</v>
      </c>
      <c r="AA5" s="82">
        <f t="shared" si="5"/>
        <v>0</v>
      </c>
      <c r="AB5" s="83">
        <f t="shared" si="5"/>
        <v>0</v>
      </c>
      <c r="AC5" s="82">
        <f t="shared" si="5"/>
        <v>0</v>
      </c>
      <c r="AD5" s="83">
        <f t="shared" si="5"/>
        <v>0</v>
      </c>
      <c r="AE5" s="82">
        <f t="shared" si="5"/>
        <v>0</v>
      </c>
      <c r="AF5" s="83">
        <f t="shared" si="5"/>
        <v>0</v>
      </c>
      <c r="AG5" s="82">
        <f t="shared" si="5"/>
        <v>0</v>
      </c>
      <c r="AH5" s="83">
        <f t="shared" si="5"/>
        <v>0</v>
      </c>
      <c r="AI5" s="82">
        <f t="shared" si="5"/>
        <v>0</v>
      </c>
      <c r="AJ5" s="131">
        <f t="shared" si="5"/>
        <v>0</v>
      </c>
      <c r="AK5" s="182">
        <f>AK4*135</f>
        <v>0</v>
      </c>
      <c r="AL5" s="167" t="s">
        <v>139</v>
      </c>
      <c r="AM5" s="144">
        <f>AM4-SUM(AL10:AL46)</f>
        <v>0</v>
      </c>
      <c r="AN5" s="145" t="s">
        <v>96</v>
      </c>
    </row>
    <row r="6" spans="1:40" ht="47.4" customHeight="1" thickBot="1">
      <c r="A6" s="169" t="s">
        <v>94</v>
      </c>
      <c r="B6" s="170"/>
      <c r="C6" s="129">
        <f>COUNTIF(C10:C46,3)</f>
        <v>1</v>
      </c>
      <c r="D6" s="95">
        <f t="shared" ref="D6:P6" si="6">COUNTIF(D10:D46,3)</f>
        <v>0</v>
      </c>
      <c r="E6" s="94">
        <f t="shared" si="6"/>
        <v>0</v>
      </c>
      <c r="F6" s="95">
        <f t="shared" si="6"/>
        <v>0</v>
      </c>
      <c r="G6" s="94">
        <f t="shared" si="6"/>
        <v>0</v>
      </c>
      <c r="H6" s="95">
        <f t="shared" si="6"/>
        <v>0</v>
      </c>
      <c r="I6" s="94">
        <f t="shared" si="6"/>
        <v>0</v>
      </c>
      <c r="J6" s="95">
        <f t="shared" si="6"/>
        <v>0</v>
      </c>
      <c r="K6" s="94">
        <f t="shared" si="6"/>
        <v>1</v>
      </c>
      <c r="L6" s="95">
        <f t="shared" si="6"/>
        <v>0</v>
      </c>
      <c r="M6" s="94">
        <f t="shared" si="6"/>
        <v>0</v>
      </c>
      <c r="N6" s="95">
        <f t="shared" si="6"/>
        <v>0</v>
      </c>
      <c r="O6" s="94">
        <f t="shared" si="6"/>
        <v>0</v>
      </c>
      <c r="P6" s="133">
        <f t="shared" si="6"/>
        <v>0</v>
      </c>
      <c r="Q6" s="183"/>
      <c r="R6" s="168"/>
      <c r="S6" s="140">
        <f>S5/S4</f>
        <v>1</v>
      </c>
      <c r="T6" s="143" t="s">
        <v>97</v>
      </c>
      <c r="U6" s="169" t="s">
        <v>94</v>
      </c>
      <c r="V6" s="170"/>
      <c r="W6" s="129">
        <f>COUNTIF(W10:W46,3)</f>
        <v>0</v>
      </c>
      <c r="X6" s="95">
        <f t="shared" ref="X6:AJ6" si="7">COUNTIF(X10:X46,3)</f>
        <v>0</v>
      </c>
      <c r="Y6" s="94">
        <f t="shared" si="7"/>
        <v>0</v>
      </c>
      <c r="Z6" s="95">
        <f t="shared" si="7"/>
        <v>0</v>
      </c>
      <c r="AA6" s="94">
        <f t="shared" si="7"/>
        <v>0</v>
      </c>
      <c r="AB6" s="95">
        <f t="shared" si="7"/>
        <v>0</v>
      </c>
      <c r="AC6" s="94">
        <f t="shared" si="7"/>
        <v>0</v>
      </c>
      <c r="AD6" s="95">
        <f t="shared" si="7"/>
        <v>0</v>
      </c>
      <c r="AE6" s="94">
        <f t="shared" si="7"/>
        <v>0</v>
      </c>
      <c r="AF6" s="95">
        <f t="shared" si="7"/>
        <v>0</v>
      </c>
      <c r="AG6" s="94">
        <f t="shared" si="7"/>
        <v>0</v>
      </c>
      <c r="AH6" s="95">
        <f t="shared" si="7"/>
        <v>0</v>
      </c>
      <c r="AI6" s="94">
        <f t="shared" si="7"/>
        <v>0</v>
      </c>
      <c r="AJ6" s="133">
        <f t="shared" si="7"/>
        <v>0</v>
      </c>
      <c r="AK6" s="183"/>
      <c r="AL6" s="168"/>
      <c r="AM6" s="140" t="e">
        <f>AM5/AM4</f>
        <v>#DIV/0!</v>
      </c>
      <c r="AN6" s="143" t="s">
        <v>97</v>
      </c>
    </row>
    <row r="7" spans="1:40" ht="50.4" customHeight="1">
      <c r="A7" s="171" t="s">
        <v>44</v>
      </c>
      <c r="B7" s="174" t="s">
        <v>46</v>
      </c>
      <c r="C7" s="177">
        <v>43542</v>
      </c>
      <c r="D7" s="178"/>
      <c r="E7" s="177">
        <f>C7+1</f>
        <v>43543</v>
      </c>
      <c r="F7" s="178"/>
      <c r="G7" s="177">
        <f>E7+1</f>
        <v>43544</v>
      </c>
      <c r="H7" s="178"/>
      <c r="I7" s="177">
        <f>G7+1</f>
        <v>43545</v>
      </c>
      <c r="J7" s="178"/>
      <c r="K7" s="177">
        <f>I7+1</f>
        <v>43546</v>
      </c>
      <c r="L7" s="178"/>
      <c r="M7" s="177">
        <f>K7+1</f>
        <v>43547</v>
      </c>
      <c r="N7" s="178"/>
      <c r="O7" s="177">
        <f>M7+1</f>
        <v>43548</v>
      </c>
      <c r="P7" s="178"/>
      <c r="Q7" s="163" t="s">
        <v>87</v>
      </c>
      <c r="R7" s="163" t="s">
        <v>95</v>
      </c>
      <c r="S7" s="163" t="s">
        <v>45</v>
      </c>
      <c r="T7" s="163" t="s">
        <v>73</v>
      </c>
      <c r="U7" s="171" t="s">
        <v>44</v>
      </c>
      <c r="V7" s="174" t="s">
        <v>46</v>
      </c>
      <c r="W7" s="177">
        <v>43549</v>
      </c>
      <c r="X7" s="178"/>
      <c r="Y7" s="177">
        <f>W7+1</f>
        <v>43550</v>
      </c>
      <c r="Z7" s="178"/>
      <c r="AA7" s="177">
        <f>Y7+1</f>
        <v>43551</v>
      </c>
      <c r="AB7" s="178"/>
      <c r="AC7" s="177">
        <f>AA7+1</f>
        <v>43552</v>
      </c>
      <c r="AD7" s="178"/>
      <c r="AE7" s="177">
        <f>AC7+1</f>
        <v>43553</v>
      </c>
      <c r="AF7" s="178"/>
      <c r="AG7" s="177">
        <f>AE7+1</f>
        <v>43554</v>
      </c>
      <c r="AH7" s="178"/>
      <c r="AI7" s="177">
        <f>AG7+1</f>
        <v>43555</v>
      </c>
      <c r="AJ7" s="178"/>
      <c r="AK7" s="163" t="s">
        <v>87</v>
      </c>
      <c r="AL7" s="163" t="s">
        <v>95</v>
      </c>
      <c r="AM7" s="163" t="s">
        <v>45</v>
      </c>
      <c r="AN7" s="163" t="s">
        <v>73</v>
      </c>
    </row>
    <row r="8" spans="1:40" ht="24.6">
      <c r="A8" s="172"/>
      <c r="B8" s="175"/>
      <c r="C8" s="165" t="s">
        <v>75</v>
      </c>
      <c r="D8" s="166"/>
      <c r="E8" s="165" t="s">
        <v>76</v>
      </c>
      <c r="F8" s="166"/>
      <c r="G8" s="165" t="s">
        <v>77</v>
      </c>
      <c r="H8" s="166"/>
      <c r="I8" s="165" t="s">
        <v>78</v>
      </c>
      <c r="J8" s="166"/>
      <c r="K8" s="165" t="s">
        <v>79</v>
      </c>
      <c r="L8" s="166"/>
      <c r="M8" s="165" t="s">
        <v>80</v>
      </c>
      <c r="N8" s="166"/>
      <c r="O8" s="165" t="s">
        <v>81</v>
      </c>
      <c r="P8" s="166"/>
      <c r="Q8" s="163"/>
      <c r="R8" s="163"/>
      <c r="S8" s="163"/>
      <c r="T8" s="163"/>
      <c r="U8" s="172"/>
      <c r="V8" s="175"/>
      <c r="W8" s="165" t="s">
        <v>75</v>
      </c>
      <c r="X8" s="166"/>
      <c r="Y8" s="165" t="s">
        <v>76</v>
      </c>
      <c r="Z8" s="166"/>
      <c r="AA8" s="165" t="s">
        <v>77</v>
      </c>
      <c r="AB8" s="166"/>
      <c r="AC8" s="165" t="s">
        <v>78</v>
      </c>
      <c r="AD8" s="166"/>
      <c r="AE8" s="165" t="s">
        <v>79</v>
      </c>
      <c r="AF8" s="166"/>
      <c r="AG8" s="165" t="s">
        <v>80</v>
      </c>
      <c r="AH8" s="166"/>
      <c r="AI8" s="165" t="s">
        <v>81</v>
      </c>
      <c r="AJ8" s="166"/>
      <c r="AK8" s="163"/>
      <c r="AL8" s="163"/>
      <c r="AM8" s="163"/>
      <c r="AN8" s="163"/>
    </row>
    <row r="9" spans="1:40" ht="25.2" thickBot="1">
      <c r="A9" s="173"/>
      <c r="B9" s="176"/>
      <c r="C9" s="116" t="s">
        <v>66</v>
      </c>
      <c r="D9" s="117" t="s">
        <v>67</v>
      </c>
      <c r="E9" s="116" t="s">
        <v>66</v>
      </c>
      <c r="F9" s="117" t="s">
        <v>67</v>
      </c>
      <c r="G9" s="116" t="s">
        <v>66</v>
      </c>
      <c r="H9" s="117" t="s">
        <v>67</v>
      </c>
      <c r="I9" s="116" t="s">
        <v>66</v>
      </c>
      <c r="J9" s="117" t="s">
        <v>67</v>
      </c>
      <c r="K9" s="116" t="s">
        <v>66</v>
      </c>
      <c r="L9" s="117" t="s">
        <v>67</v>
      </c>
      <c r="M9" s="116" t="s">
        <v>66</v>
      </c>
      <c r="N9" s="117" t="s">
        <v>67</v>
      </c>
      <c r="O9" s="116" t="s">
        <v>66</v>
      </c>
      <c r="P9" s="117" t="s">
        <v>67</v>
      </c>
      <c r="Q9" s="164"/>
      <c r="R9" s="164"/>
      <c r="S9" s="164"/>
      <c r="T9" s="164"/>
      <c r="U9" s="173"/>
      <c r="V9" s="176"/>
      <c r="W9" s="116" t="s">
        <v>66</v>
      </c>
      <c r="X9" s="117" t="s">
        <v>67</v>
      </c>
      <c r="Y9" s="116" t="s">
        <v>66</v>
      </c>
      <c r="Z9" s="117" t="s">
        <v>67</v>
      </c>
      <c r="AA9" s="116" t="s">
        <v>66</v>
      </c>
      <c r="AB9" s="117" t="s">
        <v>67</v>
      </c>
      <c r="AC9" s="116" t="s">
        <v>66</v>
      </c>
      <c r="AD9" s="117" t="s">
        <v>67</v>
      </c>
      <c r="AE9" s="116" t="s">
        <v>66</v>
      </c>
      <c r="AF9" s="117" t="s">
        <v>67</v>
      </c>
      <c r="AG9" s="116" t="s">
        <v>66</v>
      </c>
      <c r="AH9" s="117" t="s">
        <v>67</v>
      </c>
      <c r="AI9" s="116" t="s">
        <v>66</v>
      </c>
      <c r="AJ9" s="117" t="s">
        <v>67</v>
      </c>
      <c r="AK9" s="164"/>
      <c r="AL9" s="164"/>
      <c r="AM9" s="164"/>
      <c r="AN9" s="164"/>
    </row>
    <row r="10" spans="1:40" ht="47.4" customHeight="1">
      <c r="A10" s="79">
        <v>1</v>
      </c>
      <c r="B10" s="149" t="s">
        <v>156</v>
      </c>
      <c r="C10" s="80">
        <v>1</v>
      </c>
      <c r="D10" s="81"/>
      <c r="E10" s="80"/>
      <c r="F10" s="81"/>
      <c r="G10" s="80"/>
      <c r="H10" s="81"/>
      <c r="I10" s="80">
        <v>1</v>
      </c>
      <c r="J10" s="81"/>
      <c r="K10" s="80">
        <v>1</v>
      </c>
      <c r="L10" s="81"/>
      <c r="M10" s="80"/>
      <c r="N10" s="81"/>
      <c r="O10" s="80"/>
      <c r="P10" s="81"/>
      <c r="Q10" s="85">
        <f>COUNTIF(C10:P10,"1")</f>
        <v>3</v>
      </c>
      <c r="R10" s="97">
        <f>ROUNDUP(SUMIFS(Учёт!$K:$K,Учёт!$H:$H,Табель!B10,Учёт!$E:$E,C$7)+SUMIFS(Учёт!$K:$K,Учёт!$H:$H,Табель!B10,Учёт!$F:$F,C$7)+SUMIFS(Учёт!$K:$K,Учёт!$H:$H,Табель!B10,Учёт!$E:$E,E$7)+SUMIFS(Учёт!$K:$K,Учёт!$H:$H,Табель!B10,Учёт!$F:$F,E$7)+SUMIFS(Учёт!$K:$K,Учёт!$H:$H,Табель!B10,Учёт!$E:$E,G$7)+SUMIFS(Учёт!$K:$K,Учёт!$H:$H,Табель!B10,Учёт!$F:$F,G$7)+SUMIFS(Учёт!$K:$K,Учёт!$H:$H,Табель!B10,Учёт!$E:$E,I$7)+SUMIFS(Учёт!$K:$K,Учёт!$H:$H,Табель!B10,Учёт!$F:$F,I$7)+SUMIFS(Учёт!$K:$K,Учёт!$H:$H,Табель!B10,Учёт!$E:$E,K$7)+SUMIFS(Учёт!$K:$K,Учёт!$H:$H,Табель!B10,Учёт!$F:$F,K$7)+SUMIFS(Учёт!$K:$K,Учёт!$H:$H,Табель!B10,Учёт!$E:$E,M$7)+SUMIFS(Учёт!$K:$K,Учёт!$H:$H,Табель!B10,Учёт!$F:$F,M$7)+SUMIFS(Учёт!$K:$K,Учёт!$H:$H,Табель!B10,Учёт!$E:$E,O$7)+SUMIFS(Учёт!$K:$K,Учёт!$H:$H,Табель!B10,Учёт!$F:$F,O$7),0)</f>
        <v>0</v>
      </c>
      <c r="S10" s="85"/>
      <c r="T10" s="85"/>
      <c r="U10" s="79">
        <v>1</v>
      </c>
      <c r="V10" s="149"/>
      <c r="W10" s="80"/>
      <c r="X10" s="81"/>
      <c r="Y10" s="80"/>
      <c r="Z10" s="81"/>
      <c r="AA10" s="80"/>
      <c r="AB10" s="81"/>
      <c r="AC10" s="80"/>
      <c r="AD10" s="81"/>
      <c r="AE10" s="80"/>
      <c r="AF10" s="81"/>
      <c r="AG10" s="80"/>
      <c r="AH10" s="81"/>
      <c r="AI10" s="80"/>
      <c r="AJ10" s="81"/>
      <c r="AK10" s="85">
        <f>COUNTIF(W10:AJ10,"1")</f>
        <v>0</v>
      </c>
      <c r="AL10" s="97">
        <f>ROUNDUP(SUMIFS(Учёт!$K:$K,Учёт!$H:$H,Табель!V10,Учёт!$E:$E,W$7)+SUMIFS(Учёт!$K:$K,Учёт!$H:$H,Табель!V10,Учёт!$F:$F,W$7)+SUMIFS(Учёт!$K:$K,Учёт!$H:$H,Табель!V10,Учёт!$E:$E,Y$7)+SUMIFS(Учёт!$K:$K,Учёт!$H:$H,Табель!V10,Учёт!$F:$F,Y$7)+SUMIFS(Учёт!$K:$K,Учёт!$H:$H,Табель!V10,Учёт!$E:$E,AA$7)+SUMIFS(Учёт!$K:$K,Учёт!$H:$H,Табель!V10,Учёт!$F:$F,AA$7)+SUMIFS(Учёт!$K:$K,Учёт!$H:$H,Табель!V10,Учёт!$E:$E,AC$7)+SUMIFS(Учёт!$K:$K,Учёт!$H:$H,Табель!V10,Учёт!$F:$F,AC$7)+SUMIFS(Учёт!$K:$K,Учёт!$H:$H,Табель!V10,Учёт!$E:$E,AE$7)+SUMIFS(Учёт!$K:$K,Учёт!$H:$H,Табель!V10,Учёт!$F:$F,AE$7)+SUMIFS(Учёт!$K:$K,Учёт!$H:$H,Табель!V10,Учёт!$E:$E,AG$7)+SUMIFS(Учёт!$K:$K,Учёт!$H:$H,Табель!V10,Учёт!$F:$F,AG$7)+SUMIFS(Учёт!$K:$K,Учёт!$H:$H,Табель!V10,Учёт!$E:$E,AI$7)+SUMIFS(Учёт!$K:$K,Учёт!$H:$H,Табель!V10,Учёт!$F:$F,AI$7),0)</f>
        <v>0</v>
      </c>
      <c r="AM10" s="85"/>
      <c r="AN10" s="85"/>
    </row>
    <row r="11" spans="1:40" ht="47.4" customHeight="1">
      <c r="A11" s="77">
        <v>2</v>
      </c>
      <c r="B11" s="149" t="s">
        <v>113</v>
      </c>
      <c r="C11" s="82">
        <v>1</v>
      </c>
      <c r="D11" s="83"/>
      <c r="E11" s="82"/>
      <c r="F11" s="83"/>
      <c r="G11" s="82"/>
      <c r="H11" s="83">
        <v>1</v>
      </c>
      <c r="I11" s="82"/>
      <c r="J11" s="83">
        <v>1</v>
      </c>
      <c r="K11" s="82"/>
      <c r="L11" s="83">
        <v>2</v>
      </c>
      <c r="M11" s="82"/>
      <c r="N11" s="83"/>
      <c r="O11" s="82">
        <v>1</v>
      </c>
      <c r="P11" s="83"/>
      <c r="Q11" s="86">
        <f t="shared" ref="Q11:Q46" si="8">COUNTIF(C11:P11,"1")</f>
        <v>4</v>
      </c>
      <c r="R11" s="98">
        <f>ROUNDUP(SUMIFS(Учёт!$K:$K,Учёт!$H:$H,Табель!B11,Учёт!$E:$E,C$7)+SUMIFS(Учёт!$K:$K,Учёт!$H:$H,Табель!B11,Учёт!$F:$F,C$7)+SUMIFS(Учёт!$K:$K,Учёт!$H:$H,Табель!B11,Учёт!$E:$E,E$7)+SUMIFS(Учёт!$K:$K,Учёт!$H:$H,Табель!B11,Учёт!$F:$F,E$7)+SUMIFS(Учёт!$K:$K,Учёт!$H:$H,Табель!B11,Учёт!$E:$E,G$7)+SUMIFS(Учёт!$K:$K,Учёт!$H:$H,Табель!B11,Учёт!$F:$F,G$7)+SUMIFS(Учёт!$K:$K,Учёт!$H:$H,Табель!B11,Учёт!$E:$E,I$7)+SUMIFS(Учёт!$K:$K,Учёт!$H:$H,Табель!B11,Учёт!$F:$F,I$7)+SUMIFS(Учёт!$K:$K,Учёт!$H:$H,Табель!B11,Учёт!$E:$E,K$7)+SUMIFS(Учёт!$K:$K,Учёт!$H:$H,Табель!B11,Учёт!$F:$F,K$7)+SUMIFS(Учёт!$K:$K,Учёт!$H:$H,Табель!B11,Учёт!$E:$E,M$7)+SUMIFS(Учёт!$K:$K,Учёт!$H:$H,Табель!B11,Учёт!$F:$F,M$7)+SUMIFS(Учёт!$K:$K,Учёт!$H:$H,Табель!B11,Учёт!$E:$E,O$7)+SUMIFS(Учёт!$K:$K,Учёт!$H:$H,Табель!B11,Учёт!$F:$F,O$7),0)</f>
        <v>0</v>
      </c>
      <c r="S11" s="86"/>
      <c r="T11" s="86"/>
      <c r="U11" s="77">
        <v>2</v>
      </c>
      <c r="V11" s="149"/>
      <c r="W11" s="82"/>
      <c r="X11" s="83"/>
      <c r="Y11" s="82"/>
      <c r="Z11" s="83"/>
      <c r="AA11" s="82"/>
      <c r="AB11" s="83"/>
      <c r="AC11" s="82"/>
      <c r="AD11" s="83"/>
      <c r="AE11" s="82"/>
      <c r="AF11" s="83"/>
      <c r="AG11" s="82"/>
      <c r="AH11" s="83"/>
      <c r="AI11" s="82"/>
      <c r="AJ11" s="83"/>
      <c r="AK11" s="86">
        <f t="shared" ref="AK11:AK46" si="9">COUNTIF(W11:AJ11,"1")</f>
        <v>0</v>
      </c>
      <c r="AL11" s="98">
        <f>ROUNDUP(SUMIFS(Учёт!$K:$K,Учёт!$H:$H,Табель!V11,Учёт!$E:$E,W$7)+SUMIFS(Учёт!$K:$K,Учёт!$H:$H,Табель!V11,Учёт!$F:$F,W$7)+SUMIFS(Учёт!$K:$K,Учёт!$H:$H,Табель!V11,Учёт!$E:$E,Y$7)+SUMIFS(Учёт!$K:$K,Учёт!$H:$H,Табель!V11,Учёт!$F:$F,Y$7)+SUMIFS(Учёт!$K:$K,Учёт!$H:$H,Табель!V11,Учёт!$E:$E,AA$7)+SUMIFS(Учёт!$K:$K,Учёт!$H:$H,Табель!V11,Учёт!$F:$F,AA$7)+SUMIFS(Учёт!$K:$K,Учёт!$H:$H,Табель!V11,Учёт!$E:$E,AC$7)+SUMIFS(Учёт!$K:$K,Учёт!$H:$H,Табель!V11,Учёт!$F:$F,AC$7)+SUMIFS(Учёт!$K:$K,Учёт!$H:$H,Табель!V11,Учёт!$E:$E,AE$7)+SUMIFS(Учёт!$K:$K,Учёт!$H:$H,Табель!V11,Учёт!$F:$F,AE$7)+SUMIFS(Учёт!$K:$K,Учёт!$H:$H,Табель!V11,Учёт!$E:$E,AG$7)+SUMIFS(Учёт!$K:$K,Учёт!$H:$H,Табель!V11,Учёт!$F:$F,AG$7)+SUMIFS(Учёт!$K:$K,Учёт!$H:$H,Табель!V11,Учёт!$E:$E,AI$7)+SUMIFS(Учёт!$K:$K,Учёт!$H:$H,Табель!V11,Учёт!$F:$F,AI$7),0)</f>
        <v>0</v>
      </c>
      <c r="AM11" s="86"/>
      <c r="AN11" s="86"/>
    </row>
    <row r="12" spans="1:40" ht="47.4" customHeight="1">
      <c r="A12" s="77">
        <v>3</v>
      </c>
      <c r="B12" s="149" t="s">
        <v>112</v>
      </c>
      <c r="C12" s="82"/>
      <c r="D12" s="83"/>
      <c r="E12" s="82"/>
      <c r="F12" s="83">
        <v>1</v>
      </c>
      <c r="G12" s="82"/>
      <c r="H12" s="83"/>
      <c r="I12" s="82"/>
      <c r="J12" s="83">
        <v>1</v>
      </c>
      <c r="K12" s="82"/>
      <c r="L12" s="83">
        <v>1</v>
      </c>
      <c r="M12" s="82"/>
      <c r="N12" s="83"/>
      <c r="O12" s="82">
        <v>1</v>
      </c>
      <c r="P12" s="83"/>
      <c r="Q12" s="86">
        <f t="shared" si="8"/>
        <v>4</v>
      </c>
      <c r="R12" s="98">
        <f>ROUNDUP(SUMIFS(Учёт!$K:$K,Учёт!$H:$H,Табель!B12,Учёт!$E:$E,C$7)+SUMIFS(Учёт!$K:$K,Учёт!$H:$H,Табель!B12,Учёт!$F:$F,C$7)+SUMIFS(Учёт!$K:$K,Учёт!$H:$H,Табель!B12,Учёт!$E:$E,E$7)+SUMIFS(Учёт!$K:$K,Учёт!$H:$H,Табель!B12,Учёт!$F:$F,E$7)+SUMIFS(Учёт!$K:$K,Учёт!$H:$H,Табель!B12,Учёт!$E:$E,G$7)+SUMIFS(Учёт!$K:$K,Учёт!$H:$H,Табель!B12,Учёт!$F:$F,G$7)+SUMIFS(Учёт!$K:$K,Учёт!$H:$H,Табель!B12,Учёт!$E:$E,I$7)+SUMIFS(Учёт!$K:$K,Учёт!$H:$H,Табель!B12,Учёт!$F:$F,I$7)+SUMIFS(Учёт!$K:$K,Учёт!$H:$H,Табель!B12,Учёт!$E:$E,K$7)+SUMIFS(Учёт!$K:$K,Учёт!$H:$H,Табель!B12,Учёт!$F:$F,K$7)+SUMIFS(Учёт!$K:$K,Учёт!$H:$H,Табель!B12,Учёт!$E:$E,M$7)+SUMIFS(Учёт!$K:$K,Учёт!$H:$H,Табель!B12,Учёт!$F:$F,M$7)+SUMIFS(Учёт!$K:$K,Учёт!$H:$H,Табель!B12,Учёт!$E:$E,O$7)+SUMIFS(Учёт!$K:$K,Учёт!$H:$H,Табель!B12,Учёт!$F:$F,O$7),0)</f>
        <v>0</v>
      </c>
      <c r="S12" s="86"/>
      <c r="T12" s="86"/>
      <c r="U12" s="77">
        <v>3</v>
      </c>
      <c r="V12" s="149"/>
      <c r="W12" s="82"/>
      <c r="X12" s="83"/>
      <c r="Y12" s="82"/>
      <c r="Z12" s="83"/>
      <c r="AA12" s="82"/>
      <c r="AB12" s="83"/>
      <c r="AC12" s="82"/>
      <c r="AD12" s="83"/>
      <c r="AE12" s="82"/>
      <c r="AF12" s="83"/>
      <c r="AG12" s="82"/>
      <c r="AH12" s="83"/>
      <c r="AI12" s="82"/>
      <c r="AJ12" s="83"/>
      <c r="AK12" s="86">
        <f t="shared" si="9"/>
        <v>0</v>
      </c>
      <c r="AL12" s="98">
        <f>ROUNDUP(SUMIFS(Учёт!$K:$K,Учёт!$H:$H,Табель!V12,Учёт!$E:$E,W$7)+SUMIFS(Учёт!$K:$K,Учёт!$H:$H,Табель!V12,Учёт!$F:$F,W$7)+SUMIFS(Учёт!$K:$K,Учёт!$H:$H,Табель!V12,Учёт!$E:$E,Y$7)+SUMIFS(Учёт!$K:$K,Учёт!$H:$H,Табель!V12,Учёт!$F:$F,Y$7)+SUMIFS(Учёт!$K:$K,Учёт!$H:$H,Табель!V12,Учёт!$E:$E,AA$7)+SUMIFS(Учёт!$K:$K,Учёт!$H:$H,Табель!V12,Учёт!$F:$F,AA$7)+SUMIFS(Учёт!$K:$K,Учёт!$H:$H,Табель!V12,Учёт!$E:$E,AC$7)+SUMIFS(Учёт!$K:$K,Учёт!$H:$H,Табель!V12,Учёт!$F:$F,AC$7)+SUMIFS(Учёт!$K:$K,Учёт!$H:$H,Табель!V12,Учёт!$E:$E,AE$7)+SUMIFS(Учёт!$K:$K,Учёт!$H:$H,Табель!V12,Учёт!$F:$F,AE$7)+SUMIFS(Учёт!$K:$K,Учёт!$H:$H,Табель!V12,Учёт!$E:$E,AG$7)+SUMIFS(Учёт!$K:$K,Учёт!$H:$H,Табель!V12,Учёт!$F:$F,AG$7)+SUMIFS(Учёт!$K:$K,Учёт!$H:$H,Табель!V12,Учёт!$E:$E,AI$7)+SUMIFS(Учёт!$K:$K,Учёт!$H:$H,Табель!V12,Учёт!$F:$F,AI$7),0)</f>
        <v>0</v>
      </c>
      <c r="AM12" s="86"/>
      <c r="AN12" s="86"/>
    </row>
    <row r="13" spans="1:40" ht="47.4" customHeight="1">
      <c r="A13" s="77">
        <v>4</v>
      </c>
      <c r="B13" s="149" t="s">
        <v>111</v>
      </c>
      <c r="C13" s="82"/>
      <c r="D13" s="83"/>
      <c r="E13" s="82"/>
      <c r="F13" s="83">
        <v>1</v>
      </c>
      <c r="G13" s="82"/>
      <c r="H13" s="83"/>
      <c r="I13" s="82"/>
      <c r="J13" s="83">
        <v>1</v>
      </c>
      <c r="K13" s="82"/>
      <c r="L13" s="83">
        <v>1</v>
      </c>
      <c r="M13" s="82"/>
      <c r="N13" s="83"/>
      <c r="O13" s="82">
        <v>1</v>
      </c>
      <c r="P13" s="83"/>
      <c r="Q13" s="86">
        <f t="shared" si="8"/>
        <v>4</v>
      </c>
      <c r="R13" s="98">
        <f>ROUNDUP(SUMIFS(Учёт!$K:$K,Учёт!$H:$H,Табель!B13,Учёт!$E:$E,C$7)+SUMIFS(Учёт!$K:$K,Учёт!$H:$H,Табель!B13,Учёт!$F:$F,C$7)+SUMIFS(Учёт!$K:$K,Учёт!$H:$H,Табель!B13,Учёт!$E:$E,E$7)+SUMIFS(Учёт!$K:$K,Учёт!$H:$H,Табель!B13,Учёт!$F:$F,E$7)+SUMIFS(Учёт!$K:$K,Учёт!$H:$H,Табель!B13,Учёт!$E:$E,G$7)+SUMIFS(Учёт!$K:$K,Учёт!$H:$H,Табель!B13,Учёт!$F:$F,G$7)+SUMIFS(Учёт!$K:$K,Учёт!$H:$H,Табель!B13,Учёт!$E:$E,I$7)+SUMIFS(Учёт!$K:$K,Учёт!$H:$H,Табель!B13,Учёт!$F:$F,I$7)+SUMIFS(Учёт!$K:$K,Учёт!$H:$H,Табель!B13,Учёт!$E:$E,K$7)+SUMIFS(Учёт!$K:$K,Учёт!$H:$H,Табель!B13,Учёт!$F:$F,K$7)+SUMIFS(Учёт!$K:$K,Учёт!$H:$H,Табель!B13,Учёт!$E:$E,M$7)+SUMIFS(Учёт!$K:$K,Учёт!$H:$H,Табель!B13,Учёт!$F:$F,M$7)+SUMIFS(Учёт!$K:$K,Учёт!$H:$H,Табель!B13,Учёт!$E:$E,O$7)+SUMIFS(Учёт!$K:$K,Учёт!$H:$H,Табель!B13,Учёт!$F:$F,O$7),0)</f>
        <v>0</v>
      </c>
      <c r="S13" s="86"/>
      <c r="T13" s="86"/>
      <c r="U13" s="77">
        <v>4</v>
      </c>
      <c r="V13" s="149"/>
      <c r="W13" s="82"/>
      <c r="X13" s="83"/>
      <c r="Y13" s="82"/>
      <c r="Z13" s="83"/>
      <c r="AA13" s="82"/>
      <c r="AB13" s="83"/>
      <c r="AC13" s="82"/>
      <c r="AD13" s="83"/>
      <c r="AE13" s="82"/>
      <c r="AF13" s="83"/>
      <c r="AG13" s="82"/>
      <c r="AH13" s="83"/>
      <c r="AI13" s="82"/>
      <c r="AJ13" s="83"/>
      <c r="AK13" s="86">
        <f t="shared" si="9"/>
        <v>0</v>
      </c>
      <c r="AL13" s="98">
        <f>ROUNDUP(SUMIFS(Учёт!$K:$K,Учёт!$H:$H,Табель!V13,Учёт!$E:$E,W$7)+SUMIFS(Учёт!$K:$K,Учёт!$H:$H,Табель!V13,Учёт!$F:$F,W$7)+SUMIFS(Учёт!$K:$K,Учёт!$H:$H,Табель!V13,Учёт!$E:$E,Y$7)+SUMIFS(Учёт!$K:$K,Учёт!$H:$H,Табель!V13,Учёт!$F:$F,Y$7)+SUMIFS(Учёт!$K:$K,Учёт!$H:$H,Табель!V13,Учёт!$E:$E,AA$7)+SUMIFS(Учёт!$K:$K,Учёт!$H:$H,Табель!V13,Учёт!$F:$F,AA$7)+SUMIFS(Учёт!$K:$K,Учёт!$H:$H,Табель!V13,Учёт!$E:$E,AC$7)+SUMIFS(Учёт!$K:$K,Учёт!$H:$H,Табель!V13,Учёт!$F:$F,AC$7)+SUMIFS(Учёт!$K:$K,Учёт!$H:$H,Табель!V13,Учёт!$E:$E,AE$7)+SUMIFS(Учёт!$K:$K,Учёт!$H:$H,Табель!V13,Учёт!$F:$F,AE$7)+SUMIFS(Учёт!$K:$K,Учёт!$H:$H,Табель!V13,Учёт!$E:$E,AG$7)+SUMIFS(Учёт!$K:$K,Учёт!$H:$H,Табель!V13,Учёт!$F:$F,AG$7)+SUMIFS(Учёт!$K:$K,Учёт!$H:$H,Табель!V13,Учёт!$E:$E,AI$7)+SUMIFS(Учёт!$K:$K,Учёт!$H:$H,Табель!V13,Учёт!$F:$F,AI$7),0)</f>
        <v>0</v>
      </c>
      <c r="AM13" s="86"/>
      <c r="AN13" s="86"/>
    </row>
    <row r="14" spans="1:40" ht="47.4" customHeight="1">
      <c r="A14" s="77">
        <v>5</v>
      </c>
      <c r="B14" s="149" t="s">
        <v>109</v>
      </c>
      <c r="C14" s="82"/>
      <c r="D14" s="83"/>
      <c r="E14" s="82">
        <v>1</v>
      </c>
      <c r="F14" s="83"/>
      <c r="G14" s="82"/>
      <c r="H14" s="83"/>
      <c r="I14" s="82">
        <v>1</v>
      </c>
      <c r="J14" s="83"/>
      <c r="K14" s="82">
        <v>1</v>
      </c>
      <c r="L14" s="83"/>
      <c r="M14" s="82"/>
      <c r="N14" s="83"/>
      <c r="O14" s="82"/>
      <c r="P14" s="83"/>
      <c r="Q14" s="86">
        <f t="shared" si="8"/>
        <v>3</v>
      </c>
      <c r="R14" s="98">
        <f>ROUNDUP(SUMIFS(Учёт!$K:$K,Учёт!$H:$H,Табель!B14,Учёт!$E:$E,C$7)+SUMIFS(Учёт!$K:$K,Учёт!$H:$H,Табель!B14,Учёт!$F:$F,C$7)+SUMIFS(Учёт!$K:$K,Учёт!$H:$H,Табель!B14,Учёт!$E:$E,E$7)+SUMIFS(Учёт!$K:$K,Учёт!$H:$H,Табель!B14,Учёт!$F:$F,E$7)+SUMIFS(Учёт!$K:$K,Учёт!$H:$H,Табель!B14,Учёт!$E:$E,G$7)+SUMIFS(Учёт!$K:$K,Учёт!$H:$H,Табель!B14,Учёт!$F:$F,G$7)+SUMIFS(Учёт!$K:$K,Учёт!$H:$H,Табель!B14,Учёт!$E:$E,I$7)+SUMIFS(Учёт!$K:$K,Учёт!$H:$H,Табель!B14,Учёт!$F:$F,I$7)+SUMIFS(Учёт!$K:$K,Учёт!$H:$H,Табель!B14,Учёт!$E:$E,K$7)+SUMIFS(Учёт!$K:$K,Учёт!$H:$H,Табель!B14,Учёт!$F:$F,K$7)+SUMIFS(Учёт!$K:$K,Учёт!$H:$H,Табель!B14,Учёт!$E:$E,M$7)+SUMIFS(Учёт!$K:$K,Учёт!$H:$H,Табель!B14,Учёт!$F:$F,M$7)+SUMIFS(Учёт!$K:$K,Учёт!$H:$H,Табель!B14,Учёт!$E:$E,O$7)+SUMIFS(Учёт!$K:$K,Учёт!$H:$H,Табель!B14,Учёт!$F:$F,O$7),0)</f>
        <v>0</v>
      </c>
      <c r="S14" s="86"/>
      <c r="T14" s="86"/>
      <c r="U14" s="77">
        <v>5</v>
      </c>
      <c r="V14" s="149"/>
      <c r="W14" s="82"/>
      <c r="X14" s="83"/>
      <c r="Y14" s="82"/>
      <c r="Z14" s="83"/>
      <c r="AA14" s="82"/>
      <c r="AB14" s="83"/>
      <c r="AC14" s="82"/>
      <c r="AD14" s="83"/>
      <c r="AE14" s="82"/>
      <c r="AF14" s="83"/>
      <c r="AG14" s="82"/>
      <c r="AH14" s="83"/>
      <c r="AI14" s="82"/>
      <c r="AJ14" s="83"/>
      <c r="AK14" s="86">
        <f t="shared" si="9"/>
        <v>0</v>
      </c>
      <c r="AL14" s="98">
        <f>ROUNDUP(SUMIFS(Учёт!$K:$K,Учёт!$H:$H,Табель!V14,Учёт!$E:$E,W$7)+SUMIFS(Учёт!$K:$K,Учёт!$H:$H,Табель!V14,Учёт!$F:$F,W$7)+SUMIFS(Учёт!$K:$K,Учёт!$H:$H,Табель!V14,Учёт!$E:$E,Y$7)+SUMIFS(Учёт!$K:$K,Учёт!$H:$H,Табель!V14,Учёт!$F:$F,Y$7)+SUMIFS(Учёт!$K:$K,Учёт!$H:$H,Табель!V14,Учёт!$E:$E,AA$7)+SUMIFS(Учёт!$K:$K,Учёт!$H:$H,Табель!V14,Учёт!$F:$F,AA$7)+SUMIFS(Учёт!$K:$K,Учёт!$H:$H,Табель!V14,Учёт!$E:$E,AC$7)+SUMIFS(Учёт!$K:$K,Учёт!$H:$H,Табель!V14,Учёт!$F:$F,AC$7)+SUMIFS(Учёт!$K:$K,Учёт!$H:$H,Табель!V14,Учёт!$E:$E,AE$7)+SUMIFS(Учёт!$K:$K,Учёт!$H:$H,Табель!V14,Учёт!$F:$F,AE$7)+SUMIFS(Учёт!$K:$K,Учёт!$H:$H,Табель!V14,Учёт!$E:$E,AG$7)+SUMIFS(Учёт!$K:$K,Учёт!$H:$H,Табель!V14,Учёт!$F:$F,AG$7)+SUMIFS(Учёт!$K:$K,Учёт!$H:$H,Табель!V14,Учёт!$E:$E,AI$7)+SUMIFS(Учёт!$K:$K,Учёт!$H:$H,Табель!V14,Учёт!$F:$F,AI$7),0)</f>
        <v>0</v>
      </c>
      <c r="AM14" s="86"/>
      <c r="AN14" s="86"/>
    </row>
    <row r="15" spans="1:40" ht="47.4" customHeight="1">
      <c r="A15" s="77">
        <v>6</v>
      </c>
      <c r="B15" s="149" t="s">
        <v>118</v>
      </c>
      <c r="C15" s="82"/>
      <c r="D15" s="83"/>
      <c r="E15" s="82"/>
      <c r="F15" s="83">
        <v>1</v>
      </c>
      <c r="G15" s="82"/>
      <c r="H15" s="83"/>
      <c r="I15" s="82"/>
      <c r="J15" s="83">
        <v>1</v>
      </c>
      <c r="K15" s="82"/>
      <c r="L15" s="83">
        <v>1</v>
      </c>
      <c r="M15" s="82"/>
      <c r="N15" s="83"/>
      <c r="O15" s="82"/>
      <c r="P15" s="83"/>
      <c r="Q15" s="86">
        <f t="shared" si="8"/>
        <v>3</v>
      </c>
      <c r="R15" s="98">
        <f>ROUNDUP(SUMIFS(Учёт!$K:$K,Учёт!$H:$H,Табель!B15,Учёт!$E:$E,C$7)+SUMIFS(Учёт!$K:$K,Учёт!$H:$H,Табель!B15,Учёт!$F:$F,C$7)+SUMIFS(Учёт!$K:$K,Учёт!$H:$H,Табель!B15,Учёт!$E:$E,E$7)+SUMIFS(Учёт!$K:$K,Учёт!$H:$H,Табель!B15,Учёт!$F:$F,E$7)+SUMIFS(Учёт!$K:$K,Учёт!$H:$H,Табель!B15,Учёт!$E:$E,G$7)+SUMIFS(Учёт!$K:$K,Учёт!$H:$H,Табель!B15,Учёт!$F:$F,G$7)+SUMIFS(Учёт!$K:$K,Учёт!$H:$H,Табель!B15,Учёт!$E:$E,I$7)+SUMIFS(Учёт!$K:$K,Учёт!$H:$H,Табель!B15,Учёт!$F:$F,I$7)+SUMIFS(Учёт!$K:$K,Учёт!$H:$H,Табель!B15,Учёт!$E:$E,K$7)+SUMIFS(Учёт!$K:$K,Учёт!$H:$H,Табель!B15,Учёт!$F:$F,K$7)+SUMIFS(Учёт!$K:$K,Учёт!$H:$H,Табель!B15,Учёт!$E:$E,M$7)+SUMIFS(Учёт!$K:$K,Учёт!$H:$H,Табель!B15,Учёт!$F:$F,M$7)+SUMIFS(Учёт!$K:$K,Учёт!$H:$H,Табель!B15,Учёт!$E:$E,O$7)+SUMIFS(Учёт!$K:$K,Учёт!$H:$H,Табель!B15,Учёт!$F:$F,O$7),0)</f>
        <v>0</v>
      </c>
      <c r="S15" s="86"/>
      <c r="T15" s="86"/>
      <c r="U15" s="77">
        <v>6</v>
      </c>
      <c r="V15" s="149"/>
      <c r="W15" s="82"/>
      <c r="X15" s="83"/>
      <c r="Y15" s="82"/>
      <c r="Z15" s="83"/>
      <c r="AA15" s="82"/>
      <c r="AB15" s="83"/>
      <c r="AC15" s="82"/>
      <c r="AD15" s="83"/>
      <c r="AE15" s="82"/>
      <c r="AF15" s="83"/>
      <c r="AG15" s="82"/>
      <c r="AH15" s="83"/>
      <c r="AI15" s="82"/>
      <c r="AJ15" s="83"/>
      <c r="AK15" s="86">
        <f t="shared" si="9"/>
        <v>0</v>
      </c>
      <c r="AL15" s="98">
        <f>ROUNDUP(SUMIFS(Учёт!$K:$K,Учёт!$H:$H,Табель!V15,Учёт!$E:$E,W$7)+SUMIFS(Учёт!$K:$K,Учёт!$H:$H,Табель!V15,Учёт!$F:$F,W$7)+SUMIFS(Учёт!$K:$K,Учёт!$H:$H,Табель!V15,Учёт!$E:$E,Y$7)+SUMIFS(Учёт!$K:$K,Учёт!$H:$H,Табель!V15,Учёт!$F:$F,Y$7)+SUMIFS(Учёт!$K:$K,Учёт!$H:$H,Табель!V15,Учёт!$E:$E,AA$7)+SUMIFS(Учёт!$K:$K,Учёт!$H:$H,Табель!V15,Учёт!$F:$F,AA$7)+SUMIFS(Учёт!$K:$K,Учёт!$H:$H,Табель!V15,Учёт!$E:$E,AC$7)+SUMIFS(Учёт!$K:$K,Учёт!$H:$H,Табель!V15,Учёт!$F:$F,AC$7)+SUMIFS(Учёт!$K:$K,Учёт!$H:$H,Табель!V15,Учёт!$E:$E,AE$7)+SUMIFS(Учёт!$K:$K,Учёт!$H:$H,Табель!V15,Учёт!$F:$F,AE$7)+SUMIFS(Учёт!$K:$K,Учёт!$H:$H,Табель!V15,Учёт!$E:$E,AG$7)+SUMIFS(Учёт!$K:$K,Учёт!$H:$H,Табель!V15,Учёт!$F:$F,AG$7)+SUMIFS(Учёт!$K:$K,Учёт!$H:$H,Табель!V15,Учёт!$E:$E,AI$7)+SUMIFS(Учёт!$K:$K,Учёт!$H:$H,Табель!V15,Учёт!$F:$F,AI$7),0)</f>
        <v>0</v>
      </c>
      <c r="AM15" s="86"/>
      <c r="AN15" s="86"/>
    </row>
    <row r="16" spans="1:40" ht="47.4" customHeight="1">
      <c r="A16" s="77">
        <v>7</v>
      </c>
      <c r="B16" s="149" t="s">
        <v>104</v>
      </c>
      <c r="C16" s="82">
        <v>1</v>
      </c>
      <c r="D16" s="83"/>
      <c r="E16" s="82">
        <v>1</v>
      </c>
      <c r="F16" s="83"/>
      <c r="G16" s="82"/>
      <c r="H16" s="83"/>
      <c r="I16" s="82">
        <v>1</v>
      </c>
      <c r="J16" s="83"/>
      <c r="K16" s="82">
        <v>1</v>
      </c>
      <c r="L16" s="83"/>
      <c r="M16" s="82"/>
      <c r="N16" s="83"/>
      <c r="O16" s="82"/>
      <c r="P16" s="83"/>
      <c r="Q16" s="86">
        <f t="shared" si="8"/>
        <v>4</v>
      </c>
      <c r="R16" s="98">
        <f>ROUNDUP(SUMIFS(Учёт!$K:$K,Учёт!$H:$H,Табель!B16,Учёт!$E:$E,C$7)+SUMIFS(Учёт!$K:$K,Учёт!$H:$H,Табель!B16,Учёт!$F:$F,C$7)+SUMIFS(Учёт!$K:$K,Учёт!$H:$H,Табель!B16,Учёт!$E:$E,E$7)+SUMIFS(Учёт!$K:$K,Учёт!$H:$H,Табель!B16,Учёт!$F:$F,E$7)+SUMIFS(Учёт!$K:$K,Учёт!$H:$H,Табель!B16,Учёт!$E:$E,G$7)+SUMIFS(Учёт!$K:$K,Учёт!$H:$H,Табель!B16,Учёт!$F:$F,G$7)+SUMIFS(Учёт!$K:$K,Учёт!$H:$H,Табель!B16,Учёт!$E:$E,I$7)+SUMIFS(Учёт!$K:$K,Учёт!$H:$H,Табель!B16,Учёт!$F:$F,I$7)+SUMIFS(Учёт!$K:$K,Учёт!$H:$H,Табель!B16,Учёт!$E:$E,K$7)+SUMIFS(Учёт!$K:$K,Учёт!$H:$H,Табель!B16,Учёт!$F:$F,K$7)+SUMIFS(Учёт!$K:$K,Учёт!$H:$H,Табель!B16,Учёт!$E:$E,M$7)+SUMIFS(Учёт!$K:$K,Учёт!$H:$H,Табель!B16,Учёт!$F:$F,M$7)+SUMIFS(Учёт!$K:$K,Учёт!$H:$H,Табель!B16,Учёт!$E:$E,O$7)+SUMIFS(Учёт!$K:$K,Учёт!$H:$H,Табель!B16,Учёт!$F:$F,O$7),0)</f>
        <v>0</v>
      </c>
      <c r="S16" s="86"/>
      <c r="T16" s="86"/>
      <c r="U16" s="77">
        <v>7</v>
      </c>
      <c r="V16" s="149"/>
      <c r="W16" s="82"/>
      <c r="X16" s="83"/>
      <c r="Y16" s="82"/>
      <c r="Z16" s="83"/>
      <c r="AA16" s="82"/>
      <c r="AB16" s="83"/>
      <c r="AC16" s="82"/>
      <c r="AD16" s="83"/>
      <c r="AE16" s="82"/>
      <c r="AF16" s="83"/>
      <c r="AG16" s="82"/>
      <c r="AH16" s="83"/>
      <c r="AI16" s="82"/>
      <c r="AJ16" s="83"/>
      <c r="AK16" s="86">
        <f t="shared" si="9"/>
        <v>0</v>
      </c>
      <c r="AL16" s="98">
        <f>ROUNDUP(SUMIFS(Учёт!$K:$K,Учёт!$H:$H,Табель!V16,Учёт!$E:$E,W$7)+SUMIFS(Учёт!$K:$K,Учёт!$H:$H,Табель!V16,Учёт!$F:$F,W$7)+SUMIFS(Учёт!$K:$K,Учёт!$H:$H,Табель!V16,Учёт!$E:$E,Y$7)+SUMIFS(Учёт!$K:$K,Учёт!$H:$H,Табель!V16,Учёт!$F:$F,Y$7)+SUMIFS(Учёт!$K:$K,Учёт!$H:$H,Табель!V16,Учёт!$E:$E,AA$7)+SUMIFS(Учёт!$K:$K,Учёт!$H:$H,Табель!V16,Учёт!$F:$F,AA$7)+SUMIFS(Учёт!$K:$K,Учёт!$H:$H,Табель!V16,Учёт!$E:$E,AC$7)+SUMIFS(Учёт!$K:$K,Учёт!$H:$H,Табель!V16,Учёт!$F:$F,AC$7)+SUMIFS(Учёт!$K:$K,Учёт!$H:$H,Табель!V16,Учёт!$E:$E,AE$7)+SUMIFS(Учёт!$K:$K,Учёт!$H:$H,Табель!V16,Учёт!$F:$F,AE$7)+SUMIFS(Учёт!$K:$K,Учёт!$H:$H,Табель!V16,Учёт!$E:$E,AG$7)+SUMIFS(Учёт!$K:$K,Учёт!$H:$H,Табель!V16,Учёт!$F:$F,AG$7)+SUMIFS(Учёт!$K:$K,Учёт!$H:$H,Табель!V16,Учёт!$E:$E,AI$7)+SUMIFS(Учёт!$K:$K,Учёт!$H:$H,Табель!V16,Учёт!$F:$F,AI$7),0)</f>
        <v>0</v>
      </c>
      <c r="AM16" s="86"/>
      <c r="AN16" s="86"/>
    </row>
    <row r="17" spans="1:40" ht="47.4" customHeight="1">
      <c r="A17" s="77">
        <v>8</v>
      </c>
      <c r="B17" s="149" t="s">
        <v>103</v>
      </c>
      <c r="C17" s="82"/>
      <c r="D17" s="83"/>
      <c r="E17" s="82">
        <v>1</v>
      </c>
      <c r="F17" s="83"/>
      <c r="G17" s="82"/>
      <c r="H17" s="83"/>
      <c r="I17" s="82">
        <v>1</v>
      </c>
      <c r="J17" s="83"/>
      <c r="K17" s="82">
        <v>1</v>
      </c>
      <c r="L17" s="83"/>
      <c r="M17" s="82"/>
      <c r="N17" s="83"/>
      <c r="O17" s="82"/>
      <c r="P17" s="83"/>
      <c r="Q17" s="86">
        <f t="shared" si="8"/>
        <v>3</v>
      </c>
      <c r="R17" s="98">
        <f>ROUNDUP(SUMIFS(Учёт!$K:$K,Учёт!$H:$H,Табель!B17,Учёт!$E:$E,C$7)+SUMIFS(Учёт!$K:$K,Учёт!$H:$H,Табель!B17,Учёт!$F:$F,C$7)+SUMIFS(Учёт!$K:$K,Учёт!$H:$H,Табель!B17,Учёт!$E:$E,E$7)+SUMIFS(Учёт!$K:$K,Учёт!$H:$H,Табель!B17,Учёт!$F:$F,E$7)+SUMIFS(Учёт!$K:$K,Учёт!$H:$H,Табель!B17,Учёт!$E:$E,G$7)+SUMIFS(Учёт!$K:$K,Учёт!$H:$H,Табель!B17,Учёт!$F:$F,G$7)+SUMIFS(Учёт!$K:$K,Учёт!$H:$H,Табель!B17,Учёт!$E:$E,I$7)+SUMIFS(Учёт!$K:$K,Учёт!$H:$H,Табель!B17,Учёт!$F:$F,I$7)+SUMIFS(Учёт!$K:$K,Учёт!$H:$H,Табель!B17,Учёт!$E:$E,K$7)+SUMIFS(Учёт!$K:$K,Учёт!$H:$H,Табель!B17,Учёт!$F:$F,K$7)+SUMIFS(Учёт!$K:$K,Учёт!$H:$H,Табель!B17,Учёт!$E:$E,M$7)+SUMIFS(Учёт!$K:$K,Учёт!$H:$H,Табель!B17,Учёт!$F:$F,M$7)+SUMIFS(Учёт!$K:$K,Учёт!$H:$H,Табель!B17,Учёт!$E:$E,O$7)+SUMIFS(Учёт!$K:$K,Учёт!$H:$H,Табель!B17,Учёт!$F:$F,O$7),0)</f>
        <v>0</v>
      </c>
      <c r="S17" s="86"/>
      <c r="T17" s="86"/>
      <c r="U17" s="77">
        <v>8</v>
      </c>
      <c r="V17" s="149"/>
      <c r="W17" s="82"/>
      <c r="X17" s="83"/>
      <c r="Y17" s="82"/>
      <c r="Z17" s="83"/>
      <c r="AA17" s="82"/>
      <c r="AB17" s="83"/>
      <c r="AC17" s="82"/>
      <c r="AD17" s="83"/>
      <c r="AE17" s="82"/>
      <c r="AF17" s="83"/>
      <c r="AG17" s="82"/>
      <c r="AH17" s="83"/>
      <c r="AI17" s="82"/>
      <c r="AJ17" s="83"/>
      <c r="AK17" s="86">
        <f t="shared" si="9"/>
        <v>0</v>
      </c>
      <c r="AL17" s="98">
        <f>ROUNDUP(SUMIFS(Учёт!$K:$K,Учёт!$H:$H,Табель!V17,Учёт!$E:$E,W$7)+SUMIFS(Учёт!$K:$K,Учёт!$H:$H,Табель!V17,Учёт!$F:$F,W$7)+SUMIFS(Учёт!$K:$K,Учёт!$H:$H,Табель!V17,Учёт!$E:$E,Y$7)+SUMIFS(Учёт!$K:$K,Учёт!$H:$H,Табель!V17,Учёт!$F:$F,Y$7)+SUMIFS(Учёт!$K:$K,Учёт!$H:$H,Табель!V17,Учёт!$E:$E,AA$7)+SUMIFS(Учёт!$K:$K,Учёт!$H:$H,Табель!V17,Учёт!$F:$F,AA$7)+SUMIFS(Учёт!$K:$K,Учёт!$H:$H,Табель!V17,Учёт!$E:$E,AC$7)+SUMIFS(Учёт!$K:$K,Учёт!$H:$H,Табель!V17,Учёт!$F:$F,AC$7)+SUMIFS(Учёт!$K:$K,Учёт!$H:$H,Табель!V17,Учёт!$E:$E,AE$7)+SUMIFS(Учёт!$K:$K,Учёт!$H:$H,Табель!V17,Учёт!$F:$F,AE$7)+SUMIFS(Учёт!$K:$K,Учёт!$H:$H,Табель!V17,Учёт!$E:$E,AG$7)+SUMIFS(Учёт!$K:$K,Учёт!$H:$H,Табель!V17,Учёт!$F:$F,AG$7)+SUMIFS(Учёт!$K:$K,Учёт!$H:$H,Табель!V17,Учёт!$E:$E,AI$7)+SUMIFS(Учёт!$K:$K,Учёт!$H:$H,Табель!V17,Учёт!$F:$F,AI$7),0)</f>
        <v>0</v>
      </c>
      <c r="AM17" s="86"/>
      <c r="AN17" s="86"/>
    </row>
    <row r="18" spans="1:40" ht="47.4" customHeight="1">
      <c r="A18" s="77">
        <v>9</v>
      </c>
      <c r="B18" s="87" t="s">
        <v>154</v>
      </c>
      <c r="C18" s="82">
        <v>1</v>
      </c>
      <c r="D18" s="83"/>
      <c r="E18" s="82">
        <v>1</v>
      </c>
      <c r="F18" s="83"/>
      <c r="G18" s="82">
        <v>4</v>
      </c>
      <c r="H18" s="83"/>
      <c r="I18" s="82">
        <v>1</v>
      </c>
      <c r="J18" s="83"/>
      <c r="K18" s="82">
        <v>1</v>
      </c>
      <c r="L18" s="83"/>
      <c r="M18" s="82">
        <v>2</v>
      </c>
      <c r="N18" s="83"/>
      <c r="O18" s="82">
        <v>2</v>
      </c>
      <c r="P18" s="83"/>
      <c r="Q18" s="86">
        <f t="shared" si="8"/>
        <v>4</v>
      </c>
      <c r="R18" s="98">
        <f>ROUNDUP(SUMIFS(Учёт!$K:$K,Учёт!$H:$H,Табель!B18,Учёт!$E:$E,C$7)+SUMIFS(Учёт!$K:$K,Учёт!$H:$H,Табель!B18,Учёт!$F:$F,C$7)+SUMIFS(Учёт!$K:$K,Учёт!$H:$H,Табель!B18,Учёт!$E:$E,E$7)+SUMIFS(Учёт!$K:$K,Учёт!$H:$H,Табель!B18,Учёт!$F:$F,E$7)+SUMIFS(Учёт!$K:$K,Учёт!$H:$H,Табель!B18,Учёт!$E:$E,G$7)+SUMIFS(Учёт!$K:$K,Учёт!$H:$H,Табель!B18,Учёт!$F:$F,G$7)+SUMIFS(Учёт!$K:$K,Учёт!$H:$H,Табель!B18,Учёт!$E:$E,I$7)+SUMIFS(Учёт!$K:$K,Учёт!$H:$H,Табель!B18,Учёт!$F:$F,I$7)+SUMIFS(Учёт!$K:$K,Учёт!$H:$H,Табель!B18,Учёт!$E:$E,K$7)+SUMIFS(Учёт!$K:$K,Учёт!$H:$H,Табель!B18,Учёт!$F:$F,K$7)+SUMIFS(Учёт!$K:$K,Учёт!$H:$H,Табель!B18,Учёт!$E:$E,M$7)+SUMIFS(Учёт!$K:$K,Учёт!$H:$H,Табель!B18,Учёт!$F:$F,M$7)+SUMIFS(Учёт!$K:$K,Учёт!$H:$H,Табель!B18,Учёт!$E:$E,O$7)+SUMIFS(Учёт!$K:$K,Учёт!$H:$H,Табель!B18,Учёт!$F:$F,O$7),0)</f>
        <v>0</v>
      </c>
      <c r="S18" s="86"/>
      <c r="T18" s="86"/>
      <c r="U18" s="77">
        <v>9</v>
      </c>
      <c r="V18" s="87"/>
      <c r="W18" s="82"/>
      <c r="X18" s="83"/>
      <c r="Y18" s="82"/>
      <c r="Z18" s="83"/>
      <c r="AA18" s="82"/>
      <c r="AB18" s="83"/>
      <c r="AC18" s="82"/>
      <c r="AD18" s="83"/>
      <c r="AE18" s="82"/>
      <c r="AF18" s="83"/>
      <c r="AG18" s="82"/>
      <c r="AH18" s="83"/>
      <c r="AI18" s="82"/>
      <c r="AJ18" s="83"/>
      <c r="AK18" s="86">
        <f t="shared" si="9"/>
        <v>0</v>
      </c>
      <c r="AL18" s="98">
        <f>ROUNDUP(SUMIFS(Учёт!$K:$K,Учёт!$H:$H,Табель!V18,Учёт!$E:$E,W$7)+SUMIFS(Учёт!$K:$K,Учёт!$H:$H,Табель!V18,Учёт!$F:$F,W$7)+SUMIFS(Учёт!$K:$K,Учёт!$H:$H,Табель!V18,Учёт!$E:$E,Y$7)+SUMIFS(Учёт!$K:$K,Учёт!$H:$H,Табель!V18,Учёт!$F:$F,Y$7)+SUMIFS(Учёт!$K:$K,Учёт!$H:$H,Табель!V18,Учёт!$E:$E,AA$7)+SUMIFS(Учёт!$K:$K,Учёт!$H:$H,Табель!V18,Учёт!$F:$F,AA$7)+SUMIFS(Учёт!$K:$K,Учёт!$H:$H,Табель!V18,Учёт!$E:$E,AC$7)+SUMIFS(Учёт!$K:$K,Учёт!$H:$H,Табель!V18,Учёт!$F:$F,AC$7)+SUMIFS(Учёт!$K:$K,Учёт!$H:$H,Табель!V18,Учёт!$E:$E,AE$7)+SUMIFS(Учёт!$K:$K,Учёт!$H:$H,Табель!V18,Учёт!$F:$F,AE$7)+SUMIFS(Учёт!$K:$K,Учёт!$H:$H,Табель!V18,Учёт!$E:$E,AG$7)+SUMIFS(Учёт!$K:$K,Учёт!$H:$H,Табель!V18,Учёт!$F:$F,AG$7)+SUMIFS(Учёт!$K:$K,Учёт!$H:$H,Табель!V18,Учёт!$E:$E,AI$7)+SUMIFS(Учёт!$K:$K,Учёт!$H:$H,Табель!V18,Учёт!$F:$F,AI$7),0)</f>
        <v>0</v>
      </c>
      <c r="AM18" s="86"/>
      <c r="AN18" s="86"/>
    </row>
    <row r="19" spans="1:40" ht="49.8" customHeight="1">
      <c r="A19" s="77">
        <v>10</v>
      </c>
      <c r="B19" s="87" t="s">
        <v>107</v>
      </c>
      <c r="C19" s="82"/>
      <c r="D19" s="83"/>
      <c r="E19" s="82">
        <v>1</v>
      </c>
      <c r="F19" s="83"/>
      <c r="G19" s="82"/>
      <c r="H19" s="83">
        <v>1</v>
      </c>
      <c r="I19" s="82">
        <v>4</v>
      </c>
      <c r="J19" s="83">
        <v>1</v>
      </c>
      <c r="K19" s="82"/>
      <c r="L19" s="83"/>
      <c r="M19" s="82"/>
      <c r="N19" s="83">
        <v>1</v>
      </c>
      <c r="O19" s="82"/>
      <c r="P19" s="83"/>
      <c r="Q19" s="86">
        <f t="shared" si="8"/>
        <v>4</v>
      </c>
      <c r="R19" s="98">
        <f>ROUNDUP(SUMIFS(Учёт!$K:$K,Учёт!$H:$H,Табель!B19,Учёт!$E:$E,C$7)+SUMIFS(Учёт!$K:$K,Учёт!$H:$H,Табель!B19,Учёт!$F:$F,C$7)+SUMIFS(Учёт!$K:$K,Учёт!$H:$H,Табель!B19,Учёт!$E:$E,E$7)+SUMIFS(Учёт!$K:$K,Учёт!$H:$H,Табель!B19,Учёт!$F:$F,E$7)+SUMIFS(Учёт!$K:$K,Учёт!$H:$H,Табель!B19,Учёт!$E:$E,G$7)+SUMIFS(Учёт!$K:$K,Учёт!$H:$H,Табель!B19,Учёт!$F:$F,G$7)+SUMIFS(Учёт!$K:$K,Учёт!$H:$H,Табель!B19,Учёт!$E:$E,I$7)+SUMIFS(Учёт!$K:$K,Учёт!$H:$H,Табель!B19,Учёт!$F:$F,I$7)+SUMIFS(Учёт!$K:$K,Учёт!$H:$H,Табель!B19,Учёт!$E:$E,K$7)+SUMIFS(Учёт!$K:$K,Учёт!$H:$H,Табель!B19,Учёт!$F:$F,K$7)+SUMIFS(Учёт!$K:$K,Учёт!$H:$H,Табель!B19,Учёт!$E:$E,M$7)+SUMIFS(Учёт!$K:$K,Учёт!$H:$H,Табель!B19,Учёт!$F:$F,M$7)+SUMIFS(Учёт!$K:$K,Учёт!$H:$H,Табель!B19,Учёт!$E:$E,O$7)+SUMIFS(Учёт!$K:$K,Учёт!$H:$H,Табель!B19,Учёт!$F:$F,O$7),0)</f>
        <v>0</v>
      </c>
      <c r="S19" s="86"/>
      <c r="T19" s="86"/>
      <c r="U19" s="77">
        <v>10</v>
      </c>
      <c r="V19" s="87"/>
      <c r="W19" s="82"/>
      <c r="X19" s="83"/>
      <c r="Y19" s="82"/>
      <c r="Z19" s="83"/>
      <c r="AA19" s="82"/>
      <c r="AB19" s="83"/>
      <c r="AC19" s="82"/>
      <c r="AD19" s="83"/>
      <c r="AE19" s="82"/>
      <c r="AF19" s="83"/>
      <c r="AG19" s="82"/>
      <c r="AH19" s="83"/>
      <c r="AI19" s="82"/>
      <c r="AJ19" s="83"/>
      <c r="AK19" s="86">
        <f t="shared" si="9"/>
        <v>0</v>
      </c>
      <c r="AL19" s="98">
        <f>ROUNDUP(SUMIFS(Учёт!$K:$K,Учёт!$H:$H,Табель!V19,Учёт!$E:$E,W$7)+SUMIFS(Учёт!$K:$K,Учёт!$H:$H,Табель!V19,Учёт!$F:$F,W$7)+SUMIFS(Учёт!$K:$K,Учёт!$H:$H,Табель!V19,Учёт!$E:$E,Y$7)+SUMIFS(Учёт!$K:$K,Учёт!$H:$H,Табель!V19,Учёт!$F:$F,Y$7)+SUMIFS(Учёт!$K:$K,Учёт!$H:$H,Табель!V19,Учёт!$E:$E,AA$7)+SUMIFS(Учёт!$K:$K,Учёт!$H:$H,Табель!V19,Учёт!$F:$F,AA$7)+SUMIFS(Учёт!$K:$K,Учёт!$H:$H,Табель!V19,Учёт!$E:$E,AC$7)+SUMIFS(Учёт!$K:$K,Учёт!$H:$H,Табель!V19,Учёт!$F:$F,AC$7)+SUMIFS(Учёт!$K:$K,Учёт!$H:$H,Табель!V19,Учёт!$E:$E,AE$7)+SUMIFS(Учёт!$K:$K,Учёт!$H:$H,Табель!V19,Учёт!$F:$F,AE$7)+SUMIFS(Учёт!$K:$K,Учёт!$H:$H,Табель!V19,Учёт!$E:$E,AG$7)+SUMIFS(Учёт!$K:$K,Учёт!$H:$H,Табель!V19,Учёт!$F:$F,AG$7)+SUMIFS(Учёт!$K:$K,Учёт!$H:$H,Табель!V19,Учёт!$E:$E,AI$7)+SUMIFS(Учёт!$K:$K,Учёт!$H:$H,Табель!V19,Учёт!$F:$F,AI$7),0)</f>
        <v>0</v>
      </c>
      <c r="AM19" s="86"/>
      <c r="AN19" s="86"/>
    </row>
    <row r="20" spans="1:40" ht="32.4">
      <c r="A20" s="77">
        <v>11</v>
      </c>
      <c r="B20" s="87" t="s">
        <v>101</v>
      </c>
      <c r="C20" s="82"/>
      <c r="D20" s="83"/>
      <c r="E20" s="82">
        <v>1</v>
      </c>
      <c r="F20" s="83"/>
      <c r="G20" s="82"/>
      <c r="H20" s="83">
        <v>1</v>
      </c>
      <c r="I20" s="82">
        <v>4</v>
      </c>
      <c r="J20" s="83">
        <v>1</v>
      </c>
      <c r="K20" s="82"/>
      <c r="L20" s="83"/>
      <c r="M20" s="82"/>
      <c r="N20" s="83">
        <v>1</v>
      </c>
      <c r="O20" s="82"/>
      <c r="P20" s="83"/>
      <c r="Q20" s="86">
        <f t="shared" si="8"/>
        <v>4</v>
      </c>
      <c r="R20" s="98">
        <f>ROUNDUP(SUMIFS(Учёт!$K:$K,Учёт!$H:$H,Табель!B20,Учёт!$E:$E,C$7)+SUMIFS(Учёт!$K:$K,Учёт!$H:$H,Табель!B20,Учёт!$F:$F,C$7)+SUMIFS(Учёт!$K:$K,Учёт!$H:$H,Табель!B20,Учёт!$E:$E,E$7)+SUMIFS(Учёт!$K:$K,Учёт!$H:$H,Табель!B20,Учёт!$F:$F,E$7)+SUMIFS(Учёт!$K:$K,Учёт!$H:$H,Табель!B20,Учёт!$E:$E,G$7)+SUMIFS(Учёт!$K:$K,Учёт!$H:$H,Табель!B20,Учёт!$F:$F,G$7)+SUMIFS(Учёт!$K:$K,Учёт!$H:$H,Табель!B20,Учёт!$E:$E,I$7)+SUMIFS(Учёт!$K:$K,Учёт!$H:$H,Табель!B20,Учёт!$F:$F,I$7)+SUMIFS(Учёт!$K:$K,Учёт!$H:$H,Табель!B20,Учёт!$E:$E,K$7)+SUMIFS(Учёт!$K:$K,Учёт!$H:$H,Табель!B20,Учёт!$F:$F,K$7)+SUMIFS(Учёт!$K:$K,Учёт!$H:$H,Табель!B20,Учёт!$E:$E,M$7)+SUMIFS(Учёт!$K:$K,Учёт!$H:$H,Табель!B20,Учёт!$F:$F,M$7)+SUMIFS(Учёт!$K:$K,Учёт!$H:$H,Табель!B20,Учёт!$E:$E,O$7)+SUMIFS(Учёт!$K:$K,Учёт!$H:$H,Табель!B20,Учёт!$F:$F,O$7),0)</f>
        <v>0</v>
      </c>
      <c r="S20" s="86"/>
      <c r="T20" s="86"/>
      <c r="U20" s="77">
        <v>11</v>
      </c>
      <c r="V20" s="87"/>
      <c r="W20" s="82"/>
      <c r="X20" s="83"/>
      <c r="Y20" s="82"/>
      <c r="Z20" s="83"/>
      <c r="AA20" s="82"/>
      <c r="AB20" s="83"/>
      <c r="AC20" s="82"/>
      <c r="AD20" s="83"/>
      <c r="AE20" s="82"/>
      <c r="AF20" s="83"/>
      <c r="AG20" s="82"/>
      <c r="AH20" s="83"/>
      <c r="AI20" s="82"/>
      <c r="AJ20" s="83"/>
      <c r="AK20" s="86">
        <f t="shared" si="9"/>
        <v>0</v>
      </c>
      <c r="AL20" s="98">
        <f>ROUNDUP(SUMIFS(Учёт!$K:$K,Учёт!$H:$H,Табель!V20,Учёт!$E:$E,W$7)+SUMIFS(Учёт!$K:$K,Учёт!$H:$H,Табель!V20,Учёт!$F:$F,W$7)+SUMIFS(Учёт!$K:$K,Учёт!$H:$H,Табель!V20,Учёт!$E:$E,Y$7)+SUMIFS(Учёт!$K:$K,Учёт!$H:$H,Табель!V20,Учёт!$F:$F,Y$7)+SUMIFS(Учёт!$K:$K,Учёт!$H:$H,Табель!V20,Учёт!$E:$E,AA$7)+SUMIFS(Учёт!$K:$K,Учёт!$H:$H,Табель!V20,Учёт!$F:$F,AA$7)+SUMIFS(Учёт!$K:$K,Учёт!$H:$H,Табель!V20,Учёт!$E:$E,AC$7)+SUMIFS(Учёт!$K:$K,Учёт!$H:$H,Табель!V20,Учёт!$F:$F,AC$7)+SUMIFS(Учёт!$K:$K,Учёт!$H:$H,Табель!V20,Учёт!$E:$E,AE$7)+SUMIFS(Учёт!$K:$K,Учёт!$H:$H,Табель!V20,Учёт!$F:$F,AE$7)+SUMIFS(Учёт!$K:$K,Учёт!$H:$H,Табель!V20,Учёт!$E:$E,AG$7)+SUMIFS(Учёт!$K:$K,Учёт!$H:$H,Табель!V20,Учёт!$F:$F,AG$7)+SUMIFS(Учёт!$K:$K,Учёт!$H:$H,Табель!V20,Учёт!$E:$E,AI$7)+SUMIFS(Учёт!$K:$K,Учёт!$H:$H,Табель!V20,Учёт!$F:$F,AI$7),0)</f>
        <v>0</v>
      </c>
      <c r="AM20" s="86"/>
      <c r="AN20" s="86"/>
    </row>
    <row r="21" spans="1:40" ht="47.4" customHeight="1">
      <c r="A21" s="77">
        <v>12</v>
      </c>
      <c r="B21" s="87" t="s">
        <v>102</v>
      </c>
      <c r="C21" s="82">
        <v>2</v>
      </c>
      <c r="D21" s="83"/>
      <c r="E21" s="82">
        <v>1</v>
      </c>
      <c r="F21" s="83"/>
      <c r="G21" s="82"/>
      <c r="H21" s="83">
        <v>1</v>
      </c>
      <c r="I21" s="82"/>
      <c r="J21" s="83">
        <v>1</v>
      </c>
      <c r="K21" s="82"/>
      <c r="L21" s="83">
        <v>2</v>
      </c>
      <c r="M21" s="82"/>
      <c r="N21" s="83">
        <v>1</v>
      </c>
      <c r="O21" s="82"/>
      <c r="P21" s="83"/>
      <c r="Q21" s="86">
        <f t="shared" si="8"/>
        <v>4</v>
      </c>
      <c r="R21" s="98">
        <f>ROUNDUP(SUMIFS(Учёт!$K:$K,Учёт!$H:$H,Табель!B21,Учёт!$E:$E,C$7)+SUMIFS(Учёт!$K:$K,Учёт!$H:$H,Табель!B21,Учёт!$F:$F,C$7)+SUMIFS(Учёт!$K:$K,Учёт!$H:$H,Табель!B21,Учёт!$E:$E,E$7)+SUMIFS(Учёт!$K:$K,Учёт!$H:$H,Табель!B21,Учёт!$F:$F,E$7)+SUMIFS(Учёт!$K:$K,Учёт!$H:$H,Табель!B21,Учёт!$E:$E,G$7)+SUMIFS(Учёт!$K:$K,Учёт!$H:$H,Табель!B21,Учёт!$F:$F,G$7)+SUMIFS(Учёт!$K:$K,Учёт!$H:$H,Табель!B21,Учёт!$E:$E,I$7)+SUMIFS(Учёт!$K:$K,Учёт!$H:$H,Табель!B21,Учёт!$F:$F,I$7)+SUMIFS(Учёт!$K:$K,Учёт!$H:$H,Табель!B21,Учёт!$E:$E,K$7)+SUMIFS(Учёт!$K:$K,Учёт!$H:$H,Табель!B21,Учёт!$F:$F,K$7)+SUMIFS(Учёт!$K:$K,Учёт!$H:$H,Табель!B21,Учёт!$E:$E,M$7)+SUMIFS(Учёт!$K:$K,Учёт!$H:$H,Табель!B21,Учёт!$F:$F,M$7)+SUMIFS(Учёт!$K:$K,Учёт!$H:$H,Табель!B21,Учёт!$E:$E,O$7)+SUMIFS(Учёт!$K:$K,Учёт!$H:$H,Табель!B21,Учёт!$F:$F,O$7),0)</f>
        <v>0</v>
      </c>
      <c r="S21" s="86"/>
      <c r="T21" s="86"/>
      <c r="U21" s="77">
        <v>12</v>
      </c>
      <c r="V21" s="87"/>
      <c r="W21" s="82"/>
      <c r="X21" s="83"/>
      <c r="Y21" s="82"/>
      <c r="Z21" s="83"/>
      <c r="AA21" s="82"/>
      <c r="AB21" s="83"/>
      <c r="AC21" s="82"/>
      <c r="AD21" s="83"/>
      <c r="AE21" s="82"/>
      <c r="AF21" s="83"/>
      <c r="AG21" s="82"/>
      <c r="AH21" s="83"/>
      <c r="AI21" s="82"/>
      <c r="AJ21" s="83"/>
      <c r="AK21" s="86">
        <f t="shared" si="9"/>
        <v>0</v>
      </c>
      <c r="AL21" s="98">
        <f>ROUNDUP(SUMIFS(Учёт!$K:$K,Учёт!$H:$H,Табель!V21,Учёт!$E:$E,W$7)+SUMIFS(Учёт!$K:$K,Учёт!$H:$H,Табель!V21,Учёт!$F:$F,W$7)+SUMIFS(Учёт!$K:$K,Учёт!$H:$H,Табель!V21,Учёт!$E:$E,Y$7)+SUMIFS(Учёт!$K:$K,Учёт!$H:$H,Табель!V21,Учёт!$F:$F,Y$7)+SUMIFS(Учёт!$K:$K,Учёт!$H:$H,Табель!V21,Учёт!$E:$E,AA$7)+SUMIFS(Учёт!$K:$K,Учёт!$H:$H,Табель!V21,Учёт!$F:$F,AA$7)+SUMIFS(Учёт!$K:$K,Учёт!$H:$H,Табель!V21,Учёт!$E:$E,AC$7)+SUMIFS(Учёт!$K:$K,Учёт!$H:$H,Табель!V21,Учёт!$F:$F,AC$7)+SUMIFS(Учёт!$K:$K,Учёт!$H:$H,Табель!V21,Учёт!$E:$E,AE$7)+SUMIFS(Учёт!$K:$K,Учёт!$H:$H,Табель!V21,Учёт!$F:$F,AE$7)+SUMIFS(Учёт!$K:$K,Учёт!$H:$H,Табель!V21,Учёт!$E:$E,AG$7)+SUMIFS(Учёт!$K:$K,Учёт!$H:$H,Табель!V21,Учёт!$F:$F,AG$7)+SUMIFS(Учёт!$K:$K,Учёт!$H:$H,Табель!V21,Учёт!$E:$E,AI$7)+SUMIFS(Учёт!$K:$K,Учёт!$H:$H,Табель!V21,Учёт!$F:$F,AI$7),0)</f>
        <v>0</v>
      </c>
      <c r="AM21" s="86"/>
      <c r="AN21" s="86"/>
    </row>
    <row r="22" spans="1:40" ht="47.4" customHeight="1">
      <c r="A22" s="77">
        <v>13</v>
      </c>
      <c r="B22" s="87" t="s">
        <v>133</v>
      </c>
      <c r="C22" s="82"/>
      <c r="D22" s="83"/>
      <c r="E22" s="82">
        <v>1</v>
      </c>
      <c r="F22" s="83"/>
      <c r="G22" s="82"/>
      <c r="H22" s="83">
        <v>1</v>
      </c>
      <c r="I22" s="82"/>
      <c r="J22" s="83"/>
      <c r="K22" s="82"/>
      <c r="L22" s="83">
        <v>1</v>
      </c>
      <c r="M22" s="82"/>
      <c r="N22" s="83"/>
      <c r="O22" s="82">
        <v>1</v>
      </c>
      <c r="P22" s="83"/>
      <c r="Q22" s="86">
        <f t="shared" si="8"/>
        <v>4</v>
      </c>
      <c r="R22" s="98">
        <f>ROUNDUP(SUMIFS(Учёт!$K:$K,Учёт!$H:$H,Табель!B22,Учёт!$E:$E,C$7)+SUMIFS(Учёт!$K:$K,Учёт!$H:$H,Табель!B22,Учёт!$F:$F,C$7)+SUMIFS(Учёт!$K:$K,Учёт!$H:$H,Табель!B22,Учёт!$E:$E,E$7)+SUMIFS(Учёт!$K:$K,Учёт!$H:$H,Табель!B22,Учёт!$F:$F,E$7)+SUMIFS(Учёт!$K:$K,Учёт!$H:$H,Табель!B22,Учёт!$E:$E,G$7)+SUMIFS(Учёт!$K:$K,Учёт!$H:$H,Табель!B22,Учёт!$F:$F,G$7)+SUMIFS(Учёт!$K:$K,Учёт!$H:$H,Табель!B22,Учёт!$E:$E,I$7)+SUMIFS(Учёт!$K:$K,Учёт!$H:$H,Табель!B22,Учёт!$F:$F,I$7)+SUMIFS(Учёт!$K:$K,Учёт!$H:$H,Табель!B22,Учёт!$E:$E,K$7)+SUMIFS(Учёт!$K:$K,Учёт!$H:$H,Табель!B22,Учёт!$F:$F,K$7)+SUMIFS(Учёт!$K:$K,Учёт!$H:$H,Табель!B22,Учёт!$E:$E,M$7)+SUMIFS(Учёт!$K:$K,Учёт!$H:$H,Табель!B22,Учёт!$F:$F,M$7)+SUMIFS(Учёт!$K:$K,Учёт!$H:$H,Табель!B22,Учёт!$E:$E,O$7)+SUMIFS(Учёт!$K:$K,Учёт!$H:$H,Табель!B22,Учёт!$F:$F,O$7),0)</f>
        <v>0</v>
      </c>
      <c r="S22" s="86"/>
      <c r="T22" s="86"/>
      <c r="U22" s="77">
        <v>13</v>
      </c>
      <c r="V22" s="87"/>
      <c r="W22" s="82"/>
      <c r="X22" s="83"/>
      <c r="Y22" s="82"/>
      <c r="Z22" s="83"/>
      <c r="AA22" s="82"/>
      <c r="AB22" s="83"/>
      <c r="AC22" s="82"/>
      <c r="AD22" s="83"/>
      <c r="AE22" s="82"/>
      <c r="AF22" s="83"/>
      <c r="AG22" s="82"/>
      <c r="AH22" s="83"/>
      <c r="AI22" s="82"/>
      <c r="AJ22" s="83"/>
      <c r="AK22" s="86">
        <f t="shared" si="9"/>
        <v>0</v>
      </c>
      <c r="AL22" s="98">
        <f>ROUNDUP(SUMIFS(Учёт!$K:$K,Учёт!$H:$H,Табель!V22,Учёт!$E:$E,W$7)+SUMIFS(Учёт!$K:$K,Учёт!$H:$H,Табель!V22,Учёт!$F:$F,W$7)+SUMIFS(Учёт!$K:$K,Учёт!$H:$H,Табель!V22,Учёт!$E:$E,Y$7)+SUMIFS(Учёт!$K:$K,Учёт!$H:$H,Табель!V22,Учёт!$F:$F,Y$7)+SUMIFS(Учёт!$K:$K,Учёт!$H:$H,Табель!V22,Учёт!$E:$E,AA$7)+SUMIFS(Учёт!$K:$K,Учёт!$H:$H,Табель!V22,Учёт!$F:$F,AA$7)+SUMIFS(Учёт!$K:$K,Учёт!$H:$H,Табель!V22,Учёт!$E:$E,AC$7)+SUMIFS(Учёт!$K:$K,Учёт!$H:$H,Табель!V22,Учёт!$F:$F,AC$7)+SUMIFS(Учёт!$K:$K,Учёт!$H:$H,Табель!V22,Учёт!$E:$E,AE$7)+SUMIFS(Учёт!$K:$K,Учёт!$H:$H,Табель!V22,Учёт!$F:$F,AE$7)+SUMIFS(Учёт!$K:$K,Учёт!$H:$H,Табель!V22,Учёт!$E:$E,AG$7)+SUMIFS(Учёт!$K:$K,Учёт!$H:$H,Табель!V22,Учёт!$F:$F,AG$7)+SUMIFS(Учёт!$K:$K,Учёт!$H:$H,Табель!V22,Учёт!$E:$E,AI$7)+SUMIFS(Учёт!$K:$K,Учёт!$H:$H,Табель!V22,Учёт!$F:$F,AI$7),0)</f>
        <v>0</v>
      </c>
      <c r="AM22" s="86"/>
      <c r="AN22" s="86"/>
    </row>
    <row r="23" spans="1:40" ht="54" customHeight="1">
      <c r="A23" s="77">
        <v>14</v>
      </c>
      <c r="B23" s="87" t="s">
        <v>135</v>
      </c>
      <c r="C23" s="82"/>
      <c r="D23" s="83"/>
      <c r="E23" s="82"/>
      <c r="F23" s="83">
        <v>1</v>
      </c>
      <c r="G23" s="82"/>
      <c r="H23" s="83"/>
      <c r="I23" s="82">
        <v>2</v>
      </c>
      <c r="J23" s="83"/>
      <c r="K23" s="82"/>
      <c r="L23" s="83">
        <v>2</v>
      </c>
      <c r="M23" s="82"/>
      <c r="N23" s="83"/>
      <c r="O23" s="82"/>
      <c r="P23" s="83"/>
      <c r="Q23" s="86">
        <f t="shared" si="8"/>
        <v>1</v>
      </c>
      <c r="R23" s="98">
        <f>ROUNDUP(SUMIFS(Учёт!$K:$K,Учёт!$H:$H,Табель!B23,Учёт!$E:$E,C$7)+SUMIFS(Учёт!$K:$K,Учёт!$H:$H,Табель!B23,Учёт!$F:$F,C$7)+SUMIFS(Учёт!$K:$K,Учёт!$H:$H,Табель!B23,Учёт!$E:$E,E$7)+SUMIFS(Учёт!$K:$K,Учёт!$H:$H,Табель!B23,Учёт!$F:$F,E$7)+SUMIFS(Учёт!$K:$K,Учёт!$H:$H,Табель!B23,Учёт!$E:$E,G$7)+SUMIFS(Учёт!$K:$K,Учёт!$H:$H,Табель!B23,Учёт!$F:$F,G$7)+SUMIFS(Учёт!$K:$K,Учёт!$H:$H,Табель!B23,Учёт!$E:$E,I$7)+SUMIFS(Учёт!$K:$K,Учёт!$H:$H,Табель!B23,Учёт!$F:$F,I$7)+SUMIFS(Учёт!$K:$K,Учёт!$H:$H,Табель!B23,Учёт!$E:$E,K$7)+SUMIFS(Учёт!$K:$K,Учёт!$H:$H,Табель!B23,Учёт!$F:$F,K$7)+SUMIFS(Учёт!$K:$K,Учёт!$H:$H,Табель!B23,Учёт!$E:$E,M$7)+SUMIFS(Учёт!$K:$K,Учёт!$H:$H,Табель!B23,Учёт!$F:$F,M$7)+SUMIFS(Учёт!$K:$K,Учёт!$H:$H,Табель!B23,Учёт!$E:$E,O$7)+SUMIFS(Учёт!$K:$K,Учёт!$H:$H,Табель!B23,Учёт!$F:$F,O$7),0)</f>
        <v>0</v>
      </c>
      <c r="S23" s="86"/>
      <c r="T23" s="86"/>
      <c r="U23" s="77">
        <v>14</v>
      </c>
      <c r="V23" s="87"/>
      <c r="W23" s="82"/>
      <c r="X23" s="83"/>
      <c r="Y23" s="82"/>
      <c r="Z23" s="83"/>
      <c r="AA23" s="82"/>
      <c r="AB23" s="83"/>
      <c r="AC23" s="82"/>
      <c r="AD23" s="83"/>
      <c r="AE23" s="82"/>
      <c r="AF23" s="83"/>
      <c r="AG23" s="82"/>
      <c r="AH23" s="83"/>
      <c r="AI23" s="82"/>
      <c r="AJ23" s="83"/>
      <c r="AK23" s="86">
        <f t="shared" si="9"/>
        <v>0</v>
      </c>
      <c r="AL23" s="98">
        <f>ROUNDUP(SUMIFS(Учёт!$K:$K,Учёт!$H:$H,Табель!V23,Учёт!$E:$E,W$7)+SUMIFS(Учёт!$K:$K,Учёт!$H:$H,Табель!V23,Учёт!$F:$F,W$7)+SUMIFS(Учёт!$K:$K,Учёт!$H:$H,Табель!V23,Учёт!$E:$E,Y$7)+SUMIFS(Учёт!$K:$K,Учёт!$H:$H,Табель!V23,Учёт!$F:$F,Y$7)+SUMIFS(Учёт!$K:$K,Учёт!$H:$H,Табель!V23,Учёт!$E:$E,AA$7)+SUMIFS(Учёт!$K:$K,Учёт!$H:$H,Табель!V23,Учёт!$F:$F,AA$7)+SUMIFS(Учёт!$K:$K,Учёт!$H:$H,Табель!V23,Учёт!$E:$E,AC$7)+SUMIFS(Учёт!$K:$K,Учёт!$H:$H,Табель!V23,Учёт!$F:$F,AC$7)+SUMIFS(Учёт!$K:$K,Учёт!$H:$H,Табель!V23,Учёт!$E:$E,AE$7)+SUMIFS(Учёт!$K:$K,Учёт!$H:$H,Табель!V23,Учёт!$F:$F,AE$7)+SUMIFS(Учёт!$K:$K,Учёт!$H:$H,Табель!V23,Учёт!$E:$E,AG$7)+SUMIFS(Учёт!$K:$K,Учёт!$H:$H,Табель!V23,Учёт!$F:$F,AG$7)+SUMIFS(Учёт!$K:$K,Учёт!$H:$H,Табель!V23,Учёт!$E:$E,AI$7)+SUMIFS(Учёт!$K:$K,Учёт!$H:$H,Табель!V23,Учёт!$F:$F,AI$7),0)</f>
        <v>0</v>
      </c>
      <c r="AM23" s="86"/>
      <c r="AN23" s="86"/>
    </row>
    <row r="24" spans="1:40" ht="47.4" customHeight="1">
      <c r="A24" s="77">
        <v>15</v>
      </c>
      <c r="B24" s="149" t="s">
        <v>144</v>
      </c>
      <c r="C24" s="82">
        <v>1</v>
      </c>
      <c r="D24" s="83"/>
      <c r="E24" s="82">
        <v>1</v>
      </c>
      <c r="F24" s="83"/>
      <c r="G24" s="82"/>
      <c r="H24" s="83"/>
      <c r="I24" s="82">
        <v>1</v>
      </c>
      <c r="J24" s="83"/>
      <c r="K24" s="82">
        <v>1</v>
      </c>
      <c r="L24" s="83"/>
      <c r="M24" s="82"/>
      <c r="N24" s="83">
        <v>2</v>
      </c>
      <c r="O24" s="82"/>
      <c r="P24" s="83">
        <v>2</v>
      </c>
      <c r="Q24" s="86">
        <f t="shared" si="8"/>
        <v>4</v>
      </c>
      <c r="R24" s="98">
        <f>ROUNDUP(SUMIFS(Учёт!$K:$K,Учёт!$H:$H,Табель!B24,Учёт!$E:$E,C$7)+SUMIFS(Учёт!$K:$K,Учёт!$H:$H,Табель!B24,Учёт!$F:$F,C$7)+SUMIFS(Учёт!$K:$K,Учёт!$H:$H,Табель!B24,Учёт!$E:$E,E$7)+SUMIFS(Учёт!$K:$K,Учёт!$H:$H,Табель!B24,Учёт!$F:$F,E$7)+SUMIFS(Учёт!$K:$K,Учёт!$H:$H,Табель!B24,Учёт!$E:$E,G$7)+SUMIFS(Учёт!$K:$K,Учёт!$H:$H,Табель!B24,Учёт!$F:$F,G$7)+SUMIFS(Учёт!$K:$K,Учёт!$H:$H,Табель!B24,Учёт!$E:$E,I$7)+SUMIFS(Учёт!$K:$K,Учёт!$H:$H,Табель!B24,Учёт!$F:$F,I$7)+SUMIFS(Учёт!$K:$K,Учёт!$H:$H,Табель!B24,Учёт!$E:$E,K$7)+SUMIFS(Учёт!$K:$K,Учёт!$H:$H,Табель!B24,Учёт!$F:$F,K$7)+SUMIFS(Учёт!$K:$K,Учёт!$H:$H,Табель!B24,Учёт!$E:$E,M$7)+SUMIFS(Учёт!$K:$K,Учёт!$H:$H,Табель!B24,Учёт!$F:$F,M$7)+SUMIFS(Учёт!$K:$K,Учёт!$H:$H,Табель!B24,Учёт!$E:$E,O$7)+SUMIFS(Учёт!$K:$K,Учёт!$H:$H,Табель!B24,Учёт!$F:$F,O$7),0)</f>
        <v>0</v>
      </c>
      <c r="S24" s="86"/>
      <c r="T24" s="86"/>
      <c r="U24" s="77">
        <v>15</v>
      </c>
      <c r="V24" s="149"/>
      <c r="W24" s="82"/>
      <c r="X24" s="83"/>
      <c r="Y24" s="82"/>
      <c r="Z24" s="83"/>
      <c r="AA24" s="82"/>
      <c r="AB24" s="83"/>
      <c r="AC24" s="82"/>
      <c r="AD24" s="83"/>
      <c r="AE24" s="82"/>
      <c r="AF24" s="83"/>
      <c r="AG24" s="82"/>
      <c r="AH24" s="83"/>
      <c r="AI24" s="82"/>
      <c r="AJ24" s="83"/>
      <c r="AK24" s="86">
        <f t="shared" si="9"/>
        <v>0</v>
      </c>
      <c r="AL24" s="98">
        <f>ROUNDUP(SUMIFS(Учёт!$K:$K,Учёт!$H:$H,Табель!V24,Учёт!$E:$E,W$7)+SUMIFS(Учёт!$K:$K,Учёт!$H:$H,Табель!V24,Учёт!$F:$F,W$7)+SUMIFS(Учёт!$K:$K,Учёт!$H:$H,Табель!V24,Учёт!$E:$E,Y$7)+SUMIFS(Учёт!$K:$K,Учёт!$H:$H,Табель!V24,Учёт!$F:$F,Y$7)+SUMIFS(Учёт!$K:$K,Учёт!$H:$H,Табель!V24,Учёт!$E:$E,AA$7)+SUMIFS(Учёт!$K:$K,Учёт!$H:$H,Табель!V24,Учёт!$F:$F,AA$7)+SUMIFS(Учёт!$K:$K,Учёт!$H:$H,Табель!V24,Учёт!$E:$E,AC$7)+SUMIFS(Учёт!$K:$K,Учёт!$H:$H,Табель!V24,Учёт!$F:$F,AC$7)+SUMIFS(Учёт!$K:$K,Учёт!$H:$H,Табель!V24,Учёт!$E:$E,AE$7)+SUMIFS(Учёт!$K:$K,Учёт!$H:$H,Табель!V24,Учёт!$F:$F,AE$7)+SUMIFS(Учёт!$K:$K,Учёт!$H:$H,Табель!V24,Учёт!$E:$E,AG$7)+SUMIFS(Учёт!$K:$K,Учёт!$H:$H,Табель!V24,Учёт!$F:$F,AG$7)+SUMIFS(Учёт!$K:$K,Учёт!$H:$H,Табель!V24,Учёт!$E:$E,AI$7)+SUMIFS(Учёт!$K:$K,Учёт!$H:$H,Табель!V24,Учёт!$F:$F,AI$7),0)</f>
        <v>0</v>
      </c>
      <c r="AM24" s="86"/>
      <c r="AN24" s="86"/>
    </row>
    <row r="25" spans="1:40" ht="47.4" customHeight="1">
      <c r="A25" s="77">
        <v>16</v>
      </c>
      <c r="B25" s="87" t="s">
        <v>152</v>
      </c>
      <c r="C25" s="82">
        <v>4</v>
      </c>
      <c r="D25" s="83"/>
      <c r="E25" s="82"/>
      <c r="F25" s="83">
        <v>1</v>
      </c>
      <c r="G25" s="82"/>
      <c r="H25" s="83"/>
      <c r="I25" s="82">
        <v>1</v>
      </c>
      <c r="J25" s="83"/>
      <c r="K25" s="82"/>
      <c r="L25" s="83">
        <v>1</v>
      </c>
      <c r="M25" s="82"/>
      <c r="N25" s="83"/>
      <c r="O25" s="82">
        <v>1</v>
      </c>
      <c r="P25" s="83"/>
      <c r="Q25" s="86">
        <f t="shared" si="8"/>
        <v>4</v>
      </c>
      <c r="R25" s="98">
        <f>ROUNDUP(SUMIFS(Учёт!$K:$K,Учёт!$H:$H,Табель!B25,Учёт!$E:$E,C$7)+SUMIFS(Учёт!$K:$K,Учёт!$H:$H,Табель!B25,Учёт!$F:$F,C$7)+SUMIFS(Учёт!$K:$K,Учёт!$H:$H,Табель!B25,Учёт!$E:$E,E$7)+SUMIFS(Учёт!$K:$K,Учёт!$H:$H,Табель!B25,Учёт!$F:$F,E$7)+SUMIFS(Учёт!$K:$K,Учёт!$H:$H,Табель!B25,Учёт!$E:$E,G$7)+SUMIFS(Учёт!$K:$K,Учёт!$H:$H,Табель!B25,Учёт!$F:$F,G$7)+SUMIFS(Учёт!$K:$K,Учёт!$H:$H,Табель!B25,Учёт!$E:$E,I$7)+SUMIFS(Учёт!$K:$K,Учёт!$H:$H,Табель!B25,Учёт!$F:$F,I$7)+SUMIFS(Учёт!$K:$K,Учёт!$H:$H,Табель!B25,Учёт!$E:$E,K$7)+SUMIFS(Учёт!$K:$K,Учёт!$H:$H,Табель!B25,Учёт!$F:$F,K$7)+SUMIFS(Учёт!$K:$K,Учёт!$H:$H,Табель!B25,Учёт!$E:$E,M$7)+SUMIFS(Учёт!$K:$K,Учёт!$H:$H,Табель!B25,Учёт!$F:$F,M$7)+SUMIFS(Учёт!$K:$K,Учёт!$H:$H,Табель!B25,Учёт!$E:$E,O$7)+SUMIFS(Учёт!$K:$K,Учёт!$H:$H,Табель!B25,Учёт!$F:$F,O$7),0)</f>
        <v>0</v>
      </c>
      <c r="S25" s="86"/>
      <c r="T25" s="86"/>
      <c r="U25" s="77">
        <v>16</v>
      </c>
      <c r="V25" s="87"/>
      <c r="W25" s="82"/>
      <c r="X25" s="83"/>
      <c r="Y25" s="82"/>
      <c r="Z25" s="83"/>
      <c r="AA25" s="82"/>
      <c r="AB25" s="83"/>
      <c r="AC25" s="82"/>
      <c r="AD25" s="83"/>
      <c r="AE25" s="82"/>
      <c r="AF25" s="83"/>
      <c r="AG25" s="82"/>
      <c r="AH25" s="83"/>
      <c r="AI25" s="82"/>
      <c r="AJ25" s="83"/>
      <c r="AK25" s="86">
        <f t="shared" si="9"/>
        <v>0</v>
      </c>
      <c r="AL25" s="98">
        <f>ROUNDUP(SUMIFS(Учёт!$K:$K,Учёт!$H:$H,Табель!V25,Учёт!$E:$E,W$7)+SUMIFS(Учёт!$K:$K,Учёт!$H:$H,Табель!V25,Учёт!$F:$F,W$7)+SUMIFS(Учёт!$K:$K,Учёт!$H:$H,Табель!V25,Учёт!$E:$E,Y$7)+SUMIFS(Учёт!$K:$K,Учёт!$H:$H,Табель!V25,Учёт!$F:$F,Y$7)+SUMIFS(Учёт!$K:$K,Учёт!$H:$H,Табель!V25,Учёт!$E:$E,AA$7)+SUMIFS(Учёт!$K:$K,Учёт!$H:$H,Табель!V25,Учёт!$F:$F,AA$7)+SUMIFS(Учёт!$K:$K,Учёт!$H:$H,Табель!V25,Учёт!$E:$E,AC$7)+SUMIFS(Учёт!$K:$K,Учёт!$H:$H,Табель!V25,Учёт!$F:$F,AC$7)+SUMIFS(Учёт!$K:$K,Учёт!$H:$H,Табель!V25,Учёт!$E:$E,AE$7)+SUMIFS(Учёт!$K:$K,Учёт!$H:$H,Табель!V25,Учёт!$F:$F,AE$7)+SUMIFS(Учёт!$K:$K,Учёт!$H:$H,Табель!V25,Учёт!$E:$E,AG$7)+SUMIFS(Учёт!$K:$K,Учёт!$H:$H,Табель!V25,Учёт!$F:$F,AG$7)+SUMIFS(Учёт!$K:$K,Учёт!$H:$H,Табель!V25,Учёт!$E:$E,AI$7)+SUMIFS(Учёт!$K:$K,Учёт!$H:$H,Табель!V25,Учёт!$F:$F,AI$7),0)</f>
        <v>0</v>
      </c>
      <c r="AM25" s="86"/>
      <c r="AN25" s="86"/>
    </row>
    <row r="26" spans="1:40" ht="47.4" customHeight="1">
      <c r="A26" s="77">
        <v>17</v>
      </c>
      <c r="B26" s="161" t="s">
        <v>145</v>
      </c>
      <c r="C26" s="82"/>
      <c r="D26" s="83"/>
      <c r="E26" s="82"/>
      <c r="F26" s="83"/>
      <c r="G26" s="82"/>
      <c r="H26" s="83"/>
      <c r="I26" s="82"/>
      <c r="J26" s="83">
        <v>2</v>
      </c>
      <c r="K26" s="82"/>
      <c r="L26" s="83">
        <v>2</v>
      </c>
      <c r="M26" s="82"/>
      <c r="N26" s="83"/>
      <c r="O26" s="82"/>
      <c r="P26" s="83"/>
      <c r="Q26" s="86">
        <f t="shared" si="8"/>
        <v>0</v>
      </c>
      <c r="R26" s="98">
        <f>ROUNDUP(SUMIFS(Учёт!$K:$K,Учёт!$H:$H,Табель!B26,Учёт!$E:$E,C$7)+SUMIFS(Учёт!$K:$K,Учёт!$H:$H,Табель!B26,Учёт!$F:$F,C$7)+SUMIFS(Учёт!$K:$K,Учёт!$H:$H,Табель!B26,Учёт!$E:$E,E$7)+SUMIFS(Учёт!$K:$K,Учёт!$H:$H,Табель!B26,Учёт!$F:$F,E$7)+SUMIFS(Учёт!$K:$K,Учёт!$H:$H,Табель!B26,Учёт!$E:$E,G$7)+SUMIFS(Учёт!$K:$K,Учёт!$H:$H,Табель!B26,Учёт!$F:$F,G$7)+SUMIFS(Учёт!$K:$K,Учёт!$H:$H,Табель!B26,Учёт!$E:$E,I$7)+SUMIFS(Учёт!$K:$K,Учёт!$H:$H,Табель!B26,Учёт!$F:$F,I$7)+SUMIFS(Учёт!$K:$K,Учёт!$H:$H,Табель!B26,Учёт!$E:$E,K$7)+SUMIFS(Учёт!$K:$K,Учёт!$H:$H,Табель!B26,Учёт!$F:$F,K$7)+SUMIFS(Учёт!$K:$K,Учёт!$H:$H,Табель!B26,Учёт!$E:$E,M$7)+SUMIFS(Учёт!$K:$K,Учёт!$H:$H,Табель!B26,Учёт!$F:$F,M$7)+SUMIFS(Учёт!$K:$K,Учёт!$H:$H,Табель!B26,Учёт!$E:$E,O$7)+SUMIFS(Учёт!$K:$K,Учёт!$H:$H,Табель!B26,Учёт!$F:$F,O$7),0)</f>
        <v>0</v>
      </c>
      <c r="S26" s="86"/>
      <c r="T26" s="86"/>
      <c r="U26" s="77">
        <v>17</v>
      </c>
      <c r="V26" s="161"/>
      <c r="W26" s="82"/>
      <c r="X26" s="83"/>
      <c r="Y26" s="82"/>
      <c r="Z26" s="83"/>
      <c r="AA26" s="82"/>
      <c r="AB26" s="83"/>
      <c r="AC26" s="82"/>
      <c r="AD26" s="83"/>
      <c r="AE26" s="82"/>
      <c r="AF26" s="83"/>
      <c r="AG26" s="82"/>
      <c r="AH26" s="83"/>
      <c r="AI26" s="82"/>
      <c r="AJ26" s="83"/>
      <c r="AK26" s="86">
        <f t="shared" si="9"/>
        <v>0</v>
      </c>
      <c r="AL26" s="98">
        <f>ROUNDUP(SUMIFS(Учёт!$K:$K,Учёт!$H:$H,Табель!V26,Учёт!$E:$E,W$7)+SUMIFS(Учёт!$K:$K,Учёт!$H:$H,Табель!V26,Учёт!$F:$F,W$7)+SUMIFS(Учёт!$K:$K,Учёт!$H:$H,Табель!V26,Учёт!$E:$E,Y$7)+SUMIFS(Учёт!$K:$K,Учёт!$H:$H,Табель!V26,Учёт!$F:$F,Y$7)+SUMIFS(Учёт!$K:$K,Учёт!$H:$H,Табель!V26,Учёт!$E:$E,AA$7)+SUMIFS(Учёт!$K:$K,Учёт!$H:$H,Табель!V26,Учёт!$F:$F,AA$7)+SUMIFS(Учёт!$K:$K,Учёт!$H:$H,Табель!V26,Учёт!$E:$E,AC$7)+SUMIFS(Учёт!$K:$K,Учёт!$H:$H,Табель!V26,Учёт!$F:$F,AC$7)+SUMIFS(Учёт!$K:$K,Учёт!$H:$H,Табель!V26,Учёт!$E:$E,AE$7)+SUMIFS(Учёт!$K:$K,Учёт!$H:$H,Табель!V26,Учёт!$F:$F,AE$7)+SUMIFS(Учёт!$K:$K,Учёт!$H:$H,Табель!V26,Учёт!$E:$E,AG$7)+SUMIFS(Учёт!$K:$K,Учёт!$H:$H,Табель!V26,Учёт!$F:$F,AG$7)+SUMIFS(Учёт!$K:$K,Учёт!$H:$H,Табель!V26,Учёт!$E:$E,AI$7)+SUMIFS(Учёт!$K:$K,Учёт!$H:$H,Табель!V26,Учёт!$F:$F,AI$7),0)</f>
        <v>0</v>
      </c>
      <c r="AM26" s="86"/>
      <c r="AN26" s="86"/>
    </row>
    <row r="27" spans="1:40" ht="47.4" customHeight="1">
      <c r="A27" s="77">
        <v>18</v>
      </c>
      <c r="B27" s="88" t="s">
        <v>99</v>
      </c>
      <c r="C27" s="82">
        <v>3</v>
      </c>
      <c r="D27" s="83">
        <v>4</v>
      </c>
      <c r="E27" s="82">
        <v>4</v>
      </c>
      <c r="F27" s="83">
        <v>4</v>
      </c>
      <c r="G27" s="82">
        <v>2</v>
      </c>
      <c r="H27" s="83">
        <v>4</v>
      </c>
      <c r="I27" s="82">
        <v>4</v>
      </c>
      <c r="J27" s="83">
        <v>4</v>
      </c>
      <c r="K27" s="82">
        <v>3</v>
      </c>
      <c r="L27" s="83">
        <v>4</v>
      </c>
      <c r="M27" s="82">
        <v>4</v>
      </c>
      <c r="N27" s="83">
        <v>4</v>
      </c>
      <c r="O27" s="82">
        <v>2</v>
      </c>
      <c r="P27" s="83">
        <v>4</v>
      </c>
      <c r="Q27" s="86">
        <f t="shared" si="8"/>
        <v>0</v>
      </c>
      <c r="R27" s="98">
        <f>ROUNDUP(SUMIFS(Учёт!$K:$K,Учёт!$H:$H,Табель!B27,Учёт!$E:$E,C$7)+SUMIFS(Учёт!$K:$K,Учёт!$H:$H,Табель!B27,Учёт!$F:$F,C$7)+SUMIFS(Учёт!$K:$K,Учёт!$H:$H,Табель!B27,Учёт!$E:$E,E$7)+SUMIFS(Учёт!$K:$K,Учёт!$H:$H,Табель!B27,Учёт!$F:$F,E$7)+SUMIFS(Учёт!$K:$K,Учёт!$H:$H,Табель!B27,Учёт!$E:$E,G$7)+SUMIFS(Учёт!$K:$K,Учёт!$H:$H,Табель!B27,Учёт!$F:$F,G$7)+SUMIFS(Учёт!$K:$K,Учёт!$H:$H,Табель!B27,Учёт!$E:$E,I$7)+SUMIFS(Учёт!$K:$K,Учёт!$H:$H,Табель!B27,Учёт!$F:$F,I$7)+SUMIFS(Учёт!$K:$K,Учёт!$H:$H,Табель!B27,Учёт!$E:$E,K$7)+SUMIFS(Учёт!$K:$K,Учёт!$H:$H,Табель!B27,Учёт!$F:$F,K$7)+SUMIFS(Учёт!$K:$K,Учёт!$H:$H,Табель!B27,Учёт!$E:$E,M$7)+SUMIFS(Учёт!$K:$K,Учёт!$H:$H,Табель!B27,Учёт!$F:$F,M$7)+SUMIFS(Учёт!$K:$K,Учёт!$H:$H,Табель!B27,Учёт!$E:$E,O$7)+SUMIFS(Учёт!$K:$K,Учёт!$H:$H,Табель!B27,Учёт!$F:$F,O$7),0)</f>
        <v>0</v>
      </c>
      <c r="S27" s="86"/>
      <c r="T27" s="86"/>
      <c r="U27" s="77">
        <v>18</v>
      </c>
      <c r="V27" s="88"/>
      <c r="W27" s="82"/>
      <c r="X27" s="83"/>
      <c r="Y27" s="82"/>
      <c r="Z27" s="83"/>
      <c r="AA27" s="82"/>
      <c r="AB27" s="83"/>
      <c r="AC27" s="82"/>
      <c r="AD27" s="83"/>
      <c r="AE27" s="82"/>
      <c r="AF27" s="83"/>
      <c r="AG27" s="82"/>
      <c r="AH27" s="83"/>
      <c r="AI27" s="82"/>
      <c r="AJ27" s="83"/>
      <c r="AK27" s="86">
        <f t="shared" si="9"/>
        <v>0</v>
      </c>
      <c r="AL27" s="98">
        <f>ROUNDUP(SUMIFS(Учёт!$K:$K,Учёт!$H:$H,Табель!V27,Учёт!$E:$E,W$7)+SUMIFS(Учёт!$K:$K,Учёт!$H:$H,Табель!V27,Учёт!$F:$F,W$7)+SUMIFS(Учёт!$K:$K,Учёт!$H:$H,Табель!V27,Учёт!$E:$E,Y$7)+SUMIFS(Учёт!$K:$K,Учёт!$H:$H,Табель!V27,Учёт!$F:$F,Y$7)+SUMIFS(Учёт!$K:$K,Учёт!$H:$H,Табель!V27,Учёт!$E:$E,AA$7)+SUMIFS(Учёт!$K:$K,Учёт!$H:$H,Табель!V27,Учёт!$F:$F,AA$7)+SUMIFS(Учёт!$K:$K,Учёт!$H:$H,Табель!V27,Учёт!$E:$E,AC$7)+SUMIFS(Учёт!$K:$K,Учёт!$H:$H,Табель!V27,Учёт!$F:$F,AC$7)+SUMIFS(Учёт!$K:$K,Учёт!$H:$H,Табель!V27,Учёт!$E:$E,AE$7)+SUMIFS(Учёт!$K:$K,Учёт!$H:$H,Табель!V27,Учёт!$F:$F,AE$7)+SUMIFS(Учёт!$K:$K,Учёт!$H:$H,Табель!V27,Учёт!$E:$E,AG$7)+SUMIFS(Учёт!$K:$K,Учёт!$H:$H,Табель!V27,Учёт!$F:$F,AG$7)+SUMIFS(Учёт!$K:$K,Учёт!$H:$H,Табель!V27,Учёт!$E:$E,AI$7)+SUMIFS(Учёт!$K:$K,Учёт!$H:$H,Табель!V27,Учёт!$F:$F,AI$7),0)</f>
        <v>0</v>
      </c>
      <c r="AM27" s="86"/>
      <c r="AN27" s="86"/>
    </row>
    <row r="28" spans="1:40" ht="47.4" customHeight="1">
      <c r="A28" s="77">
        <v>19</v>
      </c>
      <c r="B28" s="88" t="s">
        <v>98</v>
      </c>
      <c r="C28" s="82"/>
      <c r="D28" s="83">
        <v>4</v>
      </c>
      <c r="E28" s="82">
        <v>4</v>
      </c>
      <c r="F28" s="83">
        <v>4</v>
      </c>
      <c r="G28" s="82">
        <v>4</v>
      </c>
      <c r="H28" s="83">
        <v>4</v>
      </c>
      <c r="I28" s="82">
        <v>4</v>
      </c>
      <c r="J28" s="83">
        <v>4</v>
      </c>
      <c r="K28" s="82">
        <v>4</v>
      </c>
      <c r="L28" s="83">
        <v>4</v>
      </c>
      <c r="M28" s="82">
        <v>4</v>
      </c>
      <c r="N28" s="83">
        <v>4</v>
      </c>
      <c r="O28" s="82">
        <v>4</v>
      </c>
      <c r="P28" s="83">
        <v>4</v>
      </c>
      <c r="Q28" s="86">
        <f t="shared" si="8"/>
        <v>0</v>
      </c>
      <c r="R28" s="98">
        <f>ROUNDUP(SUMIFS(Учёт!$K:$K,Учёт!$H:$H,Табель!B28,Учёт!$E:$E,C$7)+SUMIFS(Учёт!$K:$K,Учёт!$H:$H,Табель!B28,Учёт!$F:$F,C$7)+SUMIFS(Учёт!$K:$K,Учёт!$H:$H,Табель!B28,Учёт!$E:$E,E$7)+SUMIFS(Учёт!$K:$K,Учёт!$H:$H,Табель!B28,Учёт!$F:$F,E$7)+SUMIFS(Учёт!$K:$K,Учёт!$H:$H,Табель!B28,Учёт!$E:$E,G$7)+SUMIFS(Учёт!$K:$K,Учёт!$H:$H,Табель!B28,Учёт!$F:$F,G$7)+SUMIFS(Учёт!$K:$K,Учёт!$H:$H,Табель!B28,Учёт!$E:$E,I$7)+SUMIFS(Учёт!$K:$K,Учёт!$H:$H,Табель!B28,Учёт!$F:$F,I$7)+SUMIFS(Учёт!$K:$K,Учёт!$H:$H,Табель!B28,Учёт!$E:$E,K$7)+SUMIFS(Учёт!$K:$K,Учёт!$H:$H,Табель!B28,Учёт!$F:$F,K$7)+SUMIFS(Учёт!$K:$K,Учёт!$H:$H,Табель!B28,Учёт!$E:$E,M$7)+SUMIFS(Учёт!$K:$K,Учёт!$H:$H,Табель!B28,Учёт!$F:$F,M$7)+SUMIFS(Учёт!$K:$K,Учёт!$H:$H,Табель!B28,Учёт!$E:$E,O$7)+SUMIFS(Учёт!$K:$K,Учёт!$H:$H,Табель!B28,Учёт!$F:$F,O$7),0)</f>
        <v>0</v>
      </c>
      <c r="S28" s="86"/>
      <c r="T28" s="86"/>
      <c r="U28" s="77">
        <v>19</v>
      </c>
      <c r="V28" s="88"/>
      <c r="W28" s="82"/>
      <c r="X28" s="83"/>
      <c r="Y28" s="82"/>
      <c r="Z28" s="83"/>
      <c r="AA28" s="82"/>
      <c r="AB28" s="83"/>
      <c r="AC28" s="82"/>
      <c r="AD28" s="83"/>
      <c r="AE28" s="82"/>
      <c r="AF28" s="83"/>
      <c r="AG28" s="82"/>
      <c r="AH28" s="83"/>
      <c r="AI28" s="82"/>
      <c r="AJ28" s="83"/>
      <c r="AK28" s="86">
        <f t="shared" si="9"/>
        <v>0</v>
      </c>
      <c r="AL28" s="98">
        <f>ROUNDUP(SUMIFS(Учёт!$K:$K,Учёт!$H:$H,Табель!V28,Учёт!$E:$E,W$7)+SUMIFS(Учёт!$K:$K,Учёт!$H:$H,Табель!V28,Учёт!$F:$F,W$7)+SUMIFS(Учёт!$K:$K,Учёт!$H:$H,Табель!V28,Учёт!$E:$E,Y$7)+SUMIFS(Учёт!$K:$K,Учёт!$H:$H,Табель!V28,Учёт!$F:$F,Y$7)+SUMIFS(Учёт!$K:$K,Учёт!$H:$H,Табель!V28,Учёт!$E:$E,AA$7)+SUMIFS(Учёт!$K:$K,Учёт!$H:$H,Табель!V28,Учёт!$F:$F,AA$7)+SUMIFS(Учёт!$K:$K,Учёт!$H:$H,Табель!V28,Учёт!$E:$E,AC$7)+SUMIFS(Учёт!$K:$K,Учёт!$H:$H,Табель!V28,Учёт!$F:$F,AC$7)+SUMIFS(Учёт!$K:$K,Учёт!$H:$H,Табель!V28,Учёт!$E:$E,AE$7)+SUMIFS(Учёт!$K:$K,Учёт!$H:$H,Табель!V28,Учёт!$F:$F,AE$7)+SUMIFS(Учёт!$K:$K,Учёт!$H:$H,Табель!V28,Учёт!$E:$E,AG$7)+SUMIFS(Учёт!$K:$K,Учёт!$H:$H,Табель!V28,Учёт!$F:$F,AG$7)+SUMIFS(Учёт!$K:$K,Учёт!$H:$H,Табель!V28,Учёт!$E:$E,AI$7)+SUMIFS(Учёт!$K:$K,Учёт!$H:$H,Табель!V28,Учёт!$F:$F,AI$7),0)</f>
        <v>0</v>
      </c>
      <c r="AM28" s="86"/>
      <c r="AN28" s="86"/>
    </row>
    <row r="29" spans="1:40" ht="47.4" customHeight="1">
      <c r="A29" s="77">
        <v>20</v>
      </c>
      <c r="B29" s="88" t="s">
        <v>146</v>
      </c>
      <c r="C29" s="82">
        <v>4</v>
      </c>
      <c r="D29" s="83">
        <v>4</v>
      </c>
      <c r="E29" s="82">
        <v>4</v>
      </c>
      <c r="F29" s="83">
        <v>4</v>
      </c>
      <c r="G29" s="82">
        <v>2</v>
      </c>
      <c r="H29" s="83">
        <v>2</v>
      </c>
      <c r="I29" s="82">
        <v>2</v>
      </c>
      <c r="J29" s="83"/>
      <c r="K29" s="82">
        <v>4</v>
      </c>
      <c r="L29" s="83">
        <v>4</v>
      </c>
      <c r="M29" s="82">
        <v>4</v>
      </c>
      <c r="N29" s="83">
        <v>4</v>
      </c>
      <c r="O29" s="82">
        <v>2</v>
      </c>
      <c r="P29" s="83">
        <v>2</v>
      </c>
      <c r="Q29" s="86">
        <f t="shared" si="8"/>
        <v>0</v>
      </c>
      <c r="R29" s="98">
        <f>ROUNDUP(SUMIFS(Учёт!$K:$K,Учёт!$H:$H,Табель!B29,Учёт!$E:$E,C$7)+SUMIFS(Учёт!$K:$K,Учёт!$H:$H,Табель!B29,Учёт!$F:$F,C$7)+SUMIFS(Учёт!$K:$K,Учёт!$H:$H,Табель!B29,Учёт!$E:$E,E$7)+SUMIFS(Учёт!$K:$K,Учёт!$H:$H,Табель!B29,Учёт!$F:$F,E$7)+SUMIFS(Учёт!$K:$K,Учёт!$H:$H,Табель!B29,Учёт!$E:$E,G$7)+SUMIFS(Учёт!$K:$K,Учёт!$H:$H,Табель!B29,Учёт!$F:$F,G$7)+SUMIFS(Учёт!$K:$K,Учёт!$H:$H,Табель!B29,Учёт!$E:$E,I$7)+SUMIFS(Учёт!$K:$K,Учёт!$H:$H,Табель!B29,Учёт!$F:$F,I$7)+SUMIFS(Учёт!$K:$K,Учёт!$H:$H,Табель!B29,Учёт!$E:$E,K$7)+SUMIFS(Учёт!$K:$K,Учёт!$H:$H,Табель!B29,Учёт!$F:$F,K$7)+SUMIFS(Учёт!$K:$K,Учёт!$H:$H,Табель!B29,Учёт!$E:$E,M$7)+SUMIFS(Учёт!$K:$K,Учёт!$H:$H,Табель!B29,Учёт!$F:$F,M$7)+SUMIFS(Учёт!$K:$K,Учёт!$H:$H,Табель!B29,Учёт!$E:$E,O$7)+SUMIFS(Учёт!$K:$K,Учёт!$H:$H,Табель!B29,Учёт!$F:$F,O$7),0)</f>
        <v>0</v>
      </c>
      <c r="S29" s="86"/>
      <c r="T29" s="86"/>
      <c r="U29" s="77">
        <v>20</v>
      </c>
      <c r="V29" s="88"/>
      <c r="W29" s="82"/>
      <c r="X29" s="83"/>
      <c r="Y29" s="82"/>
      <c r="Z29" s="83"/>
      <c r="AA29" s="82"/>
      <c r="AB29" s="83"/>
      <c r="AC29" s="82"/>
      <c r="AD29" s="83"/>
      <c r="AE29" s="82"/>
      <c r="AF29" s="83"/>
      <c r="AG29" s="82"/>
      <c r="AH29" s="83"/>
      <c r="AI29" s="82"/>
      <c r="AJ29" s="83"/>
      <c r="AK29" s="86">
        <f t="shared" si="9"/>
        <v>0</v>
      </c>
      <c r="AL29" s="98">
        <f>ROUNDUP(SUMIFS(Учёт!$K:$K,Учёт!$H:$H,Табель!V29,Учёт!$E:$E,W$7)+SUMIFS(Учёт!$K:$K,Учёт!$H:$H,Табель!V29,Учёт!$F:$F,W$7)+SUMIFS(Учёт!$K:$K,Учёт!$H:$H,Табель!V29,Учёт!$E:$E,Y$7)+SUMIFS(Учёт!$K:$K,Учёт!$H:$H,Табель!V29,Учёт!$F:$F,Y$7)+SUMIFS(Учёт!$K:$K,Учёт!$H:$H,Табель!V29,Учёт!$E:$E,AA$7)+SUMIFS(Учёт!$K:$K,Учёт!$H:$H,Табель!V29,Учёт!$F:$F,AA$7)+SUMIFS(Учёт!$K:$K,Учёт!$H:$H,Табель!V29,Учёт!$E:$E,AC$7)+SUMIFS(Учёт!$K:$K,Учёт!$H:$H,Табель!V29,Учёт!$F:$F,AC$7)+SUMIFS(Учёт!$K:$K,Учёт!$H:$H,Табель!V29,Учёт!$E:$E,AE$7)+SUMIFS(Учёт!$K:$K,Учёт!$H:$H,Табель!V29,Учёт!$F:$F,AE$7)+SUMIFS(Учёт!$K:$K,Учёт!$H:$H,Табель!V29,Учёт!$E:$E,AG$7)+SUMIFS(Учёт!$K:$K,Учёт!$H:$H,Табель!V29,Учёт!$F:$F,AG$7)+SUMIFS(Учёт!$K:$K,Учёт!$H:$H,Табель!V29,Учёт!$E:$E,AI$7)+SUMIFS(Учёт!$K:$K,Учёт!$H:$H,Табель!V29,Учёт!$F:$F,AI$7),0)</f>
        <v>0</v>
      </c>
      <c r="AM29" s="86"/>
      <c r="AN29" s="86"/>
    </row>
    <row r="30" spans="1:40" ht="47.4" customHeight="1">
      <c r="A30" s="77">
        <v>21</v>
      </c>
      <c r="B30" s="149" t="s">
        <v>137</v>
      </c>
      <c r="C30" s="82"/>
      <c r="D30" s="83"/>
      <c r="E30" s="82"/>
      <c r="F30" s="83">
        <v>1</v>
      </c>
      <c r="G30" s="82"/>
      <c r="H30" s="83">
        <v>1</v>
      </c>
      <c r="I30" s="82"/>
      <c r="J30" s="83">
        <v>2</v>
      </c>
      <c r="K30" s="82"/>
      <c r="L30" s="83">
        <v>1</v>
      </c>
      <c r="M30" s="82"/>
      <c r="N30" s="83"/>
      <c r="O30" s="82"/>
      <c r="P30" s="83">
        <v>1</v>
      </c>
      <c r="Q30" s="86">
        <f t="shared" si="8"/>
        <v>4</v>
      </c>
      <c r="R30" s="98">
        <f>ROUNDUP(SUMIFS(Учёт!$K:$K,Учёт!$H:$H,Табель!B30,Учёт!$E:$E,C$7)+SUMIFS(Учёт!$K:$K,Учёт!$H:$H,Табель!B30,Учёт!$F:$F,C$7)+SUMIFS(Учёт!$K:$K,Учёт!$H:$H,Табель!B30,Учёт!$E:$E,E$7)+SUMIFS(Учёт!$K:$K,Учёт!$H:$H,Табель!B30,Учёт!$F:$F,E$7)+SUMIFS(Учёт!$K:$K,Учёт!$H:$H,Табель!B30,Учёт!$E:$E,G$7)+SUMIFS(Учёт!$K:$K,Учёт!$H:$H,Табель!B30,Учёт!$F:$F,G$7)+SUMIFS(Учёт!$K:$K,Учёт!$H:$H,Табель!B30,Учёт!$E:$E,I$7)+SUMIFS(Учёт!$K:$K,Учёт!$H:$H,Табель!B30,Учёт!$F:$F,I$7)+SUMIFS(Учёт!$K:$K,Учёт!$H:$H,Табель!B30,Учёт!$E:$E,K$7)+SUMIFS(Учёт!$K:$K,Учёт!$H:$H,Табель!B30,Учёт!$F:$F,K$7)+SUMIFS(Учёт!$K:$K,Учёт!$H:$H,Табель!B30,Учёт!$E:$E,M$7)+SUMIFS(Учёт!$K:$K,Учёт!$H:$H,Табель!B30,Учёт!$F:$F,M$7)+SUMIFS(Учёт!$K:$K,Учёт!$H:$H,Табель!B30,Учёт!$E:$E,O$7)+SUMIFS(Учёт!$K:$K,Учёт!$H:$H,Табель!B30,Учёт!$F:$F,O$7),0)</f>
        <v>0</v>
      </c>
      <c r="S30" s="86"/>
      <c r="T30" s="86"/>
      <c r="U30" s="77">
        <v>21</v>
      </c>
      <c r="V30" s="149"/>
      <c r="W30" s="82"/>
      <c r="X30" s="83"/>
      <c r="Y30" s="82"/>
      <c r="Z30" s="83"/>
      <c r="AA30" s="82"/>
      <c r="AB30" s="83"/>
      <c r="AC30" s="82"/>
      <c r="AD30" s="83"/>
      <c r="AE30" s="82"/>
      <c r="AF30" s="83"/>
      <c r="AG30" s="82"/>
      <c r="AH30" s="83"/>
      <c r="AI30" s="82"/>
      <c r="AJ30" s="83"/>
      <c r="AK30" s="86">
        <f t="shared" si="9"/>
        <v>0</v>
      </c>
      <c r="AL30" s="98">
        <f>ROUNDUP(SUMIFS(Учёт!$K:$K,Учёт!$H:$H,Табель!V30,Учёт!$E:$E,W$7)+SUMIFS(Учёт!$K:$K,Учёт!$H:$H,Табель!V30,Учёт!$F:$F,W$7)+SUMIFS(Учёт!$K:$K,Учёт!$H:$H,Табель!V30,Учёт!$E:$E,Y$7)+SUMIFS(Учёт!$K:$K,Учёт!$H:$H,Табель!V30,Учёт!$F:$F,Y$7)+SUMIFS(Учёт!$K:$K,Учёт!$H:$H,Табель!V30,Учёт!$E:$E,AA$7)+SUMIFS(Учёт!$K:$K,Учёт!$H:$H,Табель!V30,Учёт!$F:$F,AA$7)+SUMIFS(Учёт!$K:$K,Учёт!$H:$H,Табель!V30,Учёт!$E:$E,AC$7)+SUMIFS(Учёт!$K:$K,Учёт!$H:$H,Табель!V30,Учёт!$F:$F,AC$7)+SUMIFS(Учёт!$K:$K,Учёт!$H:$H,Табель!V30,Учёт!$E:$E,AE$7)+SUMIFS(Учёт!$K:$K,Учёт!$H:$H,Табель!V30,Учёт!$F:$F,AE$7)+SUMIFS(Учёт!$K:$K,Учёт!$H:$H,Табель!V30,Учёт!$E:$E,AG$7)+SUMIFS(Учёт!$K:$K,Учёт!$H:$H,Табель!V30,Учёт!$F:$F,AG$7)+SUMIFS(Учёт!$K:$K,Учёт!$H:$H,Табель!V30,Учёт!$E:$E,AI$7)+SUMIFS(Учёт!$K:$K,Учёт!$H:$H,Табель!V30,Учёт!$F:$F,AI$7),0)</f>
        <v>0</v>
      </c>
      <c r="AM30" s="86"/>
      <c r="AN30" s="86"/>
    </row>
    <row r="31" spans="1:40" ht="47.4" customHeight="1">
      <c r="A31" s="77">
        <v>22</v>
      </c>
      <c r="B31" s="149" t="s">
        <v>157</v>
      </c>
      <c r="C31" s="82">
        <v>1</v>
      </c>
      <c r="D31" s="83"/>
      <c r="E31" s="82"/>
      <c r="F31" s="83"/>
      <c r="G31" s="82"/>
      <c r="H31" s="83"/>
      <c r="I31" s="82">
        <v>1</v>
      </c>
      <c r="J31" s="83"/>
      <c r="K31" s="82"/>
      <c r="L31" s="83"/>
      <c r="M31" s="82"/>
      <c r="N31" s="83"/>
      <c r="O31" s="82">
        <v>1</v>
      </c>
      <c r="P31" s="83"/>
      <c r="Q31" s="86">
        <f t="shared" si="8"/>
        <v>3</v>
      </c>
      <c r="R31" s="98">
        <f>ROUNDUP(SUMIFS(Учёт!$K:$K,Учёт!$H:$H,Табель!B31,Учёт!$E:$E,C$7)+SUMIFS(Учёт!$K:$K,Учёт!$H:$H,Табель!B31,Учёт!$F:$F,C$7)+SUMIFS(Учёт!$K:$K,Учёт!$H:$H,Табель!B31,Учёт!$E:$E,E$7)+SUMIFS(Учёт!$K:$K,Учёт!$H:$H,Табель!B31,Учёт!$F:$F,E$7)+SUMIFS(Учёт!$K:$K,Учёт!$H:$H,Табель!B31,Учёт!$E:$E,G$7)+SUMIFS(Учёт!$K:$K,Учёт!$H:$H,Табель!B31,Учёт!$F:$F,G$7)+SUMIFS(Учёт!$K:$K,Учёт!$H:$H,Табель!B31,Учёт!$E:$E,I$7)+SUMIFS(Учёт!$K:$K,Учёт!$H:$H,Табель!B31,Учёт!$F:$F,I$7)+SUMIFS(Учёт!$K:$K,Учёт!$H:$H,Табель!B31,Учёт!$E:$E,K$7)+SUMIFS(Учёт!$K:$K,Учёт!$H:$H,Табель!B31,Учёт!$F:$F,K$7)+SUMIFS(Учёт!$K:$K,Учёт!$H:$H,Табель!B31,Учёт!$E:$E,M$7)+SUMIFS(Учёт!$K:$K,Учёт!$H:$H,Табель!B31,Учёт!$F:$F,M$7)+SUMIFS(Учёт!$K:$K,Учёт!$H:$H,Табель!B31,Учёт!$E:$E,O$7)+SUMIFS(Учёт!$K:$K,Учёт!$H:$H,Табель!B31,Учёт!$F:$F,O$7),0)</f>
        <v>0</v>
      </c>
      <c r="S31" s="86"/>
      <c r="T31" s="86"/>
      <c r="U31" s="77">
        <v>22</v>
      </c>
      <c r="V31" s="149"/>
      <c r="W31" s="82"/>
      <c r="X31" s="83"/>
      <c r="Y31" s="82"/>
      <c r="Z31" s="83"/>
      <c r="AA31" s="82"/>
      <c r="AB31" s="83"/>
      <c r="AC31" s="82"/>
      <c r="AD31" s="83"/>
      <c r="AE31" s="82"/>
      <c r="AF31" s="83"/>
      <c r="AG31" s="82"/>
      <c r="AH31" s="83"/>
      <c r="AI31" s="82"/>
      <c r="AJ31" s="83"/>
      <c r="AK31" s="86">
        <f t="shared" si="9"/>
        <v>0</v>
      </c>
      <c r="AL31" s="98">
        <f>ROUNDUP(SUMIFS(Учёт!$K:$K,Учёт!$H:$H,Табель!V31,Учёт!$E:$E,W$7)+SUMIFS(Учёт!$K:$K,Учёт!$H:$H,Табель!V31,Учёт!$F:$F,W$7)+SUMIFS(Учёт!$K:$K,Учёт!$H:$H,Табель!V31,Учёт!$E:$E,Y$7)+SUMIFS(Учёт!$K:$K,Учёт!$H:$H,Табель!V31,Учёт!$F:$F,Y$7)+SUMIFS(Учёт!$K:$K,Учёт!$H:$H,Табель!V31,Учёт!$E:$E,AA$7)+SUMIFS(Учёт!$K:$K,Учёт!$H:$H,Табель!V31,Учёт!$F:$F,AA$7)+SUMIFS(Учёт!$K:$K,Учёт!$H:$H,Табель!V31,Учёт!$E:$E,AC$7)+SUMIFS(Учёт!$K:$K,Учёт!$H:$H,Табель!V31,Учёт!$F:$F,AC$7)+SUMIFS(Учёт!$K:$K,Учёт!$H:$H,Табель!V31,Учёт!$E:$E,AE$7)+SUMIFS(Учёт!$K:$K,Учёт!$H:$H,Табель!V31,Учёт!$F:$F,AE$7)+SUMIFS(Учёт!$K:$K,Учёт!$H:$H,Табель!V31,Учёт!$E:$E,AG$7)+SUMIFS(Учёт!$K:$K,Учёт!$H:$H,Табель!V31,Учёт!$F:$F,AG$7)+SUMIFS(Учёт!$K:$K,Учёт!$H:$H,Табель!V31,Учёт!$E:$E,AI$7)+SUMIFS(Учёт!$K:$K,Учёт!$H:$H,Табель!V31,Учёт!$F:$F,AI$7),0)</f>
        <v>0</v>
      </c>
      <c r="AM31" s="86"/>
      <c r="AN31" s="86"/>
    </row>
    <row r="32" spans="1:40" ht="47.4" customHeight="1">
      <c r="A32" s="77">
        <v>23</v>
      </c>
      <c r="B32" s="161" t="s">
        <v>148</v>
      </c>
      <c r="C32" s="82">
        <v>2</v>
      </c>
      <c r="D32" s="83"/>
      <c r="E32" s="82"/>
      <c r="F32" s="83"/>
      <c r="G32" s="82"/>
      <c r="H32" s="83"/>
      <c r="I32" s="82"/>
      <c r="J32" s="83"/>
      <c r="K32" s="82"/>
      <c r="L32" s="83"/>
      <c r="M32" s="82"/>
      <c r="N32" s="83"/>
      <c r="O32" s="82"/>
      <c r="P32" s="83"/>
      <c r="Q32" s="86">
        <f t="shared" si="8"/>
        <v>0</v>
      </c>
      <c r="R32" s="98">
        <f>ROUNDUP(SUMIFS(Учёт!$K:$K,Учёт!$H:$H,Табель!B32,Учёт!$E:$E,C$7)+SUMIFS(Учёт!$K:$K,Учёт!$H:$H,Табель!B32,Учёт!$F:$F,C$7)+SUMIFS(Учёт!$K:$K,Учёт!$H:$H,Табель!B32,Учёт!$E:$E,E$7)+SUMIFS(Учёт!$K:$K,Учёт!$H:$H,Табель!B32,Учёт!$F:$F,E$7)+SUMIFS(Учёт!$K:$K,Учёт!$H:$H,Табель!B32,Учёт!$E:$E,G$7)+SUMIFS(Учёт!$K:$K,Учёт!$H:$H,Табель!B32,Учёт!$F:$F,G$7)+SUMIFS(Учёт!$K:$K,Учёт!$H:$H,Табель!B32,Учёт!$E:$E,I$7)+SUMIFS(Учёт!$K:$K,Учёт!$H:$H,Табель!B32,Учёт!$F:$F,I$7)+SUMIFS(Учёт!$K:$K,Учёт!$H:$H,Табель!B32,Учёт!$E:$E,K$7)+SUMIFS(Учёт!$K:$K,Учёт!$H:$H,Табель!B32,Учёт!$F:$F,K$7)+SUMIFS(Учёт!$K:$K,Учёт!$H:$H,Табель!B32,Учёт!$E:$E,M$7)+SUMIFS(Учёт!$K:$K,Учёт!$H:$H,Табель!B32,Учёт!$F:$F,M$7)+SUMIFS(Учёт!$K:$K,Учёт!$H:$H,Табель!B32,Учёт!$E:$E,O$7)+SUMIFS(Учёт!$K:$K,Учёт!$H:$H,Табель!B32,Учёт!$F:$F,O$7),0)</f>
        <v>0</v>
      </c>
      <c r="S32" s="86"/>
      <c r="T32" s="86"/>
      <c r="U32" s="77">
        <v>23</v>
      </c>
      <c r="V32" s="161"/>
      <c r="W32" s="82"/>
      <c r="X32" s="83"/>
      <c r="Y32" s="82"/>
      <c r="Z32" s="83"/>
      <c r="AA32" s="82"/>
      <c r="AB32" s="83"/>
      <c r="AC32" s="82"/>
      <c r="AD32" s="83"/>
      <c r="AE32" s="82"/>
      <c r="AF32" s="83"/>
      <c r="AG32" s="82"/>
      <c r="AH32" s="83"/>
      <c r="AI32" s="82"/>
      <c r="AJ32" s="83"/>
      <c r="AK32" s="86">
        <f t="shared" si="9"/>
        <v>0</v>
      </c>
      <c r="AL32" s="98">
        <f>ROUNDUP(SUMIFS(Учёт!$K:$K,Учёт!$H:$H,Табель!V32,Учёт!$E:$E,W$7)+SUMIFS(Учёт!$K:$K,Учёт!$H:$H,Табель!V32,Учёт!$F:$F,W$7)+SUMIFS(Учёт!$K:$K,Учёт!$H:$H,Табель!V32,Учёт!$E:$E,Y$7)+SUMIFS(Учёт!$K:$K,Учёт!$H:$H,Табель!V32,Учёт!$F:$F,Y$7)+SUMIFS(Учёт!$K:$K,Учёт!$H:$H,Табель!V32,Учёт!$E:$E,AA$7)+SUMIFS(Учёт!$K:$K,Учёт!$H:$H,Табель!V32,Учёт!$F:$F,AA$7)+SUMIFS(Учёт!$K:$K,Учёт!$H:$H,Табель!V32,Учёт!$E:$E,AC$7)+SUMIFS(Учёт!$K:$K,Учёт!$H:$H,Табель!V32,Учёт!$F:$F,AC$7)+SUMIFS(Учёт!$K:$K,Учёт!$H:$H,Табель!V32,Учёт!$E:$E,AE$7)+SUMIFS(Учёт!$K:$K,Учёт!$H:$H,Табель!V32,Учёт!$F:$F,AE$7)+SUMIFS(Учёт!$K:$K,Учёт!$H:$H,Табель!V32,Учёт!$E:$E,AG$7)+SUMIFS(Учёт!$K:$K,Учёт!$H:$H,Табель!V32,Учёт!$F:$F,AG$7)+SUMIFS(Учёт!$K:$K,Учёт!$H:$H,Табель!V32,Учёт!$E:$E,AI$7)+SUMIFS(Учёт!$K:$K,Учёт!$H:$H,Табель!V32,Учёт!$F:$F,AI$7),0)</f>
        <v>0</v>
      </c>
      <c r="AM32" s="86"/>
      <c r="AN32" s="86"/>
    </row>
    <row r="33" spans="1:40" ht="47.4" customHeight="1">
      <c r="A33" s="77">
        <v>24</v>
      </c>
      <c r="B33" s="87" t="s">
        <v>155</v>
      </c>
      <c r="C33" s="82">
        <v>2</v>
      </c>
      <c r="D33" s="83"/>
      <c r="E33" s="82">
        <v>1</v>
      </c>
      <c r="F33" s="83"/>
      <c r="G33" s="82"/>
      <c r="H33" s="83"/>
      <c r="I33" s="82"/>
      <c r="J33" s="83"/>
      <c r="K33" s="82"/>
      <c r="L33" s="83"/>
      <c r="M33" s="82"/>
      <c r="N33" s="83"/>
      <c r="O33" s="82"/>
      <c r="P33" s="83"/>
      <c r="Q33" s="86">
        <f t="shared" si="8"/>
        <v>1</v>
      </c>
      <c r="R33" s="98">
        <f>ROUNDUP(SUMIFS(Учёт!$K:$K,Учёт!$H:$H,Табель!B33,Учёт!$E:$E,C$7)+SUMIFS(Учёт!$K:$K,Учёт!$H:$H,Табель!B33,Учёт!$F:$F,C$7)+SUMIFS(Учёт!$K:$K,Учёт!$H:$H,Табель!B33,Учёт!$E:$E,E$7)+SUMIFS(Учёт!$K:$K,Учёт!$H:$H,Табель!B33,Учёт!$F:$F,E$7)+SUMIFS(Учёт!$K:$K,Учёт!$H:$H,Табель!B33,Учёт!$E:$E,G$7)+SUMIFS(Учёт!$K:$K,Учёт!$H:$H,Табель!B33,Учёт!$F:$F,G$7)+SUMIFS(Учёт!$K:$K,Учёт!$H:$H,Табель!B33,Учёт!$E:$E,I$7)+SUMIFS(Учёт!$K:$K,Учёт!$H:$H,Табель!B33,Учёт!$F:$F,I$7)+SUMIFS(Учёт!$K:$K,Учёт!$H:$H,Табель!B33,Учёт!$E:$E,K$7)+SUMIFS(Учёт!$K:$K,Учёт!$H:$H,Табель!B33,Учёт!$F:$F,K$7)+SUMIFS(Учёт!$K:$K,Учёт!$H:$H,Табель!B33,Учёт!$E:$E,M$7)+SUMIFS(Учёт!$K:$K,Учёт!$H:$H,Табель!B33,Учёт!$F:$F,M$7)+SUMIFS(Учёт!$K:$K,Учёт!$H:$H,Табель!B33,Учёт!$E:$E,O$7)+SUMIFS(Учёт!$K:$K,Учёт!$H:$H,Табель!B33,Учёт!$F:$F,O$7),0)</f>
        <v>0</v>
      </c>
      <c r="S33" s="86"/>
      <c r="T33" s="86"/>
      <c r="U33" s="77">
        <v>24</v>
      </c>
      <c r="V33" s="87"/>
      <c r="W33" s="82"/>
      <c r="X33" s="83"/>
      <c r="Y33" s="82"/>
      <c r="Z33" s="83"/>
      <c r="AA33" s="82"/>
      <c r="AB33" s="83"/>
      <c r="AC33" s="82"/>
      <c r="AD33" s="83"/>
      <c r="AE33" s="82"/>
      <c r="AF33" s="83"/>
      <c r="AG33" s="82"/>
      <c r="AH33" s="83"/>
      <c r="AI33" s="82"/>
      <c r="AJ33" s="83"/>
      <c r="AK33" s="86">
        <f t="shared" si="9"/>
        <v>0</v>
      </c>
      <c r="AL33" s="98">
        <f>ROUNDUP(SUMIFS(Учёт!$K:$K,Учёт!$H:$H,Табель!V33,Учёт!$E:$E,W$7)+SUMIFS(Учёт!$K:$K,Учёт!$H:$H,Табель!V33,Учёт!$F:$F,W$7)+SUMIFS(Учёт!$K:$K,Учёт!$H:$H,Табель!V33,Учёт!$E:$E,Y$7)+SUMIFS(Учёт!$K:$K,Учёт!$H:$H,Табель!V33,Учёт!$F:$F,Y$7)+SUMIFS(Учёт!$K:$K,Учёт!$H:$H,Табель!V33,Учёт!$E:$E,AA$7)+SUMIFS(Учёт!$K:$K,Учёт!$H:$H,Табель!V33,Учёт!$F:$F,AA$7)+SUMIFS(Учёт!$K:$K,Учёт!$H:$H,Табель!V33,Учёт!$E:$E,AC$7)+SUMIFS(Учёт!$K:$K,Учёт!$H:$H,Табель!V33,Учёт!$F:$F,AC$7)+SUMIFS(Учёт!$K:$K,Учёт!$H:$H,Табель!V33,Учёт!$E:$E,AE$7)+SUMIFS(Учёт!$K:$K,Учёт!$H:$H,Табель!V33,Учёт!$F:$F,AE$7)+SUMIFS(Учёт!$K:$K,Учёт!$H:$H,Табель!V33,Учёт!$E:$E,AG$7)+SUMIFS(Учёт!$K:$K,Учёт!$H:$H,Табель!V33,Учёт!$F:$F,AG$7)+SUMIFS(Учёт!$K:$K,Учёт!$H:$H,Табель!V33,Учёт!$E:$E,AI$7)+SUMIFS(Учёт!$K:$K,Учёт!$H:$H,Табель!V33,Учёт!$F:$F,AI$7),0)</f>
        <v>0</v>
      </c>
      <c r="AM33" s="86"/>
      <c r="AN33" s="86"/>
    </row>
    <row r="34" spans="1:40" ht="47.4" customHeight="1">
      <c r="A34" s="77">
        <v>25</v>
      </c>
      <c r="B34" s="88" t="s">
        <v>100</v>
      </c>
      <c r="C34" s="82"/>
      <c r="D34" s="83"/>
      <c r="E34" s="82"/>
      <c r="F34" s="83"/>
      <c r="G34" s="82"/>
      <c r="H34" s="83"/>
      <c r="I34" s="82"/>
      <c r="J34" s="83"/>
      <c r="K34" s="82"/>
      <c r="L34" s="83"/>
      <c r="M34" s="82"/>
      <c r="N34" s="83"/>
      <c r="O34" s="82"/>
      <c r="P34" s="83"/>
      <c r="Q34" s="86">
        <f t="shared" si="8"/>
        <v>0</v>
      </c>
      <c r="R34" s="98">
        <f>ROUNDUP(SUMIFS(Учёт!$K:$K,Учёт!$H:$H,Табель!B34,Учёт!$E:$E,C$7)+SUMIFS(Учёт!$K:$K,Учёт!$H:$H,Табель!B34,Учёт!$F:$F,C$7)+SUMIFS(Учёт!$K:$K,Учёт!$H:$H,Табель!B34,Учёт!$E:$E,E$7)+SUMIFS(Учёт!$K:$K,Учёт!$H:$H,Табель!B34,Учёт!$F:$F,E$7)+SUMIFS(Учёт!$K:$K,Учёт!$H:$H,Табель!B34,Учёт!$E:$E,G$7)+SUMIFS(Учёт!$K:$K,Учёт!$H:$H,Табель!B34,Учёт!$F:$F,G$7)+SUMIFS(Учёт!$K:$K,Учёт!$H:$H,Табель!B34,Учёт!$E:$E,I$7)+SUMIFS(Учёт!$K:$K,Учёт!$H:$H,Табель!B34,Учёт!$F:$F,I$7)+SUMIFS(Учёт!$K:$K,Учёт!$H:$H,Табель!B34,Учёт!$E:$E,K$7)+SUMIFS(Учёт!$K:$K,Учёт!$H:$H,Табель!B34,Учёт!$F:$F,K$7)+SUMIFS(Учёт!$K:$K,Учёт!$H:$H,Табель!B34,Учёт!$E:$E,M$7)+SUMIFS(Учёт!$K:$K,Учёт!$H:$H,Табель!B34,Учёт!$F:$F,M$7)+SUMIFS(Учёт!$K:$K,Учёт!$H:$H,Табель!B34,Учёт!$E:$E,O$7)+SUMIFS(Учёт!$K:$K,Учёт!$H:$H,Табель!B34,Учёт!$F:$F,O$7),0)</f>
        <v>0</v>
      </c>
      <c r="S34" s="86"/>
      <c r="T34" s="86"/>
      <c r="U34" s="77">
        <v>25</v>
      </c>
      <c r="V34" s="88"/>
      <c r="W34" s="82"/>
      <c r="X34" s="83"/>
      <c r="Y34" s="82"/>
      <c r="Z34" s="83"/>
      <c r="AA34" s="82"/>
      <c r="AB34" s="83"/>
      <c r="AC34" s="82"/>
      <c r="AD34" s="83"/>
      <c r="AE34" s="82"/>
      <c r="AF34" s="83"/>
      <c r="AG34" s="82"/>
      <c r="AH34" s="83"/>
      <c r="AI34" s="82"/>
      <c r="AJ34" s="83"/>
      <c r="AK34" s="86">
        <f t="shared" si="9"/>
        <v>0</v>
      </c>
      <c r="AL34" s="98">
        <f>ROUNDUP(SUMIFS(Учёт!$K:$K,Учёт!$H:$H,Табель!V34,Учёт!$E:$E,W$7)+SUMIFS(Учёт!$K:$K,Учёт!$H:$H,Табель!V34,Учёт!$F:$F,W$7)+SUMIFS(Учёт!$K:$K,Учёт!$H:$H,Табель!V34,Учёт!$E:$E,Y$7)+SUMIFS(Учёт!$K:$K,Учёт!$H:$H,Табель!V34,Учёт!$F:$F,Y$7)+SUMIFS(Учёт!$K:$K,Учёт!$H:$H,Табель!V34,Учёт!$E:$E,AA$7)+SUMIFS(Учёт!$K:$K,Учёт!$H:$H,Табель!V34,Учёт!$F:$F,AA$7)+SUMIFS(Учёт!$K:$K,Учёт!$H:$H,Табель!V34,Учёт!$E:$E,AC$7)+SUMIFS(Учёт!$K:$K,Учёт!$H:$H,Табель!V34,Учёт!$F:$F,AC$7)+SUMIFS(Учёт!$K:$K,Учёт!$H:$H,Табель!V34,Учёт!$E:$E,AE$7)+SUMIFS(Учёт!$K:$K,Учёт!$H:$H,Табель!V34,Учёт!$F:$F,AE$7)+SUMIFS(Учёт!$K:$K,Учёт!$H:$H,Табель!V34,Учёт!$E:$E,AG$7)+SUMIFS(Учёт!$K:$K,Учёт!$H:$H,Табель!V34,Учёт!$F:$F,AG$7)+SUMIFS(Учёт!$K:$K,Учёт!$H:$H,Табель!V34,Учёт!$E:$E,AI$7)+SUMIFS(Учёт!$K:$K,Учёт!$H:$H,Табель!V34,Учёт!$F:$F,AI$7),0)</f>
        <v>0</v>
      </c>
      <c r="AM34" s="86"/>
      <c r="AN34" s="86"/>
    </row>
    <row r="35" spans="1:40" ht="47.4" customHeight="1">
      <c r="A35" s="77">
        <v>26</v>
      </c>
      <c r="B35" s="88" t="s">
        <v>151</v>
      </c>
      <c r="C35" s="82"/>
      <c r="D35" s="83"/>
      <c r="E35" s="82"/>
      <c r="F35" s="83"/>
      <c r="G35" s="82"/>
      <c r="H35" s="83"/>
      <c r="I35" s="82"/>
      <c r="J35" s="83"/>
      <c r="K35" s="82"/>
      <c r="L35" s="83"/>
      <c r="M35" s="82"/>
      <c r="N35" s="83"/>
      <c r="O35" s="82"/>
      <c r="P35" s="83"/>
      <c r="Q35" s="86">
        <f t="shared" si="8"/>
        <v>0</v>
      </c>
      <c r="R35" s="98">
        <f>ROUNDUP(SUMIFS(Учёт!$K:$K,Учёт!$H:$H,Табель!B35,Учёт!$E:$E,C$7)+SUMIFS(Учёт!$K:$K,Учёт!$H:$H,Табель!B35,Учёт!$F:$F,C$7)+SUMIFS(Учёт!$K:$K,Учёт!$H:$H,Табель!B35,Учёт!$E:$E,E$7)+SUMIFS(Учёт!$K:$K,Учёт!$H:$H,Табель!B35,Учёт!$F:$F,E$7)+SUMIFS(Учёт!$K:$K,Учёт!$H:$H,Табель!B35,Учёт!$E:$E,G$7)+SUMIFS(Учёт!$K:$K,Учёт!$H:$H,Табель!B35,Учёт!$F:$F,G$7)+SUMIFS(Учёт!$K:$K,Учёт!$H:$H,Табель!B35,Учёт!$E:$E,I$7)+SUMIFS(Учёт!$K:$K,Учёт!$H:$H,Табель!B35,Учёт!$F:$F,I$7)+SUMIFS(Учёт!$K:$K,Учёт!$H:$H,Табель!B35,Учёт!$E:$E,K$7)+SUMIFS(Учёт!$K:$K,Учёт!$H:$H,Табель!B35,Учёт!$F:$F,K$7)+SUMIFS(Учёт!$K:$K,Учёт!$H:$H,Табель!B35,Учёт!$E:$E,M$7)+SUMIFS(Учёт!$K:$K,Учёт!$H:$H,Табель!B35,Учёт!$F:$F,M$7)+SUMIFS(Учёт!$K:$K,Учёт!$H:$H,Табель!B35,Учёт!$E:$E,O$7)+SUMIFS(Учёт!$K:$K,Учёт!$H:$H,Табель!B35,Учёт!$F:$F,O$7),0)</f>
        <v>0</v>
      </c>
      <c r="S35" s="86"/>
      <c r="T35" s="86"/>
      <c r="U35" s="77">
        <v>26</v>
      </c>
      <c r="V35" s="88"/>
      <c r="W35" s="82"/>
      <c r="X35" s="83"/>
      <c r="Y35" s="82"/>
      <c r="Z35" s="83"/>
      <c r="AA35" s="82"/>
      <c r="AB35" s="83"/>
      <c r="AC35" s="82"/>
      <c r="AD35" s="83"/>
      <c r="AE35" s="82"/>
      <c r="AF35" s="83"/>
      <c r="AG35" s="82"/>
      <c r="AH35" s="83"/>
      <c r="AI35" s="82"/>
      <c r="AJ35" s="83"/>
      <c r="AK35" s="86">
        <f t="shared" si="9"/>
        <v>0</v>
      </c>
      <c r="AL35" s="98">
        <f>ROUNDUP(SUMIFS(Учёт!$K:$K,Учёт!$H:$H,Табель!V35,Учёт!$E:$E,W$7)+SUMIFS(Учёт!$K:$K,Учёт!$H:$H,Табель!V35,Учёт!$F:$F,W$7)+SUMIFS(Учёт!$K:$K,Учёт!$H:$H,Табель!V35,Учёт!$E:$E,Y$7)+SUMIFS(Учёт!$K:$K,Учёт!$H:$H,Табель!V35,Учёт!$F:$F,Y$7)+SUMIFS(Учёт!$K:$K,Учёт!$H:$H,Табель!V35,Учёт!$E:$E,AA$7)+SUMIFS(Учёт!$K:$K,Учёт!$H:$H,Табель!V35,Учёт!$F:$F,AA$7)+SUMIFS(Учёт!$K:$K,Учёт!$H:$H,Табель!V35,Учёт!$E:$E,AC$7)+SUMIFS(Учёт!$K:$K,Учёт!$H:$H,Табель!V35,Учёт!$F:$F,AC$7)+SUMIFS(Учёт!$K:$K,Учёт!$H:$H,Табель!V35,Учёт!$E:$E,AE$7)+SUMIFS(Учёт!$K:$K,Учёт!$H:$H,Табель!V35,Учёт!$F:$F,AE$7)+SUMIFS(Учёт!$K:$K,Учёт!$H:$H,Табель!V35,Учёт!$E:$E,AG$7)+SUMIFS(Учёт!$K:$K,Учёт!$H:$H,Табель!V35,Учёт!$F:$F,AG$7)+SUMIFS(Учёт!$K:$K,Учёт!$H:$H,Табель!V35,Учёт!$E:$E,AI$7)+SUMIFS(Учёт!$K:$K,Учёт!$H:$H,Табель!V35,Учёт!$F:$F,AI$7),0)</f>
        <v>0</v>
      </c>
      <c r="AM35" s="86"/>
      <c r="AN35" s="86"/>
    </row>
    <row r="36" spans="1:40" ht="47.4" customHeight="1">
      <c r="A36" s="77">
        <v>27</v>
      </c>
      <c r="B36" s="88"/>
      <c r="C36" s="82"/>
      <c r="D36" s="83"/>
      <c r="E36" s="82"/>
      <c r="F36" s="83"/>
      <c r="G36" s="82"/>
      <c r="H36" s="83"/>
      <c r="I36" s="82"/>
      <c r="J36" s="83"/>
      <c r="K36" s="82"/>
      <c r="L36" s="83"/>
      <c r="M36" s="82"/>
      <c r="N36" s="83"/>
      <c r="O36" s="82"/>
      <c r="P36" s="83"/>
      <c r="Q36" s="86">
        <f t="shared" si="8"/>
        <v>0</v>
      </c>
      <c r="R36" s="98">
        <f>ROUNDUP(SUMIFS(Учёт!$K:$K,Учёт!$H:$H,Табель!B36,Учёт!$E:$E,C$7)+SUMIFS(Учёт!$K:$K,Учёт!$H:$H,Табель!B36,Учёт!$F:$F,C$7)+SUMIFS(Учёт!$K:$K,Учёт!$H:$H,Табель!B36,Учёт!$E:$E,E$7)+SUMIFS(Учёт!$K:$K,Учёт!$H:$H,Табель!B36,Учёт!$F:$F,E$7)+SUMIFS(Учёт!$K:$K,Учёт!$H:$H,Табель!B36,Учёт!$E:$E,G$7)+SUMIFS(Учёт!$K:$K,Учёт!$H:$H,Табель!B36,Учёт!$F:$F,G$7)+SUMIFS(Учёт!$K:$K,Учёт!$H:$H,Табель!B36,Учёт!$E:$E,I$7)+SUMIFS(Учёт!$K:$K,Учёт!$H:$H,Табель!B36,Учёт!$F:$F,I$7)+SUMIFS(Учёт!$K:$K,Учёт!$H:$H,Табель!B36,Учёт!$E:$E,K$7)+SUMIFS(Учёт!$K:$K,Учёт!$H:$H,Табель!B36,Учёт!$F:$F,K$7)+SUMIFS(Учёт!$K:$K,Учёт!$H:$H,Табель!B36,Учёт!$E:$E,M$7)+SUMIFS(Учёт!$K:$K,Учёт!$H:$H,Табель!B36,Учёт!$F:$F,M$7)+SUMIFS(Учёт!$K:$K,Учёт!$H:$H,Табель!B36,Учёт!$E:$E,O$7)+SUMIFS(Учёт!$K:$K,Учёт!$H:$H,Табель!B36,Учёт!$F:$F,O$7),0)</f>
        <v>0</v>
      </c>
      <c r="S36" s="86"/>
      <c r="T36" s="86"/>
      <c r="U36" s="77">
        <v>27</v>
      </c>
      <c r="V36" s="88"/>
      <c r="W36" s="82"/>
      <c r="X36" s="83"/>
      <c r="Y36" s="82"/>
      <c r="Z36" s="83"/>
      <c r="AA36" s="82"/>
      <c r="AB36" s="83"/>
      <c r="AC36" s="82"/>
      <c r="AD36" s="83"/>
      <c r="AE36" s="82"/>
      <c r="AF36" s="83"/>
      <c r="AG36" s="82"/>
      <c r="AH36" s="83"/>
      <c r="AI36" s="82"/>
      <c r="AJ36" s="83"/>
      <c r="AK36" s="86">
        <f t="shared" si="9"/>
        <v>0</v>
      </c>
      <c r="AL36" s="98">
        <f>ROUNDUP(SUMIFS(Учёт!$K:$K,Учёт!$H:$H,Табель!V36,Учёт!$E:$E,W$7)+SUMIFS(Учёт!$K:$K,Учёт!$H:$H,Табель!V36,Учёт!$F:$F,W$7)+SUMIFS(Учёт!$K:$K,Учёт!$H:$H,Табель!V36,Учёт!$E:$E,Y$7)+SUMIFS(Учёт!$K:$K,Учёт!$H:$H,Табель!V36,Учёт!$F:$F,Y$7)+SUMIFS(Учёт!$K:$K,Учёт!$H:$H,Табель!V36,Учёт!$E:$E,AA$7)+SUMIFS(Учёт!$K:$K,Учёт!$H:$H,Табель!V36,Учёт!$F:$F,AA$7)+SUMIFS(Учёт!$K:$K,Учёт!$H:$H,Табель!V36,Учёт!$E:$E,AC$7)+SUMIFS(Учёт!$K:$K,Учёт!$H:$H,Табель!V36,Учёт!$F:$F,AC$7)+SUMIFS(Учёт!$K:$K,Учёт!$H:$H,Табель!V36,Учёт!$E:$E,AE$7)+SUMIFS(Учёт!$K:$K,Учёт!$H:$H,Табель!V36,Учёт!$F:$F,AE$7)+SUMIFS(Учёт!$K:$K,Учёт!$H:$H,Табель!V36,Учёт!$E:$E,AG$7)+SUMIFS(Учёт!$K:$K,Учёт!$H:$H,Табель!V36,Учёт!$F:$F,AG$7)+SUMIFS(Учёт!$K:$K,Учёт!$H:$H,Табель!V36,Учёт!$E:$E,AI$7)+SUMIFS(Учёт!$K:$K,Учёт!$H:$H,Табель!V36,Учёт!$F:$F,AI$7),0)</f>
        <v>0</v>
      </c>
      <c r="AM36" s="86"/>
      <c r="AN36" s="86"/>
    </row>
    <row r="37" spans="1:40" ht="47.4" customHeight="1">
      <c r="A37" s="77">
        <v>28</v>
      </c>
      <c r="B37" s="88"/>
      <c r="C37" s="82"/>
      <c r="D37" s="83"/>
      <c r="E37" s="82"/>
      <c r="F37" s="83"/>
      <c r="G37" s="82"/>
      <c r="H37" s="83"/>
      <c r="I37" s="82"/>
      <c r="J37" s="83"/>
      <c r="K37" s="82"/>
      <c r="L37" s="83"/>
      <c r="M37" s="82"/>
      <c r="N37" s="83"/>
      <c r="O37" s="82"/>
      <c r="P37" s="83"/>
      <c r="Q37" s="86">
        <f t="shared" si="8"/>
        <v>0</v>
      </c>
      <c r="R37" s="98">
        <f>ROUNDUP(SUMIFS(Учёт!$K:$K,Учёт!$H:$H,Табель!B37,Учёт!$E:$E,C$7)+SUMIFS(Учёт!$K:$K,Учёт!$H:$H,Табель!B37,Учёт!$F:$F,C$7)+SUMIFS(Учёт!$K:$K,Учёт!$H:$H,Табель!B37,Учёт!$E:$E,E$7)+SUMIFS(Учёт!$K:$K,Учёт!$H:$H,Табель!B37,Учёт!$F:$F,E$7)+SUMIFS(Учёт!$K:$K,Учёт!$H:$H,Табель!B37,Учёт!$E:$E,G$7)+SUMIFS(Учёт!$K:$K,Учёт!$H:$H,Табель!B37,Учёт!$F:$F,G$7)+SUMIFS(Учёт!$K:$K,Учёт!$H:$H,Табель!B37,Учёт!$E:$E,I$7)+SUMIFS(Учёт!$K:$K,Учёт!$H:$H,Табель!B37,Учёт!$F:$F,I$7)+SUMIFS(Учёт!$K:$K,Учёт!$H:$H,Табель!B37,Учёт!$E:$E,K$7)+SUMIFS(Учёт!$K:$K,Учёт!$H:$H,Табель!B37,Учёт!$F:$F,K$7)+SUMIFS(Учёт!$K:$K,Учёт!$H:$H,Табель!B37,Учёт!$E:$E,M$7)+SUMIFS(Учёт!$K:$K,Учёт!$H:$H,Табель!B37,Учёт!$F:$F,M$7)+SUMIFS(Учёт!$K:$K,Учёт!$H:$H,Табель!B37,Учёт!$E:$E,O$7)+SUMIFS(Учёт!$K:$K,Учёт!$H:$H,Табель!B37,Учёт!$F:$F,O$7),0)</f>
        <v>0</v>
      </c>
      <c r="S37" s="86"/>
      <c r="T37" s="86"/>
      <c r="U37" s="77">
        <v>28</v>
      </c>
      <c r="V37" s="88"/>
      <c r="W37" s="82"/>
      <c r="X37" s="83"/>
      <c r="Y37" s="82"/>
      <c r="Z37" s="83"/>
      <c r="AA37" s="82"/>
      <c r="AB37" s="83"/>
      <c r="AC37" s="82"/>
      <c r="AD37" s="83"/>
      <c r="AE37" s="82"/>
      <c r="AF37" s="83"/>
      <c r="AG37" s="82"/>
      <c r="AH37" s="83"/>
      <c r="AI37" s="82"/>
      <c r="AJ37" s="83"/>
      <c r="AK37" s="86">
        <f t="shared" si="9"/>
        <v>0</v>
      </c>
      <c r="AL37" s="98">
        <f>ROUNDUP(SUMIFS(Учёт!$K:$K,Учёт!$H:$H,Табель!V37,Учёт!$E:$E,W$7)+SUMIFS(Учёт!$K:$K,Учёт!$H:$H,Табель!V37,Учёт!$F:$F,W$7)+SUMIFS(Учёт!$K:$K,Учёт!$H:$H,Табель!V37,Учёт!$E:$E,Y$7)+SUMIFS(Учёт!$K:$K,Учёт!$H:$H,Табель!V37,Учёт!$F:$F,Y$7)+SUMIFS(Учёт!$K:$K,Учёт!$H:$H,Табель!V37,Учёт!$E:$E,AA$7)+SUMIFS(Учёт!$K:$K,Учёт!$H:$H,Табель!V37,Учёт!$F:$F,AA$7)+SUMIFS(Учёт!$K:$K,Учёт!$H:$H,Табель!V37,Учёт!$E:$E,AC$7)+SUMIFS(Учёт!$K:$K,Учёт!$H:$H,Табель!V37,Учёт!$F:$F,AC$7)+SUMIFS(Учёт!$K:$K,Учёт!$H:$H,Табель!V37,Учёт!$E:$E,AE$7)+SUMIFS(Учёт!$K:$K,Учёт!$H:$H,Табель!V37,Учёт!$F:$F,AE$7)+SUMIFS(Учёт!$K:$K,Учёт!$H:$H,Табель!V37,Учёт!$E:$E,AG$7)+SUMIFS(Учёт!$K:$K,Учёт!$H:$H,Табель!V37,Учёт!$F:$F,AG$7)+SUMIFS(Учёт!$K:$K,Учёт!$H:$H,Табель!V37,Учёт!$E:$E,AI$7)+SUMIFS(Учёт!$K:$K,Учёт!$H:$H,Табель!V37,Учёт!$F:$F,AI$7),0)</f>
        <v>0</v>
      </c>
      <c r="AM37" s="86"/>
      <c r="AN37" s="86"/>
    </row>
    <row r="38" spans="1:40" ht="47.4" customHeight="1">
      <c r="A38" s="77">
        <v>29</v>
      </c>
      <c r="B38" s="88"/>
      <c r="C38" s="82"/>
      <c r="D38" s="83"/>
      <c r="E38" s="82"/>
      <c r="F38" s="83"/>
      <c r="G38" s="82"/>
      <c r="H38" s="83"/>
      <c r="I38" s="82"/>
      <c r="J38" s="83"/>
      <c r="K38" s="82"/>
      <c r="L38" s="83"/>
      <c r="M38" s="82"/>
      <c r="N38" s="83"/>
      <c r="O38" s="82"/>
      <c r="P38" s="83"/>
      <c r="Q38" s="86">
        <f t="shared" si="8"/>
        <v>0</v>
      </c>
      <c r="R38" s="98">
        <f>ROUNDUP(SUMIFS(Учёт!$K:$K,Учёт!$H:$H,Табель!B38,Учёт!$E:$E,C$7)+SUMIFS(Учёт!$K:$K,Учёт!$H:$H,Табель!B38,Учёт!$F:$F,C$7)+SUMIFS(Учёт!$K:$K,Учёт!$H:$H,Табель!B38,Учёт!$E:$E,E$7)+SUMIFS(Учёт!$K:$K,Учёт!$H:$H,Табель!B38,Учёт!$F:$F,E$7)+SUMIFS(Учёт!$K:$K,Учёт!$H:$H,Табель!B38,Учёт!$E:$E,G$7)+SUMIFS(Учёт!$K:$K,Учёт!$H:$H,Табель!B38,Учёт!$F:$F,G$7)+SUMIFS(Учёт!$K:$K,Учёт!$H:$H,Табель!B38,Учёт!$E:$E,I$7)+SUMIFS(Учёт!$K:$K,Учёт!$H:$H,Табель!B38,Учёт!$F:$F,I$7)+SUMIFS(Учёт!$K:$K,Учёт!$H:$H,Табель!B38,Учёт!$E:$E,K$7)+SUMIFS(Учёт!$K:$K,Учёт!$H:$H,Табель!B38,Учёт!$F:$F,K$7)+SUMIFS(Учёт!$K:$K,Учёт!$H:$H,Табель!B38,Учёт!$E:$E,M$7)+SUMIFS(Учёт!$K:$K,Учёт!$H:$H,Табель!B38,Учёт!$F:$F,M$7)+SUMIFS(Учёт!$K:$K,Учёт!$H:$H,Табель!B38,Учёт!$E:$E,O$7)+SUMIFS(Учёт!$K:$K,Учёт!$H:$H,Табель!B38,Учёт!$F:$F,O$7),0)</f>
        <v>0</v>
      </c>
      <c r="S38" s="86"/>
      <c r="T38" s="86"/>
      <c r="U38" s="77">
        <v>29</v>
      </c>
      <c r="V38" s="88"/>
      <c r="W38" s="82"/>
      <c r="X38" s="83"/>
      <c r="Y38" s="82"/>
      <c r="Z38" s="83"/>
      <c r="AA38" s="82"/>
      <c r="AB38" s="83"/>
      <c r="AC38" s="82"/>
      <c r="AD38" s="83"/>
      <c r="AE38" s="82"/>
      <c r="AF38" s="83"/>
      <c r="AG38" s="82"/>
      <c r="AH38" s="83"/>
      <c r="AI38" s="82"/>
      <c r="AJ38" s="83"/>
      <c r="AK38" s="86">
        <f t="shared" si="9"/>
        <v>0</v>
      </c>
      <c r="AL38" s="98">
        <f>ROUNDUP(SUMIFS(Учёт!$K:$K,Учёт!$H:$H,Табель!V38,Учёт!$E:$E,W$7)+SUMIFS(Учёт!$K:$K,Учёт!$H:$H,Табель!V38,Учёт!$F:$F,W$7)+SUMIFS(Учёт!$K:$K,Учёт!$H:$H,Табель!V38,Учёт!$E:$E,Y$7)+SUMIFS(Учёт!$K:$K,Учёт!$H:$H,Табель!V38,Учёт!$F:$F,Y$7)+SUMIFS(Учёт!$K:$K,Учёт!$H:$H,Табель!V38,Учёт!$E:$E,AA$7)+SUMIFS(Учёт!$K:$K,Учёт!$H:$H,Табель!V38,Учёт!$F:$F,AA$7)+SUMIFS(Учёт!$K:$K,Учёт!$H:$H,Табель!V38,Учёт!$E:$E,AC$7)+SUMIFS(Учёт!$K:$K,Учёт!$H:$H,Табель!V38,Учёт!$F:$F,AC$7)+SUMIFS(Учёт!$K:$K,Учёт!$H:$H,Табель!V38,Учёт!$E:$E,AE$7)+SUMIFS(Учёт!$K:$K,Учёт!$H:$H,Табель!V38,Учёт!$F:$F,AE$7)+SUMIFS(Учёт!$K:$K,Учёт!$H:$H,Табель!V38,Учёт!$E:$E,AG$7)+SUMIFS(Учёт!$K:$K,Учёт!$H:$H,Табель!V38,Учёт!$F:$F,AG$7)+SUMIFS(Учёт!$K:$K,Учёт!$H:$H,Табель!V38,Учёт!$E:$E,AI$7)+SUMIFS(Учёт!$K:$K,Учёт!$H:$H,Табель!V38,Учёт!$F:$F,AI$7),0)</f>
        <v>0</v>
      </c>
      <c r="AM38" s="86"/>
      <c r="AN38" s="86"/>
    </row>
    <row r="39" spans="1:40" ht="47.4" customHeight="1">
      <c r="A39" s="77">
        <v>30</v>
      </c>
      <c r="B39" s="78"/>
      <c r="C39" s="82"/>
      <c r="D39" s="83"/>
      <c r="E39" s="82"/>
      <c r="F39" s="83"/>
      <c r="G39" s="82"/>
      <c r="H39" s="83"/>
      <c r="I39" s="82"/>
      <c r="J39" s="83"/>
      <c r="K39" s="82"/>
      <c r="L39" s="83"/>
      <c r="M39" s="82"/>
      <c r="N39" s="83"/>
      <c r="O39" s="82"/>
      <c r="P39" s="83"/>
      <c r="Q39" s="86">
        <f t="shared" si="8"/>
        <v>0</v>
      </c>
      <c r="R39" s="98">
        <f>ROUNDUP(SUMIFS(Учёт!$K:$K,Учёт!$H:$H,Табель!B39,Учёт!$E:$E,C$7)+SUMIFS(Учёт!$K:$K,Учёт!$H:$H,Табель!B39,Учёт!$F:$F,C$7)+SUMIFS(Учёт!$K:$K,Учёт!$H:$H,Табель!B39,Учёт!$E:$E,E$7)+SUMIFS(Учёт!$K:$K,Учёт!$H:$H,Табель!B39,Учёт!$F:$F,E$7)+SUMIFS(Учёт!$K:$K,Учёт!$H:$H,Табель!B39,Учёт!$E:$E,G$7)+SUMIFS(Учёт!$K:$K,Учёт!$H:$H,Табель!B39,Учёт!$F:$F,G$7)+SUMIFS(Учёт!$K:$K,Учёт!$H:$H,Табель!B39,Учёт!$E:$E,I$7)+SUMIFS(Учёт!$K:$K,Учёт!$H:$H,Табель!B39,Учёт!$F:$F,I$7)+SUMIFS(Учёт!$K:$K,Учёт!$H:$H,Табель!B39,Учёт!$E:$E,K$7)+SUMIFS(Учёт!$K:$K,Учёт!$H:$H,Табель!B39,Учёт!$F:$F,K$7)+SUMIFS(Учёт!$K:$K,Учёт!$H:$H,Табель!B39,Учёт!$E:$E,M$7)+SUMIFS(Учёт!$K:$K,Учёт!$H:$H,Табель!B39,Учёт!$F:$F,M$7)+SUMIFS(Учёт!$K:$K,Учёт!$H:$H,Табель!B39,Учёт!$E:$E,O$7)+SUMIFS(Учёт!$K:$K,Учёт!$H:$H,Табель!B39,Учёт!$F:$F,O$7),0)</f>
        <v>0</v>
      </c>
      <c r="S39" s="86"/>
      <c r="T39" s="86"/>
      <c r="U39" s="77">
        <v>30</v>
      </c>
      <c r="V39" s="78"/>
      <c r="W39" s="82"/>
      <c r="X39" s="83"/>
      <c r="Y39" s="82"/>
      <c r="Z39" s="83"/>
      <c r="AA39" s="82"/>
      <c r="AB39" s="83"/>
      <c r="AC39" s="82"/>
      <c r="AD39" s="83"/>
      <c r="AE39" s="82"/>
      <c r="AF39" s="83"/>
      <c r="AG39" s="82"/>
      <c r="AH39" s="83"/>
      <c r="AI39" s="82"/>
      <c r="AJ39" s="83"/>
      <c r="AK39" s="86">
        <f t="shared" si="9"/>
        <v>0</v>
      </c>
      <c r="AL39" s="98">
        <f>ROUNDUP(SUMIFS(Учёт!$K:$K,Учёт!$H:$H,Табель!V39,Учёт!$E:$E,W$7)+SUMIFS(Учёт!$K:$K,Учёт!$H:$H,Табель!V39,Учёт!$F:$F,W$7)+SUMIFS(Учёт!$K:$K,Учёт!$H:$H,Табель!V39,Учёт!$E:$E,Y$7)+SUMIFS(Учёт!$K:$K,Учёт!$H:$H,Табель!V39,Учёт!$F:$F,Y$7)+SUMIFS(Учёт!$K:$K,Учёт!$H:$H,Табель!V39,Учёт!$E:$E,AA$7)+SUMIFS(Учёт!$K:$K,Учёт!$H:$H,Табель!V39,Учёт!$F:$F,AA$7)+SUMIFS(Учёт!$K:$K,Учёт!$H:$H,Табель!V39,Учёт!$E:$E,AC$7)+SUMIFS(Учёт!$K:$K,Учёт!$H:$H,Табель!V39,Учёт!$F:$F,AC$7)+SUMIFS(Учёт!$K:$K,Учёт!$H:$H,Табель!V39,Учёт!$E:$E,AE$7)+SUMIFS(Учёт!$K:$K,Учёт!$H:$H,Табель!V39,Учёт!$F:$F,AE$7)+SUMIFS(Учёт!$K:$K,Учёт!$H:$H,Табель!V39,Учёт!$E:$E,AG$7)+SUMIFS(Учёт!$K:$K,Учёт!$H:$H,Табель!V39,Учёт!$F:$F,AG$7)+SUMIFS(Учёт!$K:$K,Учёт!$H:$H,Табель!V39,Учёт!$E:$E,AI$7)+SUMIFS(Учёт!$K:$K,Учёт!$H:$H,Табель!V39,Учёт!$F:$F,AI$7),0)</f>
        <v>0</v>
      </c>
      <c r="AM39" s="86"/>
      <c r="AN39" s="86"/>
    </row>
    <row r="40" spans="1:40" ht="47.4" customHeight="1">
      <c r="A40" s="77">
        <v>31</v>
      </c>
      <c r="B40" s="78"/>
      <c r="C40" s="82"/>
      <c r="D40" s="83"/>
      <c r="E40" s="82"/>
      <c r="F40" s="83"/>
      <c r="G40" s="82"/>
      <c r="H40" s="83"/>
      <c r="I40" s="82"/>
      <c r="J40" s="83"/>
      <c r="K40" s="82"/>
      <c r="L40" s="83"/>
      <c r="M40" s="82"/>
      <c r="N40" s="83"/>
      <c r="O40" s="82"/>
      <c r="P40" s="83"/>
      <c r="Q40" s="86">
        <f t="shared" si="8"/>
        <v>0</v>
      </c>
      <c r="R40" s="98">
        <f>ROUNDUP(SUMIFS(Учёт!$K:$K,Учёт!$H:$H,Табель!B40,Учёт!$E:$E,C$7)+SUMIFS(Учёт!$K:$K,Учёт!$H:$H,Табель!B40,Учёт!$F:$F,C$7)+SUMIFS(Учёт!$K:$K,Учёт!$H:$H,Табель!B40,Учёт!$E:$E,E$7)+SUMIFS(Учёт!$K:$K,Учёт!$H:$H,Табель!B40,Учёт!$F:$F,E$7)+SUMIFS(Учёт!$K:$K,Учёт!$H:$H,Табель!B40,Учёт!$E:$E,G$7)+SUMIFS(Учёт!$K:$K,Учёт!$H:$H,Табель!B40,Учёт!$F:$F,G$7)+SUMIFS(Учёт!$K:$K,Учёт!$H:$H,Табель!B40,Учёт!$E:$E,I$7)+SUMIFS(Учёт!$K:$K,Учёт!$H:$H,Табель!B40,Учёт!$F:$F,I$7)+SUMIFS(Учёт!$K:$K,Учёт!$H:$H,Табель!B40,Учёт!$E:$E,K$7)+SUMIFS(Учёт!$K:$K,Учёт!$H:$H,Табель!B40,Учёт!$F:$F,K$7)+SUMIFS(Учёт!$K:$K,Учёт!$H:$H,Табель!B40,Учёт!$E:$E,M$7)+SUMIFS(Учёт!$K:$K,Учёт!$H:$H,Табель!B40,Учёт!$F:$F,M$7)+SUMIFS(Учёт!$K:$K,Учёт!$H:$H,Табель!B40,Учёт!$E:$E,O$7)+SUMIFS(Учёт!$K:$K,Учёт!$H:$H,Табель!B40,Учёт!$F:$F,O$7),0)</f>
        <v>0</v>
      </c>
      <c r="S40" s="86"/>
      <c r="T40" s="86"/>
      <c r="U40" s="77">
        <v>31</v>
      </c>
      <c r="V40" s="78"/>
      <c r="W40" s="82"/>
      <c r="X40" s="83"/>
      <c r="Y40" s="82"/>
      <c r="Z40" s="83"/>
      <c r="AA40" s="82"/>
      <c r="AB40" s="83"/>
      <c r="AC40" s="82"/>
      <c r="AD40" s="83"/>
      <c r="AE40" s="82"/>
      <c r="AF40" s="83"/>
      <c r="AG40" s="82"/>
      <c r="AH40" s="83"/>
      <c r="AI40" s="82"/>
      <c r="AJ40" s="83"/>
      <c r="AK40" s="86">
        <f t="shared" si="9"/>
        <v>0</v>
      </c>
      <c r="AL40" s="98">
        <f>ROUNDUP(SUMIFS(Учёт!$K:$K,Учёт!$H:$H,Табель!V40,Учёт!$E:$E,W$7)+SUMIFS(Учёт!$K:$K,Учёт!$H:$H,Табель!V40,Учёт!$F:$F,W$7)+SUMIFS(Учёт!$K:$K,Учёт!$H:$H,Табель!V40,Учёт!$E:$E,Y$7)+SUMIFS(Учёт!$K:$K,Учёт!$H:$H,Табель!V40,Учёт!$F:$F,Y$7)+SUMIFS(Учёт!$K:$K,Учёт!$H:$H,Табель!V40,Учёт!$E:$E,AA$7)+SUMIFS(Учёт!$K:$K,Учёт!$H:$H,Табель!V40,Учёт!$F:$F,AA$7)+SUMIFS(Учёт!$K:$K,Учёт!$H:$H,Табель!V40,Учёт!$E:$E,AC$7)+SUMIFS(Учёт!$K:$K,Учёт!$H:$H,Табель!V40,Учёт!$F:$F,AC$7)+SUMIFS(Учёт!$K:$K,Учёт!$H:$H,Табель!V40,Учёт!$E:$E,AE$7)+SUMIFS(Учёт!$K:$K,Учёт!$H:$H,Табель!V40,Учёт!$F:$F,AE$7)+SUMIFS(Учёт!$K:$K,Учёт!$H:$H,Табель!V40,Учёт!$E:$E,AG$7)+SUMIFS(Учёт!$K:$K,Учёт!$H:$H,Табель!V40,Учёт!$F:$F,AG$7)+SUMIFS(Учёт!$K:$K,Учёт!$H:$H,Табель!V40,Учёт!$E:$E,AI$7)+SUMIFS(Учёт!$K:$K,Учёт!$H:$H,Табель!V40,Учёт!$F:$F,AI$7),0)</f>
        <v>0</v>
      </c>
      <c r="AM40" s="86"/>
      <c r="AN40" s="86"/>
    </row>
    <row r="41" spans="1:40" ht="47.4" customHeight="1">
      <c r="A41" s="77">
        <v>32</v>
      </c>
      <c r="B41" s="78"/>
      <c r="C41" s="82"/>
      <c r="D41" s="83"/>
      <c r="E41" s="82"/>
      <c r="F41" s="83"/>
      <c r="G41" s="82"/>
      <c r="H41" s="83"/>
      <c r="I41" s="82"/>
      <c r="J41" s="83"/>
      <c r="K41" s="82"/>
      <c r="L41" s="83"/>
      <c r="M41" s="82"/>
      <c r="N41" s="83"/>
      <c r="O41" s="82"/>
      <c r="P41" s="83"/>
      <c r="Q41" s="86">
        <f t="shared" si="8"/>
        <v>0</v>
      </c>
      <c r="R41" s="98">
        <f>ROUNDUP(SUMIFS(Учёт!$K:$K,Учёт!$H:$H,Табель!B41,Учёт!$E:$E,C$7)+SUMIFS(Учёт!$K:$K,Учёт!$H:$H,Табель!B41,Учёт!$F:$F,C$7)+SUMIFS(Учёт!$K:$K,Учёт!$H:$H,Табель!B41,Учёт!$E:$E,E$7)+SUMIFS(Учёт!$K:$K,Учёт!$H:$H,Табель!B41,Учёт!$F:$F,E$7)+SUMIFS(Учёт!$K:$K,Учёт!$H:$H,Табель!B41,Учёт!$E:$E,G$7)+SUMIFS(Учёт!$K:$K,Учёт!$H:$H,Табель!B41,Учёт!$F:$F,G$7)+SUMIFS(Учёт!$K:$K,Учёт!$H:$H,Табель!B41,Учёт!$E:$E,I$7)+SUMIFS(Учёт!$K:$K,Учёт!$H:$H,Табель!B41,Учёт!$F:$F,I$7)+SUMIFS(Учёт!$K:$K,Учёт!$H:$H,Табель!B41,Учёт!$E:$E,K$7)+SUMIFS(Учёт!$K:$K,Учёт!$H:$H,Табель!B41,Учёт!$F:$F,K$7)+SUMIFS(Учёт!$K:$K,Учёт!$H:$H,Табель!B41,Учёт!$E:$E,M$7)+SUMIFS(Учёт!$K:$K,Учёт!$H:$H,Табель!B41,Учёт!$F:$F,M$7)+SUMIFS(Учёт!$K:$K,Учёт!$H:$H,Табель!B41,Учёт!$E:$E,O$7)+SUMIFS(Учёт!$K:$K,Учёт!$H:$H,Табель!B41,Учёт!$F:$F,O$7),0)</f>
        <v>0</v>
      </c>
      <c r="S41" s="86"/>
      <c r="T41" s="86"/>
      <c r="U41" s="77">
        <v>32</v>
      </c>
      <c r="V41" s="78"/>
      <c r="W41" s="82"/>
      <c r="X41" s="83"/>
      <c r="Y41" s="82"/>
      <c r="Z41" s="83"/>
      <c r="AA41" s="82"/>
      <c r="AB41" s="83"/>
      <c r="AC41" s="82"/>
      <c r="AD41" s="83"/>
      <c r="AE41" s="82"/>
      <c r="AF41" s="83"/>
      <c r="AG41" s="82"/>
      <c r="AH41" s="83"/>
      <c r="AI41" s="82"/>
      <c r="AJ41" s="83"/>
      <c r="AK41" s="86">
        <f t="shared" si="9"/>
        <v>0</v>
      </c>
      <c r="AL41" s="98">
        <f>ROUNDUP(SUMIFS(Учёт!$K:$K,Учёт!$H:$H,Табель!V41,Учёт!$E:$E,W$7)+SUMIFS(Учёт!$K:$K,Учёт!$H:$H,Табель!V41,Учёт!$F:$F,W$7)+SUMIFS(Учёт!$K:$K,Учёт!$H:$H,Табель!V41,Учёт!$E:$E,Y$7)+SUMIFS(Учёт!$K:$K,Учёт!$H:$H,Табель!V41,Учёт!$F:$F,Y$7)+SUMIFS(Учёт!$K:$K,Учёт!$H:$H,Табель!V41,Учёт!$E:$E,AA$7)+SUMIFS(Учёт!$K:$K,Учёт!$H:$H,Табель!V41,Учёт!$F:$F,AA$7)+SUMIFS(Учёт!$K:$K,Учёт!$H:$H,Табель!V41,Учёт!$E:$E,AC$7)+SUMIFS(Учёт!$K:$K,Учёт!$H:$H,Табель!V41,Учёт!$F:$F,AC$7)+SUMIFS(Учёт!$K:$K,Учёт!$H:$H,Табель!V41,Учёт!$E:$E,AE$7)+SUMIFS(Учёт!$K:$K,Учёт!$H:$H,Табель!V41,Учёт!$F:$F,AE$7)+SUMIFS(Учёт!$K:$K,Учёт!$H:$H,Табель!V41,Учёт!$E:$E,AG$7)+SUMIFS(Учёт!$K:$K,Учёт!$H:$H,Табель!V41,Учёт!$F:$F,AG$7)+SUMIFS(Учёт!$K:$K,Учёт!$H:$H,Табель!V41,Учёт!$E:$E,AI$7)+SUMIFS(Учёт!$K:$K,Учёт!$H:$H,Табель!V41,Учёт!$F:$F,AI$7),0)</f>
        <v>0</v>
      </c>
      <c r="AM41" s="86"/>
      <c r="AN41" s="86"/>
    </row>
    <row r="42" spans="1:40" ht="47.4" customHeight="1">
      <c r="A42" s="77">
        <v>33</v>
      </c>
      <c r="B42" s="78"/>
      <c r="C42" s="82"/>
      <c r="D42" s="83"/>
      <c r="E42" s="82"/>
      <c r="F42" s="83"/>
      <c r="G42" s="82"/>
      <c r="H42" s="83"/>
      <c r="I42" s="82"/>
      <c r="J42" s="83"/>
      <c r="K42" s="82"/>
      <c r="L42" s="83"/>
      <c r="M42" s="82"/>
      <c r="N42" s="83"/>
      <c r="O42" s="82"/>
      <c r="P42" s="83"/>
      <c r="Q42" s="86">
        <f t="shared" si="8"/>
        <v>0</v>
      </c>
      <c r="R42" s="98">
        <f>ROUNDUP(SUMIFS(Учёт!$K:$K,Учёт!$H:$H,Табель!B42,Учёт!$E:$E,C$7)+SUMIFS(Учёт!$K:$K,Учёт!$H:$H,Табель!B42,Учёт!$F:$F,C$7)+SUMIFS(Учёт!$K:$K,Учёт!$H:$H,Табель!B42,Учёт!$E:$E,E$7)+SUMIFS(Учёт!$K:$K,Учёт!$H:$H,Табель!B42,Учёт!$F:$F,E$7)+SUMIFS(Учёт!$K:$K,Учёт!$H:$H,Табель!B42,Учёт!$E:$E,G$7)+SUMIFS(Учёт!$K:$K,Учёт!$H:$H,Табель!B42,Учёт!$F:$F,G$7)+SUMIFS(Учёт!$K:$K,Учёт!$H:$H,Табель!B42,Учёт!$E:$E,I$7)+SUMIFS(Учёт!$K:$K,Учёт!$H:$H,Табель!B42,Учёт!$F:$F,I$7)+SUMIFS(Учёт!$K:$K,Учёт!$H:$H,Табель!B42,Учёт!$E:$E,K$7)+SUMIFS(Учёт!$K:$K,Учёт!$H:$H,Табель!B42,Учёт!$F:$F,K$7)+SUMIFS(Учёт!$K:$K,Учёт!$H:$H,Табель!B42,Учёт!$E:$E,M$7)+SUMIFS(Учёт!$K:$K,Учёт!$H:$H,Табель!B42,Учёт!$F:$F,M$7)+SUMIFS(Учёт!$K:$K,Учёт!$H:$H,Табель!B42,Учёт!$E:$E,O$7)+SUMIFS(Учёт!$K:$K,Учёт!$H:$H,Табель!B42,Учёт!$F:$F,O$7),0)</f>
        <v>0</v>
      </c>
      <c r="S42" s="86"/>
      <c r="T42" s="86"/>
      <c r="U42" s="77">
        <v>33</v>
      </c>
      <c r="V42" s="78"/>
      <c r="W42" s="82"/>
      <c r="X42" s="83"/>
      <c r="Y42" s="82"/>
      <c r="Z42" s="83"/>
      <c r="AA42" s="82"/>
      <c r="AB42" s="83"/>
      <c r="AC42" s="82"/>
      <c r="AD42" s="83"/>
      <c r="AE42" s="82"/>
      <c r="AF42" s="83"/>
      <c r="AG42" s="82"/>
      <c r="AH42" s="83"/>
      <c r="AI42" s="82"/>
      <c r="AJ42" s="83"/>
      <c r="AK42" s="86">
        <f t="shared" si="9"/>
        <v>0</v>
      </c>
      <c r="AL42" s="98">
        <f>ROUNDUP(SUMIFS(Учёт!$K:$K,Учёт!$H:$H,Табель!V42,Учёт!$E:$E,W$7)+SUMIFS(Учёт!$K:$K,Учёт!$H:$H,Табель!V42,Учёт!$F:$F,W$7)+SUMIFS(Учёт!$K:$K,Учёт!$H:$H,Табель!V42,Учёт!$E:$E,Y$7)+SUMIFS(Учёт!$K:$K,Учёт!$H:$H,Табель!V42,Учёт!$F:$F,Y$7)+SUMIFS(Учёт!$K:$K,Учёт!$H:$H,Табель!V42,Учёт!$E:$E,AA$7)+SUMIFS(Учёт!$K:$K,Учёт!$H:$H,Табель!V42,Учёт!$F:$F,AA$7)+SUMIFS(Учёт!$K:$K,Учёт!$H:$H,Табель!V42,Учёт!$E:$E,AC$7)+SUMIFS(Учёт!$K:$K,Учёт!$H:$H,Табель!V42,Учёт!$F:$F,AC$7)+SUMIFS(Учёт!$K:$K,Учёт!$H:$H,Табель!V42,Учёт!$E:$E,AE$7)+SUMIFS(Учёт!$K:$K,Учёт!$H:$H,Табель!V42,Учёт!$F:$F,AE$7)+SUMIFS(Учёт!$K:$K,Учёт!$H:$H,Табель!V42,Учёт!$E:$E,AG$7)+SUMIFS(Учёт!$K:$K,Учёт!$H:$H,Табель!V42,Учёт!$F:$F,AG$7)+SUMIFS(Учёт!$K:$K,Учёт!$H:$H,Табель!V42,Учёт!$E:$E,AI$7)+SUMIFS(Учёт!$K:$K,Учёт!$H:$H,Табель!V42,Учёт!$F:$F,AI$7),0)</f>
        <v>0</v>
      </c>
      <c r="AM42" s="86"/>
      <c r="AN42" s="86"/>
    </row>
    <row r="43" spans="1:40" ht="47.4" customHeight="1">
      <c r="A43" s="77">
        <v>34</v>
      </c>
      <c r="B43" s="78"/>
      <c r="C43" s="82"/>
      <c r="D43" s="83"/>
      <c r="E43" s="82"/>
      <c r="F43" s="83"/>
      <c r="G43" s="82"/>
      <c r="H43" s="83"/>
      <c r="I43" s="82"/>
      <c r="J43" s="83"/>
      <c r="K43" s="82"/>
      <c r="L43" s="83"/>
      <c r="M43" s="82"/>
      <c r="N43" s="83"/>
      <c r="O43" s="82"/>
      <c r="P43" s="83"/>
      <c r="Q43" s="86">
        <f t="shared" si="8"/>
        <v>0</v>
      </c>
      <c r="R43" s="98">
        <f>ROUNDUP(SUMIFS(Учёт!$K:$K,Учёт!$H:$H,Табель!B43,Учёт!$E:$E,C$7)+SUMIFS(Учёт!$K:$K,Учёт!$H:$H,Табель!B43,Учёт!$F:$F,C$7)+SUMIFS(Учёт!$K:$K,Учёт!$H:$H,Табель!B43,Учёт!$E:$E,E$7)+SUMIFS(Учёт!$K:$K,Учёт!$H:$H,Табель!B43,Учёт!$F:$F,E$7)+SUMIFS(Учёт!$K:$K,Учёт!$H:$H,Табель!B43,Учёт!$E:$E,G$7)+SUMIFS(Учёт!$K:$K,Учёт!$H:$H,Табель!B43,Учёт!$F:$F,G$7)+SUMIFS(Учёт!$K:$K,Учёт!$H:$H,Табель!B43,Учёт!$E:$E,I$7)+SUMIFS(Учёт!$K:$K,Учёт!$H:$H,Табель!B43,Учёт!$F:$F,I$7)+SUMIFS(Учёт!$K:$K,Учёт!$H:$H,Табель!B43,Учёт!$E:$E,K$7)+SUMIFS(Учёт!$K:$K,Учёт!$H:$H,Табель!B43,Учёт!$F:$F,K$7)+SUMIFS(Учёт!$K:$K,Учёт!$H:$H,Табель!B43,Учёт!$E:$E,M$7)+SUMIFS(Учёт!$K:$K,Учёт!$H:$H,Табель!B43,Учёт!$F:$F,M$7)+SUMIFS(Учёт!$K:$K,Учёт!$H:$H,Табель!B43,Учёт!$E:$E,O$7)+SUMIFS(Учёт!$K:$K,Учёт!$H:$H,Табель!B43,Учёт!$F:$F,O$7),0)</f>
        <v>0</v>
      </c>
      <c r="S43" s="86"/>
      <c r="T43" s="86"/>
      <c r="U43" s="77">
        <v>34</v>
      </c>
      <c r="V43" s="78"/>
      <c r="W43" s="82"/>
      <c r="X43" s="83"/>
      <c r="Y43" s="82"/>
      <c r="Z43" s="83"/>
      <c r="AA43" s="82"/>
      <c r="AB43" s="83"/>
      <c r="AC43" s="82"/>
      <c r="AD43" s="83"/>
      <c r="AE43" s="82"/>
      <c r="AF43" s="83"/>
      <c r="AG43" s="82"/>
      <c r="AH43" s="83"/>
      <c r="AI43" s="82"/>
      <c r="AJ43" s="83"/>
      <c r="AK43" s="86">
        <f t="shared" si="9"/>
        <v>0</v>
      </c>
      <c r="AL43" s="98">
        <f>ROUNDUP(SUMIFS(Учёт!$K:$K,Учёт!$H:$H,Табель!V43,Учёт!$E:$E,W$7)+SUMIFS(Учёт!$K:$K,Учёт!$H:$H,Табель!V43,Учёт!$F:$F,W$7)+SUMIFS(Учёт!$K:$K,Учёт!$H:$H,Табель!V43,Учёт!$E:$E,Y$7)+SUMIFS(Учёт!$K:$K,Учёт!$H:$H,Табель!V43,Учёт!$F:$F,Y$7)+SUMIFS(Учёт!$K:$K,Учёт!$H:$H,Табель!V43,Учёт!$E:$E,AA$7)+SUMIFS(Учёт!$K:$K,Учёт!$H:$H,Табель!V43,Учёт!$F:$F,AA$7)+SUMIFS(Учёт!$K:$K,Учёт!$H:$H,Табель!V43,Учёт!$E:$E,AC$7)+SUMIFS(Учёт!$K:$K,Учёт!$H:$H,Табель!V43,Учёт!$F:$F,AC$7)+SUMIFS(Учёт!$K:$K,Учёт!$H:$H,Табель!V43,Учёт!$E:$E,AE$7)+SUMIFS(Учёт!$K:$K,Учёт!$H:$H,Табель!V43,Учёт!$F:$F,AE$7)+SUMIFS(Учёт!$K:$K,Учёт!$H:$H,Табель!V43,Учёт!$E:$E,AG$7)+SUMIFS(Учёт!$K:$K,Учёт!$H:$H,Табель!V43,Учёт!$F:$F,AG$7)+SUMIFS(Учёт!$K:$K,Учёт!$H:$H,Табель!V43,Учёт!$E:$E,AI$7)+SUMIFS(Учёт!$K:$K,Учёт!$H:$H,Табель!V43,Учёт!$F:$F,AI$7),0)</f>
        <v>0</v>
      </c>
      <c r="AM43" s="86"/>
      <c r="AN43" s="86"/>
    </row>
    <row r="44" spans="1:40" ht="47.4" customHeight="1">
      <c r="A44" s="77">
        <v>35</v>
      </c>
      <c r="B44" s="78"/>
      <c r="C44" s="82"/>
      <c r="D44" s="83"/>
      <c r="E44" s="82"/>
      <c r="F44" s="83"/>
      <c r="G44" s="82"/>
      <c r="H44" s="83"/>
      <c r="I44" s="82"/>
      <c r="J44" s="83"/>
      <c r="K44" s="82"/>
      <c r="L44" s="83"/>
      <c r="M44" s="82"/>
      <c r="N44" s="83"/>
      <c r="O44" s="82"/>
      <c r="P44" s="83"/>
      <c r="Q44" s="86">
        <f t="shared" si="8"/>
        <v>0</v>
      </c>
      <c r="R44" s="98">
        <f>ROUNDUP(SUMIFS(Учёт!$K:$K,Учёт!$H:$H,Табель!B44,Учёт!$E:$E,C$7)+SUMIFS(Учёт!$K:$K,Учёт!$H:$H,Табель!B44,Учёт!$F:$F,C$7)+SUMIFS(Учёт!$K:$K,Учёт!$H:$H,Табель!B44,Учёт!$E:$E,E$7)+SUMIFS(Учёт!$K:$K,Учёт!$H:$H,Табель!B44,Учёт!$F:$F,E$7)+SUMIFS(Учёт!$K:$K,Учёт!$H:$H,Табель!B44,Учёт!$E:$E,G$7)+SUMIFS(Учёт!$K:$K,Учёт!$H:$H,Табель!B44,Учёт!$F:$F,G$7)+SUMIFS(Учёт!$K:$K,Учёт!$H:$H,Табель!B44,Учёт!$E:$E,I$7)+SUMIFS(Учёт!$K:$K,Учёт!$H:$H,Табель!B44,Учёт!$F:$F,I$7)+SUMIFS(Учёт!$K:$K,Учёт!$H:$H,Табель!B44,Учёт!$E:$E,K$7)+SUMIFS(Учёт!$K:$K,Учёт!$H:$H,Табель!B44,Учёт!$F:$F,K$7)+SUMIFS(Учёт!$K:$K,Учёт!$H:$H,Табель!B44,Учёт!$E:$E,M$7)+SUMIFS(Учёт!$K:$K,Учёт!$H:$H,Табель!B44,Учёт!$F:$F,M$7)+SUMIFS(Учёт!$K:$K,Учёт!$H:$H,Табель!B44,Учёт!$E:$E,O$7)+SUMIFS(Учёт!$K:$K,Учёт!$H:$H,Табель!B44,Учёт!$F:$F,O$7),0)</f>
        <v>0</v>
      </c>
      <c r="S44" s="86"/>
      <c r="T44" s="86"/>
      <c r="U44" s="77">
        <v>35</v>
      </c>
      <c r="V44" s="78"/>
      <c r="W44" s="82"/>
      <c r="X44" s="83"/>
      <c r="Y44" s="82"/>
      <c r="Z44" s="83"/>
      <c r="AA44" s="82"/>
      <c r="AB44" s="83"/>
      <c r="AC44" s="82"/>
      <c r="AD44" s="83"/>
      <c r="AE44" s="82"/>
      <c r="AF44" s="83"/>
      <c r="AG44" s="82"/>
      <c r="AH44" s="83"/>
      <c r="AI44" s="82"/>
      <c r="AJ44" s="83"/>
      <c r="AK44" s="86">
        <f t="shared" si="9"/>
        <v>0</v>
      </c>
      <c r="AL44" s="98">
        <f>ROUNDUP(SUMIFS(Учёт!$K:$K,Учёт!$H:$H,Табель!V44,Учёт!$E:$E,W$7)+SUMIFS(Учёт!$K:$K,Учёт!$H:$H,Табель!V44,Учёт!$F:$F,W$7)+SUMIFS(Учёт!$K:$K,Учёт!$H:$H,Табель!V44,Учёт!$E:$E,Y$7)+SUMIFS(Учёт!$K:$K,Учёт!$H:$H,Табель!V44,Учёт!$F:$F,Y$7)+SUMIFS(Учёт!$K:$K,Учёт!$H:$H,Табель!V44,Учёт!$E:$E,AA$7)+SUMIFS(Учёт!$K:$K,Учёт!$H:$H,Табель!V44,Учёт!$F:$F,AA$7)+SUMIFS(Учёт!$K:$K,Учёт!$H:$H,Табель!V44,Учёт!$E:$E,AC$7)+SUMIFS(Учёт!$K:$K,Учёт!$H:$H,Табель!V44,Учёт!$F:$F,AC$7)+SUMIFS(Учёт!$K:$K,Учёт!$H:$H,Табель!V44,Учёт!$E:$E,AE$7)+SUMIFS(Учёт!$K:$K,Учёт!$H:$H,Табель!V44,Учёт!$F:$F,AE$7)+SUMIFS(Учёт!$K:$K,Учёт!$H:$H,Табель!V44,Учёт!$E:$E,AG$7)+SUMIFS(Учёт!$K:$K,Учёт!$H:$H,Табель!V44,Учёт!$F:$F,AG$7)+SUMIFS(Учёт!$K:$K,Учёт!$H:$H,Табель!V44,Учёт!$E:$E,AI$7)+SUMIFS(Учёт!$K:$K,Учёт!$H:$H,Табель!V44,Учёт!$F:$F,AI$7),0)</f>
        <v>0</v>
      </c>
      <c r="AM44" s="86"/>
      <c r="AN44" s="86"/>
    </row>
    <row r="45" spans="1:40" ht="47.4" customHeight="1">
      <c r="A45" s="77">
        <v>36</v>
      </c>
      <c r="B45" s="78"/>
      <c r="C45" s="82"/>
      <c r="D45" s="83"/>
      <c r="E45" s="82"/>
      <c r="F45" s="83"/>
      <c r="G45" s="82"/>
      <c r="H45" s="83"/>
      <c r="I45" s="82"/>
      <c r="J45" s="83"/>
      <c r="K45" s="82"/>
      <c r="L45" s="83"/>
      <c r="M45" s="82"/>
      <c r="N45" s="83"/>
      <c r="O45" s="82"/>
      <c r="P45" s="83"/>
      <c r="Q45" s="86">
        <f t="shared" si="8"/>
        <v>0</v>
      </c>
      <c r="R45" s="98">
        <f>ROUNDUP(SUMIFS(Учёт!$K:$K,Учёт!$H:$H,Табель!B45,Учёт!$E:$E,C$7)+SUMIFS(Учёт!$K:$K,Учёт!$H:$H,Табель!B45,Учёт!$F:$F,C$7)+SUMIFS(Учёт!$K:$K,Учёт!$H:$H,Табель!B45,Учёт!$E:$E,E$7)+SUMIFS(Учёт!$K:$K,Учёт!$H:$H,Табель!B45,Учёт!$F:$F,E$7)+SUMIFS(Учёт!$K:$K,Учёт!$H:$H,Табель!B45,Учёт!$E:$E,G$7)+SUMIFS(Учёт!$K:$K,Учёт!$H:$H,Табель!B45,Учёт!$F:$F,G$7)+SUMIFS(Учёт!$K:$K,Учёт!$H:$H,Табель!B45,Учёт!$E:$E,I$7)+SUMIFS(Учёт!$K:$K,Учёт!$H:$H,Табель!B45,Учёт!$F:$F,I$7)+SUMIFS(Учёт!$K:$K,Учёт!$H:$H,Табель!B45,Учёт!$E:$E,K$7)+SUMIFS(Учёт!$K:$K,Учёт!$H:$H,Табель!B45,Учёт!$F:$F,K$7)+SUMIFS(Учёт!$K:$K,Учёт!$H:$H,Табель!B45,Учёт!$E:$E,M$7)+SUMIFS(Учёт!$K:$K,Учёт!$H:$H,Табель!B45,Учёт!$F:$F,M$7)+SUMIFS(Учёт!$K:$K,Учёт!$H:$H,Табель!B45,Учёт!$E:$E,O$7)+SUMIFS(Учёт!$K:$K,Учёт!$H:$H,Табель!B45,Учёт!$F:$F,O$7),0)</f>
        <v>0</v>
      </c>
      <c r="S45" s="86"/>
      <c r="T45" s="86"/>
      <c r="U45" s="77">
        <v>36</v>
      </c>
      <c r="V45" s="78"/>
      <c r="W45" s="82"/>
      <c r="X45" s="83"/>
      <c r="Y45" s="82"/>
      <c r="Z45" s="83"/>
      <c r="AA45" s="82"/>
      <c r="AB45" s="83"/>
      <c r="AC45" s="82"/>
      <c r="AD45" s="83"/>
      <c r="AE45" s="82"/>
      <c r="AF45" s="83"/>
      <c r="AG45" s="82"/>
      <c r="AH45" s="83"/>
      <c r="AI45" s="82"/>
      <c r="AJ45" s="83"/>
      <c r="AK45" s="86">
        <f t="shared" si="9"/>
        <v>0</v>
      </c>
      <c r="AL45" s="98">
        <f>ROUNDUP(SUMIFS(Учёт!$K:$K,Учёт!$H:$H,Табель!V45,Учёт!$E:$E,W$7)+SUMIFS(Учёт!$K:$K,Учёт!$H:$H,Табель!V45,Учёт!$F:$F,W$7)+SUMIFS(Учёт!$K:$K,Учёт!$H:$H,Табель!V45,Учёт!$E:$E,Y$7)+SUMIFS(Учёт!$K:$K,Учёт!$H:$H,Табель!V45,Учёт!$F:$F,Y$7)+SUMIFS(Учёт!$K:$K,Учёт!$H:$H,Табель!V45,Учёт!$E:$E,AA$7)+SUMIFS(Учёт!$K:$K,Учёт!$H:$H,Табель!V45,Учёт!$F:$F,AA$7)+SUMIFS(Учёт!$K:$K,Учёт!$H:$H,Табель!V45,Учёт!$E:$E,AC$7)+SUMIFS(Учёт!$K:$K,Учёт!$H:$H,Табель!V45,Учёт!$F:$F,AC$7)+SUMIFS(Учёт!$K:$K,Учёт!$H:$H,Табель!V45,Учёт!$E:$E,AE$7)+SUMIFS(Учёт!$K:$K,Учёт!$H:$H,Табель!V45,Учёт!$F:$F,AE$7)+SUMIFS(Учёт!$K:$K,Учёт!$H:$H,Табель!V45,Учёт!$E:$E,AG$7)+SUMIFS(Учёт!$K:$K,Учёт!$H:$H,Табель!V45,Учёт!$F:$F,AG$7)+SUMIFS(Учёт!$K:$K,Учёт!$H:$H,Табель!V45,Учёт!$E:$E,AI$7)+SUMIFS(Учёт!$K:$K,Учёт!$H:$H,Табель!V45,Учёт!$F:$F,AI$7),0)</f>
        <v>0</v>
      </c>
      <c r="AM45" s="86"/>
      <c r="AN45" s="86"/>
    </row>
    <row r="46" spans="1:40" ht="47.4" customHeight="1">
      <c r="A46" s="77">
        <v>37</v>
      </c>
      <c r="B46" s="78"/>
      <c r="C46" s="82"/>
      <c r="D46" s="83"/>
      <c r="E46" s="82"/>
      <c r="F46" s="83"/>
      <c r="G46" s="82"/>
      <c r="H46" s="83"/>
      <c r="I46" s="82"/>
      <c r="J46" s="83"/>
      <c r="K46" s="82"/>
      <c r="L46" s="83"/>
      <c r="M46" s="82"/>
      <c r="N46" s="83"/>
      <c r="O46" s="82"/>
      <c r="P46" s="83"/>
      <c r="Q46" s="86">
        <f t="shared" si="8"/>
        <v>0</v>
      </c>
      <c r="R46" s="98">
        <f>ROUNDUP(SUMIFS(Учёт!$K:$K,Учёт!$H:$H,Табель!B46,Учёт!$E:$E,C$7)+SUMIFS(Учёт!$K:$K,Учёт!$H:$H,Табель!B46,Учёт!$F:$F,C$7)+SUMIFS(Учёт!$K:$K,Учёт!$H:$H,Табель!B46,Учёт!$E:$E,E$7)+SUMIFS(Учёт!$K:$K,Учёт!$H:$H,Табель!B46,Учёт!$F:$F,E$7)+SUMIFS(Учёт!$K:$K,Учёт!$H:$H,Табель!B46,Учёт!$E:$E,G$7)+SUMIFS(Учёт!$K:$K,Учёт!$H:$H,Табель!B46,Учёт!$F:$F,G$7)+SUMIFS(Учёт!$K:$K,Учёт!$H:$H,Табель!B46,Учёт!$E:$E,I$7)+SUMIFS(Учёт!$K:$K,Учёт!$H:$H,Табель!B46,Учёт!$F:$F,I$7)+SUMIFS(Учёт!$K:$K,Учёт!$H:$H,Табель!B46,Учёт!$E:$E,K$7)+SUMIFS(Учёт!$K:$K,Учёт!$H:$H,Табель!B46,Учёт!$F:$F,K$7)+SUMIFS(Учёт!$K:$K,Учёт!$H:$H,Табель!B46,Учёт!$E:$E,M$7)+SUMIFS(Учёт!$K:$K,Учёт!$H:$H,Табель!B46,Учёт!$F:$F,M$7)+SUMIFS(Учёт!$K:$K,Учёт!$H:$H,Табель!B46,Учёт!$E:$E,O$7)+SUMIFS(Учёт!$K:$K,Учёт!$H:$H,Табель!B46,Учёт!$F:$F,O$7),0)</f>
        <v>0</v>
      </c>
      <c r="S46" s="86"/>
      <c r="T46" s="86"/>
      <c r="U46" s="77">
        <v>37</v>
      </c>
      <c r="V46" s="78"/>
      <c r="W46" s="82"/>
      <c r="X46" s="83"/>
      <c r="Y46" s="82"/>
      <c r="Z46" s="83"/>
      <c r="AA46" s="82"/>
      <c r="AB46" s="83"/>
      <c r="AC46" s="82"/>
      <c r="AD46" s="83"/>
      <c r="AE46" s="82"/>
      <c r="AF46" s="83"/>
      <c r="AG46" s="82"/>
      <c r="AH46" s="83"/>
      <c r="AI46" s="82"/>
      <c r="AJ46" s="83"/>
      <c r="AK46" s="86">
        <f t="shared" si="9"/>
        <v>0</v>
      </c>
      <c r="AL46" s="98">
        <f>ROUNDUP(SUMIFS(Учёт!$K:$K,Учёт!$H:$H,Табель!V46,Учёт!$E:$E,W$7)+SUMIFS(Учёт!$K:$K,Учёт!$H:$H,Табель!V46,Учёт!$F:$F,W$7)+SUMIFS(Учёт!$K:$K,Учёт!$H:$H,Табель!V46,Учёт!$E:$E,Y$7)+SUMIFS(Учёт!$K:$K,Учёт!$H:$H,Табель!V46,Учёт!$F:$F,Y$7)+SUMIFS(Учёт!$K:$K,Учёт!$H:$H,Табель!V46,Учёт!$E:$E,AA$7)+SUMIFS(Учёт!$K:$K,Учёт!$H:$H,Табель!V46,Учёт!$F:$F,AA$7)+SUMIFS(Учёт!$K:$K,Учёт!$H:$H,Табель!V46,Учёт!$E:$E,AC$7)+SUMIFS(Учёт!$K:$K,Учёт!$H:$H,Табель!V46,Учёт!$F:$F,AC$7)+SUMIFS(Учёт!$K:$K,Учёт!$H:$H,Табель!V46,Учёт!$E:$E,AE$7)+SUMIFS(Учёт!$K:$K,Учёт!$H:$H,Табель!V46,Учёт!$F:$F,AE$7)+SUMIFS(Учёт!$K:$K,Учёт!$H:$H,Табель!V46,Учёт!$E:$E,AG$7)+SUMIFS(Учёт!$K:$K,Учёт!$H:$H,Табель!V46,Учёт!$F:$F,AG$7)+SUMIFS(Учёт!$K:$K,Учёт!$H:$H,Табель!V46,Учёт!$E:$E,AI$7)+SUMIFS(Учёт!$K:$K,Учёт!$H:$H,Табель!V46,Учёт!$F:$F,AI$7),0)</f>
        <v>0</v>
      </c>
      <c r="AM46" s="86"/>
      <c r="AN46" s="86"/>
    </row>
  </sheetData>
  <dataConsolidate/>
  <mergeCells count="54">
    <mergeCell ref="A2:B2"/>
    <mergeCell ref="A3:B3"/>
    <mergeCell ref="A4:B4"/>
    <mergeCell ref="A5:B5"/>
    <mergeCell ref="Q5:Q6"/>
    <mergeCell ref="R5:R6"/>
    <mergeCell ref="A6:B6"/>
    <mergeCell ref="A7:A9"/>
    <mergeCell ref="B7:B9"/>
    <mergeCell ref="C7:D7"/>
    <mergeCell ref="E7:F7"/>
    <mergeCell ref="G7:H7"/>
    <mergeCell ref="I7:J7"/>
    <mergeCell ref="K7:L7"/>
    <mergeCell ref="M7:N7"/>
    <mergeCell ref="O7:P7"/>
    <mergeCell ref="Q7:Q9"/>
    <mergeCell ref="R7:R9"/>
    <mergeCell ref="S7:S9"/>
    <mergeCell ref="T7:T9"/>
    <mergeCell ref="C8:D8"/>
    <mergeCell ref="E8:F8"/>
    <mergeCell ref="G8:H8"/>
    <mergeCell ref="I8:J8"/>
    <mergeCell ref="K8:L8"/>
    <mergeCell ref="M8:N8"/>
    <mergeCell ref="O8:P8"/>
    <mergeCell ref="U2:V2"/>
    <mergeCell ref="U3:V3"/>
    <mergeCell ref="U4:V4"/>
    <mergeCell ref="U5:V5"/>
    <mergeCell ref="AK5:AK6"/>
    <mergeCell ref="AL5:AL6"/>
    <mergeCell ref="U6:V6"/>
    <mergeCell ref="U7:U9"/>
    <mergeCell ref="V7:V9"/>
    <mergeCell ref="W7:X7"/>
    <mergeCell ref="Y7:Z7"/>
    <mergeCell ref="AA7:AB7"/>
    <mergeCell ref="AC7:AD7"/>
    <mergeCell ref="AE7:AF7"/>
    <mergeCell ref="AG7:AH7"/>
    <mergeCell ref="AI7:AJ7"/>
    <mergeCell ref="AK7:AK9"/>
    <mergeCell ref="AL7:AL9"/>
    <mergeCell ref="AM7:AM9"/>
    <mergeCell ref="AN7:AN9"/>
    <mergeCell ref="W8:X8"/>
    <mergeCell ref="Y8:Z8"/>
    <mergeCell ref="AA8:AB8"/>
    <mergeCell ref="AC8:AD8"/>
    <mergeCell ref="AE8:AF8"/>
    <mergeCell ref="AG8:AH8"/>
    <mergeCell ref="AI8:AJ8"/>
  </mergeCells>
  <conditionalFormatting sqref="C3:P3 W3:AJ3">
    <cfRule type="cellIs" dxfId="118" priority="457" operator="greaterThan">
      <formula>0</formula>
    </cfRule>
  </conditionalFormatting>
  <conditionalFormatting sqref="C10:P46 W10:AJ46">
    <cfRule type="cellIs" dxfId="117" priority="455" operator="equal">
      <formula>2</formula>
    </cfRule>
    <cfRule type="cellIs" dxfId="116" priority="456" operator="equal">
      <formula>1</formula>
    </cfRule>
  </conditionalFormatting>
  <conditionalFormatting sqref="C4:P4 W4:AJ4">
    <cfRule type="cellIs" dxfId="115" priority="454" operator="greaterThan">
      <formula>0</formula>
    </cfRule>
  </conditionalFormatting>
  <conditionalFormatting sqref="C10:P46 W10:AJ46">
    <cfRule type="cellIs" dxfId="114" priority="453" operator="equal">
      <formula>3</formula>
    </cfRule>
  </conditionalFormatting>
  <conditionalFormatting sqref="C7:D8 E7:P7 W7:X8 Y7:AJ7">
    <cfRule type="expression" dxfId="113" priority="452">
      <formula>IF(C7=TODAY(),1,0)</formula>
    </cfRule>
  </conditionalFormatting>
  <conditionalFormatting sqref="C6:P6 W6:AJ6">
    <cfRule type="cellIs" dxfId="112" priority="451" operator="greaterThan">
      <formula>0</formula>
    </cfRule>
  </conditionalFormatting>
  <conditionalFormatting sqref="C10:C46 W10:W46">
    <cfRule type="expression" dxfId="111" priority="450">
      <formula>IF(#REF!=1,1,0)</formula>
    </cfRule>
  </conditionalFormatting>
  <conditionalFormatting sqref="D10:P46">
    <cfRule type="expression" dxfId="110" priority="449">
      <formula>IF(C10=1,1,0)</formula>
    </cfRule>
  </conditionalFormatting>
  <conditionalFormatting sqref="C2:P2">
    <cfRule type="expression" dxfId="109" priority="447">
      <formula>IF(C3=C2,1,0)</formula>
    </cfRule>
    <cfRule type="expression" dxfId="108" priority="448">
      <formula>IF(C3&lt;C2,1,0)</formula>
    </cfRule>
  </conditionalFormatting>
  <conditionalFormatting sqref="W10:W46">
    <cfRule type="expression" dxfId="107" priority="439">
      <formula>IF(P10=1,1,0)</formula>
    </cfRule>
  </conditionalFormatting>
  <conditionalFormatting sqref="X10:AJ46">
    <cfRule type="expression" dxfId="106" priority="438">
      <formula>IF(W10=1,1,0)</formula>
    </cfRule>
  </conditionalFormatting>
  <conditionalFormatting sqref="W2:AJ2">
    <cfRule type="expression" dxfId="105" priority="436">
      <formula>IF(W3=W2,1,0)</formula>
    </cfRule>
    <cfRule type="expression" dxfId="104" priority="437">
      <formula>IF(W3&lt;W2,1,0)</formula>
    </cfRule>
  </conditionalFormatting>
  <conditionalFormatting sqref="D10:P46">
    <cfRule type="expression" dxfId="103" priority="406">
      <formula>IF(C10=1,1,0)</formula>
    </cfRule>
  </conditionalFormatting>
  <conditionalFormatting sqref="D10:P46">
    <cfRule type="expression" dxfId="102" priority="401">
      <formula>IF(C10=1,1,0)</formula>
    </cfRule>
  </conditionalFormatting>
  <conditionalFormatting sqref="D10:P46">
    <cfRule type="expression" dxfId="101" priority="396">
      <formula>IF(C10=1,1,0)</formula>
    </cfRule>
  </conditionalFormatting>
  <conditionalFormatting sqref="C10:P46 W10:AJ46">
    <cfRule type="cellIs" dxfId="100" priority="395" operator="equal">
      <formula>4</formula>
    </cfRule>
  </conditionalFormatting>
  <conditionalFormatting sqref="W10:W46">
    <cfRule type="expression" dxfId="99" priority="391">
      <formula>IF(P10=1,1,0)</formula>
    </cfRule>
  </conditionalFormatting>
  <conditionalFormatting sqref="X10:AJ46">
    <cfRule type="expression" dxfId="98" priority="390">
      <formula>IF(W10=1,1,0)</formula>
    </cfRule>
  </conditionalFormatting>
  <conditionalFormatting sqref="W10:W46">
    <cfRule type="expression" dxfId="97" priority="386">
      <formula>IF(P10=1,1,0)</formula>
    </cfRule>
  </conditionalFormatting>
  <conditionalFormatting sqref="X10:AJ46">
    <cfRule type="expression" dxfId="96" priority="385">
      <formula>IF(W10=1,1,0)</formula>
    </cfRule>
  </conditionalFormatting>
  <conditionalFormatting sqref="W10:W46">
    <cfRule type="expression" dxfId="95" priority="381">
      <formula>IF(P10=1,1,0)</formula>
    </cfRule>
  </conditionalFormatting>
  <conditionalFormatting sqref="X10:AJ46">
    <cfRule type="expression" dxfId="94" priority="380">
      <formula>IF(W10=1,1,0)</formula>
    </cfRule>
  </conditionalFormatting>
  <conditionalFormatting sqref="W10:W46">
    <cfRule type="expression" dxfId="93" priority="376">
      <formula>IF(P10=1,1,0)</formula>
    </cfRule>
  </conditionalFormatting>
  <conditionalFormatting sqref="X10:AJ46">
    <cfRule type="expression" dxfId="92" priority="375">
      <formula>IF(W10=1,1,0)</formula>
    </cfRule>
  </conditionalFormatting>
  <conditionalFormatting sqref="D10:P46">
    <cfRule type="expression" dxfId="91" priority="333">
      <formula>IF(C10=1,1,0)</formula>
    </cfRule>
  </conditionalFormatting>
  <conditionalFormatting sqref="C10:P46 W10:AJ46">
    <cfRule type="cellIs" dxfId="90" priority="332" operator="equal">
      <formula>4</formula>
    </cfRule>
  </conditionalFormatting>
  <conditionalFormatting sqref="W10:W46">
    <cfRule type="expression" dxfId="89" priority="328">
      <formula>IF(P10=1,1,0)</formula>
    </cfRule>
  </conditionalFormatting>
  <conditionalFormatting sqref="X10:AJ46">
    <cfRule type="expression" dxfId="88" priority="327">
      <formula>IF(W10=1,1,0)</formula>
    </cfRule>
  </conditionalFormatting>
  <conditionalFormatting sqref="W10:W46">
    <cfRule type="expression" dxfId="87" priority="323">
      <formula>IF(P10=1,1,0)</formula>
    </cfRule>
  </conditionalFormatting>
  <conditionalFormatting sqref="X10:AJ46">
    <cfRule type="expression" dxfId="86" priority="322">
      <formula>IF(W10=1,1,0)</formula>
    </cfRule>
  </conditionalFormatting>
  <conditionalFormatting sqref="W10:W46">
    <cfRule type="expression" dxfId="85" priority="318">
      <formula>IF(P10=1,1,0)</formula>
    </cfRule>
  </conditionalFormatting>
  <conditionalFormatting sqref="X10:AJ46">
    <cfRule type="expression" dxfId="84" priority="317">
      <formula>IF(W10=1,1,0)</formula>
    </cfRule>
  </conditionalFormatting>
  <conditionalFormatting sqref="W10:W46">
    <cfRule type="expression" dxfId="83" priority="313">
      <formula>IF(P10=1,1,0)</formula>
    </cfRule>
  </conditionalFormatting>
  <conditionalFormatting sqref="X10:AJ46">
    <cfRule type="expression" dxfId="82" priority="312">
      <formula>IF(W10=1,1,0)</formula>
    </cfRule>
  </conditionalFormatting>
  <conditionalFormatting sqref="W10:W46">
    <cfRule type="expression" dxfId="81" priority="307">
      <formula>IF(P10=1,1,0)</formula>
    </cfRule>
  </conditionalFormatting>
  <conditionalFormatting sqref="X10:AJ46">
    <cfRule type="expression" dxfId="80" priority="306">
      <formula>IF(W10=1,1,0)</formula>
    </cfRule>
  </conditionalFormatting>
  <conditionalFormatting sqref="C27:N27">
    <cfRule type="expression" dxfId="79" priority="248">
      <formula>IF(B27=1,1,0)</formula>
    </cfRule>
  </conditionalFormatting>
  <conditionalFormatting sqref="C27:N27">
    <cfRule type="expression" dxfId="78" priority="244">
      <formula>IF(B27=1,1,0)</formula>
    </cfRule>
  </conditionalFormatting>
  <conditionalFormatting sqref="C27:N27">
    <cfRule type="expression" dxfId="77" priority="240">
      <formula>IF(B27=1,1,0)</formula>
    </cfRule>
  </conditionalFormatting>
  <conditionalFormatting sqref="C27:H27">
    <cfRule type="expression" dxfId="76" priority="235">
      <formula>IF(B27=1,1,0)</formula>
    </cfRule>
  </conditionalFormatting>
  <conditionalFormatting sqref="I27:N27">
    <cfRule type="expression" dxfId="75" priority="230">
      <formula>IF(H27=1,1,0)</formula>
    </cfRule>
  </conditionalFormatting>
  <conditionalFormatting sqref="O27:P27">
    <cfRule type="expression" dxfId="74" priority="225">
      <formula>IF(N27=1,1,0)</formula>
    </cfRule>
  </conditionalFormatting>
  <conditionalFormatting sqref="O27:P27">
    <cfRule type="expression" dxfId="73" priority="221">
      <formula>IF(N27=1,1,0)</formula>
    </cfRule>
  </conditionalFormatting>
  <conditionalFormatting sqref="O27:P27">
    <cfRule type="expression" dxfId="72" priority="217">
      <formula>IF(N27=1,1,0)</formula>
    </cfRule>
  </conditionalFormatting>
  <conditionalFormatting sqref="O27:P27">
    <cfRule type="expression" dxfId="71" priority="212">
      <formula>IF(N27=1,1,0)</formula>
    </cfRule>
  </conditionalFormatting>
  <conditionalFormatting sqref="D27:P29">
    <cfRule type="expression" dxfId="70" priority="206">
      <formula>IF(C27=1,1,0)</formula>
    </cfRule>
  </conditionalFormatting>
  <conditionalFormatting sqref="D27:P29">
    <cfRule type="expression" dxfId="69" priority="201">
      <formula>IF(C27=1,1,0)</formula>
    </cfRule>
  </conditionalFormatting>
  <conditionalFormatting sqref="D27:P29">
    <cfRule type="expression" dxfId="68" priority="196">
      <formula>IF(C27=1,1,0)</formula>
    </cfRule>
  </conditionalFormatting>
  <conditionalFormatting sqref="D27:P29">
    <cfRule type="expression" dxfId="67" priority="191">
      <formula>IF(C27=1,1,0)</formula>
    </cfRule>
  </conditionalFormatting>
  <conditionalFormatting sqref="D27:P29">
    <cfRule type="expression" dxfId="66" priority="185">
      <formula>IF(C27=1,1,0)</formula>
    </cfRule>
  </conditionalFormatting>
  <conditionalFormatting sqref="C27:N27">
    <cfRule type="expression" dxfId="65" priority="180">
      <formula>IF(B27=1,1,0)</formula>
    </cfRule>
  </conditionalFormatting>
  <conditionalFormatting sqref="C27:N27">
    <cfRule type="expression" dxfId="64" priority="176">
      <formula>IF(B27=1,1,0)</formula>
    </cfRule>
  </conditionalFormatting>
  <conditionalFormatting sqref="C27:N27">
    <cfRule type="expression" dxfId="63" priority="172">
      <formula>IF(B27=1,1,0)</formula>
    </cfRule>
  </conditionalFormatting>
  <conditionalFormatting sqref="C27:H27">
    <cfRule type="expression" dxfId="62" priority="167">
      <formula>IF(B27=1,1,0)</formula>
    </cfRule>
  </conditionalFormatting>
  <conditionalFormatting sqref="I27:N27">
    <cfRule type="expression" dxfId="61" priority="162">
      <formula>IF(H27=1,1,0)</formula>
    </cfRule>
  </conditionalFormatting>
  <conditionalFormatting sqref="O27:P27">
    <cfRule type="expression" dxfId="60" priority="157">
      <formula>IF(N27=1,1,0)</formula>
    </cfRule>
  </conditionalFormatting>
  <conditionalFormatting sqref="O27:P27">
    <cfRule type="expression" dxfId="59" priority="153">
      <formula>IF(N27=1,1,0)</formula>
    </cfRule>
  </conditionalFormatting>
  <conditionalFormatting sqref="O27:P27">
    <cfRule type="expression" dxfId="58" priority="149">
      <formula>IF(N27=1,1,0)</formula>
    </cfRule>
  </conditionalFormatting>
  <conditionalFormatting sqref="O27:P27">
    <cfRule type="expression" dxfId="57" priority="144">
      <formula>IF(N27=1,1,0)</formula>
    </cfRule>
  </conditionalFormatting>
  <conditionalFormatting sqref="Q10:Q46 AK10:AK46">
    <cfRule type="cellIs" dxfId="56" priority="140" operator="equal">
      <formula>4</formula>
    </cfRule>
    <cfRule type="cellIs" dxfId="55" priority="141" operator="equal">
      <formula>2</formula>
    </cfRule>
    <cfRule type="cellIs" dxfId="54" priority="142" operator="equal">
      <formula>3</formula>
    </cfRule>
  </conditionalFormatting>
  <conditionalFormatting sqref="X10:AJ46">
    <cfRule type="expression" dxfId="53" priority="135">
      <formula>IF(W10=1,1,0)</formula>
    </cfRule>
  </conditionalFormatting>
  <conditionalFormatting sqref="X10:AJ46">
    <cfRule type="expression" dxfId="52" priority="130">
      <formula>IF(W10=1,1,0)</formula>
    </cfRule>
  </conditionalFormatting>
  <conditionalFormatting sqref="X10:AJ46">
    <cfRule type="expression" dxfId="51" priority="125">
      <formula>IF(W10=1,1,0)</formula>
    </cfRule>
  </conditionalFormatting>
  <conditionalFormatting sqref="X10:AJ46">
    <cfRule type="expression" dxfId="50" priority="120">
      <formula>IF(W10=1,1,0)</formula>
    </cfRule>
  </conditionalFormatting>
  <conditionalFormatting sqref="X10:AJ46">
    <cfRule type="expression" dxfId="49" priority="114">
      <formula>IF(W10=1,1,0)</formula>
    </cfRule>
  </conditionalFormatting>
  <conditionalFormatting sqref="W27:AH27">
    <cfRule type="expression" dxfId="48" priority="109">
      <formula>IF(V27=1,1,0)</formula>
    </cfRule>
  </conditionalFormatting>
  <conditionalFormatting sqref="W27:AH27">
    <cfRule type="expression" dxfId="47" priority="105">
      <formula>IF(V27=1,1,0)</formula>
    </cfRule>
  </conditionalFormatting>
  <conditionalFormatting sqref="W27:AH27">
    <cfRule type="expression" dxfId="46" priority="101">
      <formula>IF(V27=1,1,0)</formula>
    </cfRule>
  </conditionalFormatting>
  <conditionalFormatting sqref="W27:AB27">
    <cfRule type="expression" dxfId="45" priority="96">
      <formula>IF(V27=1,1,0)</formula>
    </cfRule>
  </conditionalFormatting>
  <conditionalFormatting sqref="AC27:AH27">
    <cfRule type="expression" dxfId="44" priority="91">
      <formula>IF(AB27=1,1,0)</formula>
    </cfRule>
  </conditionalFormatting>
  <conditionalFormatting sqref="AI27:AJ27">
    <cfRule type="expression" dxfId="43" priority="86">
      <formula>IF(AH27=1,1,0)</formula>
    </cfRule>
  </conditionalFormatting>
  <conditionalFormatting sqref="AI27:AJ27">
    <cfRule type="expression" dxfId="42" priority="82">
      <formula>IF(AH27=1,1,0)</formula>
    </cfRule>
  </conditionalFormatting>
  <conditionalFormatting sqref="AI27:AJ27">
    <cfRule type="expression" dxfId="41" priority="78">
      <formula>IF(AH27=1,1,0)</formula>
    </cfRule>
  </conditionalFormatting>
  <conditionalFormatting sqref="AI27:AJ27">
    <cfRule type="expression" dxfId="40" priority="73">
      <formula>IF(AH27=1,1,0)</formula>
    </cfRule>
  </conditionalFormatting>
  <conditionalFormatting sqref="X27:AJ29">
    <cfRule type="expression" dxfId="39" priority="67">
      <formula>IF(W27=1,1,0)</formula>
    </cfRule>
  </conditionalFormatting>
  <conditionalFormatting sqref="X27:AJ29">
    <cfRule type="expression" dxfId="38" priority="62">
      <formula>IF(W27=1,1,0)</formula>
    </cfRule>
  </conditionalFormatting>
  <conditionalFormatting sqref="X27:AJ29">
    <cfRule type="expression" dxfId="37" priority="57">
      <formula>IF(W27=1,1,0)</formula>
    </cfRule>
  </conditionalFormatting>
  <conditionalFormatting sqref="X27:AJ29">
    <cfRule type="expression" dxfId="36" priority="52">
      <formula>IF(W27=1,1,0)</formula>
    </cfRule>
  </conditionalFormatting>
  <conditionalFormatting sqref="X27:AJ29">
    <cfRule type="expression" dxfId="35" priority="46">
      <formula>IF(W27=1,1,0)</formula>
    </cfRule>
  </conditionalFormatting>
  <conditionalFormatting sqref="W27:AH27">
    <cfRule type="expression" dxfId="34" priority="41">
      <formula>IF(V27=1,1,0)</formula>
    </cfRule>
  </conditionalFormatting>
  <conditionalFormatting sqref="W27:AH27">
    <cfRule type="expression" dxfId="33" priority="37">
      <formula>IF(V27=1,1,0)</formula>
    </cfRule>
  </conditionalFormatting>
  <conditionalFormatting sqref="W27:AH27">
    <cfRule type="expression" dxfId="32" priority="33">
      <formula>IF(V27=1,1,0)</formula>
    </cfRule>
  </conditionalFormatting>
  <conditionalFormatting sqref="W27:AB27">
    <cfRule type="expression" dxfId="31" priority="28">
      <formula>IF(V27=1,1,0)</formula>
    </cfRule>
  </conditionalFormatting>
  <conditionalFormatting sqref="AC27:AH27">
    <cfRule type="expression" dxfId="30" priority="23">
      <formula>IF(AB27=1,1,0)</formula>
    </cfRule>
  </conditionalFormatting>
  <conditionalFormatting sqref="AI27:AJ27">
    <cfRule type="expression" dxfId="29" priority="18">
      <formula>IF(AH27=1,1,0)</formula>
    </cfRule>
  </conditionalFormatting>
  <conditionalFormatting sqref="AI27:AJ27">
    <cfRule type="expression" dxfId="28" priority="14">
      <formula>IF(AH27=1,1,0)</formula>
    </cfRule>
  </conditionalFormatting>
  <conditionalFormatting sqref="AI27:AJ27">
    <cfRule type="expression" dxfId="27" priority="10">
      <formula>IF(AH27=1,1,0)</formula>
    </cfRule>
  </conditionalFormatting>
  <conditionalFormatting sqref="AI27:AJ27">
    <cfRule type="expression" dxfId="26" priority="5">
      <formula>IF(AH27=1,1,0)</formula>
    </cfRule>
  </conditionalFormatting>
  <dataValidations count="1">
    <dataValidation type="list" allowBlank="1" showInputMessage="1" showErrorMessage="1" sqref="V10:V46 B10:B46">
      <formula1>Данные!A:A</formula1>
    </dataValidation>
  </dataValidations>
  <pageMargins left="1.22" right="0.31496062992125984" top="0.3" bottom="0.27" header="0.31496062992125984" footer="0.31496062992125984"/>
  <pageSetup paperSize="9" scal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R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44" sqref="O44"/>
    </sheetView>
  </sheetViews>
  <sheetFormatPr defaultRowHeight="14.4"/>
  <cols>
    <col min="1" max="1" width="39" bestFit="1" customWidth="1"/>
    <col min="2" max="2" width="9.21875" bestFit="1" customWidth="1"/>
    <col min="3" max="3" width="14.44140625" customWidth="1"/>
    <col min="4" max="4" width="14" customWidth="1"/>
    <col min="5" max="5" width="10.6640625" bestFit="1" customWidth="1"/>
    <col min="6" max="6" width="11.88671875" customWidth="1"/>
    <col min="7" max="7" width="10.6640625" customWidth="1"/>
    <col min="8" max="8" width="17.44140625" bestFit="1" customWidth="1"/>
    <col min="9" max="9" width="11.77734375" customWidth="1"/>
    <col min="10" max="10" width="12.33203125" customWidth="1"/>
    <col min="11" max="11" width="15.5546875" bestFit="1" customWidth="1"/>
    <col min="12" max="13" width="11.77734375" customWidth="1"/>
    <col min="14" max="16" width="18.6640625" customWidth="1"/>
    <col min="18" max="18" width="15.5546875" style="74" bestFit="1" customWidth="1"/>
  </cols>
  <sheetData>
    <row r="1" spans="1:18" ht="28.8">
      <c r="A1" s="76" t="s">
        <v>46</v>
      </c>
      <c r="B1" s="76" t="s">
        <v>59</v>
      </c>
      <c r="C1" s="76" t="s">
        <v>61</v>
      </c>
      <c r="D1" s="76" t="s">
        <v>60</v>
      </c>
      <c r="E1" s="76" t="s">
        <v>22</v>
      </c>
      <c r="F1" s="76" t="s">
        <v>62</v>
      </c>
      <c r="G1" s="76" t="s">
        <v>63</v>
      </c>
      <c r="H1" s="76" t="s">
        <v>69</v>
      </c>
      <c r="I1" s="76" t="s">
        <v>70</v>
      </c>
      <c r="J1" s="76" t="s">
        <v>6</v>
      </c>
      <c r="K1" s="76" t="s">
        <v>131</v>
      </c>
      <c r="L1" s="76" t="s">
        <v>92</v>
      </c>
      <c r="M1" s="76" t="s">
        <v>130</v>
      </c>
      <c r="N1" s="76" t="s">
        <v>129</v>
      </c>
      <c r="O1" s="76" t="s">
        <v>128</v>
      </c>
      <c r="P1" s="76" t="s">
        <v>4</v>
      </c>
      <c r="Q1" s="76" t="s">
        <v>58</v>
      </c>
      <c r="R1" s="162" t="s">
        <v>158</v>
      </c>
    </row>
    <row r="2" spans="1:18">
      <c r="A2" s="102" t="s">
        <v>51</v>
      </c>
      <c r="B2" s="103">
        <v>720</v>
      </c>
      <c r="C2" s="103">
        <f>1800-600</f>
        <v>1200</v>
      </c>
      <c r="D2" s="103" t="s">
        <v>114</v>
      </c>
      <c r="E2" s="103">
        <f t="shared" ref="E2:E45" si="0">SUM(B2:C2)</f>
        <v>1920</v>
      </c>
      <c r="F2" s="103"/>
      <c r="G2" s="103">
        <f>Данные!$E2+Данные!$F2</f>
        <v>1920</v>
      </c>
      <c r="H2" s="104">
        <f>COUNTIFS(Учёт!H:H,Данные!$A2,Учёт!J:J,"&gt;0")</f>
        <v>0</v>
      </c>
      <c r="I2" s="104">
        <f>IF(Данные!$H2&lt;=20,1,IF(Данные!$H2&lt;=40,2,IF(Данные!$H2&gt;40,3,0)))</f>
        <v>1</v>
      </c>
      <c r="J2" s="105"/>
      <c r="K2" s="104">
        <f>COUNTIFS(Учёт!H:H,Таблица1[[#This Row],[ФИО]],Учёт!J:J,"=0")</f>
        <v>0</v>
      </c>
      <c r="L2" s="105">
        <v>400</v>
      </c>
      <c r="M2" s="103">
        <f ca="1">SUMIF(Учёт!H:K,Данные!A2,Учёт!K:K)-Таблица1[[#This Row],[Выплачено]]</f>
        <v>-400</v>
      </c>
      <c r="N2" s="105">
        <f ca="1">Таблица1[[#This Row],[К выплате на сегодня]]-Таблица1[[#This Row],[Долг]]</f>
        <v>-2320</v>
      </c>
      <c r="O2" s="105">
        <f ca="1">SUMIF(Учёт!H:W,Таблица1[[#This Row],[ФИО]],Учёт!W:W)</f>
        <v>0</v>
      </c>
      <c r="P2" s="118">
        <f ca="1">SUMIF(Учёт!H:X,Таблица1[[#This Row],[ФИО]],Учёт!X:X)</f>
        <v>0</v>
      </c>
      <c r="Q2" s="121">
        <f ca="1">IFERROR(Таблица1[[#This Row],[Доход]]/SUMIF(Учёт!H:P,Таблица1[[#This Row],[ФИО]],Учёт!P:P),0)</f>
        <v>0</v>
      </c>
    </row>
    <row r="3" spans="1:18">
      <c r="A3" s="106" t="s">
        <v>52</v>
      </c>
      <c r="B3" s="107"/>
      <c r="C3" s="107"/>
      <c r="D3" s="107" t="s">
        <v>114</v>
      </c>
      <c r="E3" s="107">
        <f t="shared" si="0"/>
        <v>0</v>
      </c>
      <c r="F3" s="107"/>
      <c r="G3" s="107">
        <f>Данные!$E3+Данные!$F3</f>
        <v>0</v>
      </c>
      <c r="H3" s="108">
        <f>COUNTIFS(Учёт!H:H,Данные!$A3,Учёт!J:J,"&gt;0")</f>
        <v>0</v>
      </c>
      <c r="I3" s="108">
        <f>IF(Данные!$H3&lt;=20,1,IF(Данные!$H3&lt;=40,2,IF(Данные!$H3&gt;40,3,0)))</f>
        <v>1</v>
      </c>
      <c r="J3" s="109"/>
      <c r="K3" s="108">
        <f>COUNTIFS(Учёт!H:H,Таблица1[[#This Row],[ФИО]],Учёт!J:J,"=0")</f>
        <v>0</v>
      </c>
      <c r="L3" s="109">
        <v>2000</v>
      </c>
      <c r="M3" s="107">
        <f ca="1">SUMIF(Учёт!H:K,Данные!A3,Учёт!K:K)-Таблица1[[#This Row],[Выплачено]]</f>
        <v>-2000</v>
      </c>
      <c r="N3" s="109">
        <f ca="1">Таблица1[[#This Row],[К выплате на сегодня]]-Таблица1[[#This Row],[Долг]]</f>
        <v>-2000</v>
      </c>
      <c r="O3" s="109">
        <f ca="1">SUMIF(Учёт!H:W,Таблица1[[#This Row],[ФИО]],Учёт!W:W)</f>
        <v>0</v>
      </c>
      <c r="P3" s="118">
        <f ca="1">SUMIF(Учёт!H:X,Таблица1[[#This Row],[ФИО]],Учёт!X:X)</f>
        <v>0</v>
      </c>
      <c r="Q3" s="121">
        <f ca="1">IFERROR(Таблица1[[#This Row],[Доход]]/SUMIF(Учёт!H:P,Таблица1[[#This Row],[ФИО]],Учёт!P:P),0)</f>
        <v>0</v>
      </c>
    </row>
    <row r="4" spans="1:18">
      <c r="A4" s="102" t="s">
        <v>53</v>
      </c>
      <c r="B4" s="103"/>
      <c r="C4" s="103"/>
      <c r="D4" s="107" t="s">
        <v>114</v>
      </c>
      <c r="E4" s="103">
        <f t="shared" si="0"/>
        <v>0</v>
      </c>
      <c r="F4" s="103"/>
      <c r="G4" s="103">
        <f>Данные!$E4+Данные!$F4</f>
        <v>0</v>
      </c>
      <c r="H4" s="104">
        <f>COUNTIFS(Учёт!H:H,Данные!$A4,Учёт!J:J,"&gt;0")</f>
        <v>0</v>
      </c>
      <c r="I4" s="104">
        <f>IF(Данные!$H4&lt;=20,1,IF(Данные!$H4&lt;=40,2,IF(Данные!$H4&gt;40,3,0)))</f>
        <v>1</v>
      </c>
      <c r="J4" s="110"/>
      <c r="K4" s="104">
        <f>COUNTIFS(Учёт!H:H,Таблица1[[#This Row],[ФИО]],Учёт!J:J,"=0")</f>
        <v>0</v>
      </c>
      <c r="L4" s="110">
        <v>3000</v>
      </c>
      <c r="M4" s="103">
        <f ca="1">SUMIF(Учёт!H:K,Данные!A4,Учёт!K:K)-Таблица1[[#This Row],[Выплачено]]</f>
        <v>-3000</v>
      </c>
      <c r="N4" s="105">
        <f ca="1">Таблица1[[#This Row],[К выплате на сегодня]]-Таблица1[[#This Row],[Долг]]</f>
        <v>-3000</v>
      </c>
      <c r="O4" s="105">
        <f ca="1">SUMIF(Учёт!H:W,Таблица1[[#This Row],[ФИО]],Учёт!W:W)</f>
        <v>0</v>
      </c>
      <c r="P4" s="118">
        <f ca="1">SUMIF(Учёт!H:X,Таблица1[[#This Row],[ФИО]],Учёт!X:X)</f>
        <v>0</v>
      </c>
      <c r="Q4" s="121">
        <f ca="1">IFERROR(Таблица1[[#This Row],[Доход]]/SUMIF(Учёт!H:P,Таблица1[[#This Row],[ФИО]],Учёт!P:P),0)</f>
        <v>0</v>
      </c>
    </row>
    <row r="5" spans="1:18">
      <c r="A5" s="111" t="s">
        <v>113</v>
      </c>
      <c r="B5" s="46">
        <f>520-520</f>
        <v>0</v>
      </c>
      <c r="C5" s="46">
        <f>1800-600-600-400-200</f>
        <v>0</v>
      </c>
      <c r="D5" s="46">
        <v>800</v>
      </c>
      <c r="E5" s="46">
        <f t="shared" si="0"/>
        <v>0</v>
      </c>
      <c r="F5" s="46"/>
      <c r="G5" s="46">
        <f>Данные!$E5+Данные!$F5</f>
        <v>0</v>
      </c>
      <c r="H5" s="52">
        <f>COUNTIFS(Учёт!H:H,Данные!$A5,Учёт!J:J,"&gt;0")</f>
        <v>1</v>
      </c>
      <c r="I5" s="52">
        <v>1</v>
      </c>
      <c r="J5" s="52"/>
      <c r="K5" s="52">
        <f>COUNTIFS(Учёт!H:H,Таблица1[[#This Row],[ФИО]],Учёт!J:J,"=0")</f>
        <v>0</v>
      </c>
      <c r="L5" s="71">
        <f>2400+2400+1600+3700</f>
        <v>10100</v>
      </c>
      <c r="M5" s="46">
        <f ca="1">SUMIF(Учёт!H:K,Данные!A5,Учёт!K:K)-Таблица1[[#This Row],[Выплачено]]</f>
        <v>-9000.0007999999998</v>
      </c>
      <c r="N5" s="71">
        <f ca="1">Таблица1[[#This Row],[К выплате на сегодня]]-Таблица1[[#This Row],[Долг]]</f>
        <v>-9000.0007999999998</v>
      </c>
      <c r="O5" s="71">
        <f ca="1">SUMIF(Учёт!H:W,Таблица1[[#This Row],[ФИО]],Учёт!W:W)</f>
        <v>0</v>
      </c>
      <c r="P5" s="118">
        <f ca="1">SUMIF(Учёт!H:X,Таблица1[[#This Row],[ФИО]],Учёт!X:X)</f>
        <v>422.80079999999998</v>
      </c>
      <c r="Q5" s="121">
        <f ca="1">IFERROR(Таблица1[[#This Row],[Доход]]/SUMIF(Учёт!H:P,Таблица1[[#This Row],[ФИО]],Учёт!P:P),0)</f>
        <v>0.27764696611505124</v>
      </c>
    </row>
    <row r="6" spans="1:18">
      <c r="A6" s="102" t="s">
        <v>54</v>
      </c>
      <c r="B6" s="103"/>
      <c r="C6" s="103"/>
      <c r="D6" s="103" t="s">
        <v>114</v>
      </c>
      <c r="E6" s="103">
        <f t="shared" si="0"/>
        <v>0</v>
      </c>
      <c r="F6" s="103"/>
      <c r="G6" s="103">
        <f>Данные!$E6+Данные!$F6</f>
        <v>0</v>
      </c>
      <c r="H6" s="104">
        <f>COUNTIFS(Учёт!H:H,Данные!$A6,Учёт!J:J,"&gt;0")</f>
        <v>0</v>
      </c>
      <c r="I6" s="104">
        <f>IF(Данные!$H6&lt;=20,1,IF(Данные!$H6&lt;=40,2,IF(Данные!$H6&gt;40,3,0)))</f>
        <v>1</v>
      </c>
      <c r="J6" s="104"/>
      <c r="K6" s="104">
        <f>COUNTIFS(Учёт!H:H,Таблица1[[#This Row],[ФИО]],Учёт!J:J,"=0")</f>
        <v>0</v>
      </c>
      <c r="L6" s="105"/>
      <c r="M6" s="103">
        <f ca="1">SUMIF(Учёт!H:K,Данные!A6,Учёт!K:K)-Таблица1[[#This Row],[Выплачено]]</f>
        <v>0</v>
      </c>
      <c r="N6" s="105">
        <f ca="1">Таблица1[[#This Row],[К выплате на сегодня]]-Таблица1[[#This Row],[Долг]]</f>
        <v>0</v>
      </c>
      <c r="O6" s="105">
        <f ca="1">SUMIF(Учёт!H:W,Таблица1[[#This Row],[ФИО]],Учёт!W:W)</f>
        <v>0</v>
      </c>
      <c r="P6" s="118">
        <f ca="1">SUMIF(Учёт!H:X,Таблица1[[#This Row],[ФИО]],Учёт!X:X)</f>
        <v>0</v>
      </c>
      <c r="Q6" s="121">
        <f ca="1">IFERROR(Таблица1[[#This Row],[Доход]]/SUMIF(Учёт!H:P,Таблица1[[#This Row],[ФИО]],Учёт!P:P),0)</f>
        <v>0</v>
      </c>
    </row>
    <row r="7" spans="1:18">
      <c r="A7" s="47" t="s">
        <v>109</v>
      </c>
      <c r="B7" s="46"/>
      <c r="C7" s="46">
        <f>1800-400-200-800-400</f>
        <v>0</v>
      </c>
      <c r="D7" s="46">
        <v>800</v>
      </c>
      <c r="E7" s="46">
        <f t="shared" si="0"/>
        <v>0</v>
      </c>
      <c r="F7" s="46"/>
      <c r="G7" s="46">
        <f>Данные!$E7+Данные!$F7</f>
        <v>0</v>
      </c>
      <c r="H7" s="52">
        <f>COUNTIFS(Учёт!H:H,Данные!$A7,Учёт!J:J,"&gt;0")</f>
        <v>0</v>
      </c>
      <c r="I7" s="52">
        <v>1</v>
      </c>
      <c r="J7" s="52"/>
      <c r="K7" s="52">
        <f>COUNTIFS(Учёт!H:H,Таблица1[[#This Row],[ФИО]],Учёт!J:J,"=0")</f>
        <v>0</v>
      </c>
      <c r="L7" s="71">
        <f>1600+800+3600</f>
        <v>6000</v>
      </c>
      <c r="M7" s="46">
        <f ca="1">SUMIF(Учёт!H:K,Данные!A7,Учёт!K:K)-Таблица1[[#This Row],[Выплачено]]</f>
        <v>-6000</v>
      </c>
      <c r="N7" s="71">
        <f ca="1">Таблица1[[#This Row],[К выплате на сегодня]]-Таблица1[[#This Row],[Долг]]</f>
        <v>-6000</v>
      </c>
      <c r="O7" s="71">
        <f ca="1">SUMIF(Учёт!H:W,Таблица1[[#This Row],[ФИО]],Учёт!W:W)</f>
        <v>0</v>
      </c>
      <c r="P7" s="118">
        <f ca="1">SUMIF(Учёт!H:X,Таблица1[[#This Row],[ФИО]],Учёт!X:X)</f>
        <v>0</v>
      </c>
      <c r="Q7" s="121">
        <f ca="1">IFERROR(Таблица1[[#This Row],[Доход]]/SUMIF(Учёт!H:P,Таблица1[[#This Row],[ФИО]],Учёт!P:P),0)</f>
        <v>0</v>
      </c>
      <c r="R7" s="74">
        <v>583513579129</v>
      </c>
    </row>
    <row r="8" spans="1:18">
      <c r="A8" s="102" t="s">
        <v>64</v>
      </c>
      <c r="B8" s="103">
        <v>720</v>
      </c>
      <c r="C8" s="103">
        <v>1800</v>
      </c>
      <c r="D8" s="103" t="s">
        <v>114</v>
      </c>
      <c r="E8" s="103">
        <f t="shared" si="0"/>
        <v>2520</v>
      </c>
      <c r="F8" s="103">
        <v>60</v>
      </c>
      <c r="G8" s="103">
        <f>Данные!$E8+Данные!$F8</f>
        <v>2580</v>
      </c>
      <c r="H8" s="104">
        <f>COUNTIFS(Учёт!H:H,Данные!$A8,Учёт!J:J,"&gt;0")</f>
        <v>0</v>
      </c>
      <c r="I8" s="104">
        <f>IF(Данные!$H8&lt;=20,1,IF(Данные!$H8&lt;=40,2,IF(Данные!$H8&gt;40,3,0)))</f>
        <v>1</v>
      </c>
      <c r="J8" s="104"/>
      <c r="K8" s="104">
        <f>COUNTIFS(Учёт!H:H,Таблица1[[#This Row],[ФИО]],Учёт!J:J,"=0")</f>
        <v>0</v>
      </c>
      <c r="L8" s="105"/>
      <c r="M8" s="103">
        <f ca="1">SUMIF(Учёт!H:K,Данные!A8,Учёт!K:K)-Таблица1[[#This Row],[Выплачено]]</f>
        <v>0</v>
      </c>
      <c r="N8" s="105">
        <f ca="1">Таблица1[[#This Row],[К выплате на сегодня]]-Таблица1[[#This Row],[Долг]]</f>
        <v>-2580</v>
      </c>
      <c r="O8" s="105">
        <f ca="1">SUMIF(Учёт!H:W,Таблица1[[#This Row],[ФИО]],Учёт!W:W)</f>
        <v>0</v>
      </c>
      <c r="P8" s="118">
        <f ca="1">SUMIF(Учёт!H:X,Таблица1[[#This Row],[ФИО]],Учёт!X:X)</f>
        <v>0</v>
      </c>
      <c r="Q8" s="121">
        <f ca="1">IFERROR(Таблица1[[#This Row],[Доход]]/SUMIF(Учёт!H:P,Таблица1[[#This Row],[ФИО]],Учёт!P:P),0)</f>
        <v>0</v>
      </c>
    </row>
    <row r="9" spans="1:18">
      <c r="A9" s="106" t="s">
        <v>65</v>
      </c>
      <c r="B9" s="107">
        <v>520</v>
      </c>
      <c r="C9" s="107">
        <v>1800</v>
      </c>
      <c r="D9" s="107" t="s">
        <v>117</v>
      </c>
      <c r="E9" s="107">
        <f t="shared" si="0"/>
        <v>2320</v>
      </c>
      <c r="F9" s="107">
        <v>60</v>
      </c>
      <c r="G9" s="107">
        <f>Данные!$E9+Данные!$F9</f>
        <v>2380</v>
      </c>
      <c r="H9" s="108">
        <f>COUNTIFS(Учёт!H:H,Данные!$A9,Учёт!J:J,"&gt;0")</f>
        <v>0</v>
      </c>
      <c r="I9" s="108">
        <f>IF(Данные!$H9&lt;=20,1,IF(Данные!$H9&lt;=40,2,IF(Данные!$H9&gt;40,3,0)))</f>
        <v>1</v>
      </c>
      <c r="J9" s="108"/>
      <c r="K9" s="108">
        <f>COUNTIFS(Учёт!H:H,Таблица1[[#This Row],[ФИО]],Учёт!J:J,"=0")</f>
        <v>0</v>
      </c>
      <c r="L9" s="109"/>
      <c r="M9" s="107">
        <f ca="1">SUMIF(Учёт!H:K,Данные!A9,Учёт!K:K)-Таблица1[[#This Row],[Выплачено]]</f>
        <v>0</v>
      </c>
      <c r="N9" s="109">
        <f ca="1">Таблица1[[#This Row],[К выплате на сегодня]]-Таблица1[[#This Row],[Долг]]</f>
        <v>-2380</v>
      </c>
      <c r="O9" s="109">
        <f ca="1">SUMIF(Учёт!H:W,Таблица1[[#This Row],[ФИО]],Учёт!W:W)</f>
        <v>0</v>
      </c>
      <c r="P9" s="118">
        <f ca="1">SUMIF(Учёт!H:X,Таблица1[[#This Row],[ФИО]],Учёт!X:X)</f>
        <v>0</v>
      </c>
      <c r="Q9" s="121">
        <f ca="1">IFERROR(Таблица1[[#This Row],[Доход]]/SUMIF(Учёт!H:P,Таблица1[[#This Row],[ФИО]],Учёт!P:P),0)</f>
        <v>0</v>
      </c>
    </row>
    <row r="10" spans="1:18">
      <c r="A10" s="59" t="s">
        <v>112</v>
      </c>
      <c r="B10" s="45">
        <f>520-520</f>
        <v>0</v>
      </c>
      <c r="C10" s="45">
        <f>1800-600-400-800</f>
        <v>0</v>
      </c>
      <c r="D10" s="45">
        <v>800</v>
      </c>
      <c r="E10" s="48">
        <f t="shared" si="0"/>
        <v>0</v>
      </c>
      <c r="F10" s="48">
        <v>60</v>
      </c>
      <c r="G10" s="48">
        <f>Данные!$E10+Данные!$F10</f>
        <v>60</v>
      </c>
      <c r="H10" s="58">
        <f>COUNTIFS(Учёт!H:H,Данные!$A10,Учёт!J:J,"&gt;0")</f>
        <v>0</v>
      </c>
      <c r="I10" s="58">
        <v>1</v>
      </c>
      <c r="J10" s="58">
        <v>1</v>
      </c>
      <c r="K10" s="58">
        <f>COUNTIFS(Учёт!H:H,Таблица1[[#This Row],[ФИО]],Учёт!J:J,"=0")</f>
        <v>0</v>
      </c>
      <c r="L10" s="70"/>
      <c r="M10" s="48">
        <f ca="1">SUMIF(Учёт!H:K,Данные!A10,Учёт!K:K)-Таблица1[[#This Row],[Выплачено]]</f>
        <v>0</v>
      </c>
      <c r="N10" s="90">
        <f ca="1">Таблица1[[#This Row],[К выплате на сегодня]]-Таблица1[[#This Row],[Долг]]</f>
        <v>-60</v>
      </c>
      <c r="O10" s="90">
        <f ca="1">SUMIF(Учёт!H:W,Таблица1[[#This Row],[ФИО]],Учёт!W:W)</f>
        <v>0</v>
      </c>
      <c r="P10" s="118">
        <f ca="1">SUMIF(Учёт!H:X,Таблица1[[#This Row],[ФИО]],Учёт!X:X)</f>
        <v>0</v>
      </c>
      <c r="Q10" s="121">
        <f ca="1">IFERROR(Таблица1[[#This Row],[Доход]]/SUMIF(Учёт!H:P,Таблица1[[#This Row],[ФИО]],Учёт!P:P),0)</f>
        <v>0</v>
      </c>
      <c r="R10" s="74">
        <v>644401960399</v>
      </c>
    </row>
    <row r="11" spans="1:18">
      <c r="A11" s="60" t="s">
        <v>111</v>
      </c>
      <c r="B11" s="46">
        <f>520-520</f>
        <v>0</v>
      </c>
      <c r="C11" s="46">
        <f>1800-600-400-800</f>
        <v>0</v>
      </c>
      <c r="D11" s="46">
        <v>800</v>
      </c>
      <c r="E11" s="46">
        <f t="shared" si="0"/>
        <v>0</v>
      </c>
      <c r="F11" s="46">
        <v>60</v>
      </c>
      <c r="G11" s="46">
        <f>Данные!$E11+Данные!$F11</f>
        <v>60</v>
      </c>
      <c r="H11" s="52">
        <f>COUNTIFS(Учёт!H:H,Данные!$A11,Учёт!J:J,"&gt;0")</f>
        <v>0</v>
      </c>
      <c r="I11" s="52">
        <v>1</v>
      </c>
      <c r="J11" s="52">
        <v>1</v>
      </c>
      <c r="K11" s="52">
        <f>COUNTIFS(Учёт!H:H,Таблица1[[#This Row],[ФИО]],Учёт!J:J,"=0")</f>
        <v>0</v>
      </c>
      <c r="L11" s="71"/>
      <c r="M11" s="46">
        <f ca="1">SUMIF(Учёт!H:K,Данные!A11,Учёт!K:K)-Таблица1[[#This Row],[Выплачено]]</f>
        <v>0</v>
      </c>
      <c r="N11" s="71">
        <f ca="1">Таблица1[[#This Row],[К выплате на сегодня]]-Таблица1[[#This Row],[Долг]]</f>
        <v>-60</v>
      </c>
      <c r="O11" s="71">
        <f ca="1">SUMIF(Учёт!H:W,Таблица1[[#This Row],[ФИО]],Учёт!W:W)</f>
        <v>0</v>
      </c>
      <c r="P11" s="118">
        <f ca="1">SUMIF(Учёт!H:X,Таблица1[[#This Row],[ФИО]],Учёт!X:X)</f>
        <v>0</v>
      </c>
      <c r="Q11" s="121">
        <f ca="1">IFERROR(Таблица1[[#This Row],[Доход]]/SUMIF(Учёт!H:P,Таблица1[[#This Row],[ФИО]],Учёт!P:P),0)</f>
        <v>0</v>
      </c>
      <c r="R11" s="74">
        <v>644402170700</v>
      </c>
    </row>
    <row r="12" spans="1:18">
      <c r="A12" s="59" t="s">
        <v>110</v>
      </c>
      <c r="B12" s="46"/>
      <c r="C12" s="46"/>
      <c r="D12" s="46">
        <v>800</v>
      </c>
      <c r="E12" s="46">
        <f t="shared" si="0"/>
        <v>0</v>
      </c>
      <c r="F12" s="46"/>
      <c r="G12" s="46">
        <f>Данные!$E12+Данные!$F12</f>
        <v>0</v>
      </c>
      <c r="H12" s="52">
        <f>COUNTIFS(Учёт!H:H,Данные!$A12,Учёт!J:J,"&gt;0")</f>
        <v>0</v>
      </c>
      <c r="I12" s="52">
        <v>1</v>
      </c>
      <c r="J12" s="52">
        <v>1</v>
      </c>
      <c r="K12" s="52">
        <f>COUNTIFS(Учёт!H:H,Таблица1[[#This Row],[ФИО]],Учёт!J:J,"=0")</f>
        <v>0</v>
      </c>
      <c r="L12" s="71"/>
      <c r="M12" s="71">
        <f ca="1">SUMIF(Учёт!H:K,Данные!A12,Учёт!K:K)-Таблица1[[#This Row],[Выплачено]]</f>
        <v>0</v>
      </c>
      <c r="N12" s="71">
        <f ca="1">Таблица1[[#This Row],[К выплате на сегодня]]-Таблица1[[#This Row],[Долг]]</f>
        <v>0</v>
      </c>
      <c r="O12" s="71">
        <f ca="1">SUMIF(Учёт!H:W,Таблица1[[#This Row],[ФИО]],Учёт!W:W)</f>
        <v>0</v>
      </c>
      <c r="P12" s="118">
        <f ca="1">SUMIF(Учёт!H:X,Таблица1[[#This Row],[ФИО]],Учёт!X:X)</f>
        <v>0</v>
      </c>
      <c r="Q12" s="121">
        <f ca="1">IFERROR(Таблица1[[#This Row],[Доход]]/SUMIF(Учёт!H:P,Таблица1[[#This Row],[ФИО]],Учёт!P:P),0)</f>
        <v>0</v>
      </c>
      <c r="R12" s="74">
        <v>583506612505</v>
      </c>
    </row>
    <row r="13" spans="1:18">
      <c r="A13" s="75" t="s">
        <v>118</v>
      </c>
      <c r="B13" s="99"/>
      <c r="C13" s="99"/>
      <c r="D13" s="99">
        <v>800</v>
      </c>
      <c r="E13" s="99">
        <f t="shared" si="0"/>
        <v>0</v>
      </c>
      <c r="F13" s="99"/>
      <c r="G13" s="99">
        <f>Данные!$E13+Данные!$F13</f>
        <v>0</v>
      </c>
      <c r="H13" s="100">
        <f>COUNTIFS(Учёт!H:H,Данные!$A13,Учёт!J:J,"&gt;0")</f>
        <v>1</v>
      </c>
      <c r="I13" s="52">
        <v>1</v>
      </c>
      <c r="J13" s="52">
        <v>1</v>
      </c>
      <c r="K13" s="52">
        <f>COUNTIFS(Учёт!H:H,Таблица1[[#This Row],[ФИО]],Учёт!J:J,"=0")</f>
        <v>0</v>
      </c>
      <c r="L13" s="101"/>
      <c r="M13" s="101">
        <f ca="1">SUMIF(Учёт!H:K,Данные!A13,Учёт!K:K)-Таблица1[[#This Row],[Выплачено]]</f>
        <v>1099.9992</v>
      </c>
      <c r="N13" s="101">
        <f ca="1">Таблица1[[#This Row],[К выплате на сегодня]]-Таблица1[[#This Row],[Долг]]</f>
        <v>1099.9992</v>
      </c>
      <c r="O13" s="101">
        <f ca="1">SUMIF(Учёт!H:W,Таблица1[[#This Row],[ФИО]],Учёт!W:W)</f>
        <v>48.120000000000005</v>
      </c>
      <c r="P13" s="118">
        <f ca="1">SUMIF(Учёт!H:X,Таблица1[[#This Row],[ФИО]],Учёт!X:X)</f>
        <v>374.68079999999998</v>
      </c>
      <c r="Q13" s="121">
        <f ca="1">IFERROR(Таблица1[[#This Row],[Доход]]/SUMIF(Учёт!H:P,Таблица1[[#This Row],[ФИО]],Учёт!P:P),0)</f>
        <v>0.24604728132387707</v>
      </c>
      <c r="R13" s="74">
        <v>583607899406</v>
      </c>
    </row>
    <row r="14" spans="1:18">
      <c r="A14" s="75" t="s">
        <v>108</v>
      </c>
      <c r="B14" s="46"/>
      <c r="C14" s="46"/>
      <c r="D14" s="46">
        <v>800</v>
      </c>
      <c r="E14" s="46">
        <f t="shared" si="0"/>
        <v>0</v>
      </c>
      <c r="F14" s="46"/>
      <c r="G14" s="46">
        <f>Данные!$E14+Данные!$F14</f>
        <v>0</v>
      </c>
      <c r="H14" s="52">
        <f>COUNTIFS(Учёт!H:H,Данные!$A14,Учёт!J:J,"&gt;0")</f>
        <v>1</v>
      </c>
      <c r="I14" s="52">
        <v>1</v>
      </c>
      <c r="J14" s="52"/>
      <c r="K14" s="52">
        <f>COUNTIFS(Учёт!H:H,Таблица1[[#This Row],[ФИО]],Учёт!J:J,"=0")</f>
        <v>0</v>
      </c>
      <c r="L14" s="71"/>
      <c r="M14" s="71">
        <f ca="1">SUMIF(Учёт!H:K,Данные!A14,Учёт!K:K)-Таблица1[[#This Row],[Выплачено]]</f>
        <v>999.9999600000001</v>
      </c>
      <c r="N14" s="71">
        <f ca="1">Таблица1[[#This Row],[К выплате на сегодня]]-Таблица1[[#This Row],[Долг]]</f>
        <v>999.9999600000001</v>
      </c>
      <c r="O14" s="71">
        <f ca="1">SUMIF(Учёт!H:W,Таблица1[[#This Row],[ФИО]],Учёт!W:W)</f>
        <v>0</v>
      </c>
      <c r="P14" s="118">
        <f ca="1">SUMIF(Учёт!H:X,Таблица1[[#This Row],[ФИО]],Учёт!X:X)</f>
        <v>522.80003999999985</v>
      </c>
      <c r="Q14" s="121">
        <f ca="1">IFERROR(Таблица1[[#This Row],[Доход]]/SUMIF(Учёт!H:P,Таблица1[[#This Row],[ФИО]],Учёт!P:P),0)</f>
        <v>0.34331497241922765</v>
      </c>
    </row>
    <row r="15" spans="1:18">
      <c r="A15" s="75" t="s">
        <v>107</v>
      </c>
      <c r="B15" s="99"/>
      <c r="C15" s="99"/>
      <c r="D15" s="99">
        <v>800</v>
      </c>
      <c r="E15" s="99">
        <f t="shared" si="0"/>
        <v>0</v>
      </c>
      <c r="F15" s="99"/>
      <c r="G15" s="99">
        <f>Данные!$E15+Данные!$F15</f>
        <v>0</v>
      </c>
      <c r="H15" s="100">
        <f>COUNTIFS(Учёт!H:H,Данные!$A15,Учёт!J:J,"&gt;0")</f>
        <v>1</v>
      </c>
      <c r="I15" s="52">
        <v>1</v>
      </c>
      <c r="J15" s="52">
        <v>1</v>
      </c>
      <c r="K15" s="52">
        <f>COUNTIFS(Учёт!H:H,Таблица1[[#This Row],[ФИО]],Учёт!J:J,"=0")</f>
        <v>0</v>
      </c>
      <c r="L15" s="101"/>
      <c r="M15" s="101">
        <f ca="1">SUMIF(Учёт!H:K,Данные!A15,Учёт!K:K)-Таблица1[[#This Row],[Выплачено]]</f>
        <v>999.9999600000001</v>
      </c>
      <c r="N15" s="101">
        <f ca="1">Таблица1[[#This Row],[К выплате на сегодня]]-Таблица1[[#This Row],[Долг]]</f>
        <v>999.9999600000001</v>
      </c>
      <c r="O15" s="101">
        <f ca="1">SUMIF(Учёт!H:W,Таблица1[[#This Row],[ФИО]],Учёт!W:W)</f>
        <v>48.120000000000005</v>
      </c>
      <c r="P15" s="118">
        <f ca="1">SUMIF(Учёт!H:X,Таблица1[[#This Row],[ФИО]],Учёт!X:X)</f>
        <v>474.68003999999985</v>
      </c>
      <c r="Q15" s="121">
        <f ca="1">IFERROR(Таблица1[[#This Row],[Доход]]/SUMIF(Учёт!H:P,Таблица1[[#This Row],[ФИО]],Учёт!P:P),0)</f>
        <v>0.31171528762805351</v>
      </c>
      <c r="R15" s="74">
        <v>581703181893</v>
      </c>
    </row>
    <row r="16" spans="1:18">
      <c r="A16" s="75" t="s">
        <v>106</v>
      </c>
      <c r="B16" s="46"/>
      <c r="C16" s="46"/>
      <c r="D16" s="46"/>
      <c r="E16" s="46">
        <f t="shared" si="0"/>
        <v>0</v>
      </c>
      <c r="F16" s="46"/>
      <c r="G16" s="46">
        <f>Данные!$E16+Данные!$F16</f>
        <v>0</v>
      </c>
      <c r="H16" s="52">
        <f>COUNTIFS(Учёт!H:H,Данные!$A16,Учёт!J:J,"&gt;0")</f>
        <v>0</v>
      </c>
      <c r="I16" s="52">
        <v>1</v>
      </c>
      <c r="J16" s="52"/>
      <c r="K16" s="52">
        <f>COUNTIFS(Учёт!H:H,Таблица1[[#This Row],[ФИО]],Учёт!J:J,"=0")</f>
        <v>0</v>
      </c>
      <c r="L16" s="71"/>
      <c r="M16" s="71">
        <f ca="1">SUMIF(Учёт!H:K,Данные!A16,Учёт!K:K)-Таблица1[[#This Row],[Выплачено]]</f>
        <v>0</v>
      </c>
      <c r="N16" s="71">
        <f ca="1">Таблица1[[#This Row],[К выплате на сегодня]]-Таблица1[[#This Row],[Долг]]</f>
        <v>0</v>
      </c>
      <c r="O16" s="71">
        <f ca="1">SUMIF(Учёт!H:W,Таблица1[[#This Row],[ФИО]],Учёт!W:W)</f>
        <v>0</v>
      </c>
      <c r="P16" s="118">
        <f ca="1">SUMIF(Учёт!H:X,Таблица1[[#This Row],[ФИО]],Учёт!X:X)</f>
        <v>0</v>
      </c>
      <c r="Q16" s="121">
        <f ca="1">IFERROR(Таблица1[[#This Row],[Доход]]/SUMIF(Учёт!H:P,Таблица1[[#This Row],[ФИО]],Учёт!P:P),0)</f>
        <v>0</v>
      </c>
    </row>
    <row r="17" spans="1:18">
      <c r="A17" s="75" t="s">
        <v>105</v>
      </c>
      <c r="B17" s="99"/>
      <c r="C17" s="99"/>
      <c r="D17" s="99"/>
      <c r="E17" s="99">
        <f t="shared" si="0"/>
        <v>0</v>
      </c>
      <c r="F17" s="99"/>
      <c r="G17" s="99">
        <f>Данные!$E17+Данные!$F17</f>
        <v>0</v>
      </c>
      <c r="H17" s="100">
        <f>COUNTIFS(Учёт!H:H,Данные!$A17,Учёт!J:J,"&gt;0")</f>
        <v>0</v>
      </c>
      <c r="I17" s="52">
        <v>1</v>
      </c>
      <c r="J17" s="52"/>
      <c r="K17" s="52">
        <f>COUNTIFS(Учёт!H:H,Таблица1[[#This Row],[ФИО]],Учёт!J:J,"=0")</f>
        <v>0</v>
      </c>
      <c r="L17" s="101"/>
      <c r="M17" s="101">
        <f ca="1">SUMIF(Учёт!H:K,Данные!A17,Учёт!K:K)-Таблица1[[#This Row],[Выплачено]]</f>
        <v>0</v>
      </c>
      <c r="N17" s="101">
        <f ca="1">Таблица1[[#This Row],[К выплате на сегодня]]-Таблица1[[#This Row],[Долг]]</f>
        <v>0</v>
      </c>
      <c r="O17" s="101">
        <f ca="1">SUMIF(Учёт!H:W,Таблица1[[#This Row],[ФИО]],Учёт!W:W)</f>
        <v>0</v>
      </c>
      <c r="P17" s="118">
        <f ca="1">SUMIF(Учёт!H:X,Таблица1[[#This Row],[ФИО]],Учёт!X:X)</f>
        <v>0</v>
      </c>
      <c r="Q17" s="121">
        <f ca="1">IFERROR(Таблица1[[#This Row],[Доход]]/SUMIF(Учёт!H:P,Таблица1[[#This Row],[ФИО]],Учёт!P:P),0)</f>
        <v>0</v>
      </c>
    </row>
    <row r="18" spans="1:18">
      <c r="A18" s="75" t="s">
        <v>104</v>
      </c>
      <c r="B18" s="46"/>
      <c r="C18" s="46"/>
      <c r="D18" s="46">
        <v>800</v>
      </c>
      <c r="E18" s="46">
        <f t="shared" si="0"/>
        <v>0</v>
      </c>
      <c r="F18" s="46"/>
      <c r="G18" s="46">
        <f>Данные!$E18+Данные!$F18</f>
        <v>0</v>
      </c>
      <c r="H18" s="52">
        <f>COUNTIFS(Учёт!H:H,Данные!$A18,Учёт!J:J,"&gt;0")</f>
        <v>0</v>
      </c>
      <c r="I18" s="52">
        <v>1</v>
      </c>
      <c r="J18" s="52">
        <v>1</v>
      </c>
      <c r="K18" s="52">
        <f>COUNTIFS(Учёт!H:H,Таблица1[[#This Row],[ФИО]],Учёт!J:J,"=0")</f>
        <v>0</v>
      </c>
      <c r="L18" s="71"/>
      <c r="M18" s="71">
        <f ca="1">SUMIF(Учёт!H:K,Данные!A18,Учёт!K:K)-Таблица1[[#This Row],[Выплачено]]</f>
        <v>0</v>
      </c>
      <c r="N18" s="71">
        <f ca="1">Таблица1[[#This Row],[К выплате на сегодня]]-Таблица1[[#This Row],[Долг]]</f>
        <v>0</v>
      </c>
      <c r="O18" s="71">
        <f ca="1">SUMIF(Учёт!H:W,Таблица1[[#This Row],[ФИО]],Учёт!W:W)</f>
        <v>0</v>
      </c>
      <c r="P18" s="118">
        <f ca="1">SUMIF(Учёт!H:X,Таблица1[[#This Row],[ФИО]],Учёт!X:X)</f>
        <v>0</v>
      </c>
      <c r="Q18" s="121">
        <f ca="1">IFERROR(Таблица1[[#This Row],[Доход]]/SUMIF(Учёт!H:P,Таблица1[[#This Row],[ФИО]],Учёт!P:P),0)</f>
        <v>0</v>
      </c>
      <c r="R18" s="74">
        <v>581703485073</v>
      </c>
    </row>
    <row r="19" spans="1:18">
      <c r="A19" s="75" t="s">
        <v>103</v>
      </c>
      <c r="B19" s="46"/>
      <c r="C19" s="46"/>
      <c r="D19" s="46">
        <v>800</v>
      </c>
      <c r="E19" s="46">
        <f t="shared" si="0"/>
        <v>0</v>
      </c>
      <c r="F19" s="46"/>
      <c r="G19" s="46">
        <f>Данные!$E19+Данные!$F19</f>
        <v>0</v>
      </c>
      <c r="H19" s="52">
        <f>COUNTIFS(Учёт!H:H,Данные!$A19,Учёт!J:J,"&gt;0")</f>
        <v>0</v>
      </c>
      <c r="I19" s="52">
        <v>1</v>
      </c>
      <c r="J19" s="52">
        <v>1</v>
      </c>
      <c r="K19" s="52">
        <f>COUNTIFS(Учёт!H:H,Таблица1[[#This Row],[ФИО]],Учёт!J:J,"=0")</f>
        <v>0</v>
      </c>
      <c r="L19" s="71"/>
      <c r="M19" s="71">
        <f ca="1">SUMIF(Учёт!H:K,Данные!A19,Учёт!K:K)-Таблица1[[#This Row],[Выплачено]]</f>
        <v>0</v>
      </c>
      <c r="N19" s="71">
        <f ca="1">Таблица1[[#This Row],[К выплате на сегодня]]-Таблица1[[#This Row],[Долг]]</f>
        <v>0</v>
      </c>
      <c r="O19" s="71">
        <f ca="1">SUMIF(Учёт!H:W,Таблица1[[#This Row],[ФИО]],Учёт!W:W)</f>
        <v>0</v>
      </c>
      <c r="P19" s="118">
        <f ca="1">SUMIF(Учёт!H:X,Таблица1[[#This Row],[ФИО]],Учёт!X:X)</f>
        <v>0</v>
      </c>
      <c r="Q19" s="121">
        <f ca="1">IFERROR(Таблица1[[#This Row],[Доход]]/SUMIF(Учёт!H:P,Таблица1[[#This Row],[ФИО]],Учёт!P:P),0)</f>
        <v>0</v>
      </c>
      <c r="R19" s="74">
        <v>580206453312</v>
      </c>
    </row>
    <row r="20" spans="1:18">
      <c r="A20" s="75" t="s">
        <v>102</v>
      </c>
      <c r="B20" s="48">
        <v>520</v>
      </c>
      <c r="C20" s="48">
        <f>1800-200-600</f>
        <v>1000</v>
      </c>
      <c r="D20" s="48">
        <v>800</v>
      </c>
      <c r="E20" s="48">
        <f t="shared" si="0"/>
        <v>1520</v>
      </c>
      <c r="F20" s="48"/>
      <c r="G20" s="48">
        <f>Данные!$E20+Данные!$F20</f>
        <v>1520</v>
      </c>
      <c r="H20" s="58">
        <f>COUNTIFS(Учёт!H:H,Данные!$A20,Учёт!J:J,"&gt;0")</f>
        <v>0</v>
      </c>
      <c r="I20" s="52">
        <v>1</v>
      </c>
      <c r="J20" s="52">
        <v>1</v>
      </c>
      <c r="K20" s="52">
        <f>COUNTIFS(Учёт!H:H,Таблица1[[#This Row],[ФИО]],Учёт!J:J,"=0")</f>
        <v>0</v>
      </c>
      <c r="L20" s="70"/>
      <c r="M20" s="70">
        <f ca="1">SUMIF(Учёт!H:K,Данные!A20,Учёт!K:K)-Таблица1[[#This Row],[Выплачено]]</f>
        <v>0</v>
      </c>
      <c r="N20" s="70">
        <f ca="1">Таблица1[[#This Row],[К выплате на сегодня]]-Таблица1[[#This Row],[Долг]]</f>
        <v>-1520</v>
      </c>
      <c r="O20" s="70">
        <f ca="1">SUMIF(Учёт!H:W,Таблица1[[#This Row],[ФИО]],Учёт!W:W)</f>
        <v>0</v>
      </c>
      <c r="P20" s="118">
        <f ca="1">SUMIF(Учёт!H:X,Таблица1[[#This Row],[ФИО]],Учёт!X:X)</f>
        <v>0</v>
      </c>
      <c r="Q20" s="121">
        <f ca="1">IFERROR(Таблица1[[#This Row],[Доход]]/SUMIF(Учёт!H:P,Таблица1[[#This Row],[ФИО]],Учёт!P:P),0)</f>
        <v>0</v>
      </c>
      <c r="R20" s="74">
        <v>582939245282</v>
      </c>
    </row>
    <row r="21" spans="1:18">
      <c r="A21" s="75" t="s">
        <v>101</v>
      </c>
      <c r="B21" s="46">
        <f>520-200</f>
        <v>320</v>
      </c>
      <c r="C21" s="46">
        <f>1800-400-600-800</f>
        <v>0</v>
      </c>
      <c r="D21" s="46">
        <v>800</v>
      </c>
      <c r="E21" s="46">
        <f t="shared" si="0"/>
        <v>320</v>
      </c>
      <c r="F21" s="46"/>
      <c r="G21" s="46">
        <f>Данные!$E21+Данные!$F21</f>
        <v>320</v>
      </c>
      <c r="H21" s="52">
        <f>COUNTIFS(Учёт!H:H,Данные!$A21,Учёт!J:J,"&gt;0")</f>
        <v>0</v>
      </c>
      <c r="I21" s="52">
        <v>1</v>
      </c>
      <c r="J21" s="52"/>
      <c r="K21" s="52">
        <f>COUNTIFS(Учёт!H:H,Таблица1[[#This Row],[ФИО]],Учёт!J:J,"=0")</f>
        <v>0</v>
      </c>
      <c r="L21" s="71"/>
      <c r="M21" s="71">
        <f ca="1">SUMIF(Учёт!H:K,Данные!A21,Учёт!K:K)-Таблица1[[#This Row],[Выплачено]]</f>
        <v>0</v>
      </c>
      <c r="N21" s="71">
        <f ca="1">Таблица1[[#This Row],[К выплате на сегодня]]-Таблица1[[#This Row],[Долг]]</f>
        <v>-320</v>
      </c>
      <c r="O21" s="71">
        <f ca="1">SUMIF(Учёт!H:W,Таблица1[[#This Row],[ФИО]],Учёт!W:W)</f>
        <v>0</v>
      </c>
      <c r="P21" s="118">
        <f ca="1">SUMIF(Учёт!H:X,Таблица1[[#This Row],[ФИО]],Учёт!X:X)</f>
        <v>0</v>
      </c>
      <c r="Q21" s="121">
        <f ca="1">IFERROR(Таблица1[[#This Row],[Доход]]/SUMIF(Учёт!H:P,Таблица1[[#This Row],[ФИО]],Учёт!P:P),0)</f>
        <v>0</v>
      </c>
    </row>
    <row r="22" spans="1:18">
      <c r="A22" s="75" t="s">
        <v>100</v>
      </c>
      <c r="B22" s="48"/>
      <c r="C22" s="48"/>
      <c r="D22" s="48"/>
      <c r="E22" s="48">
        <f t="shared" si="0"/>
        <v>0</v>
      </c>
      <c r="F22" s="48"/>
      <c r="G22" s="48">
        <f>Данные!$E22+Данные!$F22</f>
        <v>0</v>
      </c>
      <c r="H22" s="58">
        <f>COUNTIFS(Учёт!H:H,Данные!$A22,Учёт!J:J,"&gt;0")</f>
        <v>0</v>
      </c>
      <c r="I22" s="52">
        <v>1</v>
      </c>
      <c r="J22" s="52">
        <v>1</v>
      </c>
      <c r="K22" s="52">
        <f>COUNTIFS(Учёт!H:H,Таблица1[[#This Row],[ФИО]],Учёт!J:J,"=0")</f>
        <v>0</v>
      </c>
      <c r="L22" s="70"/>
      <c r="M22" s="70">
        <f ca="1">SUMIF(Учёт!H:K,Данные!A22,Учёт!K:K)-Таблица1[[#This Row],[Выплачено]]</f>
        <v>0</v>
      </c>
      <c r="N22" s="70">
        <f ca="1">Таблица1[[#This Row],[К выплате на сегодня]]-Таблица1[[#This Row],[Долг]]</f>
        <v>0</v>
      </c>
      <c r="O22" s="70">
        <f ca="1">SUMIF(Учёт!H:W,Таблица1[[#This Row],[ФИО]],Учёт!W:W)</f>
        <v>0</v>
      </c>
      <c r="P22" s="118">
        <f ca="1">SUMIF(Учёт!H:X,Таблица1[[#This Row],[ФИО]],Учёт!X:X)</f>
        <v>0</v>
      </c>
      <c r="Q22" s="121">
        <f ca="1">IFERROR(Таблица1[[#This Row],[Доход]]/SUMIF(Учёт!H:P,Таблица1[[#This Row],[ФИО]],Учёт!P:P),0)</f>
        <v>0</v>
      </c>
      <c r="R22" s="74">
        <v>583601836209</v>
      </c>
    </row>
    <row r="23" spans="1:18">
      <c r="A23" s="75" t="s">
        <v>98</v>
      </c>
      <c r="B23" s="46"/>
      <c r="C23" s="46"/>
      <c r="D23" s="46">
        <v>800</v>
      </c>
      <c r="E23" s="46">
        <f t="shared" si="0"/>
        <v>0</v>
      </c>
      <c r="F23" s="46"/>
      <c r="G23" s="46">
        <f>Данные!$E23+Данные!$F23</f>
        <v>0</v>
      </c>
      <c r="H23" s="52">
        <f>COUNTIFS(Учёт!H:H,Данные!$A23,Учёт!J:J,"&gt;0")</f>
        <v>0</v>
      </c>
      <c r="I23" s="52">
        <v>1</v>
      </c>
      <c r="J23" s="52">
        <v>1</v>
      </c>
      <c r="K23" s="52">
        <f>COUNTIFS(Учёт!H:H,Таблица1[[#This Row],[ФИО]],Учёт!J:J,"=0")</f>
        <v>0</v>
      </c>
      <c r="L23" s="71"/>
      <c r="M23" s="71">
        <f ca="1">SUMIF(Учёт!H:K,Данные!A23,Учёт!K:K)-Таблица1[[#This Row],[Выплачено]]</f>
        <v>0</v>
      </c>
      <c r="N23" s="71">
        <f ca="1">Таблица1[[#This Row],[К выплате на сегодня]]-Таблица1[[#This Row],[Долг]]</f>
        <v>0</v>
      </c>
      <c r="O23" s="71">
        <f ca="1">SUMIF(Учёт!H:W,Таблица1[[#This Row],[ФИО]],Учёт!W:W)</f>
        <v>0</v>
      </c>
      <c r="P23" s="118">
        <f ca="1">SUMIF(Учёт!H:X,Таблица1[[#This Row],[ФИО]],Учёт!X:X)</f>
        <v>0</v>
      </c>
      <c r="Q23" s="121">
        <f ca="1">IFERROR(Таблица1[[#This Row],[Доход]]/SUMIF(Учёт!H:P,Таблица1[[#This Row],[ФИО]],Учёт!P:P),0)</f>
        <v>0</v>
      </c>
      <c r="R23" s="74">
        <v>583512050357</v>
      </c>
    </row>
    <row r="24" spans="1:18">
      <c r="A24" s="75" t="s">
        <v>99</v>
      </c>
      <c r="B24" s="48"/>
      <c r="C24" s="48"/>
      <c r="D24" s="48"/>
      <c r="E24" s="48">
        <f t="shared" si="0"/>
        <v>0</v>
      </c>
      <c r="F24" s="48"/>
      <c r="G24" s="48">
        <f>Данные!$E24+Данные!$F24</f>
        <v>0</v>
      </c>
      <c r="H24" s="58">
        <f>COUNTIFS(Учёт!H:H,Данные!$A24,Учёт!J:J,"&gt;0")</f>
        <v>0</v>
      </c>
      <c r="I24" s="52">
        <v>1</v>
      </c>
      <c r="J24" s="52"/>
      <c r="K24" s="52">
        <f>COUNTIFS(Учёт!H:H,Таблица1[[#This Row],[ФИО]],Учёт!J:J,"=0")</f>
        <v>0</v>
      </c>
      <c r="L24" s="70"/>
      <c r="M24" s="70">
        <f ca="1">SUMIF(Учёт!H:K,Данные!A24,Учёт!K:K)-Таблица1[[#This Row],[Выплачено]]</f>
        <v>0</v>
      </c>
      <c r="N24" s="70">
        <f ca="1">Таблица1[[#This Row],[К выплате на сегодня]]-Таблица1[[#This Row],[Долг]]</f>
        <v>0</v>
      </c>
      <c r="O24" s="70">
        <f ca="1">SUMIF(Учёт!H:W,Таблица1[[#This Row],[ФИО]],Учёт!W:W)</f>
        <v>0</v>
      </c>
      <c r="P24" s="118">
        <f ca="1">SUMIF(Учёт!H:X,Таблица1[[#This Row],[ФИО]],Учёт!X:X)</f>
        <v>0</v>
      </c>
      <c r="Q24" s="121">
        <f ca="1">IFERROR(Таблица1[[#This Row],[Доход]]/SUMIF(Учёт!H:P,Таблица1[[#This Row],[ФИО]],Учёт!P:P),0)</f>
        <v>0</v>
      </c>
    </row>
    <row r="25" spans="1:18">
      <c r="A25" s="75" t="s">
        <v>120</v>
      </c>
      <c r="B25" s="46"/>
      <c r="C25" s="46"/>
      <c r="D25" s="46"/>
      <c r="E25" s="46">
        <f t="shared" si="0"/>
        <v>0</v>
      </c>
      <c r="F25" s="46"/>
      <c r="G25" s="46">
        <f>Данные!$E25+Данные!$F25</f>
        <v>0</v>
      </c>
      <c r="H25" s="52">
        <f>COUNTIFS(Учёт!H:H,Данные!$A25,Учёт!J:J,"&gt;0")</f>
        <v>0</v>
      </c>
      <c r="I25" s="52">
        <v>1</v>
      </c>
      <c r="J25" s="52"/>
      <c r="K25" s="52">
        <f>COUNTIFS(Учёт!H:H,Таблица1[[#This Row],[ФИО]],Учёт!J:J,"=0")</f>
        <v>0</v>
      </c>
      <c r="L25" s="71"/>
      <c r="M25" s="71">
        <f ca="1">SUMIF(Учёт!H:K,Данные!A25,Учёт!K:K)-Таблица1[[#This Row],[Выплачено]]</f>
        <v>0</v>
      </c>
      <c r="N25" s="71">
        <f ca="1">Таблица1[[#This Row],[К выплате на сегодня]]-Таблица1[[#This Row],[Долг]]</f>
        <v>0</v>
      </c>
      <c r="O25" s="71">
        <f ca="1">SUMIF(Учёт!H:W,Таблица1[[#This Row],[ФИО]],Учёт!W:W)</f>
        <v>0</v>
      </c>
      <c r="P25" s="118">
        <f ca="1">SUMIF(Учёт!H:X,Таблица1[[#This Row],[ФИО]],Учёт!X:X)</f>
        <v>0</v>
      </c>
      <c r="Q25" s="121">
        <f ca="1">IFERROR(Таблица1[[#This Row],[Доход]]/SUMIF(Учёт!H:P,Таблица1[[#This Row],[ФИО]],Учёт!P:P),0)</f>
        <v>0</v>
      </c>
    </row>
    <row r="26" spans="1:18">
      <c r="A26" s="75" t="s">
        <v>121</v>
      </c>
      <c r="B26" s="48"/>
      <c r="C26" s="48"/>
      <c r="D26" s="48"/>
      <c r="E26" s="48">
        <f t="shared" si="0"/>
        <v>0</v>
      </c>
      <c r="F26" s="48"/>
      <c r="G26" s="48">
        <f>Данные!$E26+Данные!$F26</f>
        <v>0</v>
      </c>
      <c r="H26" s="58">
        <f>COUNTIFS(Учёт!H:H,Данные!$A26,Учёт!J:J,"&gt;0")</f>
        <v>0</v>
      </c>
      <c r="I26" s="52">
        <v>1</v>
      </c>
      <c r="J26" s="52"/>
      <c r="K26" s="52">
        <f>COUNTIFS(Учёт!H:H,Таблица1[[#This Row],[ФИО]],Учёт!J:J,"=0")</f>
        <v>0</v>
      </c>
      <c r="L26" s="70"/>
      <c r="M26" s="70">
        <f ca="1">SUMIF(Учёт!H:K,Данные!A26,Учёт!K:K)-Таблица1[[#This Row],[Выплачено]]</f>
        <v>0</v>
      </c>
      <c r="N26" s="70">
        <f ca="1">Таблица1[[#This Row],[К выплате на сегодня]]-Таблица1[[#This Row],[Долг]]</f>
        <v>0</v>
      </c>
      <c r="O26" s="70">
        <f ca="1">SUMIF(Учёт!H:W,Таблица1[[#This Row],[ФИО]],Учёт!W:W)</f>
        <v>0</v>
      </c>
      <c r="P26" s="118">
        <f ca="1">SUMIF(Учёт!H:X,Таблица1[[#This Row],[ФИО]],Учёт!X:X)</f>
        <v>0</v>
      </c>
      <c r="Q26" s="121">
        <f ca="1">IFERROR(Таблица1[[#This Row],[Доход]]/SUMIF(Учёт!H:P,Таблица1[[#This Row],[ФИО]],Учёт!P:P),0)</f>
        <v>0</v>
      </c>
    </row>
    <row r="27" spans="1:18">
      <c r="A27" s="75" t="s">
        <v>122</v>
      </c>
      <c r="B27" s="46"/>
      <c r="C27" s="46"/>
      <c r="D27" s="46"/>
      <c r="E27" s="46">
        <f t="shared" si="0"/>
        <v>0</v>
      </c>
      <c r="F27" s="46"/>
      <c r="G27" s="46">
        <f>Данные!$E27+Данные!$F27</f>
        <v>0</v>
      </c>
      <c r="H27" s="52">
        <f>COUNTIFS(Учёт!H:H,Данные!$A27,Учёт!J:J,"&gt;0")</f>
        <v>0</v>
      </c>
      <c r="I27" s="52">
        <v>1</v>
      </c>
      <c r="J27" s="52"/>
      <c r="K27" s="52">
        <f>COUNTIFS(Учёт!H:H,Таблица1[[#This Row],[ФИО]],Учёт!J:J,"=0")</f>
        <v>0</v>
      </c>
      <c r="L27" s="71"/>
      <c r="M27" s="71">
        <f ca="1">SUMIF(Учёт!H:K,Данные!A27,Учёт!K:K)-Таблица1[[#This Row],[Выплачено]]</f>
        <v>0</v>
      </c>
      <c r="N27" s="71">
        <f ca="1">Таблица1[[#This Row],[К выплате на сегодня]]-Таблица1[[#This Row],[Долг]]</f>
        <v>0</v>
      </c>
      <c r="O27" s="71">
        <f ca="1">SUMIF(Учёт!H:W,Таблица1[[#This Row],[ФИО]],Учёт!W:W)</f>
        <v>0</v>
      </c>
      <c r="P27" s="118">
        <f ca="1">SUMIF(Учёт!H:X,Таблица1[[#This Row],[ФИО]],Учёт!X:X)</f>
        <v>0</v>
      </c>
      <c r="Q27" s="121">
        <f ca="1">IFERROR(Таблица1[[#This Row],[Доход]]/SUMIF(Учёт!H:P,Таблица1[[#This Row],[ФИО]],Учёт!P:P),0)</f>
        <v>0</v>
      </c>
    </row>
    <row r="28" spans="1:18">
      <c r="A28" s="75" t="s">
        <v>133</v>
      </c>
      <c r="B28" s="48"/>
      <c r="C28" s="48"/>
      <c r="D28" s="48"/>
      <c r="E28" s="48">
        <f t="shared" si="0"/>
        <v>0</v>
      </c>
      <c r="F28" s="48"/>
      <c r="G28" s="48">
        <f>Данные!$E28+Данные!$F28</f>
        <v>0</v>
      </c>
      <c r="H28" s="58">
        <f>COUNTIFS(Учёт!H:H,Данные!$A28,Учёт!J:J,"&gt;0")</f>
        <v>0</v>
      </c>
      <c r="I28" s="52">
        <v>1</v>
      </c>
      <c r="J28" s="52">
        <v>1</v>
      </c>
      <c r="K28" s="52">
        <f>COUNTIFS(Учёт!H:H,Таблица1[[#This Row],[ФИО]],Учёт!J:J,"=0")</f>
        <v>0</v>
      </c>
      <c r="L28" s="70"/>
      <c r="M28" s="70">
        <f ca="1">SUMIF(Учёт!H:K,Данные!A28,Учёт!K:K)-Таблица1[[#This Row],[Выплачено]]</f>
        <v>0</v>
      </c>
      <c r="N28" s="70">
        <f ca="1">Таблица1[[#This Row],[К выплате на сегодня]]-Таблица1[[#This Row],[Долг]]</f>
        <v>0</v>
      </c>
      <c r="O28" s="70">
        <f ca="1">SUMIF(Учёт!H:W,Таблица1[[#This Row],[ФИО]],Учёт!W:W)</f>
        <v>0</v>
      </c>
      <c r="P28" s="118">
        <f ca="1">SUMIF(Учёт!H:X,Таблица1[[#This Row],[ФИО]],Учёт!X:X)</f>
        <v>0</v>
      </c>
      <c r="Q28" s="121">
        <f ca="1">IFERROR(Таблица1[[#This Row],[Доход]]/SUMIF(Учёт!H:P,Таблица1[[#This Row],[ФИО]],Учёт!P:P),0)</f>
        <v>0</v>
      </c>
      <c r="R28" s="74">
        <v>583516029317</v>
      </c>
    </row>
    <row r="29" spans="1:18">
      <c r="A29" s="150" t="s">
        <v>134</v>
      </c>
      <c r="B29" s="151"/>
      <c r="C29" s="151"/>
      <c r="D29" s="151" t="s">
        <v>114</v>
      </c>
      <c r="E29" s="151">
        <f t="shared" si="0"/>
        <v>0</v>
      </c>
      <c r="F29" s="151"/>
      <c r="G29" s="151">
        <f>Данные!$E29+Данные!$F29</f>
        <v>0</v>
      </c>
      <c r="H29" s="152">
        <f>COUNTIFS(Учёт!H:H,Данные!$A29,Учёт!J:J,"&gt;0")</f>
        <v>0</v>
      </c>
      <c r="I29" s="152">
        <v>1</v>
      </c>
      <c r="J29" s="152"/>
      <c r="K29" s="152">
        <f>COUNTIFS(Учёт!H:H,Таблица1[[#This Row],[ФИО]],Учёт!J:J,"=0")</f>
        <v>0</v>
      </c>
      <c r="L29" s="153"/>
      <c r="M29" s="153">
        <f ca="1">SUMIF(Учёт!H:K,Данные!A29,Учёт!K:K)-Таблица1[[#This Row],[Выплачено]]</f>
        <v>0</v>
      </c>
      <c r="N29" s="153">
        <f ca="1">Таблица1[[#This Row],[К выплате на сегодня]]-Таблица1[[#This Row],[Долг]]</f>
        <v>0</v>
      </c>
      <c r="O29" s="153">
        <f ca="1">SUMIF(Учёт!H:W,Таблица1[[#This Row],[ФИО]],Учёт!W:W)</f>
        <v>0</v>
      </c>
      <c r="P29" s="154">
        <f ca="1">SUMIF(Учёт!H:X,Таблица1[[#This Row],[ФИО]],Учёт!X:X)</f>
        <v>0</v>
      </c>
      <c r="Q29" s="155">
        <f ca="1">IFERROR(Таблица1[[#This Row],[Доход]]/SUMIF(Учёт!H:P,Таблица1[[#This Row],[ФИО]],Учёт!P:P),0)</f>
        <v>0</v>
      </c>
    </row>
    <row r="30" spans="1:18">
      <c r="A30" s="75" t="s">
        <v>135</v>
      </c>
      <c r="B30" s="48"/>
      <c r="C30" s="48"/>
      <c r="D30" s="48">
        <v>800</v>
      </c>
      <c r="E30" s="48">
        <f t="shared" si="0"/>
        <v>0</v>
      </c>
      <c r="F30" s="48"/>
      <c r="G30" s="48">
        <f>Данные!$E30+Данные!$F30</f>
        <v>0</v>
      </c>
      <c r="H30" s="58">
        <f>COUNTIFS(Учёт!H:H,Данные!$A30,Учёт!J:J,"&gt;0")</f>
        <v>0</v>
      </c>
      <c r="I30" s="52">
        <v>1</v>
      </c>
      <c r="J30" s="52">
        <v>1</v>
      </c>
      <c r="K30" s="52">
        <f>COUNTIFS(Учёт!H:H,Таблица1[[#This Row],[ФИО]],Учёт!J:J,"=0")</f>
        <v>0</v>
      </c>
      <c r="L30" s="70"/>
      <c r="M30" s="70">
        <f ca="1">SUMIF(Учёт!H:K,Данные!A30,Учёт!K:K)-Таблица1[[#This Row],[Выплачено]]</f>
        <v>0</v>
      </c>
      <c r="N30" s="70">
        <f ca="1">Таблица1[[#This Row],[К выплате на сегодня]]-Таблица1[[#This Row],[Долг]]</f>
        <v>0</v>
      </c>
      <c r="O30" s="70">
        <f ca="1">SUMIF(Учёт!H:W,Таблица1[[#This Row],[ФИО]],Учёт!W:W)</f>
        <v>0</v>
      </c>
      <c r="P30" s="118">
        <f ca="1">SUMIF(Учёт!H:X,Таблица1[[#This Row],[ФИО]],Учёт!X:X)</f>
        <v>0</v>
      </c>
      <c r="Q30" s="121">
        <f ca="1">IFERROR(Таблица1[[#This Row],[Доход]]/SUMIF(Учёт!H:P,Таблица1[[#This Row],[ФИО]],Учёт!P:P),0)</f>
        <v>0</v>
      </c>
      <c r="R30" s="74">
        <v>583712567431</v>
      </c>
    </row>
    <row r="31" spans="1:18">
      <c r="A31" s="150" t="s">
        <v>136</v>
      </c>
      <c r="B31" s="151"/>
      <c r="C31" s="151"/>
      <c r="D31" s="151"/>
      <c r="E31" s="151">
        <f t="shared" si="0"/>
        <v>0</v>
      </c>
      <c r="F31" s="151"/>
      <c r="G31" s="151">
        <f>Данные!$E31+Данные!$F31</f>
        <v>0</v>
      </c>
      <c r="H31" s="152">
        <f>COUNTIFS(Учёт!H:H,Данные!$A31,Учёт!J:J,"&gt;0")</f>
        <v>0</v>
      </c>
      <c r="I31" s="152">
        <v>1</v>
      </c>
      <c r="J31" s="152"/>
      <c r="K31" s="152">
        <f>COUNTIFS(Учёт!H:H,Таблица1[[#This Row],[ФИО]],Учёт!J:J,"=0")</f>
        <v>0</v>
      </c>
      <c r="L31" s="153"/>
      <c r="M31" s="153">
        <f ca="1">SUMIF(Учёт!H:K,Данные!A31,Учёт!K:K)-Таблица1[[#This Row],[Выплачено]]</f>
        <v>0</v>
      </c>
      <c r="N31" s="153">
        <f ca="1">Таблица1[[#This Row],[К выплате на сегодня]]-Таблица1[[#This Row],[Долг]]</f>
        <v>0</v>
      </c>
      <c r="O31" s="153">
        <f ca="1">SUMIF(Учёт!H:W,Таблица1[[#This Row],[ФИО]],Учёт!W:W)</f>
        <v>0</v>
      </c>
      <c r="P31" s="154">
        <f ca="1">SUMIF(Учёт!H:X,Таблица1[[#This Row],[ФИО]],Учёт!X:X)</f>
        <v>0</v>
      </c>
      <c r="Q31" s="155">
        <f ca="1">IFERROR(Таблица1[[#This Row],[Доход]]/SUMIF(Учёт!H:P,Таблица1[[#This Row],[ФИО]],Учёт!P:P),0)</f>
        <v>0</v>
      </c>
    </row>
    <row r="32" spans="1:18">
      <c r="A32" s="75" t="s">
        <v>153</v>
      </c>
      <c r="B32" s="48"/>
      <c r="C32" s="48"/>
      <c r="D32" s="48"/>
      <c r="E32" s="48">
        <f t="shared" si="0"/>
        <v>0</v>
      </c>
      <c r="F32" s="48"/>
      <c r="G32" s="48">
        <f>Данные!$E32+Данные!$F32</f>
        <v>0</v>
      </c>
      <c r="H32" s="58">
        <f>COUNTIFS(Учёт!H:H,Данные!$A32,Учёт!J:J,"&gt;0")</f>
        <v>0</v>
      </c>
      <c r="I32" s="52">
        <v>1</v>
      </c>
      <c r="J32" s="52">
        <v>1</v>
      </c>
      <c r="K32" s="52">
        <f>COUNTIFS(Учёт!H:H,Таблица1[[#This Row],[ФИО]],Учёт!J:J,"=0")</f>
        <v>0</v>
      </c>
      <c r="L32" s="70"/>
      <c r="M32" s="70">
        <f ca="1">SUMIF(Учёт!H:K,Данные!A32,Учёт!K:K)-Таблица1[[#This Row],[Выплачено]]</f>
        <v>0</v>
      </c>
      <c r="N32" s="70">
        <f ca="1">Таблица1[[#This Row],[К выплате на сегодня]]-Таблица1[[#This Row],[Долг]]</f>
        <v>0</v>
      </c>
      <c r="O32" s="70">
        <f ca="1">SUMIF(Учёт!H:W,Таблица1[[#This Row],[ФИО]],Учёт!W:W)</f>
        <v>0</v>
      </c>
      <c r="P32" s="118">
        <f ca="1">SUMIF(Учёт!H:X,Таблица1[[#This Row],[ФИО]],Учёт!X:X)</f>
        <v>0</v>
      </c>
      <c r="Q32" s="121">
        <f ca="1">IFERROR(Таблица1[[#This Row],[Доход]]/SUMIF(Учёт!H:P,Таблица1[[#This Row],[ФИО]],Учёт!P:P),0)</f>
        <v>0</v>
      </c>
      <c r="R32" s="74">
        <v>583712656353</v>
      </c>
    </row>
    <row r="33" spans="1:18">
      <c r="A33" s="75" t="s">
        <v>137</v>
      </c>
      <c r="B33" s="46"/>
      <c r="C33" s="46"/>
      <c r="D33" s="46">
        <v>800</v>
      </c>
      <c r="E33" s="46">
        <f t="shared" si="0"/>
        <v>0</v>
      </c>
      <c r="F33" s="46"/>
      <c r="G33" s="46">
        <f>Данные!$E33+Данные!$F33</f>
        <v>0</v>
      </c>
      <c r="H33" s="52">
        <f>COUNTIFS(Учёт!H:H,Данные!$A33,Учёт!J:J,"&gt;0")</f>
        <v>0</v>
      </c>
      <c r="I33" s="52">
        <v>1</v>
      </c>
      <c r="J33" s="52"/>
      <c r="K33" s="52">
        <f>COUNTIFS(Учёт!H:H,Таблица1[[#This Row],[ФИО]],Учёт!J:J,"=0")</f>
        <v>0</v>
      </c>
      <c r="L33" s="71"/>
      <c r="M33" s="71">
        <f ca="1">SUMIF(Учёт!H:K,Данные!A33,Учёт!K:K)-Таблица1[[#This Row],[Выплачено]]</f>
        <v>0</v>
      </c>
      <c r="N33" s="71">
        <f ca="1">Таблица1[[#This Row],[К выплате на сегодня]]-Таблица1[[#This Row],[Долг]]</f>
        <v>0</v>
      </c>
      <c r="O33" s="71">
        <f ca="1">SUMIF(Учёт!H:W,Таблица1[[#This Row],[ФИО]],Учёт!W:W)</f>
        <v>0</v>
      </c>
      <c r="P33" s="118">
        <f ca="1">SUMIF(Учёт!H:X,Таблица1[[#This Row],[ФИО]],Учёт!X:X)</f>
        <v>0</v>
      </c>
      <c r="Q33" s="121">
        <f ca="1">IFERROR(Таблица1[[#This Row],[Доход]]/SUMIF(Учёт!H:P,Таблица1[[#This Row],[ФИО]],Учёт!P:P),0)</f>
        <v>0</v>
      </c>
    </row>
    <row r="34" spans="1:18">
      <c r="A34" s="150" t="s">
        <v>142</v>
      </c>
      <c r="B34" s="156"/>
      <c r="C34" s="156"/>
      <c r="D34" s="156"/>
      <c r="E34" s="156">
        <f t="shared" si="0"/>
        <v>0</v>
      </c>
      <c r="F34" s="156"/>
      <c r="G34" s="156">
        <f>Данные!$E34+Данные!$F34</f>
        <v>0</v>
      </c>
      <c r="H34" s="157">
        <f>COUNTIFS(Учёт!H:H,Данные!$A34,Учёт!J:J,"&gt;0")</f>
        <v>0</v>
      </c>
      <c r="I34" s="152">
        <v>1</v>
      </c>
      <c r="J34" s="152"/>
      <c r="K34" s="152">
        <f>COUNTIFS(Учёт!H:H,Таблица1[[#This Row],[ФИО]],Учёт!J:J,"=0")</f>
        <v>0</v>
      </c>
      <c r="L34" s="158"/>
      <c r="M34" s="158">
        <f ca="1">SUMIF(Учёт!H:K,Данные!A34,Учёт!K:K)-Таблица1[[#This Row],[Выплачено]]</f>
        <v>0</v>
      </c>
      <c r="N34" s="158">
        <f ca="1">Таблица1[[#This Row],[К выплате на сегодня]]-Таблица1[[#This Row],[Долг]]</f>
        <v>0</v>
      </c>
      <c r="O34" s="158">
        <f ca="1">SUMIF(Учёт!H:W,Таблица1[[#This Row],[ФИО]],Учёт!W:W)</f>
        <v>0</v>
      </c>
      <c r="P34" s="154">
        <f ca="1">SUMIF(Учёт!H:X,Таблица1[[#This Row],[ФИО]],Учёт!X:X)</f>
        <v>0</v>
      </c>
      <c r="Q34" s="155">
        <f ca="1">IFERROR(Таблица1[[#This Row],[Доход]]/SUMIF(Учёт!H:P,Таблица1[[#This Row],[ФИО]],Учёт!P:P),0)</f>
        <v>0</v>
      </c>
    </row>
    <row r="35" spans="1:18">
      <c r="A35" s="150" t="s">
        <v>143</v>
      </c>
      <c r="B35" s="151"/>
      <c r="C35" s="151"/>
      <c r="D35" s="151"/>
      <c r="E35" s="151">
        <f t="shared" si="0"/>
        <v>0</v>
      </c>
      <c r="F35" s="151"/>
      <c r="G35" s="151">
        <f>Данные!$E35+Данные!$F35</f>
        <v>0</v>
      </c>
      <c r="H35" s="152">
        <f>COUNTIFS(Учёт!H:H,Данные!$A35,Учёт!J:J,"&gt;0")</f>
        <v>0</v>
      </c>
      <c r="I35" s="152">
        <v>1</v>
      </c>
      <c r="J35" s="152"/>
      <c r="K35" s="152">
        <f>COUNTIFS(Учёт!H:H,Таблица1[[#This Row],[ФИО]],Учёт!J:J,"=0")</f>
        <v>0</v>
      </c>
      <c r="L35" s="153"/>
      <c r="M35" s="153">
        <f ca="1">SUMIF(Учёт!H:K,Данные!A35,Учёт!K:K)-Таблица1[[#This Row],[Выплачено]]</f>
        <v>0</v>
      </c>
      <c r="N35" s="153">
        <f ca="1">Таблица1[[#This Row],[К выплате на сегодня]]-Таблица1[[#This Row],[Долг]]</f>
        <v>0</v>
      </c>
      <c r="O35" s="153">
        <f ca="1">SUMIF(Учёт!H:W,Таблица1[[#This Row],[ФИО]],Учёт!W:W)</f>
        <v>0</v>
      </c>
      <c r="P35" s="154">
        <f ca="1">SUMIF(Учёт!H:X,Таблица1[[#This Row],[ФИО]],Учёт!X:X)</f>
        <v>0</v>
      </c>
      <c r="Q35" s="155">
        <f ca="1">IFERROR(Таблица1[[#This Row],[Доход]]/SUMIF(Учёт!H:P,Таблица1[[#This Row],[ФИО]],Учёт!P:P),0)</f>
        <v>0</v>
      </c>
    </row>
    <row r="36" spans="1:18">
      <c r="A36" s="75" t="s">
        <v>144</v>
      </c>
      <c r="B36" s="48"/>
      <c r="C36" s="48"/>
      <c r="D36" s="48">
        <v>800</v>
      </c>
      <c r="E36" s="48">
        <f t="shared" si="0"/>
        <v>0</v>
      </c>
      <c r="F36" s="48"/>
      <c r="G36" s="48">
        <f>Данные!$E36+Данные!$F36</f>
        <v>0</v>
      </c>
      <c r="H36" s="58">
        <f>COUNTIFS(Учёт!H:H,Данные!$A36,Учёт!J:J,"&gt;0")</f>
        <v>0</v>
      </c>
      <c r="I36" s="52">
        <v>1</v>
      </c>
      <c r="J36" s="52">
        <v>1</v>
      </c>
      <c r="K36" s="52">
        <f>COUNTIFS(Учёт!H:H,Таблица1[[#This Row],[ФИО]],Учёт!J:J,"=0")</f>
        <v>0</v>
      </c>
      <c r="L36" s="70"/>
      <c r="M36" s="70">
        <f ca="1">SUMIF(Учёт!H:K,Данные!A36,Учёт!K:K)-Таблица1[[#This Row],[Выплачено]]</f>
        <v>0</v>
      </c>
      <c r="N36" s="70">
        <f ca="1">Таблица1[[#This Row],[К выплате на сегодня]]-Таблица1[[#This Row],[Долг]]</f>
        <v>0</v>
      </c>
      <c r="O36" s="70">
        <f ca="1">SUMIF(Учёт!H:W,Таблица1[[#This Row],[ФИО]],Учёт!W:W)</f>
        <v>0</v>
      </c>
      <c r="P36" s="118">
        <f ca="1">SUMIF(Учёт!H:X,Таблица1[[#This Row],[ФИО]],Учёт!X:X)</f>
        <v>0</v>
      </c>
      <c r="Q36" s="121">
        <f ca="1">IFERROR(Таблица1[[#This Row],[Доход]]/SUMIF(Учёт!H:P,Таблица1[[#This Row],[ФИО]],Учёт!P:P),0)</f>
        <v>0</v>
      </c>
      <c r="R36" s="74">
        <v>583700495503</v>
      </c>
    </row>
    <row r="37" spans="1:18">
      <c r="A37" s="75" t="s">
        <v>152</v>
      </c>
      <c r="B37" s="46"/>
      <c r="C37" s="46"/>
      <c r="D37" s="46">
        <v>800</v>
      </c>
      <c r="E37" s="46">
        <f t="shared" si="0"/>
        <v>0</v>
      </c>
      <c r="F37" s="46">
        <v>314</v>
      </c>
      <c r="G37" s="46">
        <f>Данные!$E37+Данные!$F37</f>
        <v>314</v>
      </c>
      <c r="H37" s="52">
        <f>COUNTIFS(Учёт!H:H,Данные!$A37,Учёт!J:J,"&gt;0")</f>
        <v>0</v>
      </c>
      <c r="I37" s="52">
        <v>1</v>
      </c>
      <c r="J37" s="52">
        <v>1</v>
      </c>
      <c r="K37" s="52">
        <f>COUNTIFS(Учёт!H:H,Таблица1[[#This Row],[ФИО]],Учёт!J:J,"=0")</f>
        <v>0</v>
      </c>
      <c r="L37" s="71"/>
      <c r="M37" s="71">
        <f ca="1">SUMIF(Учёт!H:K,Данные!A37,Учёт!K:K)-Таблица1[[#This Row],[Выплачено]]</f>
        <v>0</v>
      </c>
      <c r="N37" s="71">
        <f ca="1">Таблица1[[#This Row],[К выплате на сегодня]]-Таблица1[[#This Row],[Долг]]</f>
        <v>-314</v>
      </c>
      <c r="O37" s="71">
        <f ca="1">SUMIF(Учёт!H:W,Таблица1[[#This Row],[ФИО]],Учёт!W:W)</f>
        <v>0</v>
      </c>
      <c r="P37" s="118">
        <f ca="1">SUMIF(Учёт!H:X,Таблица1[[#This Row],[ФИО]],Учёт!X:X)</f>
        <v>0</v>
      </c>
      <c r="Q37" s="121">
        <f ca="1">IFERROR(Таблица1[[#This Row],[Доход]]/SUMIF(Учёт!H:P,Таблица1[[#This Row],[ФИО]],Учёт!P:P),0)</f>
        <v>0</v>
      </c>
      <c r="R37" s="74">
        <v>582308656153</v>
      </c>
    </row>
    <row r="38" spans="1:18">
      <c r="A38" s="75" t="s">
        <v>145</v>
      </c>
      <c r="B38" s="48"/>
      <c r="C38" s="48"/>
      <c r="D38" s="48">
        <v>800</v>
      </c>
      <c r="E38" s="48">
        <f t="shared" si="0"/>
        <v>0</v>
      </c>
      <c r="F38" s="48"/>
      <c r="G38" s="48">
        <f>Данные!$E38+Данные!$F38</f>
        <v>0</v>
      </c>
      <c r="H38" s="58">
        <f>COUNTIFS(Учёт!H:H,Данные!$A38,Учёт!J:J,"&gt;0")</f>
        <v>0</v>
      </c>
      <c r="I38" s="52">
        <v>1</v>
      </c>
      <c r="J38" s="52">
        <v>1</v>
      </c>
      <c r="K38" s="52">
        <f>COUNTIFS(Учёт!H:H,Таблица1[[#This Row],[ФИО]],Учёт!J:J,"=0")</f>
        <v>0</v>
      </c>
      <c r="L38" s="70"/>
      <c r="M38" s="70">
        <f ca="1">SUMIF(Учёт!H:K,Данные!A38,Учёт!K:K)-Таблица1[[#This Row],[Выплачено]]</f>
        <v>0</v>
      </c>
      <c r="N38" s="70">
        <f ca="1">Таблица1[[#This Row],[К выплате на сегодня]]-Таблица1[[#This Row],[Долг]]</f>
        <v>0</v>
      </c>
      <c r="O38" s="70">
        <f ca="1">SUMIF(Учёт!H:W,Таблица1[[#This Row],[ФИО]],Учёт!W:W)</f>
        <v>0</v>
      </c>
      <c r="P38" s="118">
        <f ca="1">SUMIF(Учёт!H:X,Таблица1[[#This Row],[ФИО]],Учёт!X:X)</f>
        <v>0</v>
      </c>
      <c r="Q38" s="121">
        <f ca="1">IFERROR(Таблица1[[#This Row],[Доход]]/SUMIF(Учёт!H:P,Таблица1[[#This Row],[ФИО]],Учёт!P:P),0)</f>
        <v>0</v>
      </c>
      <c r="R38" s="74">
        <v>581204430008</v>
      </c>
    </row>
    <row r="39" spans="1:18">
      <c r="A39" s="75" t="s">
        <v>146</v>
      </c>
      <c r="B39" s="46"/>
      <c r="C39" s="46"/>
      <c r="D39" s="46"/>
      <c r="E39" s="46">
        <f t="shared" si="0"/>
        <v>0</v>
      </c>
      <c r="F39" s="46"/>
      <c r="G39" s="46">
        <f>Данные!$E39+Данные!$F39</f>
        <v>0</v>
      </c>
      <c r="H39" s="52">
        <f>COUNTIFS(Учёт!H:H,Данные!$A39,Учёт!J:J,"&gt;0")</f>
        <v>0</v>
      </c>
      <c r="I39" s="52">
        <v>1</v>
      </c>
      <c r="J39" s="52">
        <v>1</v>
      </c>
      <c r="K39" s="52">
        <f>COUNTIFS(Учёт!H:H,Таблица1[[#This Row],[ФИО]],Учёт!J:J,"=0")</f>
        <v>0</v>
      </c>
      <c r="L39" s="71"/>
      <c r="M39" s="71">
        <f ca="1">SUMIF(Учёт!H:K,Данные!A39,Учёт!K:K)-Таблица1[[#This Row],[Выплачено]]</f>
        <v>0</v>
      </c>
      <c r="N39" s="71">
        <f ca="1">Таблица1[[#This Row],[К выплате на сегодня]]-Таблица1[[#This Row],[Долг]]</f>
        <v>0</v>
      </c>
      <c r="O39" s="71">
        <f ca="1">SUMIF(Учёт!H:W,Таблица1[[#This Row],[ФИО]],Учёт!W:W)</f>
        <v>0</v>
      </c>
      <c r="P39" s="118">
        <f ca="1">SUMIF(Учёт!H:X,Таблица1[[#This Row],[ФИО]],Учёт!X:X)</f>
        <v>0</v>
      </c>
      <c r="Q39" s="121">
        <f ca="1">IFERROR(Таблица1[[#This Row],[Доход]]/SUMIF(Учёт!H:P,Таблица1[[#This Row],[ФИО]],Учёт!P:P),0)</f>
        <v>0</v>
      </c>
      <c r="R39" s="74">
        <v>580207194004</v>
      </c>
    </row>
    <row r="40" spans="1:18">
      <c r="A40" s="75" t="s">
        <v>147</v>
      </c>
      <c r="B40" s="48"/>
      <c r="C40" s="48"/>
      <c r="D40" s="48"/>
      <c r="E40" s="48">
        <f t="shared" si="0"/>
        <v>0</v>
      </c>
      <c r="F40" s="48"/>
      <c r="G40" s="48">
        <f>Данные!$E40+Данные!$F40</f>
        <v>0</v>
      </c>
      <c r="H40" s="58">
        <f>COUNTIFS(Учёт!H:H,Данные!$A40,Учёт!J:J,"&gt;0")</f>
        <v>0</v>
      </c>
      <c r="I40" s="52">
        <v>1</v>
      </c>
      <c r="J40" s="52"/>
      <c r="K40" s="52">
        <f>COUNTIFS(Учёт!H:H,Таблица1[[#This Row],[ФИО]],Учёт!J:J,"=0")</f>
        <v>0</v>
      </c>
      <c r="L40" s="70"/>
      <c r="M40" s="70">
        <f ca="1">SUMIF(Учёт!H:K,Данные!A40,Учёт!K:K)-Таблица1[[#This Row],[Выплачено]]</f>
        <v>0</v>
      </c>
      <c r="N40" s="70">
        <f ca="1">Таблица1[[#This Row],[К выплате на сегодня]]-Таблица1[[#This Row],[Долг]]</f>
        <v>0</v>
      </c>
      <c r="O40" s="70">
        <f ca="1">SUMIF(Учёт!H:W,Таблица1[[#This Row],[ФИО]],Учёт!W:W)</f>
        <v>0</v>
      </c>
      <c r="P40" s="118">
        <f ca="1">SUMIF(Учёт!H:X,Таблица1[[#This Row],[ФИО]],Учёт!X:X)</f>
        <v>0</v>
      </c>
      <c r="Q40" s="121">
        <f ca="1">IFERROR(Таблица1[[#This Row],[Доход]]/SUMIF(Учёт!H:P,Таблица1[[#This Row],[ФИО]],Учёт!P:P),0)</f>
        <v>0</v>
      </c>
    </row>
    <row r="41" spans="1:18">
      <c r="A41" s="75" t="s">
        <v>149</v>
      </c>
      <c r="B41" s="46"/>
      <c r="C41" s="46"/>
      <c r="D41" s="46"/>
      <c r="E41" s="46">
        <f t="shared" si="0"/>
        <v>0</v>
      </c>
      <c r="F41" s="46"/>
      <c r="G41" s="46">
        <f>Данные!$E41+Данные!$F41</f>
        <v>0</v>
      </c>
      <c r="H41" s="52">
        <f>COUNTIFS(Учёт!H:H,Данные!$A41,Учёт!J:J,"&gt;0")</f>
        <v>0</v>
      </c>
      <c r="I41" s="52">
        <v>1</v>
      </c>
      <c r="J41" s="52"/>
      <c r="K41" s="52">
        <f>COUNTIFS(Учёт!H:H,Таблица1[[#This Row],[ФИО]],Учёт!J:J,"=0")</f>
        <v>0</v>
      </c>
      <c r="L41" s="71"/>
      <c r="M41" s="71">
        <f ca="1">SUMIF(Учёт!H:K,Данные!A41,Учёт!K:K)-Таблица1[[#This Row],[Выплачено]]</f>
        <v>0</v>
      </c>
      <c r="N41" s="71">
        <f ca="1">Таблица1[[#This Row],[К выплате на сегодня]]-Таблица1[[#This Row],[Долг]]</f>
        <v>0</v>
      </c>
      <c r="O41" s="71">
        <f ca="1">SUMIF(Учёт!H:W,Таблица1[[#This Row],[ФИО]],Учёт!W:W)</f>
        <v>0</v>
      </c>
      <c r="P41" s="118">
        <f ca="1">SUMIF(Учёт!H:X,Таблица1[[#This Row],[ФИО]],Учёт!X:X)</f>
        <v>0</v>
      </c>
      <c r="Q41" s="121">
        <f ca="1">IFERROR(Таблица1[[#This Row],[Доход]]/SUMIF(Учёт!H:P,Таблица1[[#This Row],[ФИО]],Учёт!P:P),0)</f>
        <v>0</v>
      </c>
    </row>
    <row r="42" spans="1:18">
      <c r="A42" s="75" t="s">
        <v>151</v>
      </c>
      <c r="B42" s="48"/>
      <c r="C42" s="48"/>
      <c r="D42" s="48"/>
      <c r="E42" s="48">
        <f t="shared" si="0"/>
        <v>0</v>
      </c>
      <c r="F42" s="48"/>
      <c r="G42" s="48">
        <f>Данные!$E42+Данные!$F42</f>
        <v>0</v>
      </c>
      <c r="H42" s="58">
        <f>COUNTIFS(Учёт!H:H,Данные!$A42,Учёт!J:J,"&gt;0")</f>
        <v>0</v>
      </c>
      <c r="I42" s="52">
        <v>1</v>
      </c>
      <c r="J42" s="52"/>
      <c r="K42" s="52">
        <f>COUNTIFS(Учёт!H:H,Таблица1[[#This Row],[ФИО]],Учёт!J:J,"=0")</f>
        <v>0</v>
      </c>
      <c r="L42" s="70"/>
      <c r="M42" s="70">
        <f ca="1">SUMIF(Учёт!H:K,Данные!A42,Учёт!K:K)-Таблица1[[#This Row],[Выплачено]]</f>
        <v>0</v>
      </c>
      <c r="N42" s="70">
        <f ca="1">Таблица1[[#This Row],[К выплате на сегодня]]-Таблица1[[#This Row],[Долг]]</f>
        <v>0</v>
      </c>
      <c r="O42" s="70">
        <f ca="1">SUMIF(Учёт!H:W,Таблица1[[#This Row],[ФИО]],Учёт!W:W)</f>
        <v>0</v>
      </c>
      <c r="P42" s="118">
        <f ca="1">SUMIF(Учёт!H:X,Таблица1[[#This Row],[ФИО]],Учёт!X:X)</f>
        <v>0</v>
      </c>
      <c r="Q42" s="121">
        <f ca="1">IFERROR(Таблица1[[#This Row],[Доход]]/SUMIF(Учёт!H:P,Таблица1[[#This Row],[ФИО]],Учёт!P:P),0)</f>
        <v>0</v>
      </c>
    </row>
    <row r="43" spans="1:18">
      <c r="A43" s="75" t="s">
        <v>150</v>
      </c>
      <c r="B43" s="46"/>
      <c r="C43" s="46"/>
      <c r="D43" s="46"/>
      <c r="E43" s="46">
        <f t="shared" si="0"/>
        <v>0</v>
      </c>
      <c r="F43" s="46"/>
      <c r="G43" s="46">
        <f>Данные!$E43+Данные!$F43</f>
        <v>0</v>
      </c>
      <c r="H43" s="52">
        <f>COUNTIFS(Учёт!H:H,Данные!$A43,Учёт!J:J,"&gt;0")</f>
        <v>0</v>
      </c>
      <c r="I43" s="52">
        <v>1</v>
      </c>
      <c r="J43" s="52"/>
      <c r="K43" s="52">
        <f>COUNTIFS(Учёт!H:H,Таблица1[[#This Row],[ФИО]],Учёт!J:J,"=0")</f>
        <v>0</v>
      </c>
      <c r="L43" s="71"/>
      <c r="M43" s="71">
        <f ca="1">SUMIF(Учёт!H:K,Данные!A43,Учёт!K:K)-Таблица1[[#This Row],[Выплачено]]</f>
        <v>0</v>
      </c>
      <c r="N43" s="71">
        <f ca="1">Таблица1[[#This Row],[К выплате на сегодня]]-Таблица1[[#This Row],[Долг]]</f>
        <v>0</v>
      </c>
      <c r="O43" s="71">
        <f ca="1">SUMIF(Учёт!H:W,Таблица1[[#This Row],[ФИО]],Учёт!W:W)</f>
        <v>0</v>
      </c>
      <c r="P43" s="118">
        <f ca="1">SUMIF(Учёт!H:X,Таблица1[[#This Row],[ФИО]],Учёт!X:X)</f>
        <v>0</v>
      </c>
      <c r="Q43" s="121">
        <f ca="1">IFERROR(Таблица1[[#This Row],[Доход]]/SUMIF(Учёт!H:P,Таблица1[[#This Row],[ФИО]],Учёт!P:P),0)</f>
        <v>0</v>
      </c>
    </row>
    <row r="44" spans="1:18">
      <c r="A44" s="75" t="s">
        <v>154</v>
      </c>
      <c r="B44" s="48"/>
      <c r="C44" s="48"/>
      <c r="D44" s="48">
        <v>800</v>
      </c>
      <c r="E44" s="48">
        <f t="shared" si="0"/>
        <v>0</v>
      </c>
      <c r="F44" s="48"/>
      <c r="G44" s="48">
        <f>Данные!$E44+Данные!$F44</f>
        <v>0</v>
      </c>
      <c r="H44" s="58">
        <f>COUNTIFS(Учёт!H:H,Данные!$A44,Учёт!J:J,"&gt;0")</f>
        <v>0</v>
      </c>
      <c r="I44" s="52">
        <v>1</v>
      </c>
      <c r="J44" s="52"/>
      <c r="K44" s="52">
        <f>COUNTIFS(Учёт!H:H,Таблица1[[#This Row],[ФИО]],Учёт!J:J,"=0")</f>
        <v>0</v>
      </c>
      <c r="L44" s="70"/>
      <c r="M44" s="70">
        <f ca="1">SUMIF(Учёт!H:K,Данные!A44,Учёт!K:K)-Таблица1[[#This Row],[Выплачено]]</f>
        <v>0</v>
      </c>
      <c r="N44" s="70">
        <f ca="1">Таблица1[[#This Row],[К выплате на сегодня]]-Таблица1[[#This Row],[Долг]]</f>
        <v>0</v>
      </c>
      <c r="O44" s="70">
        <f ca="1">SUMIF(Учёт!H:W,Таблица1[[#This Row],[ФИО]],Учёт!W:W)</f>
        <v>0</v>
      </c>
      <c r="P44" s="118">
        <f ca="1">SUMIF(Учёт!H:X,Таблица1[[#This Row],[ФИО]],Учёт!X:X)</f>
        <v>0</v>
      </c>
      <c r="Q44" s="121">
        <f ca="1">IFERROR(Таблица1[[#This Row],[Доход]]/SUMIF(Учёт!H:P,Таблица1[[#This Row],[ФИО]],Учёт!P:P),0)</f>
        <v>0</v>
      </c>
    </row>
    <row r="45" spans="1:18">
      <c r="A45" s="75" t="s">
        <v>155</v>
      </c>
      <c r="B45" s="61"/>
      <c r="C45" s="61"/>
      <c r="D45" s="61"/>
      <c r="E45" s="61">
        <f t="shared" si="0"/>
        <v>0</v>
      </c>
      <c r="F45" s="61"/>
      <c r="G45" s="61">
        <f>Данные!$E45+Данные!$F45</f>
        <v>0</v>
      </c>
      <c r="H45" s="62">
        <f>COUNTIFS(Учёт!H:H,Данные!$A45,Учёт!J:J,"&gt;0")</f>
        <v>0</v>
      </c>
      <c r="I45" s="52">
        <v>1</v>
      </c>
      <c r="J45" s="52">
        <v>1</v>
      </c>
      <c r="K45" s="52">
        <f>COUNTIFS(Учёт!H:H,Таблица1[[#This Row],[ФИО]],Учёт!J:J,"=0")</f>
        <v>0</v>
      </c>
      <c r="L45" s="72"/>
      <c r="M45" s="72">
        <f ca="1">SUMIF(Учёт!H:K,Данные!A45,Учёт!K:K)-Таблица1[[#This Row],[Выплачено]]</f>
        <v>0</v>
      </c>
      <c r="N45" s="72">
        <f ca="1">Таблица1[[#This Row],[К выплате на сегодня]]-Таблица1[[#This Row],[Долг]]</f>
        <v>0</v>
      </c>
      <c r="O45" s="72">
        <f ca="1">SUMIF(Учёт!H:W,Таблица1[[#This Row],[ФИО]],Учёт!W:W)</f>
        <v>0</v>
      </c>
      <c r="P45" s="118">
        <f ca="1">SUMIF(Учёт!H:X,Таблица1[[#This Row],[ФИО]],Учёт!X:X)</f>
        <v>0</v>
      </c>
      <c r="Q45" s="121">
        <f ca="1">IFERROR(Таблица1[[#This Row],[Доход]]/SUMIF(Учёт!H:P,Таблица1[[#This Row],[ФИО]],Учёт!P:P),0)</f>
        <v>0</v>
      </c>
      <c r="R45" s="74">
        <v>583409145830</v>
      </c>
    </row>
    <row r="46" spans="1:18">
      <c r="A46" s="75" t="s">
        <v>156</v>
      </c>
      <c r="B46" s="69"/>
      <c r="C46" s="69"/>
      <c r="D46" s="69">
        <v>800</v>
      </c>
      <c r="E46" s="69">
        <f t="shared" ref="E46:E51" si="1">SUM(B46:C46)</f>
        <v>0</v>
      </c>
      <c r="F46" s="69"/>
      <c r="G46" s="69">
        <f>Данные!$E46+Данные!$F46</f>
        <v>0</v>
      </c>
      <c r="H46" s="93">
        <f>COUNTIFS(Учёт!H:H,Данные!$A46,Учёт!J:J,"&gt;0")</f>
        <v>0</v>
      </c>
      <c r="I46" s="93">
        <v>1</v>
      </c>
      <c r="J46" s="93"/>
      <c r="K46" s="93">
        <f>COUNTIFS(Учёт!H:H,Таблица1[[#This Row],[ФИО]],Учёт!J:J,"=0")</f>
        <v>0</v>
      </c>
      <c r="L46" s="72"/>
      <c r="M46" s="69">
        <f ca="1">SUMIF(Учёт!H:K,Данные!A46,Учёт!K:K)-Таблица1[[#This Row],[Выплачено]]</f>
        <v>0</v>
      </c>
      <c r="N46" s="72">
        <f ca="1">Таблица1[[#This Row],[К выплате на сегодня]]-Таблица1[[#This Row],[Долг]]</f>
        <v>0</v>
      </c>
      <c r="O46" s="69">
        <f ca="1">SUMIF(Учёт!H:W,Таблица1[[#This Row],[ФИО]],Учёт!W:W)</f>
        <v>0</v>
      </c>
      <c r="P46" s="159">
        <f ca="1">SUMIF(Учёт!H:X,Таблица1[[#This Row],[ФИО]],Учёт!X:X)</f>
        <v>0</v>
      </c>
      <c r="Q46" s="160">
        <f ca="1">IFERROR(Таблица1[[#This Row],[Доход]]/SUMIF(Учёт!H:P,Таблица1[[#This Row],[ФИО]],Учёт!P:P),0)</f>
        <v>0</v>
      </c>
    </row>
    <row r="47" spans="1:18">
      <c r="A47" s="75" t="s">
        <v>157</v>
      </c>
      <c r="B47" s="69"/>
      <c r="C47" s="69"/>
      <c r="D47" s="69">
        <v>800</v>
      </c>
      <c r="E47" s="69">
        <f t="shared" si="1"/>
        <v>0</v>
      </c>
      <c r="F47" s="69"/>
      <c r="G47" s="69">
        <f>Данные!$E47+Данные!$F47</f>
        <v>0</v>
      </c>
      <c r="H47" s="93">
        <f>COUNTIFS(Учёт!H:H,Данные!$A47,Учёт!J:J,"&gt;0")</f>
        <v>0</v>
      </c>
      <c r="I47" s="93">
        <v>1</v>
      </c>
      <c r="J47" s="93">
        <v>1</v>
      </c>
      <c r="K47" s="93">
        <f>COUNTIFS(Учёт!H:H,Таблица1[[#This Row],[ФИО]],Учёт!J:J,"=0")</f>
        <v>0</v>
      </c>
      <c r="L47" s="72"/>
      <c r="M47" s="69">
        <f ca="1">SUMIF(Учёт!H:K,Данные!A47,Учёт!K:K)-Таблица1[[#This Row],[Выплачено]]</f>
        <v>0</v>
      </c>
      <c r="N47" s="72">
        <f ca="1">Таблица1[[#This Row],[К выплате на сегодня]]-Таблица1[[#This Row],[Долг]]</f>
        <v>0</v>
      </c>
      <c r="O47" s="69">
        <f ca="1">SUMIF(Учёт!H:W,Таблица1[[#This Row],[ФИО]],Учёт!W:W)</f>
        <v>0</v>
      </c>
      <c r="P47" s="159">
        <f ca="1">SUMIF(Учёт!H:X,Таблица1[[#This Row],[ФИО]],Учёт!X:X)</f>
        <v>0</v>
      </c>
      <c r="Q47" s="160">
        <f ca="1">IFERROR(Таблица1[[#This Row],[Доход]]/SUMIF(Учёт!H:P,Таблица1[[#This Row],[ФИО]],Учёт!P:P),0)</f>
        <v>0</v>
      </c>
      <c r="R47" s="74">
        <v>580902928666</v>
      </c>
    </row>
    <row r="48" spans="1:18">
      <c r="A48" s="47"/>
      <c r="B48" s="69"/>
      <c r="C48" s="69"/>
      <c r="D48" s="69"/>
      <c r="E48" s="69">
        <f t="shared" si="1"/>
        <v>0</v>
      </c>
      <c r="F48" s="69"/>
      <c r="G48" s="69">
        <f>Данные!$E48+Данные!$F48</f>
        <v>0</v>
      </c>
      <c r="H48" s="93">
        <f>COUNTIFS(Учёт!H:H,Данные!$A48,Учёт!J:J,"&gt;0")</f>
        <v>0</v>
      </c>
      <c r="I48" s="93">
        <v>1</v>
      </c>
      <c r="J48" s="93"/>
      <c r="K48" s="93">
        <f>COUNTIFS(Учёт!H:H,Таблица1[[#This Row],[ФИО]],Учёт!J:J,"=0")</f>
        <v>0</v>
      </c>
      <c r="L48" s="72"/>
      <c r="M48" s="69">
        <f ca="1">SUMIF(Учёт!H:K,Данные!A48,Учёт!K:K)-Таблица1[[#This Row],[Выплачено]]</f>
        <v>0</v>
      </c>
      <c r="N48" s="72">
        <f ca="1">Таблица1[[#This Row],[К выплате на сегодня]]-Таблица1[[#This Row],[Долг]]</f>
        <v>0</v>
      </c>
      <c r="O48" s="69">
        <f ca="1">SUMIF(Учёт!H:W,Таблица1[[#This Row],[ФИО]],Учёт!W:W)</f>
        <v>0</v>
      </c>
      <c r="P48" s="159">
        <f ca="1">SUMIF(Учёт!H:X,Таблица1[[#This Row],[ФИО]],Учёт!X:X)</f>
        <v>0</v>
      </c>
      <c r="Q48" s="160">
        <f ca="1">IFERROR(Таблица1[[#This Row],[Доход]]/SUMIF(Учёт!H:P,Таблица1[[#This Row],[ФИО]],Учёт!P:P),0)</f>
        <v>0</v>
      </c>
    </row>
    <row r="49" spans="1:17">
      <c r="A49" s="47"/>
      <c r="B49" s="69"/>
      <c r="C49" s="69"/>
      <c r="D49" s="69"/>
      <c r="E49" s="69">
        <f t="shared" si="1"/>
        <v>0</v>
      </c>
      <c r="F49" s="69"/>
      <c r="G49" s="69">
        <f>Данные!$E49+Данные!$F49</f>
        <v>0</v>
      </c>
      <c r="H49" s="93">
        <f>COUNTIFS(Учёт!H:H,Данные!$A49,Учёт!J:J,"&gt;0")</f>
        <v>0</v>
      </c>
      <c r="I49" s="93">
        <v>1</v>
      </c>
      <c r="J49" s="93"/>
      <c r="K49" s="93">
        <f>COUNTIFS(Учёт!H:H,Таблица1[[#This Row],[ФИО]],Учёт!J:J,"=0")</f>
        <v>0</v>
      </c>
      <c r="L49" s="72"/>
      <c r="M49" s="69">
        <f ca="1">SUMIF(Учёт!H:K,Данные!A49,Учёт!K:K)-Таблица1[[#This Row],[Выплачено]]</f>
        <v>0</v>
      </c>
      <c r="N49" s="72">
        <f ca="1">Таблица1[[#This Row],[К выплате на сегодня]]-Таблица1[[#This Row],[Долг]]</f>
        <v>0</v>
      </c>
      <c r="O49" s="69">
        <f ca="1">SUMIF(Учёт!H:W,Таблица1[[#This Row],[ФИО]],Учёт!W:W)</f>
        <v>0</v>
      </c>
      <c r="P49" s="159">
        <f ca="1">SUMIF(Учёт!H:X,Таблица1[[#This Row],[ФИО]],Учёт!X:X)</f>
        <v>0</v>
      </c>
      <c r="Q49" s="160">
        <f ca="1">IFERROR(Таблица1[[#This Row],[Доход]]/SUMIF(Учёт!H:P,Таблица1[[#This Row],[ФИО]],Учёт!P:P),0)</f>
        <v>0</v>
      </c>
    </row>
    <row r="50" spans="1:17">
      <c r="A50" s="47"/>
      <c r="B50" s="69"/>
      <c r="C50" s="69"/>
      <c r="D50" s="69"/>
      <c r="E50" s="69">
        <f t="shared" si="1"/>
        <v>0</v>
      </c>
      <c r="F50" s="69"/>
      <c r="G50" s="69">
        <f>Данные!$E50+Данные!$F50</f>
        <v>0</v>
      </c>
      <c r="H50" s="93">
        <f>COUNTIFS(Учёт!H:H,Данные!$A50,Учёт!J:J,"&gt;0")</f>
        <v>0</v>
      </c>
      <c r="I50" s="93">
        <v>1</v>
      </c>
      <c r="J50" s="93"/>
      <c r="K50" s="93">
        <f>COUNTIFS(Учёт!H:H,Таблица1[[#This Row],[ФИО]],Учёт!J:J,"=0")</f>
        <v>0</v>
      </c>
      <c r="L50" s="72"/>
      <c r="M50" s="69">
        <f ca="1">SUMIF(Учёт!H:K,Данные!A50,Учёт!K:K)-Таблица1[[#This Row],[Выплачено]]</f>
        <v>0</v>
      </c>
      <c r="N50" s="72">
        <f ca="1">Таблица1[[#This Row],[К выплате на сегодня]]-Таблица1[[#This Row],[Долг]]</f>
        <v>0</v>
      </c>
      <c r="O50" s="69">
        <f ca="1">SUMIF(Учёт!H:W,Таблица1[[#This Row],[ФИО]],Учёт!W:W)</f>
        <v>0</v>
      </c>
      <c r="P50" s="159">
        <f ca="1">SUMIF(Учёт!H:X,Таблица1[[#This Row],[ФИО]],Учёт!X:X)</f>
        <v>0</v>
      </c>
      <c r="Q50" s="160">
        <f ca="1">IFERROR(Таблица1[[#This Row],[Доход]]/SUMIF(Учёт!H:P,Таблица1[[#This Row],[ФИО]],Учёт!P:P),0)</f>
        <v>0</v>
      </c>
    </row>
    <row r="51" spans="1:17">
      <c r="A51" s="47"/>
      <c r="B51" s="69"/>
      <c r="C51" s="69"/>
      <c r="D51" s="69"/>
      <c r="E51" s="69">
        <f t="shared" si="1"/>
        <v>0</v>
      </c>
      <c r="F51" s="69"/>
      <c r="G51" s="69">
        <f>Данные!$E51+Данные!$F51</f>
        <v>0</v>
      </c>
      <c r="H51" s="93">
        <f>COUNTIFS(Учёт!H:H,Данные!$A51,Учёт!J:J,"&gt;0")</f>
        <v>0</v>
      </c>
      <c r="I51" s="93">
        <v>1</v>
      </c>
      <c r="J51" s="93"/>
      <c r="K51" s="93">
        <f>COUNTIFS(Учёт!H:H,Таблица1[[#This Row],[ФИО]],Учёт!J:J,"=0")</f>
        <v>0</v>
      </c>
      <c r="L51" s="72"/>
      <c r="M51" s="69">
        <f ca="1">SUMIF(Учёт!H:K,Данные!A51,Учёт!K:K)-Таблица1[[#This Row],[Выплачено]]</f>
        <v>0</v>
      </c>
      <c r="N51" s="72">
        <f ca="1">Таблица1[[#This Row],[К выплате на сегодня]]-Таблица1[[#This Row],[Долг]]</f>
        <v>0</v>
      </c>
      <c r="O51" s="69">
        <f ca="1">SUMIF(Учёт!H:W,Таблица1[[#This Row],[ФИО]],Учёт!W:W)</f>
        <v>0</v>
      </c>
      <c r="P51" s="159">
        <f ca="1">SUMIF(Учёт!H:X,Таблица1[[#This Row],[ФИО]],Учёт!X:X)</f>
        <v>0</v>
      </c>
      <c r="Q51" s="160">
        <f ca="1">IFERROR(Таблица1[[#This Row],[Доход]]/SUMIF(Учёт!H:P,Таблица1[[#This Row],[ФИО]],Учёт!P:P),0)</f>
        <v>0</v>
      </c>
    </row>
  </sheetData>
  <conditionalFormatting sqref="N2:O2 N4:O45">
    <cfRule type="cellIs" dxfId="25" priority="2" operator="lessThan">
      <formula>0</formula>
    </cfRule>
  </conditionalFormatting>
  <conditionalFormatting sqref="K2:K51">
    <cfRule type="cellIs" dxfId="24" priority="1" operator="greaterThan">
      <formula>0</formula>
    </cfRule>
  </conditionalFormatting>
  <hyperlinks>
    <hyperlink ref="A2" r:id="rId1" display="https://hrm-pr.ru/employees/14672/view"/>
    <hyperlink ref="A3" r:id="rId2" display="https://hrm-pr.ru/employees/17617/view"/>
    <hyperlink ref="A4" r:id="rId3" display="https://hrm-pr.ru/employees/17593/view"/>
    <hyperlink ref="A5" r:id="rId4" display="https://hrm-pr.ru/employees/17626/view"/>
    <hyperlink ref="A6" r:id="rId5" display="https://hrm-pr.ru/employees/17483/view"/>
    <hyperlink ref="A7" r:id="rId6" display="https://hrm-pr.ru/employees/17817/view"/>
    <hyperlink ref="A8" r:id="rId7" display="https://hrm-pr.ru/employees/17541/view"/>
    <hyperlink ref="A9" r:id="rId8" display="https://hrm-pr.ru/employees/17542/view"/>
    <hyperlink ref="A10" r:id="rId9" display="https://hrm-pr.ru/employees/17739/view"/>
    <hyperlink ref="A11" r:id="rId10" display="https://hrm-pr.ru/employees/17690/view"/>
    <hyperlink ref="A12" r:id="rId11" display="https://hrm-pr.ru/employees/17658/view"/>
    <hyperlink ref="A16" r:id="rId12" display="https://hrm-pr.ru/employees/17635/view"/>
    <hyperlink ref="A17" r:id="rId13" display="https://hrm-pr.ru/employees/17631/view"/>
    <hyperlink ref="A18" r:id="rId14" display="https://hrm-pr.ru/employees/18136/view"/>
    <hyperlink ref="A20" r:id="rId15" display="https://hrm-pr.ru/employees/18251/view"/>
    <hyperlink ref="A21" r:id="rId16" display="https://hrm-pr.ru/employees/17911/view"/>
    <hyperlink ref="A22" r:id="rId17" display="https://hrm-pr.ru/employees/17986/view"/>
    <hyperlink ref="A23" r:id="rId18" display="https://hrm-pr.ru/employees/17987/view"/>
    <hyperlink ref="A24" r:id="rId19" display="https://hrm-pr.ru/employees/17716/view"/>
    <hyperlink ref="A25" r:id="rId20" display="https://hrm-pr.ru/employees/18694/view"/>
    <hyperlink ref="A34" r:id="rId21" display="https://hrm-pr.ru/employees/19161/view"/>
    <hyperlink ref="A35" r:id="rId22" display="https://hrm-pr.ru/employees/19164/view"/>
    <hyperlink ref="A36" r:id="rId23" display="https://hrm-pr.ru/employees/17821/view"/>
    <hyperlink ref="A37" r:id="rId24" display="https://hrm-pr.ru/employees/19249/view"/>
    <hyperlink ref="A38" r:id="rId25" display="https://hrm-pr.ru/employees/19389/view"/>
    <hyperlink ref="A39" r:id="rId26" display="https://hrm-pr.ru/employees/19428/view"/>
    <hyperlink ref="A40" r:id="rId27" display="https://hrm-pr.ru/employees/19414/view"/>
    <hyperlink ref="A41" r:id="rId28" display="https://hrm-pr.ru/employees/19251/view"/>
    <hyperlink ref="A42" r:id="rId29" display="https://hrm-pr.ru/employees/19254/view"/>
    <hyperlink ref="A43" r:id="rId30" display="https://hrm-pr.ru/employees/19233/view"/>
    <hyperlink ref="A44" r:id="rId31" display="https://hrm-pr.ru/employees/19613/view"/>
    <hyperlink ref="A45" r:id="rId32" display="https://hrm-pr.ru/employees/19610/view"/>
    <hyperlink ref="A46" r:id="rId33" display="https://hrm-pr.ru/employees/19710/view"/>
    <hyperlink ref="A47" r:id="rId34" display="https://hrm-pr.ru/employees/19711/view"/>
  </hyperlinks>
  <pageMargins left="0.7" right="0.7" top="0.75" bottom="0.75" header="0.3" footer="0.3"/>
  <pageSetup paperSize="9" orientation="portrait" r:id="rId35"/>
  <legacyDrawing r:id="rId36"/>
  <tableParts count="1">
    <tablePart r:id="rId37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8">
    <tabColor rgb="FFFF0000"/>
  </sheetPr>
  <dimension ref="B1:P53"/>
  <sheetViews>
    <sheetView topLeftCell="A5" zoomScaleNormal="100" workbookViewId="0">
      <selection activeCell="G30" sqref="G30"/>
    </sheetView>
  </sheetViews>
  <sheetFormatPr defaultColWidth="9.109375" defaultRowHeight="14.4"/>
  <cols>
    <col min="1" max="1" width="3" style="1" customWidth="1"/>
    <col min="2" max="5" width="9.109375" style="1"/>
    <col min="6" max="9" width="13.77734375" style="1" bestFit="1" customWidth="1"/>
    <col min="10" max="10" width="10.6640625" style="1" bestFit="1" customWidth="1"/>
    <col min="11" max="11" width="12.6640625" style="1" bestFit="1" customWidth="1"/>
    <col min="12" max="16384" width="9.109375" style="1"/>
  </cols>
  <sheetData>
    <row r="1" spans="2:16" ht="14.4" customHeight="1">
      <c r="B1" s="208" t="s">
        <v>4</v>
      </c>
      <c r="C1" s="208"/>
      <c r="D1" s="208"/>
      <c r="E1" s="208"/>
      <c r="F1" s="208"/>
      <c r="G1" s="208"/>
      <c r="H1" s="208"/>
      <c r="I1" s="208"/>
    </row>
    <row r="2" spans="2:16" ht="14.4" customHeight="1">
      <c r="B2" s="208"/>
      <c r="C2" s="208"/>
      <c r="D2" s="208"/>
      <c r="E2" s="208"/>
      <c r="F2" s="208"/>
      <c r="G2" s="208"/>
      <c r="H2" s="208"/>
      <c r="I2" s="208"/>
    </row>
    <row r="3" spans="2:16" ht="9.75" customHeight="1">
      <c r="B3" s="208"/>
      <c r="C3" s="208"/>
      <c r="D3" s="208"/>
      <c r="E3" s="208"/>
      <c r="F3" s="208"/>
      <c r="G3" s="208"/>
      <c r="H3" s="208"/>
      <c r="I3" s="208"/>
    </row>
    <row r="5" spans="2:16">
      <c r="B5" s="212" t="s">
        <v>5</v>
      </c>
      <c r="C5" s="212"/>
      <c r="D5" s="212"/>
      <c r="E5" s="212"/>
      <c r="F5" s="209" t="s">
        <v>40</v>
      </c>
      <c r="G5" s="209"/>
      <c r="H5" s="209" t="s">
        <v>41</v>
      </c>
      <c r="I5" s="209"/>
    </row>
    <row r="6" spans="2:16" ht="32.25" customHeight="1">
      <c r="B6" s="212"/>
      <c r="C6" s="212"/>
      <c r="D6" s="212"/>
      <c r="E6" s="212"/>
      <c r="F6" s="209">
        <v>324000</v>
      </c>
      <c r="G6" s="209"/>
      <c r="H6" s="209">
        <v>304560</v>
      </c>
      <c r="I6" s="209"/>
    </row>
    <row r="7" spans="2:16">
      <c r="B7" s="190" t="s">
        <v>2</v>
      </c>
      <c r="C7" s="190"/>
      <c r="D7" s="190"/>
      <c r="E7" s="190"/>
      <c r="F7" s="211">
        <v>135</v>
      </c>
      <c r="G7" s="211"/>
      <c r="H7" s="211"/>
      <c r="I7" s="211"/>
      <c r="P7" s="6"/>
    </row>
    <row r="8" spans="2:16" ht="14.4" customHeight="1">
      <c r="B8" s="190" t="s">
        <v>3</v>
      </c>
      <c r="C8" s="190"/>
      <c r="D8" s="190"/>
      <c r="E8" s="190"/>
      <c r="F8" s="210">
        <v>10</v>
      </c>
      <c r="G8" s="210"/>
      <c r="H8" s="210"/>
      <c r="I8" s="210"/>
    </row>
    <row r="9" spans="2:16" ht="14.4" customHeight="1">
      <c r="B9" s="190" t="s">
        <v>33</v>
      </c>
      <c r="C9" s="190"/>
      <c r="D9" s="190"/>
      <c r="E9" s="190"/>
      <c r="F9" s="210">
        <v>12</v>
      </c>
      <c r="G9" s="210"/>
      <c r="H9" s="210"/>
      <c r="I9" s="210"/>
    </row>
    <row r="10" spans="2:16" ht="14.4" hidden="1" customHeight="1">
      <c r="B10" s="190" t="s">
        <v>34</v>
      </c>
      <c r="C10" s="190"/>
      <c r="D10" s="190"/>
      <c r="E10" s="190"/>
      <c r="F10" s="41">
        <v>11</v>
      </c>
      <c r="G10" s="41">
        <v>11</v>
      </c>
      <c r="H10" s="42">
        <v>11</v>
      </c>
      <c r="I10" s="42">
        <v>11</v>
      </c>
    </row>
    <row r="11" spans="2:16" ht="14.4" customHeight="1">
      <c r="B11" s="190" t="s">
        <v>6</v>
      </c>
      <c r="C11" s="190"/>
      <c r="D11" s="190"/>
      <c r="E11" s="190"/>
      <c r="F11" s="210" t="s">
        <v>1</v>
      </c>
      <c r="G11" s="210"/>
      <c r="H11" s="210"/>
      <c r="I11" s="210"/>
    </row>
    <row r="12" spans="2:16" ht="14.4" customHeight="1">
      <c r="B12" s="190" t="s">
        <v>7</v>
      </c>
      <c r="C12" s="190"/>
      <c r="D12" s="190"/>
      <c r="E12" s="190"/>
      <c r="F12" s="211">
        <v>126.89999999999999</v>
      </c>
      <c r="G12" s="211"/>
      <c r="H12" s="211"/>
      <c r="I12" s="211"/>
      <c r="J12" s="6"/>
    </row>
    <row r="13" spans="2:16" ht="14.4" customHeight="1">
      <c r="B13" s="190" t="s">
        <v>31</v>
      </c>
      <c r="C13" s="190"/>
      <c r="D13" s="190"/>
      <c r="E13" s="190"/>
      <c r="F13" s="213">
        <v>20</v>
      </c>
      <c r="G13" s="213"/>
      <c r="H13" s="213"/>
      <c r="I13" s="213"/>
    </row>
    <row r="14" spans="2:16" ht="14.4" customHeight="1" thickBot="1">
      <c r="G14" s="1">
        <v>1</v>
      </c>
      <c r="H14" s="1">
        <v>2</v>
      </c>
      <c r="I14" s="1">
        <v>3</v>
      </c>
    </row>
    <row r="15" spans="2:16" hidden="1">
      <c r="F15" s="1" t="s">
        <v>1</v>
      </c>
      <c r="G15" s="1" t="s">
        <v>1</v>
      </c>
      <c r="H15" s="1" t="s">
        <v>1</v>
      </c>
      <c r="I15" s="1" t="s">
        <v>1</v>
      </c>
    </row>
    <row r="16" spans="2:16" ht="15" hidden="1" thickBot="1">
      <c r="F16" s="1" t="s">
        <v>8</v>
      </c>
      <c r="G16" s="1" t="s">
        <v>8</v>
      </c>
      <c r="H16" s="1" t="s">
        <v>8</v>
      </c>
      <c r="I16" s="1" t="s">
        <v>8</v>
      </c>
    </row>
    <row r="17" spans="2:13" ht="14.4" customHeight="1" thickBot="1">
      <c r="B17" s="200" t="s">
        <v>11</v>
      </c>
      <c r="C17" s="201"/>
      <c r="D17" s="201"/>
      <c r="E17" s="202"/>
      <c r="F17" s="196" t="s">
        <v>37</v>
      </c>
      <c r="G17" s="197"/>
      <c r="H17" s="39" t="s">
        <v>38</v>
      </c>
      <c r="I17" s="39" t="s">
        <v>39</v>
      </c>
      <c r="M17" s="10"/>
    </row>
    <row r="18" spans="2:13" ht="14.4" customHeight="1">
      <c r="B18" s="189" t="s">
        <v>9</v>
      </c>
      <c r="C18" s="190"/>
      <c r="D18" s="190"/>
      <c r="E18" s="199"/>
      <c r="F18" s="31">
        <v>83.333330000000004</v>
      </c>
      <c r="G18" s="38">
        <v>83.333330000000004</v>
      </c>
      <c r="H18" s="34">
        <v>91.666600000000003</v>
      </c>
      <c r="I18" s="34">
        <v>100</v>
      </c>
      <c r="J18" s="6"/>
      <c r="K18" s="6"/>
    </row>
    <row r="19" spans="2:13" ht="14.4" customHeight="1">
      <c r="B19" s="189" t="s">
        <v>6</v>
      </c>
      <c r="C19" s="190"/>
      <c r="D19" s="190"/>
      <c r="E19" s="199"/>
      <c r="F19" s="32" t="s">
        <v>8</v>
      </c>
      <c r="G19" s="35" t="s">
        <v>8</v>
      </c>
      <c r="H19" s="35" t="s">
        <v>8</v>
      </c>
      <c r="I19" s="35" t="s">
        <v>8</v>
      </c>
      <c r="J19" s="6" t="s">
        <v>72</v>
      </c>
    </row>
    <row r="20" spans="2:13" ht="14.4" customHeight="1">
      <c r="B20" s="189" t="s">
        <v>42</v>
      </c>
      <c r="C20" s="190"/>
      <c r="D20" s="190"/>
      <c r="E20" s="199"/>
      <c r="F20" s="32" t="s">
        <v>8</v>
      </c>
      <c r="G20" s="35" t="s">
        <v>8</v>
      </c>
      <c r="H20" s="35" t="s">
        <v>8</v>
      </c>
      <c r="I20" s="35" t="s">
        <v>8</v>
      </c>
      <c r="J20" s="6"/>
    </row>
    <row r="21" spans="2:13" ht="14.4" customHeight="1">
      <c r="B21" s="189" t="s">
        <v>10</v>
      </c>
      <c r="C21" s="190"/>
      <c r="D21" s="190"/>
      <c r="E21" s="199"/>
      <c r="F21" s="33">
        <v>0</v>
      </c>
      <c r="G21" s="36">
        <v>0.1</v>
      </c>
      <c r="H21" s="36">
        <v>0.1</v>
      </c>
      <c r="I21" s="36">
        <v>0.1</v>
      </c>
    </row>
    <row r="22" spans="2:13" ht="14.4" customHeight="1">
      <c r="B22" s="189" t="s">
        <v>9</v>
      </c>
      <c r="C22" s="190"/>
      <c r="D22" s="190"/>
      <c r="E22" s="199"/>
      <c r="F22" s="26">
        <v>83.333330000000004</v>
      </c>
      <c r="G22" s="34">
        <v>83.333330000000004</v>
      </c>
      <c r="H22" s="34">
        <v>91.666600000000003</v>
      </c>
      <c r="I22" s="34">
        <v>100</v>
      </c>
    </row>
    <row r="23" spans="2:13" ht="14.4" customHeight="1" thickBot="1">
      <c r="B23" s="205" t="s">
        <v>32</v>
      </c>
      <c r="C23" s="206"/>
      <c r="D23" s="206"/>
      <c r="E23" s="207"/>
      <c r="F23" s="26">
        <v>999.9999600000001</v>
      </c>
      <c r="G23" s="37">
        <v>999.9999600000001</v>
      </c>
      <c r="H23" s="37">
        <v>1099.9992</v>
      </c>
      <c r="I23" s="37">
        <v>1200</v>
      </c>
    </row>
    <row r="24" spans="2:13" ht="15" hidden="1" thickBot="1">
      <c r="B24" s="203" t="s">
        <v>12</v>
      </c>
      <c r="C24" s="204"/>
      <c r="D24" s="204"/>
      <c r="E24" s="204"/>
      <c r="F24" s="198">
        <v>0</v>
      </c>
      <c r="G24" s="195"/>
      <c r="H24" s="194">
        <v>0</v>
      </c>
      <c r="I24" s="195"/>
    </row>
    <row r="25" spans="2:13" ht="15" hidden="1" thickBot="1">
      <c r="B25" s="187" t="s">
        <v>9</v>
      </c>
      <c r="C25" s="188"/>
      <c r="D25" s="188"/>
      <c r="E25" s="188"/>
      <c r="F25" s="23">
        <v>83.333330000000004</v>
      </c>
      <c r="G25" s="21">
        <v>83.333330000000004</v>
      </c>
      <c r="H25" s="20">
        <v>91.666600000000003</v>
      </c>
      <c r="I25" s="21">
        <v>100</v>
      </c>
    </row>
    <row r="26" spans="2:13" ht="15" hidden="1" thickBot="1">
      <c r="B26" s="189" t="s">
        <v>32</v>
      </c>
      <c r="C26" s="190"/>
      <c r="D26" s="190"/>
      <c r="E26" s="190"/>
      <c r="F26" s="24">
        <v>999.9999600000001</v>
      </c>
      <c r="G26" s="22">
        <v>0</v>
      </c>
      <c r="H26" s="9">
        <v>0</v>
      </c>
      <c r="I26" s="22">
        <v>0</v>
      </c>
    </row>
    <row r="27" spans="2:13" ht="15" thickBot="1">
      <c r="B27" s="203" t="s">
        <v>29</v>
      </c>
      <c r="C27" s="204"/>
      <c r="D27" s="204"/>
      <c r="E27" s="204"/>
      <c r="F27" s="30">
        <v>19999.999200000002</v>
      </c>
      <c r="G27" s="40">
        <v>19999.999200000002</v>
      </c>
      <c r="H27" s="40">
        <v>21999.984</v>
      </c>
      <c r="I27" s="29">
        <v>24000</v>
      </c>
    </row>
    <row r="29" spans="2:13">
      <c r="B29" s="191" t="s">
        <v>19</v>
      </c>
      <c r="C29" s="191"/>
      <c r="D29" s="191"/>
      <c r="E29" s="191"/>
      <c r="F29" s="2"/>
      <c r="G29" s="2"/>
      <c r="H29" s="2"/>
      <c r="I29" s="2"/>
    </row>
    <row r="30" spans="2:13">
      <c r="B30" s="190" t="s">
        <v>13</v>
      </c>
      <c r="C30" s="190"/>
      <c r="D30" s="190"/>
      <c r="E30" s="190"/>
      <c r="F30" s="3">
        <v>8.1</v>
      </c>
      <c r="G30" s="3">
        <v>8.1</v>
      </c>
      <c r="H30" s="3">
        <v>8.1</v>
      </c>
      <c r="I30" s="3">
        <v>8.1</v>
      </c>
    </row>
    <row r="31" spans="2:13">
      <c r="B31" s="190" t="s">
        <v>14</v>
      </c>
      <c r="C31" s="190"/>
      <c r="D31" s="190"/>
      <c r="E31" s="190"/>
      <c r="F31" s="3">
        <v>0</v>
      </c>
      <c r="G31" s="3">
        <v>0</v>
      </c>
      <c r="H31" s="3">
        <v>0</v>
      </c>
      <c r="I31" s="3">
        <v>0</v>
      </c>
    </row>
    <row r="32" spans="2:13">
      <c r="B32" s="190" t="s">
        <v>15</v>
      </c>
      <c r="C32" s="190"/>
      <c r="D32" s="190"/>
      <c r="E32" s="190"/>
      <c r="F32" s="3">
        <v>0</v>
      </c>
      <c r="G32" s="3">
        <v>0</v>
      </c>
      <c r="H32" s="3">
        <v>0</v>
      </c>
      <c r="I32" s="3">
        <v>0</v>
      </c>
    </row>
    <row r="33" spans="2:12">
      <c r="B33" s="190" t="s">
        <v>36</v>
      </c>
      <c r="C33" s="190"/>
      <c r="D33" s="190"/>
      <c r="E33" s="190"/>
      <c r="F33" s="3">
        <v>2.4999999000000002</v>
      </c>
      <c r="G33" s="3">
        <v>2.4999999000000002</v>
      </c>
      <c r="H33" s="3">
        <v>2.7499980000000002</v>
      </c>
      <c r="I33" s="3">
        <v>3</v>
      </c>
      <c r="J33" s="6"/>
      <c r="K33" s="6"/>
      <c r="L33" s="6"/>
    </row>
    <row r="34" spans="2:12">
      <c r="B34" s="192" t="s">
        <v>16</v>
      </c>
      <c r="C34" s="192"/>
      <c r="D34" s="192"/>
      <c r="E34" s="192"/>
      <c r="F34" s="5">
        <v>8.1</v>
      </c>
      <c r="G34" s="5">
        <v>10.5999999</v>
      </c>
      <c r="H34" s="5">
        <v>10.849997999999999</v>
      </c>
      <c r="I34" s="5">
        <v>11.1</v>
      </c>
    </row>
    <row r="36" spans="2:12">
      <c r="B36" s="191" t="s">
        <v>25</v>
      </c>
      <c r="C36" s="191"/>
      <c r="D36" s="191"/>
      <c r="E36" s="191"/>
      <c r="F36" s="2"/>
      <c r="G36" s="2"/>
      <c r="H36" s="2"/>
      <c r="I36" s="2"/>
    </row>
    <row r="37" spans="2:12">
      <c r="B37" s="190" t="s">
        <v>26</v>
      </c>
      <c r="C37" s="190"/>
      <c r="D37" s="190"/>
      <c r="E37" s="190"/>
      <c r="F37" s="4"/>
      <c r="G37" s="193">
        <v>0</v>
      </c>
      <c r="H37" s="193"/>
      <c r="I37" s="193"/>
    </row>
    <row r="38" spans="2:12">
      <c r="B38" s="190" t="s">
        <v>27</v>
      </c>
      <c r="C38" s="190"/>
      <c r="D38" s="190"/>
      <c r="E38" s="190"/>
      <c r="F38" s="4"/>
      <c r="G38" s="193">
        <v>0</v>
      </c>
      <c r="H38" s="193"/>
      <c r="I38" s="193"/>
    </row>
    <row r="39" spans="2:12" ht="14.4" customHeight="1">
      <c r="B39" s="190" t="s">
        <v>23</v>
      </c>
      <c r="C39" s="190"/>
      <c r="D39" s="190"/>
      <c r="E39" s="190"/>
      <c r="F39" s="4"/>
      <c r="G39" s="193">
        <v>0</v>
      </c>
      <c r="H39" s="193"/>
      <c r="I39" s="193"/>
    </row>
    <row r="40" spans="2:12">
      <c r="B40" s="190" t="s">
        <v>28</v>
      </c>
      <c r="C40" s="190"/>
      <c r="D40" s="190"/>
      <c r="E40" s="190"/>
      <c r="F40" s="4"/>
      <c r="G40" s="193">
        <v>0</v>
      </c>
      <c r="H40" s="193"/>
      <c r="I40" s="193"/>
    </row>
    <row r="41" spans="2:12">
      <c r="F41" s="8">
        <v>0</v>
      </c>
      <c r="G41" s="184">
        <v>0</v>
      </c>
      <c r="H41" s="184"/>
      <c r="I41" s="184"/>
    </row>
    <row r="43" spans="2:12">
      <c r="B43" s="191" t="s">
        <v>24</v>
      </c>
      <c r="C43" s="191"/>
      <c r="D43" s="191"/>
      <c r="E43" s="191"/>
      <c r="F43" s="2"/>
      <c r="G43" s="2"/>
      <c r="H43" s="2"/>
      <c r="I43" s="2"/>
    </row>
    <row r="44" spans="2:12">
      <c r="B44" s="190" t="s">
        <v>17</v>
      </c>
      <c r="C44" s="190"/>
      <c r="D44" s="190"/>
      <c r="E44" s="190"/>
      <c r="F44" s="3">
        <v>41.066670099999989</v>
      </c>
      <c r="G44" s="3">
        <v>41.066670099999989</v>
      </c>
      <c r="H44" s="3">
        <v>32.483401999999991</v>
      </c>
      <c r="I44" s="43">
        <v>23.899999999999991</v>
      </c>
    </row>
    <row r="45" spans="2:12">
      <c r="B45" s="190" t="s">
        <v>18</v>
      </c>
      <c r="C45" s="190"/>
      <c r="D45" s="190"/>
      <c r="E45" s="190"/>
      <c r="F45" s="3">
        <v>492.8000411999999</v>
      </c>
      <c r="G45" s="3">
        <v>492.8000411999999</v>
      </c>
      <c r="H45" s="3">
        <v>389.80082399999992</v>
      </c>
      <c r="I45" s="3">
        <v>286.7999999999999</v>
      </c>
    </row>
    <row r="46" spans="2:12">
      <c r="B46" s="190" t="s">
        <v>30</v>
      </c>
      <c r="C46" s="190"/>
      <c r="D46" s="190"/>
      <c r="E46" s="190"/>
      <c r="F46" s="3">
        <v>9856.0008239999988</v>
      </c>
      <c r="G46" s="3">
        <v>9856.0008239999988</v>
      </c>
      <c r="H46" s="3">
        <v>7796.0164799999984</v>
      </c>
      <c r="I46" s="3">
        <v>5735.9999999999982</v>
      </c>
    </row>
    <row r="47" spans="2:12">
      <c r="B47" s="190" t="s">
        <v>35</v>
      </c>
      <c r="C47" s="190"/>
      <c r="D47" s="190"/>
      <c r="E47" s="190"/>
      <c r="F47" s="13">
        <v>0.32361442159180448</v>
      </c>
      <c r="G47" s="13">
        <v>0.32361442159180448</v>
      </c>
      <c r="H47" s="13">
        <v>0.25597637509850268</v>
      </c>
      <c r="I47" s="13">
        <v>0.18833727344365636</v>
      </c>
    </row>
    <row r="48" spans="2:12">
      <c r="B48" s="192" t="s">
        <v>22</v>
      </c>
      <c r="C48" s="192"/>
      <c r="D48" s="192"/>
      <c r="E48" s="192"/>
      <c r="F48" s="11">
        <v>98560.008239999996</v>
      </c>
      <c r="G48" s="11">
        <v>98560.008239999996</v>
      </c>
      <c r="H48" s="11">
        <v>77960.164799999984</v>
      </c>
      <c r="I48" s="11">
        <v>57359.999999999985</v>
      </c>
    </row>
    <row r="49" spans="2:9">
      <c r="B49" s="7"/>
      <c r="C49" s="7"/>
      <c r="D49" s="7"/>
      <c r="E49" s="7"/>
      <c r="F49" s="12"/>
      <c r="G49" s="12"/>
    </row>
    <row r="50" spans="2:9" hidden="1">
      <c r="B50" s="187" t="s">
        <v>20</v>
      </c>
      <c r="C50" s="188"/>
      <c r="D50" s="188"/>
      <c r="E50" s="188"/>
      <c r="F50" s="14">
        <v>0</v>
      </c>
      <c r="G50" s="15">
        <v>0</v>
      </c>
      <c r="H50" s="25">
        <v>0</v>
      </c>
      <c r="I50" s="15">
        <v>0</v>
      </c>
    </row>
    <row r="51" spans="2:9" hidden="1">
      <c r="B51" s="189" t="s">
        <v>30</v>
      </c>
      <c r="C51" s="190"/>
      <c r="D51" s="190"/>
      <c r="E51" s="190"/>
      <c r="F51" s="3">
        <v>9856.0008239999988</v>
      </c>
      <c r="G51" s="16">
        <v>9856.0008239999988</v>
      </c>
      <c r="H51" s="26">
        <v>7796.0164799999984</v>
      </c>
      <c r="I51" s="16">
        <v>5735.9999999999982</v>
      </c>
    </row>
    <row r="52" spans="2:9" hidden="1">
      <c r="B52" s="189" t="s">
        <v>21</v>
      </c>
      <c r="C52" s="190"/>
      <c r="D52" s="190"/>
      <c r="E52" s="190"/>
      <c r="F52" s="13">
        <v>0.32361442159180454</v>
      </c>
      <c r="G52" s="17" t="e">
        <v>#DIV/0!</v>
      </c>
      <c r="H52" s="27" t="e">
        <v>#DIV/0!</v>
      </c>
      <c r="I52" s="17" t="e">
        <v>#DIV/0!</v>
      </c>
    </row>
    <row r="53" spans="2:9" ht="15" hidden="1" thickBot="1">
      <c r="B53" s="185" t="s">
        <v>22</v>
      </c>
      <c r="C53" s="186"/>
      <c r="D53" s="186"/>
      <c r="E53" s="186"/>
      <c r="F53" s="18">
        <v>98560.008239999996</v>
      </c>
      <c r="G53" s="19">
        <v>0</v>
      </c>
      <c r="H53" s="28">
        <v>0</v>
      </c>
      <c r="I53" s="19">
        <v>0</v>
      </c>
    </row>
  </sheetData>
  <sheetProtection insertColumns="0" insertRows="0" deleteColumns="0" deleteRows="0"/>
  <mergeCells count="59">
    <mergeCell ref="F11:I11"/>
    <mergeCell ref="F12:I12"/>
    <mergeCell ref="F13:I13"/>
    <mergeCell ref="B10:E10"/>
    <mergeCell ref="B11:E11"/>
    <mergeCell ref="B1:I3"/>
    <mergeCell ref="F6:G6"/>
    <mergeCell ref="H6:I6"/>
    <mergeCell ref="B9:E9"/>
    <mergeCell ref="F9:I9"/>
    <mergeCell ref="F7:I7"/>
    <mergeCell ref="F8:I8"/>
    <mergeCell ref="B5:E6"/>
    <mergeCell ref="B7:E7"/>
    <mergeCell ref="B8:E8"/>
    <mergeCell ref="F5:G5"/>
    <mergeCell ref="H5:I5"/>
    <mergeCell ref="B39:E39"/>
    <mergeCell ref="B40:E40"/>
    <mergeCell ref="H24:I24"/>
    <mergeCell ref="F17:G17"/>
    <mergeCell ref="G37:I37"/>
    <mergeCell ref="G38:I38"/>
    <mergeCell ref="F24:G24"/>
    <mergeCell ref="B20:E20"/>
    <mergeCell ref="B17:E17"/>
    <mergeCell ref="B18:E18"/>
    <mergeCell ref="B22:E22"/>
    <mergeCell ref="B19:E19"/>
    <mergeCell ref="B27:E27"/>
    <mergeCell ref="B23:E23"/>
    <mergeCell ref="B21:E21"/>
    <mergeCell ref="B24:E24"/>
    <mergeCell ref="B48:E48"/>
    <mergeCell ref="B44:E44"/>
    <mergeCell ref="B47:E47"/>
    <mergeCell ref="B46:E46"/>
    <mergeCell ref="B45:E45"/>
    <mergeCell ref="B29:E29"/>
    <mergeCell ref="B30:E30"/>
    <mergeCell ref="B12:E12"/>
    <mergeCell ref="B13:E13"/>
    <mergeCell ref="B31:E31"/>
    <mergeCell ref="G41:I41"/>
    <mergeCell ref="B53:E53"/>
    <mergeCell ref="B25:E25"/>
    <mergeCell ref="B26:E26"/>
    <mergeCell ref="B33:E33"/>
    <mergeCell ref="B51:E51"/>
    <mergeCell ref="B52:E52"/>
    <mergeCell ref="B50:E50"/>
    <mergeCell ref="B43:E43"/>
    <mergeCell ref="B32:E32"/>
    <mergeCell ref="B34:E34"/>
    <mergeCell ref="G39:I39"/>
    <mergeCell ref="G40:I40"/>
    <mergeCell ref="B36:E36"/>
    <mergeCell ref="B37:E37"/>
    <mergeCell ref="B38:E38"/>
  </mergeCells>
  <conditionalFormatting sqref="G19:I19">
    <cfRule type="containsText" dxfId="3" priority="4" operator="containsText" text="да">
      <formula>NOT(ISERROR(SEARCH("да",G19)))</formula>
    </cfRule>
    <cfRule type="containsText" dxfId="2" priority="3" operator="containsText" text="нет">
      <formula>NOT(ISERROR(SEARCH("нет",G19)))</formula>
    </cfRule>
  </conditionalFormatting>
  <conditionalFormatting sqref="G20:I20">
    <cfRule type="containsText" dxfId="1" priority="2" operator="containsText" text="нет">
      <formula>NOT(ISERROR(SEARCH("нет",G20)))</formula>
    </cfRule>
    <cfRule type="containsText" dxfId="0" priority="1" operator="containsText" text="да">
      <formula>NOT(ISERROR(SEARCH("да",G20)))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Учёт</vt:lpstr>
      <vt:lpstr>Табель</vt:lpstr>
      <vt:lpstr>Данные</vt:lpstr>
      <vt:lpstr>Доход</vt:lpstr>
      <vt:lpstr>Доход!Область_печати</vt:lpstr>
      <vt:lpstr>ФИО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 Скрягин</cp:lastModifiedBy>
  <cp:lastPrinted>2019-03-14T14:38:54Z</cp:lastPrinted>
  <dcterms:created xsi:type="dcterms:W3CDTF">2015-03-29T10:09:10Z</dcterms:created>
  <dcterms:modified xsi:type="dcterms:W3CDTF">2019-03-18T05:33:08Z</dcterms:modified>
</cp:coreProperties>
</file>