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-15" yWindow="-15" windowWidth="23085" windowHeight="4815"/>
  </bookViews>
  <sheets>
    <sheet name="Учёт" sheetId="6" r:id="rId1"/>
    <sheet name="Табель" sheetId="9" r:id="rId2"/>
    <sheet name="Данные" sheetId="7" r:id="rId3"/>
    <sheet name="Доход" sheetId="5" r:id="rId4"/>
  </sheets>
  <definedNames>
    <definedName name="_xlnm.Print_Area" localSheetId="3">Доход!$B$1:$F$18</definedName>
    <definedName name="_xlnm.Print_Area" localSheetId="1">Табель!#REF!</definedName>
    <definedName name="ФИО">Данные!$A$2:$A$51</definedName>
  </definedNames>
  <calcPr calcId="152511"/>
</workbook>
</file>

<file path=xl/calcChain.xml><?xml version="1.0" encoding="utf-8"?>
<calcChain xmlns="http://schemas.openxmlformats.org/spreadsheetml/2006/main">
  <c r="B3" i="6" l="1" a="1"/>
  <c r="B3" i="6" s="1"/>
  <c r="B4" i="6" a="1"/>
  <c r="B4" i="6" s="1"/>
  <c r="A5" i="6"/>
  <c r="A3" i="6"/>
  <c r="A4" i="6"/>
  <c r="A2" i="6" l="1"/>
  <c r="B2" i="6" s="1" a="1"/>
  <c r="B2" i="6" s="1"/>
  <c r="B21" i="7" l="1"/>
  <c r="C21" i="7"/>
  <c r="C7" i="7" l="1"/>
  <c r="E46" i="7" l="1"/>
  <c r="G46" i="7" s="1"/>
  <c r="E47" i="7"/>
  <c r="G47" i="7" s="1"/>
  <c r="E48" i="7"/>
  <c r="G48" i="7" s="1"/>
  <c r="E49" i="7"/>
  <c r="E50" i="7"/>
  <c r="E51" i="7"/>
  <c r="G51" i="7" s="1"/>
  <c r="G49" i="7"/>
  <c r="G50" i="7"/>
  <c r="C20" i="7" l="1"/>
  <c r="B11" i="7"/>
  <c r="B10" i="7"/>
  <c r="E31" i="7" l="1"/>
  <c r="G31" i="7" s="1"/>
  <c r="AK46" i="9" l="1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11" i="9"/>
  <c r="AK10" i="9"/>
  <c r="Y7" i="9"/>
  <c r="AA7" i="9" s="1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AK2" i="9"/>
  <c r="AK3" i="9" s="1"/>
  <c r="AB1" i="9"/>
  <c r="V1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G7" i="9"/>
  <c r="E7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Q2" i="9"/>
  <c r="Q3" i="9" s="1"/>
  <c r="B1" i="9"/>
  <c r="W2" i="6"/>
  <c r="W3" i="6"/>
  <c r="W4" i="6"/>
  <c r="W5" i="6"/>
  <c r="AK4" i="9" l="1"/>
  <c r="Y1" i="9" s="1"/>
  <c r="Q4" i="9"/>
  <c r="Q5" i="9" s="1"/>
  <c r="S4" i="9" s="1"/>
  <c r="AC7" i="9"/>
  <c r="I7" i="9"/>
  <c r="AK5" i="9" l="1"/>
  <c r="AM3" i="9" s="1"/>
  <c r="AM2" i="9"/>
  <c r="S2" i="9"/>
  <c r="E1" i="9"/>
  <c r="AE7" i="9"/>
  <c r="S3" i="9"/>
  <c r="K7" i="9"/>
  <c r="AM4" i="9" l="1"/>
  <c r="AG7" i="9"/>
  <c r="M7" i="9"/>
  <c r="C11" i="7"/>
  <c r="C10" i="7"/>
  <c r="L7" i="7"/>
  <c r="L5" i="7"/>
  <c r="B5" i="7"/>
  <c r="C5" i="7"/>
  <c r="AI7" i="9" l="1"/>
  <c r="O7" i="9"/>
  <c r="H1" i="9" l="1"/>
  <c r="E3" i="7" l="1"/>
  <c r="E4" i="7"/>
  <c r="E6" i="7"/>
  <c r="E8" i="7"/>
  <c r="E9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11" i="7" l="1"/>
  <c r="E10" i="7"/>
  <c r="E7" i="7"/>
  <c r="E5" i="7"/>
  <c r="C2" i="7" l="1"/>
  <c r="E2" i="7" s="1"/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6" i="7"/>
  <c r="G5" i="7"/>
  <c r="G4" i="7"/>
  <c r="G3" i="7"/>
  <c r="G2" i="7"/>
  <c r="T3" i="6" l="1"/>
  <c r="T2" i="6"/>
  <c r="T4" i="6"/>
  <c r="T5" i="6"/>
  <c r="E2" i="6" l="1"/>
  <c r="D2" i="6"/>
  <c r="C2" i="6"/>
  <c r="L2" i="6" l="1"/>
  <c r="X2" i="6" s="1"/>
  <c r="I2" i="6"/>
  <c r="J2" i="6"/>
  <c r="H2" i="6" l="1"/>
  <c r="M2" i="6"/>
  <c r="O2" i="6" s="1"/>
  <c r="D3" i="6"/>
  <c r="E3" i="6"/>
  <c r="C3" i="6"/>
  <c r="Z2" i="6"/>
  <c r="Y2" i="6"/>
  <c r="L3" i="6" l="1"/>
  <c r="X3" i="6" s="1"/>
  <c r="I3" i="6"/>
  <c r="J3" i="6"/>
  <c r="AA2" i="6"/>
  <c r="R2" i="6"/>
  <c r="M3" i="6" l="1"/>
  <c r="O3" i="6" s="1"/>
  <c r="H3" i="6"/>
  <c r="Y3" i="6"/>
  <c r="Z3" i="6"/>
  <c r="U2" i="6"/>
  <c r="AA3" i="6" l="1"/>
  <c r="R3" i="6"/>
  <c r="AB2" i="6"/>
  <c r="V2" i="6"/>
  <c r="U3" i="6" l="1"/>
  <c r="AC2" i="6"/>
  <c r="V3" i="6" l="1"/>
  <c r="AB3" i="6"/>
  <c r="AC3" i="6" l="1"/>
  <c r="C4" i="6"/>
  <c r="E4" i="6"/>
  <c r="L4" i="6" s="1"/>
  <c r="D4" i="6"/>
  <c r="J4" i="6" s="1"/>
  <c r="X4" i="6" l="1"/>
  <c r="I4" i="6"/>
  <c r="H4" i="6" s="1"/>
  <c r="M4" i="6" l="1"/>
  <c r="O4" i="6" s="1"/>
  <c r="R4" i="6" s="1"/>
  <c r="U4" i="6" s="1"/>
  <c r="V4" i="6" s="1"/>
  <c r="Z4" i="6"/>
  <c r="Y4" i="6"/>
  <c r="AA4" i="6" l="1"/>
  <c r="AB4" i="6" s="1"/>
  <c r="AC4" i="6" s="1"/>
  <c r="B5" i="6" l="1" a="1"/>
  <c r="B5" i="6" s="1"/>
  <c r="C5" i="6" l="1"/>
  <c r="E5" i="6"/>
  <c r="L5" i="6" s="1"/>
  <c r="D5" i="6"/>
  <c r="J5" i="6" s="1"/>
  <c r="I5" i="6"/>
  <c r="H5" i="6" s="1"/>
  <c r="AL12" i="9"/>
  <c r="R45" i="9"/>
  <c r="H49" i="7"/>
  <c r="H17" i="7"/>
  <c r="K26" i="7"/>
  <c r="K6" i="7"/>
  <c r="H2" i="7"/>
  <c r="I2" i="7" s="1"/>
  <c r="AL46" i="9"/>
  <c r="H6" i="7"/>
  <c r="I6" i="7" s="1"/>
  <c r="H26" i="7"/>
  <c r="H19" i="7"/>
  <c r="R41" i="9"/>
  <c r="R10" i="9"/>
  <c r="K48" i="7"/>
  <c r="R37" i="9"/>
  <c r="K10" i="7"/>
  <c r="H42" i="7"/>
  <c r="R11" i="9"/>
  <c r="AL36" i="9"/>
  <c r="H18" i="7"/>
  <c r="AL42" i="9"/>
  <c r="K9" i="7"/>
  <c r="R21" i="9"/>
  <c r="AL26" i="9"/>
  <c r="AL23" i="9"/>
  <c r="K28" i="7"/>
  <c r="K5" i="7"/>
  <c r="K2" i="7"/>
  <c r="R13" i="9"/>
  <c r="AL32" i="9"/>
  <c r="R46" i="9"/>
  <c r="R33" i="9"/>
  <c r="K50" i="7"/>
  <c r="H15" i="7"/>
  <c r="H47" i="7"/>
  <c r="AL13" i="9"/>
  <c r="R22" i="9"/>
  <c r="K25" i="7"/>
  <c r="AL31" i="9"/>
  <c r="AL34" i="9"/>
  <c r="AL24" i="9"/>
  <c r="R39" i="9"/>
  <c r="K34" i="7"/>
  <c r="K38" i="7"/>
  <c r="AL40" i="9"/>
  <c r="K39" i="7"/>
  <c r="H24" i="7"/>
  <c r="R43" i="9"/>
  <c r="H32" i="7"/>
  <c r="K4" i="7"/>
  <c r="AL18" i="9"/>
  <c r="H44" i="7"/>
  <c r="K16" i="7"/>
  <c r="R30" i="9"/>
  <c r="H31" i="7"/>
  <c r="H4" i="7"/>
  <c r="I4" i="7" s="1"/>
  <c r="K18" i="7"/>
  <c r="R15" i="9"/>
  <c r="K21" i="7"/>
  <c r="R42" i="9"/>
  <c r="K13" i="7"/>
  <c r="AL15" i="9"/>
  <c r="R17" i="9"/>
  <c r="H51" i="7"/>
  <c r="AL44" i="9"/>
  <c r="AL11" i="9"/>
  <c r="R40" i="9"/>
  <c r="K33" i="7"/>
  <c r="H7" i="7"/>
  <c r="H41" i="7"/>
  <c r="K22" i="7"/>
  <c r="AL25" i="9"/>
  <c r="K47" i="7"/>
  <c r="K19" i="7"/>
  <c r="AL16" i="9"/>
  <c r="K43" i="7"/>
  <c r="K35" i="7"/>
  <c r="H22" i="7"/>
  <c r="R24" i="9"/>
  <c r="K12" i="7"/>
  <c r="M5" i="6" l="1"/>
  <c r="O17" i="7" s="1"/>
  <c r="X5" i="6"/>
  <c r="H30" i="7"/>
  <c r="K29" i="7"/>
  <c r="K30" i="7"/>
  <c r="H25" i="7"/>
  <c r="H23" i="7"/>
  <c r="AL10" i="9"/>
  <c r="H13" i="7"/>
  <c r="H37" i="7"/>
  <c r="H45" i="7"/>
  <c r="K23" i="7"/>
  <c r="H28" i="7"/>
  <c r="K44" i="7"/>
  <c r="AL20" i="9"/>
  <c r="H34" i="7"/>
  <c r="K41" i="7"/>
  <c r="K27" i="7"/>
  <c r="R12" i="9"/>
  <c r="AL43" i="9"/>
  <c r="R16" i="9"/>
  <c r="H48" i="7"/>
  <c r="AL14" i="9"/>
  <c r="AL41" i="9"/>
  <c r="K7" i="7"/>
  <c r="H43" i="7"/>
  <c r="K20" i="7"/>
  <c r="K11" i="7"/>
  <c r="H9" i="7"/>
  <c r="I9" i="7" s="1"/>
  <c r="H33" i="7"/>
  <c r="H12" i="7"/>
  <c r="K32" i="7"/>
  <c r="AL19" i="9"/>
  <c r="AL17" i="9"/>
  <c r="H8" i="7"/>
  <c r="I8" i="7" s="1"/>
  <c r="H38" i="7"/>
  <c r="K46" i="7"/>
  <c r="R34" i="9"/>
  <c r="K45" i="7"/>
  <c r="AL27" i="9"/>
  <c r="AL39" i="9"/>
  <c r="H39" i="7"/>
  <c r="H14" i="7"/>
  <c r="K8" i="7"/>
  <c r="H10" i="7"/>
  <c r="H16" i="7"/>
  <c r="AL22" i="9"/>
  <c r="R29" i="9"/>
  <c r="AL28" i="9"/>
  <c r="K37" i="7"/>
  <c r="K24" i="7"/>
  <c r="R32" i="9"/>
  <c r="AL21" i="9"/>
  <c r="R36" i="9"/>
  <c r="R20" i="9"/>
  <c r="R44" i="9"/>
  <c r="R38" i="9"/>
  <c r="R35" i="9"/>
  <c r="R31" i="9"/>
  <c r="K3" i="7"/>
  <c r="K15" i="7"/>
  <c r="K49" i="7"/>
  <c r="H5" i="7"/>
  <c r="AL30" i="9"/>
  <c r="AL45" i="9"/>
  <c r="K42" i="7"/>
  <c r="K31" i="7"/>
  <c r="R25" i="9"/>
  <c r="H3" i="7"/>
  <c r="I3" i="7" s="1"/>
  <c r="H36" i="7"/>
  <c r="H29" i="7"/>
  <c r="R14" i="9"/>
  <c r="H27" i="7"/>
  <c r="H35" i="7"/>
  <c r="AL29" i="9"/>
  <c r="H21" i="7"/>
  <c r="AL38" i="9"/>
  <c r="H20" i="7"/>
  <c r="K36" i="7"/>
  <c r="K40" i="7"/>
  <c r="R28" i="9"/>
  <c r="R23" i="9"/>
  <c r="K14" i="7"/>
  <c r="R26" i="9"/>
  <c r="AL37" i="9"/>
  <c r="R27" i="9"/>
  <c r="K17" i="7"/>
  <c r="R19" i="9"/>
  <c r="H11" i="7"/>
  <c r="AL35" i="9"/>
  <c r="H50" i="7"/>
  <c r="H40" i="7"/>
  <c r="H46" i="7"/>
  <c r="AL33" i="9"/>
  <c r="P20" i="7"/>
  <c r="P10" i="7"/>
  <c r="O45" i="7"/>
  <c r="O5" i="7"/>
  <c r="P26" i="7"/>
  <c r="P43" i="7"/>
  <c r="P16" i="7"/>
  <c r="O47" i="7"/>
  <c r="P45" i="7"/>
  <c r="P31" i="7"/>
  <c r="P21" i="7"/>
  <c r="P42" i="7"/>
  <c r="O8" i="7"/>
  <c r="O3" i="7"/>
  <c r="P34" i="7"/>
  <c r="P29" i="7"/>
  <c r="O32" i="7"/>
  <c r="O4" i="7"/>
  <c r="P3" i="7"/>
  <c r="O10" i="7"/>
  <c r="O18" i="7"/>
  <c r="O38" i="7"/>
  <c r="K51" i="7"/>
  <c r="P25" i="7" l="1"/>
  <c r="O29" i="7"/>
  <c r="P7" i="7"/>
  <c r="O12" i="7"/>
  <c r="P23" i="7"/>
  <c r="P22" i="7"/>
  <c r="P2" i="7"/>
  <c r="O33" i="7"/>
  <c r="P35" i="7"/>
  <c r="O26" i="7"/>
  <c r="P30" i="7"/>
  <c r="O27" i="7"/>
  <c r="Y5" i="6"/>
  <c r="AA5" i="6" s="1"/>
  <c r="Z5" i="6"/>
  <c r="O30" i="7"/>
  <c r="O44" i="7"/>
  <c r="O42" i="7"/>
  <c r="O5" i="6"/>
  <c r="M3" i="7" s="1"/>
  <c r="N3" i="7" s="1"/>
  <c r="P19" i="7"/>
  <c r="O6" i="7"/>
  <c r="O31" i="7"/>
  <c r="P18" i="7"/>
  <c r="O22" i="7"/>
  <c r="O16" i="7"/>
  <c r="P4" i="7"/>
  <c r="O46" i="7"/>
  <c r="P36" i="7"/>
  <c r="P27" i="7"/>
  <c r="P38" i="7"/>
  <c r="O7" i="7"/>
  <c r="P37" i="7"/>
  <c r="P17" i="7"/>
  <c r="O39" i="7"/>
  <c r="P13" i="7"/>
  <c r="O21" i="7"/>
  <c r="P12" i="7"/>
  <c r="O36" i="7"/>
  <c r="P9" i="7"/>
  <c r="O9" i="7"/>
  <c r="P46" i="7"/>
  <c r="P14" i="7"/>
  <c r="P24" i="7"/>
  <c r="O19" i="7"/>
  <c r="O15" i="7"/>
  <c r="P41" i="7"/>
  <c r="O41" i="7"/>
  <c r="P32" i="7"/>
  <c r="P5" i="7"/>
  <c r="O14" i="7"/>
  <c r="O20" i="7"/>
  <c r="P33" i="7"/>
  <c r="P47" i="7"/>
  <c r="M11" i="7"/>
  <c r="N11" i="7" s="1"/>
  <c r="M6" i="7"/>
  <c r="N6" i="7" s="1"/>
  <c r="M2" i="7"/>
  <c r="N2" i="7" s="1"/>
  <c r="M5" i="7"/>
  <c r="N5" i="7" s="1"/>
  <c r="M41" i="7"/>
  <c r="N41" i="7" s="1"/>
  <c r="M22" i="7"/>
  <c r="N22" i="7" s="1"/>
  <c r="AM5" i="9"/>
  <c r="AM6" i="9" s="1"/>
  <c r="O43" i="7"/>
  <c r="P15" i="7"/>
  <c r="M25" i="7" l="1"/>
  <c r="N25" i="7" s="1"/>
  <c r="M45" i="7"/>
  <c r="N45" i="7" s="1"/>
  <c r="M10" i="7"/>
  <c r="N10" i="7" s="1"/>
  <c r="M15" i="7"/>
  <c r="N15" i="7" s="1"/>
  <c r="M27" i="7"/>
  <c r="N27" i="7" s="1"/>
  <c r="M18" i="7"/>
  <c r="N18" i="7" s="1"/>
  <c r="R18" i="9"/>
  <c r="S5" i="9" s="1"/>
  <c r="S6" i="9" s="1"/>
  <c r="M24" i="7"/>
  <c r="N24" i="7" s="1"/>
  <c r="M23" i="7"/>
  <c r="N23" i="7" s="1"/>
  <c r="M42" i="7"/>
  <c r="N42" i="7" s="1"/>
  <c r="R5" i="6"/>
  <c r="Q32" i="7" s="1"/>
  <c r="M47" i="7"/>
  <c r="N47" i="7" s="1"/>
  <c r="M37" i="7"/>
  <c r="N37" i="7" s="1"/>
  <c r="M21" i="7"/>
  <c r="N21" i="7" s="1"/>
  <c r="M20" i="7"/>
  <c r="N20" i="7" s="1"/>
  <c r="M33" i="7"/>
  <c r="N33" i="7" s="1"/>
  <c r="M14" i="7"/>
  <c r="N14" i="7" s="1"/>
  <c r="M36" i="7"/>
  <c r="N36" i="7" s="1"/>
  <c r="M4" i="7"/>
  <c r="N4" i="7" s="1"/>
  <c r="M26" i="7"/>
  <c r="N26" i="7" s="1"/>
  <c r="M30" i="7"/>
  <c r="N30" i="7" s="1"/>
  <c r="M17" i="7"/>
  <c r="N17" i="7" s="1"/>
  <c r="M40" i="7"/>
  <c r="N40" i="7" s="1"/>
  <c r="M7" i="7"/>
  <c r="N7" i="7" s="1"/>
  <c r="Q17" i="7"/>
  <c r="M12" i="7"/>
  <c r="N12" i="7" s="1"/>
  <c r="M16" i="7"/>
  <c r="N16" i="7" s="1"/>
  <c r="M13" i="7"/>
  <c r="N13" i="7" s="1"/>
  <c r="Q37" i="7"/>
  <c r="M44" i="7"/>
  <c r="N44" i="7" s="1"/>
  <c r="M39" i="7"/>
  <c r="N39" i="7" s="1"/>
  <c r="M29" i="7"/>
  <c r="N29" i="7" s="1"/>
  <c r="M28" i="7"/>
  <c r="N28" i="7" s="1"/>
  <c r="M31" i="7"/>
  <c r="N31" i="7" s="1"/>
  <c r="Q45" i="7"/>
  <c r="M32" i="7"/>
  <c r="N32" i="7" s="1"/>
  <c r="M19" i="7"/>
  <c r="N19" i="7" s="1"/>
  <c r="M35" i="7"/>
  <c r="N35" i="7" s="1"/>
  <c r="M46" i="7"/>
  <c r="N46" i="7" s="1"/>
  <c r="O11" i="7"/>
  <c r="O13" i="7"/>
  <c r="O28" i="7"/>
  <c r="O23" i="7"/>
  <c r="O24" i="7"/>
  <c r="O35" i="7"/>
  <c r="O40" i="7"/>
  <c r="O25" i="7"/>
  <c r="O37" i="7"/>
  <c r="O2" i="7"/>
  <c r="O34" i="7"/>
  <c r="M38" i="7"/>
  <c r="N38" i="7" s="1"/>
  <c r="M34" i="7"/>
  <c r="N34" i="7" s="1"/>
  <c r="Q36" i="7"/>
  <c r="Q19" i="7"/>
  <c r="M8" i="7"/>
  <c r="N8" i="7" s="1"/>
  <c r="Q34" i="7"/>
  <c r="Q31" i="7"/>
  <c r="M43" i="7"/>
  <c r="N43" i="7" s="1"/>
  <c r="M9" i="7"/>
  <c r="N9" i="7" s="1"/>
  <c r="Q29" i="7" l="1"/>
  <c r="Q23" i="7"/>
  <c r="Q42" i="7"/>
  <c r="Q5" i="7"/>
  <c r="Q46" i="7"/>
  <c r="Q13" i="7"/>
  <c r="Q4" i="7"/>
  <c r="Q24" i="7"/>
  <c r="Q35" i="7"/>
  <c r="Q7" i="7"/>
  <c r="Q27" i="7"/>
  <c r="Q38" i="7"/>
  <c r="Q22" i="7"/>
  <c r="Q2" i="7"/>
  <c r="Q33" i="7"/>
  <c r="Q12" i="7"/>
  <c r="Q41" i="7"/>
  <c r="Q14" i="7"/>
  <c r="Q47" i="7"/>
  <c r="Q9" i="7"/>
  <c r="Q26" i="7"/>
  <c r="Q30" i="7"/>
  <c r="Q3" i="7"/>
  <c r="Q15" i="7"/>
  <c r="Q18" i="7"/>
  <c r="U5" i="6"/>
  <c r="Q21" i="7"/>
  <c r="Q10" i="7"/>
  <c r="M49" i="7"/>
  <c r="N49" i="7" s="1"/>
  <c r="Q25" i="7"/>
  <c r="Q20" i="7"/>
  <c r="M50" i="7"/>
  <c r="N50" i="7" s="1"/>
  <c r="M48" i="7"/>
  <c r="N48" i="7" s="1"/>
  <c r="Q16" i="7"/>
  <c r="M51" i="7"/>
  <c r="N51" i="7" s="1"/>
  <c r="Q43" i="7"/>
  <c r="V5" i="6" l="1"/>
  <c r="AB5" i="6"/>
  <c r="P44" i="7" s="1"/>
  <c r="Q44" i="7" s="1"/>
  <c r="P11" i="7" l="1"/>
  <c r="Q11" i="7" s="1"/>
  <c r="AC5" i="6"/>
  <c r="P28" i="7"/>
  <c r="Q28" i="7" s="1"/>
  <c r="P39" i="7"/>
  <c r="Q39" i="7" s="1"/>
  <c r="P8" i="7"/>
  <c r="Q8" i="7" s="1"/>
  <c r="P6" i="7"/>
  <c r="Q6" i="7" s="1"/>
  <c r="P40" i="7"/>
  <c r="Q40" i="7" s="1"/>
  <c r="O48" i="7"/>
  <c r="O51" i="7"/>
  <c r="O50" i="7"/>
  <c r="O49" i="7"/>
  <c r="P50" i="7" l="1"/>
  <c r="Q50" i="7" s="1"/>
  <c r="P49" i="7"/>
  <c r="Q49" i="7" s="1"/>
  <c r="P48" i="7"/>
  <c r="Q48" i="7" s="1"/>
  <c r="P51" i="7"/>
  <c r="Q51" i="7" s="1"/>
</calcChain>
</file>

<file path=xl/comments1.xml><?xml version="1.0" encoding="utf-8"?>
<comments xmlns="http://schemas.openxmlformats.org/spreadsheetml/2006/main">
  <authors>
    <author>Сергей Скрягин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за январь ЛМК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вышла на смену в ночь со 2 на 3.02.19
штраф за ночь с 09 по 10.02.19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за январь ЛМК
600 р. 15.02.19
400 р. 22.02.19
700 р. 28.02.19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ЛМК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пьянство в смену с 31-01.02.19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400 р. 15.02.19
200 р. 22.02.19
800 р. 01.03.19
400 р. 07.03.19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 Скрягин:
</t>
        </r>
        <r>
          <rPr>
            <sz val="9"/>
            <color indexed="81"/>
            <rFont val="Tahoma"/>
            <family val="2"/>
            <charset val="204"/>
          </rPr>
          <t>за ЛМК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пьяная пришла на смену 11.02.19
+такси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15.02.19
400 р. 22.02.19
800 р. 28.02.19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15.02.19
400 р. 22.02.19
800 р. 28.02.19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сам сделал флюорографию
200 р. 28.02.19
600 р. 02.03.19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была своя флюография
400 р. 28.02.19
600 р. 07.03.19
1000 р. 14.03.19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09.03.19 проспала</t>
        </r>
      </text>
    </comment>
  </commentList>
</comments>
</file>

<file path=xl/sharedStrings.xml><?xml version="1.0" encoding="utf-8"?>
<sst xmlns="http://schemas.openxmlformats.org/spreadsheetml/2006/main" count="284" uniqueCount="163">
  <si>
    <t>Страховые взносы</t>
  </si>
  <si>
    <t>да</t>
  </si>
  <si>
    <t>Цена за час работы работника</t>
  </si>
  <si>
    <t>Сколько работников у вас работает</t>
  </si>
  <si>
    <t>Доход</t>
  </si>
  <si>
    <t>1. Приход</t>
  </si>
  <si>
    <t>Официально</t>
  </si>
  <si>
    <t>Цена за час работы работника б/нал</t>
  </si>
  <si>
    <t>нет</t>
  </si>
  <si>
    <t>Заработок за час работы работника</t>
  </si>
  <si>
    <t>% проводки</t>
  </si>
  <si>
    <t>2. Заработок работника</t>
  </si>
  <si>
    <t>Премия</t>
  </si>
  <si>
    <t>УСН</t>
  </si>
  <si>
    <t>НДФЛ</t>
  </si>
  <si>
    <t>Страховые взносы 27,1%</t>
  </si>
  <si>
    <t>ИТОГО</t>
  </si>
  <si>
    <t>В руб за час</t>
  </si>
  <si>
    <t>В руб за день</t>
  </si>
  <si>
    <t>3. Налоги с часа</t>
  </si>
  <si>
    <t>Премирование</t>
  </si>
  <si>
    <t>В % - премия</t>
  </si>
  <si>
    <t>Итого</t>
  </si>
  <si>
    <t>Проживание</t>
  </si>
  <si>
    <t>5. Доход</t>
  </si>
  <si>
    <t>4. Расходы</t>
  </si>
  <si>
    <t>ЛМК с работника</t>
  </si>
  <si>
    <t>Одежда с работника</t>
  </si>
  <si>
    <t>Питание наше</t>
  </si>
  <si>
    <t>Итого за рабочий месяц</t>
  </si>
  <si>
    <t>В руб за месяц</t>
  </si>
  <si>
    <t>Количество смен в месяц</t>
  </si>
  <si>
    <t xml:space="preserve">Заработок работника за смену </t>
  </si>
  <si>
    <t>Кол-во рабочих часов в день от заказчика</t>
  </si>
  <si>
    <t>Кол-во рабочих часов в день для работников</t>
  </si>
  <si>
    <t xml:space="preserve">В % </t>
  </si>
  <si>
    <t>Обнал 3%</t>
  </si>
  <si>
    <t>до 20 смен</t>
  </si>
  <si>
    <t>с 21 смены</t>
  </si>
  <si>
    <t>с 41 смены</t>
  </si>
  <si>
    <t>Валовый</t>
  </si>
  <si>
    <t>"-УСН"</t>
  </si>
  <si>
    <t>НДФЛ с работника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</si>
  <si>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</si>
  <si>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</si>
  <si>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</si>
  <si>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</si>
  <si>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</si>
  <si>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</si>
  <si>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</si>
  <si>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</si>
  <si>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</si>
  <si>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Саралиева Альбика Руслановна</t>
  </si>
  <si>
    <t>Саралиева Любовь Викторовна</t>
  </si>
  <si>
    <t>Шумилкина Юлия Александровна</t>
  </si>
  <si>
    <t>Рейтинг</t>
  </si>
  <si>
    <t>Выплачено работнику</t>
  </si>
  <si>
    <t>Штраф</t>
  </si>
  <si>
    <t>% дохода</t>
  </si>
  <si>
    <t>ЛМК</t>
  </si>
  <si>
    <t>Спецодежда</t>
  </si>
  <si>
    <t>Мед. Осмотр</t>
  </si>
  <si>
    <t>Удержано</t>
  </si>
  <si>
    <t>Долг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</si>
  <si>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</si>
  <si>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</si>
  <si>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</si>
  <si>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</si>
  <si>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</si>
  <si>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Кол-во выходов</t>
  </si>
  <si>
    <t>Категория</t>
  </si>
  <si>
    <t>Бригадир/премия</t>
  </si>
  <si>
    <t>при изменении данных меняется учёт!!! НЕ МЕНЯТЬ</t>
  </si>
  <si>
    <t>Подпись</t>
  </si>
  <si>
    <t>Месяц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</si>
  <si>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</si>
  <si>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</si>
  <si>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</si>
  <si>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</si>
  <si>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</si>
  <si>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</si>
  <si>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</si>
  <si>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День</t>
  </si>
  <si>
    <t>Ночь</t>
  </si>
  <si>
    <t>Декада</t>
  </si>
  <si>
    <t>запланировано</t>
  </si>
  <si>
    <t>разница</t>
  </si>
  <si>
    <t>ИТОГО за неделю</t>
  </si>
  <si>
    <t>в смене</t>
  </si>
  <si>
    <t>в резерве</t>
  </si>
  <si>
    <t>в графике</t>
  </si>
  <si>
    <t>ВАЛ</t>
  </si>
  <si>
    <t>Выплачено</t>
  </si>
  <si>
    <t>Номер недели</t>
  </si>
  <si>
    <t>не выход</t>
  </si>
  <si>
    <t>Итого начислено за неделю</t>
  </si>
  <si>
    <t>чистая прибыль</t>
  </si>
  <si>
    <t>наценка, %</t>
  </si>
  <si>
    <t>Степанова Екатерина Петровна (П)</t>
  </si>
  <si>
    <t>Барышникова Ольга Ивановна (П)</t>
  </si>
  <si>
    <t>Пименова Людмила Алексеевна (ОД)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</si>
  <si>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</si>
  <si>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</si>
  <si>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</si>
  <si>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</si>
  <si>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Хафизова Кадрия Рустамовна (П)</t>
  </si>
  <si>
    <t>Жохова Екатерина Николаевна (П)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</si>
  <si>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</si>
  <si>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</si>
  <si>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</si>
  <si>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</si>
  <si>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</si>
  <si>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</si>
  <si>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</si>
  <si>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сдала</t>
  </si>
  <si>
    <t>конферсия за неделю</t>
  </si>
  <si>
    <t>средняя конверсия по клиенту</t>
  </si>
  <si>
    <t>сдал</t>
  </si>
  <si>
    <t>Темарцев Кирилл Викторович (О)</t>
  </si>
  <si>
    <t>.- УСН</t>
  </si>
  <si>
    <t>Андрияшина Надежда Васильевна (П)</t>
  </si>
  <si>
    <t>Хомутова Ольга Николаевна (О)</t>
  </si>
  <si>
    <t>Арсёнова Анна Анатольевна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</si>
  <si>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</si>
  <si>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</si>
  <si>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</si>
  <si>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</si>
  <si>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</si>
  <si>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Налоги</t>
  </si>
  <si>
    <t>Текщий итог по работнику</t>
  </si>
  <si>
    <t>К выплате на сегодня</t>
  </si>
  <si>
    <t>Кол-во не выходов</t>
  </si>
  <si>
    <t>Март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</si>
  <si>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</si>
  <si>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</si>
  <si>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</si>
  <si>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</si>
  <si>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Катышова Галина Васильевна (О)</t>
  </si>
  <si>
    <t>часов по выходам</t>
  </si>
  <si>
    <t>вал по выходам</t>
  </si>
  <si>
    <t>часов по плану</t>
  </si>
  <si>
    <t>вал по плану</t>
  </si>
  <si>
    <t>Арясова Елена Александровна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</si>
  <si>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</si>
  <si>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</si>
  <si>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</si>
  <si>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</si>
  <si>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</si>
  <si>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Харченко Галина Васильевна (О)</t>
  </si>
  <si>
    <t>Харченко Галина Васильевна (ОД)</t>
  </si>
  <si>
    <t>Калчева Софья Андоновна (ОД)</t>
  </si>
  <si>
    <t>Дудорова Галина Геннадьевна (ПД)</t>
  </si>
  <si>
    <t>Дугина Ольга Николаевна (П)</t>
  </si>
  <si>
    <t>Голованова Мария Семеновна (ПД)</t>
  </si>
  <si>
    <t>Шелехова Ольга Владимировна (ОД)</t>
  </si>
  <si>
    <t>Сарайкина Юлия Викторовна (ОД)</t>
  </si>
  <si>
    <t>Давыдов Александр Дмитреевич (О)</t>
  </si>
  <si>
    <t>Старостина Мария Викторовна (О)</t>
  </si>
  <si>
    <t>ИНН</t>
  </si>
  <si>
    <t>RC</t>
  </si>
  <si>
    <t>NameCol</t>
  </si>
  <si>
    <t>DateC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</si>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</sst>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4" tint="-0.499984740745262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7"/>
      <color rgb="FFF3B42D"/>
      <name val="HelveticaNeueCy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trike/>
      <sz val="11"/>
      <color theme="9" tint="0.39997558519241921"/>
      <name val="Calibri"/>
      <family val="2"/>
      <charset val="204"/>
    </font>
    <font>
      <strike/>
      <u/>
      <sz val="11"/>
      <color theme="9" tint="0.39997558519241921"/>
      <name val="Calibri"/>
      <family val="2"/>
      <charset val="204"/>
    </font>
    <font>
      <sz val="11"/>
      <color theme="10"/>
      <name val="Calibri"/>
      <family val="2"/>
      <charset val="204"/>
    </font>
    <font>
      <sz val="20"/>
      <color rgb="FF00B050"/>
      <name val="Times New Roman"/>
      <family val="1"/>
      <charset val="204"/>
    </font>
    <font>
      <strike/>
      <u/>
      <sz val="11"/>
      <color theme="10"/>
      <name val="Calibri"/>
      <family val="2"/>
      <charset val="204"/>
    </font>
    <font>
      <strike/>
      <sz val="11"/>
      <color theme="4" tint="-0.249977111117893"/>
      <name val="Calibri"/>
      <family val="2"/>
      <charset val="204"/>
    </font>
    <font>
      <strike/>
      <sz val="11"/>
      <color theme="1"/>
      <name val="Calibri"/>
      <family val="2"/>
      <charset val="204"/>
    </font>
    <font>
      <sz val="20"/>
      <color rgb="FF00B0F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206">
    <xf numFmtId="0" fontId="0" fillId="0" borderId="0" xfId="0"/>
    <xf numFmtId="0" fontId="0" fillId="0" borderId="0" xfId="0" applyProtection="1">
      <protection locked="0"/>
    </xf>
    <xf numFmtId="0" fontId="0" fillId="4" borderId="0" xfId="2" applyFont="1" applyFill="1" applyBorder="1" applyAlignment="1" applyProtection="1">
      <alignment horizontal="left" vertical="center" wrapText="1"/>
      <protection locked="0"/>
    </xf>
    <xf numFmtId="44" fontId="0" fillId="2" borderId="0" xfId="3" applyFont="1" applyFill="1" applyBorder="1" applyProtection="1"/>
    <xf numFmtId="44" fontId="0" fillId="5" borderId="0" xfId="3" applyFont="1" applyFill="1" applyBorder="1" applyProtection="1"/>
    <xf numFmtId="44" fontId="5" fillId="2" borderId="0" xfId="3" applyFont="1" applyFill="1" applyBorder="1" applyProtection="1"/>
    <xf numFmtId="44" fontId="0" fillId="0" borderId="0" xfId="0" applyNumberFormat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Protection="1">
      <protection locked="0"/>
    </xf>
    <xf numFmtId="44" fontId="0" fillId="2" borderId="0" xfId="3" applyFont="1" applyFill="1" applyBorder="1" applyAlignment="1" applyProtection="1">
      <alignment horizontal="center"/>
    </xf>
    <xf numFmtId="0" fontId="9" fillId="0" borderId="0" xfId="0" applyFont="1"/>
    <xf numFmtId="44" fontId="5" fillId="2" borderId="0" xfId="3" applyFont="1" applyFill="1" applyBorder="1" applyAlignment="1" applyProtection="1"/>
    <xf numFmtId="10" fontId="8" fillId="0" borderId="0" xfId="1" applyNumberFormat="1" applyFont="1" applyFill="1" applyBorder="1" applyAlignment="1" applyProtection="1">
      <alignment horizontal="center"/>
    </xf>
    <xf numFmtId="10" fontId="0" fillId="2" borderId="0" xfId="1" applyNumberFormat="1" applyFont="1" applyFill="1" applyBorder="1" applyProtection="1"/>
    <xf numFmtId="44" fontId="0" fillId="2" borderId="3" xfId="3" applyFont="1" applyFill="1" applyBorder="1" applyProtection="1"/>
    <xf numFmtId="44" fontId="0" fillId="2" borderId="4" xfId="3" applyFont="1" applyFill="1" applyBorder="1" applyProtection="1"/>
    <xf numFmtId="44" fontId="0" fillId="2" borderId="6" xfId="3" applyFont="1" applyFill="1" applyBorder="1" applyProtection="1"/>
    <xf numFmtId="10" fontId="0" fillId="2" borderId="6" xfId="1" applyNumberFormat="1" applyFont="1" applyFill="1" applyBorder="1" applyProtection="1"/>
    <xf numFmtId="44" fontId="5" fillId="2" borderId="11" xfId="3" applyFont="1" applyFill="1" applyBorder="1" applyAlignment="1" applyProtection="1"/>
    <xf numFmtId="44" fontId="5" fillId="2" borderId="12" xfId="3" applyFont="1" applyFill="1" applyBorder="1" applyAlignment="1" applyProtection="1"/>
    <xf numFmtId="44" fontId="0" fillId="2" borderId="3" xfId="3" applyFont="1" applyFill="1" applyBorder="1" applyAlignment="1" applyProtection="1">
      <alignment horizontal="center"/>
    </xf>
    <xf numFmtId="44" fontId="0" fillId="2" borderId="4" xfId="3" applyFont="1" applyFill="1" applyBorder="1" applyAlignment="1" applyProtection="1">
      <alignment horizontal="center"/>
    </xf>
    <xf numFmtId="44" fontId="0" fillId="2" borderId="6" xfId="3" applyFont="1" applyFill="1" applyBorder="1" applyAlignment="1" applyProtection="1">
      <alignment horizontal="center"/>
    </xf>
    <xf numFmtId="44" fontId="0" fillId="2" borderId="2" xfId="3" applyFont="1" applyFill="1" applyBorder="1" applyAlignment="1" applyProtection="1">
      <alignment horizontal="center"/>
    </xf>
    <xf numFmtId="44" fontId="0" fillId="2" borderId="5" xfId="3" applyFont="1" applyFill="1" applyBorder="1" applyAlignment="1" applyProtection="1">
      <alignment horizontal="center"/>
    </xf>
    <xf numFmtId="44" fontId="0" fillId="2" borderId="2" xfId="3" applyFont="1" applyFill="1" applyBorder="1" applyProtection="1"/>
    <xf numFmtId="44" fontId="0" fillId="2" borderId="5" xfId="3" applyFont="1" applyFill="1" applyBorder="1" applyProtection="1"/>
    <xf numFmtId="10" fontId="0" fillId="2" borderId="5" xfId="1" applyNumberFormat="1" applyFont="1" applyFill="1" applyBorder="1" applyProtection="1"/>
    <xf numFmtId="44" fontId="5" fillId="2" borderId="10" xfId="3" applyFont="1" applyFill="1" applyBorder="1" applyAlignment="1" applyProtection="1"/>
    <xf numFmtId="44" fontId="0" fillId="2" borderId="12" xfId="3" applyFont="1" applyFill="1" applyBorder="1" applyProtection="1"/>
    <xf numFmtId="44" fontId="0" fillId="2" borderId="10" xfId="3" applyFont="1" applyFill="1" applyBorder="1" applyProtection="1"/>
    <xf numFmtId="44" fontId="0" fillId="5" borderId="5" xfId="3" applyFont="1" applyFill="1" applyBorder="1" applyProtection="1"/>
    <xf numFmtId="0" fontId="0" fillId="2" borderId="5" xfId="0" applyFill="1" applyBorder="1" applyProtection="1"/>
    <xf numFmtId="9" fontId="0" fillId="2" borderId="5" xfId="1" applyFont="1" applyFill="1" applyBorder="1" applyProtection="1"/>
    <xf numFmtId="44" fontId="0" fillId="2" borderId="15" xfId="3" applyFont="1" applyFill="1" applyBorder="1" applyProtection="1"/>
    <xf numFmtId="0" fontId="0" fillId="5" borderId="15" xfId="0" applyFill="1" applyBorder="1" applyProtection="1"/>
    <xf numFmtId="9" fontId="0" fillId="5" borderId="15" xfId="1" applyFont="1" applyFill="1" applyBorder="1" applyProtection="1"/>
    <xf numFmtId="44" fontId="0" fillId="2" borderId="16" xfId="3" applyFont="1" applyFill="1" applyBorder="1" applyProtection="1"/>
    <xf numFmtId="44" fontId="0" fillId="2" borderId="14" xfId="3" applyFont="1" applyFill="1" applyBorder="1" applyProtection="1"/>
    <xf numFmtId="0" fontId="0" fillId="4" borderId="13" xfId="2" applyFont="1" applyFill="1" applyBorder="1" applyAlignment="1" applyProtection="1">
      <alignment horizontal="center" vertical="center" wrapText="1"/>
      <protection locked="0"/>
    </xf>
    <xf numFmtId="44" fontId="0" fillId="2" borderId="13" xfId="3" applyFont="1" applyFill="1" applyBorder="1" applyProtection="1"/>
    <xf numFmtId="0" fontId="0" fillId="5" borderId="0" xfId="0" applyFill="1" applyBorder="1" applyAlignment="1" applyProtection="1">
      <alignment horizontal="center" vertical="center"/>
    </xf>
    <xf numFmtId="44" fontId="10" fillId="0" borderId="0" xfId="0" applyNumberFormat="1" applyFont="1" applyAlignment="1" applyProtection="1">
      <alignment horizontal="center" vertical="center"/>
      <protection locked="0"/>
    </xf>
    <xf numFmtId="44" fontId="0" fillId="2" borderId="0" xfId="3" applyFont="1" applyFill="1" applyBorder="1" applyAlignment="1" applyProtection="1">
      <alignment horizontal="center"/>
    </xf>
    <xf numFmtId="0" fontId="14" fillId="0" borderId="0" xfId="0" applyFont="1"/>
    <xf numFmtId="44" fontId="12" fillId="6" borderId="0" xfId="3" applyNumberFormat="1" applyFont="1" applyFill="1"/>
    <xf numFmtId="44" fontId="12" fillId="0" borderId="0" xfId="3" applyNumberFormat="1" applyFont="1"/>
    <xf numFmtId="0" fontId="11" fillId="0" borderId="0" xfId="5" applyFont="1" applyBorder="1" applyAlignment="1" applyProtection="1"/>
    <xf numFmtId="44" fontId="12" fillId="6" borderId="0" xfId="3" applyNumberFormat="1" applyFont="1" applyFill="1" applyBorder="1"/>
    <xf numFmtId="0" fontId="15" fillId="0" borderId="0" xfId="0" applyFont="1"/>
    <xf numFmtId="0" fontId="16" fillId="0" borderId="0" xfId="0" applyFont="1"/>
    <xf numFmtId="0" fontId="16" fillId="0" borderId="0" xfId="0" applyFont="1" applyFill="1" applyAlignment="1">
      <alignment horizontal="left"/>
    </xf>
    <xf numFmtId="165" fontId="12" fillId="0" borderId="0" xfId="4" applyNumberFormat="1" applyFont="1"/>
    <xf numFmtId="165" fontId="14" fillId="0" borderId="0" xfId="4" applyNumberFormat="1" applyFont="1"/>
    <xf numFmtId="165" fontId="12" fillId="6" borderId="0" xfId="4" applyNumberFormat="1" applyFont="1" applyFill="1"/>
    <xf numFmtId="0" fontId="11" fillId="6" borderId="0" xfId="5" applyFont="1" applyFill="1" applyAlignment="1" applyProtection="1"/>
    <xf numFmtId="0" fontId="11" fillId="0" borderId="0" xfId="5" applyFont="1" applyAlignment="1" applyProtection="1"/>
    <xf numFmtId="44" fontId="12" fillId="0" borderId="18" xfId="3" applyNumberFormat="1" applyFont="1" applyBorder="1"/>
    <xf numFmtId="165" fontId="12" fillId="0" borderId="18" xfId="4" applyNumberFormat="1" applyFont="1" applyBorder="1"/>
    <xf numFmtId="44" fontId="12" fillId="0" borderId="0" xfId="3" applyNumberFormat="1" applyFont="1" applyBorder="1"/>
    <xf numFmtId="44" fontId="12" fillId="6" borderId="0" xfId="3" applyFont="1" applyFill="1"/>
    <xf numFmtId="44" fontId="12" fillId="0" borderId="0" xfId="3" applyFont="1"/>
    <xf numFmtId="44" fontId="12" fillId="0" borderId="0" xfId="3" applyFont="1" applyBorder="1"/>
    <xf numFmtId="0" fontId="14" fillId="0" borderId="0" xfId="0" applyFont="1" applyAlignment="1">
      <alignment horizontal="center"/>
    </xf>
    <xf numFmtId="1" fontId="0" fillId="0" borderId="0" xfId="0" applyNumberFormat="1"/>
    <xf numFmtId="0" fontId="11" fillId="0" borderId="0" xfId="5" applyAlignment="1" applyProtection="1"/>
    <xf numFmtId="0" fontId="13" fillId="0" borderId="18" xfId="0" applyFont="1" applyBorder="1" applyAlignment="1">
      <alignment horizontal="center" vertical="center" wrapText="1"/>
    </xf>
    <xf numFmtId="0" fontId="21" fillId="0" borderId="21" xfId="0" applyFont="1" applyBorder="1"/>
    <xf numFmtId="0" fontId="24" fillId="0" borderId="17" xfId="0" applyFont="1" applyBorder="1" applyAlignment="1">
      <alignment wrapText="1"/>
    </xf>
    <xf numFmtId="0" fontId="21" fillId="0" borderId="19" xfId="0" applyFont="1" applyBorder="1"/>
    <xf numFmtId="0" fontId="23" fillId="0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7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44" fontId="12" fillId="6" borderId="0" xfId="3" applyFont="1" applyFill="1" applyBorder="1"/>
    <xf numFmtId="0" fontId="25" fillId="0" borderId="27" xfId="0" applyFont="1" applyFill="1" applyBorder="1" applyAlignment="1">
      <alignment horizontal="center" vertical="center"/>
    </xf>
    <xf numFmtId="165" fontId="12" fillId="0" borderId="0" xfId="4" applyNumberFormat="1" applyFont="1" applyBorder="1"/>
    <xf numFmtId="0" fontId="23" fillId="0" borderId="2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4" fontId="23" fillId="0" borderId="32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44" fontId="12" fillId="0" borderId="0" xfId="3" applyNumberFormat="1" applyFont="1" applyFill="1" applyBorder="1"/>
    <xf numFmtId="165" fontId="12" fillId="0" borderId="0" xfId="4" applyNumberFormat="1" applyFont="1" applyFill="1"/>
    <xf numFmtId="44" fontId="12" fillId="0" borderId="0" xfId="3" applyFont="1" applyFill="1"/>
    <xf numFmtId="0" fontId="28" fillId="6" borderId="0" xfId="5" applyFont="1" applyFill="1" applyBorder="1" applyAlignment="1" applyProtection="1"/>
    <xf numFmtId="44" fontId="28" fillId="6" borderId="0" xfId="3" applyNumberFormat="1" applyFont="1" applyFill="1"/>
    <xf numFmtId="165" fontId="28" fillId="6" borderId="0" xfId="4" applyNumberFormat="1" applyFont="1" applyFill="1"/>
    <xf numFmtId="44" fontId="28" fillId="6" borderId="0" xfId="3" applyFont="1" applyFill="1"/>
    <xf numFmtId="0" fontId="28" fillId="0" borderId="0" xfId="5" applyFont="1" applyBorder="1" applyAlignment="1" applyProtection="1"/>
    <xf numFmtId="44" fontId="28" fillId="0" borderId="0" xfId="3" applyNumberFormat="1" applyFont="1"/>
    <xf numFmtId="165" fontId="28" fillId="0" borderId="0" xfId="4" applyNumberFormat="1" applyFont="1"/>
    <xf numFmtId="44" fontId="28" fillId="0" borderId="0" xfId="3" applyFont="1"/>
    <xf numFmtId="44" fontId="29" fillId="6" borderId="0" xfId="3" applyFont="1" applyFill="1"/>
    <xf numFmtId="0" fontId="30" fillId="0" borderId="0" xfId="5" applyFont="1" applyBorder="1" applyAlignment="1" applyProtection="1"/>
    <xf numFmtId="9" fontId="15" fillId="0" borderId="0" xfId="1" applyFont="1"/>
    <xf numFmtId="9" fontId="15" fillId="0" borderId="0" xfId="0" applyNumberFormat="1" applyFont="1"/>
    <xf numFmtId="14" fontId="26" fillId="0" borderId="27" xfId="0" applyNumberFormat="1" applyFont="1" applyFill="1" applyBorder="1" applyAlignment="1">
      <alignment horizontal="center" vertical="center"/>
    </xf>
    <xf numFmtId="14" fontId="26" fillId="3" borderId="37" xfId="0" applyNumberFormat="1" applyFont="1" applyFill="1" applyBorder="1" applyAlignment="1">
      <alignment horizontal="center" vertical="center"/>
    </xf>
    <xf numFmtId="44" fontId="0" fillId="0" borderId="0" xfId="3" applyFont="1"/>
    <xf numFmtId="10" fontId="0" fillId="0" borderId="0" xfId="1" applyNumberFormat="1" applyFont="1"/>
    <xf numFmtId="0" fontId="23" fillId="0" borderId="4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left"/>
    </xf>
    <xf numFmtId="164" fontId="17" fillId="0" borderId="21" xfId="3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44" fontId="17" fillId="0" borderId="36" xfId="3" applyFont="1" applyBorder="1" applyAlignment="1">
      <alignment horizontal="center" vertical="center"/>
    </xf>
    <xf numFmtId="9" fontId="17" fillId="0" borderId="37" xfId="1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vertical="center" wrapText="1"/>
    </xf>
    <xf numFmtId="44" fontId="17" fillId="0" borderId="40" xfId="3" applyFont="1" applyBorder="1" applyAlignment="1">
      <alignment horizontal="center" vertical="center"/>
    </xf>
    <xf numFmtId="0" fontId="24" fillId="0" borderId="40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44" fontId="17" fillId="0" borderId="37" xfId="3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31" fillId="0" borderId="17" xfId="0" applyFont="1" applyBorder="1" applyAlignment="1">
      <alignment wrapText="1"/>
    </xf>
    <xf numFmtId="0" fontId="32" fillId="0" borderId="0" xfId="5" applyFont="1" applyAlignment="1" applyProtection="1"/>
    <xf numFmtId="44" fontId="33" fillId="0" borderId="0" xfId="3" applyNumberFormat="1" applyFont="1"/>
    <xf numFmtId="165" fontId="33" fillId="0" borderId="0" xfId="4" applyNumberFormat="1" applyFont="1"/>
    <xf numFmtId="44" fontId="33" fillId="0" borderId="0" xfId="3" applyFont="1"/>
    <xf numFmtId="44" fontId="34" fillId="0" borderId="0" xfId="3" applyFont="1"/>
    <xf numFmtId="10" fontId="34" fillId="0" borderId="0" xfId="1" applyNumberFormat="1" applyFont="1"/>
    <xf numFmtId="44" fontId="33" fillId="6" borderId="0" xfId="3" applyNumberFormat="1" applyFont="1" applyFill="1" applyBorder="1"/>
    <xf numFmtId="165" fontId="33" fillId="6" borderId="0" xfId="4" applyNumberFormat="1" applyFont="1" applyFill="1"/>
    <xf numFmtId="44" fontId="33" fillId="6" borderId="0" xfId="3" applyFont="1" applyFill="1"/>
    <xf numFmtId="44" fontId="0" fillId="0" borderId="0" xfId="3" applyFont="1" applyBorder="1"/>
    <xf numFmtId="10" fontId="0" fillId="0" borderId="0" xfId="1" applyNumberFormat="1" applyFont="1" applyBorder="1"/>
    <xf numFmtId="0" fontId="35" fillId="0" borderId="17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64" fontId="17" fillId="0" borderId="43" xfId="3" applyNumberFormat="1" applyFont="1" applyBorder="1" applyAlignment="1">
      <alignment horizontal="center" vertical="center"/>
    </xf>
    <xf numFmtId="164" fontId="17" fillId="0" borderId="44" xfId="3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14" fontId="26" fillId="0" borderId="19" xfId="0" applyNumberFormat="1" applyFont="1" applyBorder="1" applyAlignment="1">
      <alignment horizontal="center" vertical="center"/>
    </xf>
    <xf numFmtId="14" fontId="26" fillId="0" borderId="20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4" fontId="26" fillId="0" borderId="35" xfId="0" applyNumberFormat="1" applyFont="1" applyBorder="1" applyAlignment="1">
      <alignment horizontal="center" vertical="center"/>
    </xf>
    <xf numFmtId="14" fontId="26" fillId="0" borderId="33" xfId="0" applyNumberFormat="1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4" fontId="0" fillId="2" borderId="0" xfId="3" applyFont="1" applyFill="1" applyBorder="1" applyAlignment="1" applyProtection="1">
      <alignment horizontal="center" vertical="center"/>
    </xf>
    <xf numFmtId="165" fontId="0" fillId="5" borderId="0" xfId="4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44" fontId="0" fillId="4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center" vertical="center" wrapText="1"/>
      <protection locked="0"/>
    </xf>
    <xf numFmtId="9" fontId="0" fillId="2" borderId="11" xfId="1" applyFont="1" applyFill="1" applyBorder="1" applyAlignment="1" applyProtection="1">
      <alignment horizontal="center"/>
    </xf>
    <xf numFmtId="9" fontId="0" fillId="2" borderId="12" xfId="1" applyFont="1" applyFill="1" applyBorder="1" applyAlignment="1" applyProtection="1">
      <alignment horizontal="center"/>
    </xf>
    <xf numFmtId="0" fontId="0" fillId="4" borderId="10" xfId="2" applyFont="1" applyFill="1" applyBorder="1" applyAlignment="1" applyProtection="1">
      <alignment horizontal="center" vertical="center" wrapText="1"/>
      <protection locked="0"/>
    </xf>
    <xf numFmtId="0" fontId="0" fillId="4" borderId="12" xfId="2" applyFont="1" applyFill="1" applyBorder="1" applyAlignment="1" applyProtection="1">
      <alignment horizontal="center" vertical="center" wrapText="1"/>
      <protection locked="0"/>
    </xf>
    <xf numFmtId="44" fontId="0" fillId="2" borderId="0" xfId="3" applyFont="1" applyFill="1" applyBorder="1" applyAlignment="1" applyProtection="1">
      <alignment horizontal="center"/>
    </xf>
    <xf numFmtId="9" fontId="0" fillId="2" borderId="10" xfId="1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5" fillId="4" borderId="2" xfId="2" applyFont="1" applyFill="1" applyBorder="1" applyAlignment="1" applyProtection="1">
      <alignment horizontal="left" vertical="center" wrapText="1"/>
      <protection locked="0"/>
    </xf>
    <xf numFmtId="0" fontId="5" fillId="4" borderId="3" xfId="2" applyFont="1" applyFill="1" applyBorder="1" applyAlignment="1" applyProtection="1">
      <alignment horizontal="left" vertical="center" wrapText="1"/>
      <protection locked="0"/>
    </xf>
    <xf numFmtId="0" fontId="5" fillId="4" borderId="4" xfId="2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/>
    </xf>
    <xf numFmtId="165" fontId="12" fillId="0" borderId="0" xfId="4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9" fontId="12" fillId="0" borderId="0" xfId="1" applyNumberFormat="1" applyFont="1" applyFill="1" applyBorder="1"/>
    <xf numFmtId="165" fontId="12" fillId="0" borderId="0" xfId="4" applyNumberFormat="1" applyFont="1" applyFill="1" applyBorder="1"/>
    <xf numFmtId="10" fontId="12" fillId="0" borderId="0" xfId="1" applyNumberFormat="1" applyFont="1" applyFill="1" applyBorder="1"/>
    <xf numFmtId="0" fontId="14" fillId="0" borderId="0" xfId="0" applyFont="1" applyFill="1"/>
    <xf numFmtId="14" fontId="12" fillId="0" borderId="0" xfId="0" applyNumberFormat="1" applyFont="1" applyFill="1" applyBorder="1"/>
  </cellXfs>
  <cellStyles count="7">
    <cellStyle name="Comma" xfId="4" builtinId="3"/>
    <cellStyle name="Currency" xfId="3" builtinId="4"/>
    <cellStyle name="Heading 2" xfId="2" builtinId="17"/>
    <cellStyle name="Hyperlink" xfId="5" builtinId="8"/>
    <cellStyle name="Normal" xfId="0" builtinId="0"/>
    <cellStyle name="Percent" xfId="1" builtinId="5"/>
    <cellStyle name="Обычный 2" xfId="6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" formatCode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none"/>
      </font>
      <alignment horizontal="general" vertical="bottom" textRotation="0" wrapText="0" relativeIndent="0" justifyLastLine="0" shrinkToFit="0" readingOrder="0"/>
      <protection locked="1" hidden="0"/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2" displayName="Таблица2" ref="A1:AC5" totalsRowShown="0" headerRowDxfId="31" dataDxfId="0" tableBorderDxfId="30">
  <autoFilter ref="A1:AC5"/>
  <tableColumns count="29">
    <tableColumn id="1" name="№ п/п" dataDxfId="29"/>
    <tableColumn id="26" name="RC" dataDxfId="28">
      <calculatedColumnFormula array="1">IFERROR(SMALL(IF(IFERROR(MOD(Табель!$C$10:$P$100,2),),COLUMN(Табель!$C$10:$P$100)+ROW(Табель!$C$10:$P$100)%),Таблица2[[#This Row],[№ п/п]]),IFERROR(SMALL(IF(IFERROR(MOD(Табель!$W$10:$AJ$100,2),),COLUMN(Табель!$W$10:$AJ$100)+ROW(Табель!$W$10:$AJ$100)%),Таблица2[[#This Row],[№ п/п]]-COUNTIF($C$1:$C1,$C$2)),""))</calculatedColumnFormula>
    </tableColumn>
    <tableColumn id="27" name="NameCol" dataDxfId="27">
      <calculatedColumnFormula>IF(Таблица2[[#This Row],[RC]]&lt;&gt;"",FLOOR(Таблица2[[#This Row],[RC]],20)+2,"")</calculatedColumnFormula>
    </tableColumn>
    <tableColumn id="28" name="DateC" dataDxfId="26">
      <calculatedColumnFormula>IF(Таблица2[[#This Row],[RC]]&lt;&gt;"",INT(Таблица2[[#This Row],[RC]]),"")</calculatedColumnFormula>
    </tableColumn>
    <tableColumn id="29" name="Row" dataDxfId="25">
      <calculatedColumnFormula>IF(Таблица2[[#This Row],[RC]]&lt;&gt;"",MOD(Таблица2[[#This Row],[RC]],1)/1%,"")</calculatedColumnFormula>
    </tableColumn>
    <tableColumn id="2" name="Месяц" dataDxfId="24"/>
    <tableColumn id="3" name="Декада" dataDxfId="23"/>
    <tableColumn id="4" name="Номер недели" dataDxfId="22">
      <calculatedColumnFormula>IF(Таблица2[[#This Row],[RC]]&lt;&gt;"",WEEKNUM(MAX(Таблица2[[#This Row],[День]:[Ночь]]),2),"")</calculatedColumnFormula>
    </tableColumn>
    <tableColumn id="5" name="День" dataDxfId="21">
      <calculatedColumnFormula>IF(Таблица2[[#This Row],[RC]]&lt;&gt;"",IF(ISODD(Таблица2[[#This Row],[DateC]]),INDEX(Табель!$7:$7,Таблица2[[#This Row],[DateC]]),""),"")</calculatedColumnFormula>
    </tableColumn>
    <tableColumn id="6" name="Ночь" dataDxfId="20">
      <calculatedColumnFormula>IF(Таблица2[[#This Row],[RC]]&lt;&gt;"",IF(ISEVEN(Таблица2[[#This Row],[DateC]]),INDEX(Табель!$7:$7,Таблица2[[#This Row],[DateC]]-1),""),"")</calculatedColumnFormula>
    </tableColumn>
    <tableColumn id="7" name="Бригадир/премия" dataDxfId="19"/>
    <tableColumn id="8" name="ФИО" dataDxfId="18">
      <calculatedColumnFormula>IF(Таблица2[[#This Row],[RC]]&lt;&gt;"",INDEX(Табель!$1:$1048576,Таблица2[[#This Row],[Row]],Таблица2[[#This Row],[NameCol]]),"")</calculatedColumnFormula>
    </tableColumn>
    <tableColumn id="9" name="Рейтинг" dataDxfId="17">
      <calculatedColumnFormula>IFERROR(VLOOKUP(Учёт!$L2,Данные!A:I,9,FALSE)+Учёт!$K2,0)</calculatedColumnFormula>
    </tableColumn>
    <tableColumn id="10" name="Часы" dataDxfId="16"/>
    <tableColumn id="11" name="Заработок работника" dataDxfId="15">
      <calculatedColumnFormula>IF(Учёт!$M2=1,Доход!$G$18*Учёт!$N2,IF(Учёт!$M2=2,Доход!$H$18*Учёт!$N2,IF(Учёт!$M2=3,Доход!$I$18*Учёт!$N2,IF(Учёт!$M2&gt;3,Доход!I22+100,0))))</calculatedColumnFormula>
    </tableColumn>
    <tableColumn id="12" name="Штраф" dataDxfId="14"/>
    <tableColumn id="13" name="Выплачено работнику" dataDxfId="13"/>
    <tableColumn id="14" name="Долг работнику" dataDxfId="12">
      <calculatedColumnFormula>Учёт!$O2</calculatedColumnFormula>
    </tableColumn>
    <tableColumn id="15" name="Приход денег" dataDxfId="11"/>
    <tableColumn id="16" name="От заказчика" dataDxfId="10">
      <calculatedColumnFormula>IF(Учёт!$S2="да",Доход!$F$12*Учёт!$N2,0)</calculatedColumnFormula>
    </tableColumn>
    <tableColumn id="17" name="Доход ВАЛ" dataDxfId="9">
      <calculatedColumnFormula>Учёт!$T2-Учёт!$R2</calculatedColumnFormula>
    </tableColumn>
    <tableColumn id="18" name="% дохода ВАЛ" dataDxfId="8">
      <calculatedColumnFormula>IFERROR(U2/T2,0)</calculatedColumnFormula>
    </tableColumn>
    <tableColumn id="19" name="ВАЛ" dataDxfId="7">
      <calculatedColumnFormula>N2*135</calculatedColumnFormula>
    </tableColumn>
    <tableColumn id="25" name="Официально" dataDxfId="6">
      <calculatedColumnFormula>IFERROR(VLOOKUP(L:L,Данные!A:K,10,FALSE),0)</calculatedColumnFormula>
    </tableColumn>
    <tableColumn id="20" name="НДФЛ" dataDxfId="5">
      <calculatedColumnFormula>IF(Таблица2[[#This Row],[Официально]]=1,Таблица2[[#This Row],[Часы]]*10*0.13,0)</calculatedColumnFormula>
    </tableColumn>
    <tableColumn id="21" name="Страховые взносы" dataDxfId="4">
      <calculatedColumnFormula>IF(Таблица2[[#This Row],[Официально]]=1,Таблица2[[#This Row],[Часы]]*10*0.271,0)</calculatedColumnFormula>
    </tableColumn>
    <tableColumn id="22" name="ИТОГО налоги" dataDxfId="3">
      <calculatedColumnFormula>Таблица2[[#This Row],[НДФЛ]]+Таблица2[[#This Row],[Страховые взносы]]</calculatedColumnFormula>
    </tableColumn>
    <tableColumn id="23" name="ИТОГО доход" dataDxfId="2">
      <calculatedColumnFormula>Таблица2[[#This Row],[Доход ВАЛ]]-Таблица2[[#This Row],[ИТОГО налоги]]</calculatedColumnFormula>
    </tableColumn>
    <tableColumn id="24" name="% чистого дохода " dataDxfId="1">
      <calculatedColumnFormula>IFERROR(AB2/Таблица2[[#This Row],[От заказчика]],0)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R51" totalsRowShown="0" headerRowDxfId="156" headerRowBorderDxfId="155" tableBorderDxfId="154">
  <autoFilter ref="A1:R51"/>
  <tableColumns count="18">
    <tableColumn id="1" name="ФИО" dataDxfId="153"/>
    <tableColumn id="2" name="ЛМК" dataDxfId="152"/>
    <tableColumn id="3" name="Мед. Осмотр" dataDxfId="151"/>
    <tableColumn id="4" name="Спецодежда" dataDxfId="150"/>
    <tableColumn id="5" name="Итого" dataDxfId="149">
      <calculatedColumnFormula>SUM(B2:C2)</calculatedColumnFormula>
    </tableColumn>
    <tableColumn id="6" name="Удержано" dataDxfId="148"/>
    <tableColumn id="7" name="Долг" dataDxfId="147">
      <calculatedColumnFormula>Данные!$E2+Данные!$F2</calculatedColumnFormula>
    </tableColumn>
    <tableColumn id="8" name="Кол-во выходов" dataDxfId="146">
      <calculatedColumnFormula>COUNTIFS(Учёт!L:L,Данные!$A2,Учёт!N:N,"&gt;0")</calculatedColumnFormula>
    </tableColumn>
    <tableColumn id="9" name="Категория" dataDxfId="145">
      <calculatedColumnFormula>IF(Данные!$H2&lt;=20,1,IF(Данные!$H2&lt;=40,2,IF(Данные!$H2&gt;40,3,0)))</calculatedColumnFormula>
    </tableColumn>
    <tableColumn id="14" name="Официально" dataDxfId="144"/>
    <tableColumn id="19" name="Кол-во не выходов" dataDxfId="143">
      <calculatedColumnFormula>COUNTIFS(Учёт!L:L,Таблица1[[#This Row],[ФИО]],Учёт!N:N,"=0")</calculatedColumnFormula>
    </tableColumn>
    <tableColumn id="12" name="Выплачено" dataDxfId="142"/>
    <tableColumn id="10" name="К выплате на сегодня" dataDxfId="141">
      <calculatedColumnFormula>SUMIF(Учёт!L:O,Данные!A2,Учёт!O:O)-Таблица1[[#This Row],[Выплачено]]</calculatedColumnFormula>
    </tableColumn>
    <tableColumn id="13" name="Текщий итог по работнику" dataDxfId="140">
      <calculatedColumnFormula>Таблица1[[#This Row],[К выплате на сегодня]]-Таблица1[[#This Row],[Долг]]</calculatedColumnFormula>
    </tableColumn>
    <tableColumn id="15" name="Налоги" dataDxfId="139">
      <calculatedColumnFormula>SUMIF(Учёт!L:AA,Таблица1[[#This Row],[ФИО]],Учёт!AA:AA)</calculatedColumnFormula>
    </tableColumn>
    <tableColumn id="16" name="Доход">
      <calculatedColumnFormula>SUMIF(Учёт!L:AB,Таблица1[[#This Row],[ФИО]],Учёт!AB:AB)</calculatedColumnFormula>
    </tableColumn>
    <tableColumn id="17" name="% дохода" dataDxfId="138">
      <calculatedColumnFormula>IFERROR(Таблица1[[#This Row],[Доход]]/SUMIF(Учёт!L:T,Таблица1[[#This Row],[ФИО]],Учёт!T:T),0)</calculatedColumnFormula>
    </tableColumn>
    <tableColumn id="11" name="ИНН" dataDxfId="13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hrm-pr.ru/employees/17542/view" TargetMode="External"/><Relationship Id="rId13" Type="http://schemas.openxmlformats.org/officeDocument/2006/relationships/hyperlink" Target="https://hrm-pr.ru/employees/17631/view" TargetMode="External"/><Relationship Id="rId18" Type="http://schemas.openxmlformats.org/officeDocument/2006/relationships/hyperlink" Target="https://hrm-pr.ru/employees/17987/view" TargetMode="External"/><Relationship Id="rId26" Type="http://schemas.openxmlformats.org/officeDocument/2006/relationships/hyperlink" Target="https://hrm-pr.ru/employees/19428/view" TargetMode="External"/><Relationship Id="rId3" Type="http://schemas.openxmlformats.org/officeDocument/2006/relationships/hyperlink" Target="https://hrm-pr.ru/employees/17593/view" TargetMode="External"/><Relationship Id="rId21" Type="http://schemas.openxmlformats.org/officeDocument/2006/relationships/hyperlink" Target="https://hrm-pr.ru/employees/19161/view" TargetMode="External"/><Relationship Id="rId34" Type="http://schemas.openxmlformats.org/officeDocument/2006/relationships/hyperlink" Target="https://hrm-pr.ru/employees/19711/view" TargetMode="External"/><Relationship Id="rId7" Type="http://schemas.openxmlformats.org/officeDocument/2006/relationships/hyperlink" Target="https://hrm-pr.ru/employees/17541/view" TargetMode="External"/><Relationship Id="rId12" Type="http://schemas.openxmlformats.org/officeDocument/2006/relationships/hyperlink" Target="https://hrm-pr.ru/employees/17635/view" TargetMode="External"/><Relationship Id="rId17" Type="http://schemas.openxmlformats.org/officeDocument/2006/relationships/hyperlink" Target="https://hrm-pr.ru/employees/17986/view" TargetMode="External"/><Relationship Id="rId25" Type="http://schemas.openxmlformats.org/officeDocument/2006/relationships/hyperlink" Target="https://hrm-pr.ru/employees/19389/view" TargetMode="External"/><Relationship Id="rId33" Type="http://schemas.openxmlformats.org/officeDocument/2006/relationships/hyperlink" Target="https://hrm-pr.ru/employees/19710/view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hrm-pr.ru/employees/17617/view" TargetMode="External"/><Relationship Id="rId16" Type="http://schemas.openxmlformats.org/officeDocument/2006/relationships/hyperlink" Target="https://hrm-pr.ru/employees/17911/view" TargetMode="External"/><Relationship Id="rId20" Type="http://schemas.openxmlformats.org/officeDocument/2006/relationships/hyperlink" Target="https://hrm-pr.ru/employees/18694/view" TargetMode="External"/><Relationship Id="rId29" Type="http://schemas.openxmlformats.org/officeDocument/2006/relationships/hyperlink" Target="https://hrm-pr.ru/employees/19254/view" TargetMode="External"/><Relationship Id="rId1" Type="http://schemas.openxmlformats.org/officeDocument/2006/relationships/hyperlink" Target="https://hrm-pr.ru/employees/14672/view" TargetMode="External"/><Relationship Id="rId6" Type="http://schemas.openxmlformats.org/officeDocument/2006/relationships/hyperlink" Target="https://hrm-pr.ru/employees/17817/view" TargetMode="External"/><Relationship Id="rId11" Type="http://schemas.openxmlformats.org/officeDocument/2006/relationships/hyperlink" Target="https://hrm-pr.ru/employees/17658/view" TargetMode="External"/><Relationship Id="rId24" Type="http://schemas.openxmlformats.org/officeDocument/2006/relationships/hyperlink" Target="https://hrm-pr.ru/employees/19249/view" TargetMode="External"/><Relationship Id="rId32" Type="http://schemas.openxmlformats.org/officeDocument/2006/relationships/hyperlink" Target="https://hrm-pr.ru/employees/19610/view" TargetMode="External"/><Relationship Id="rId37" Type="http://schemas.openxmlformats.org/officeDocument/2006/relationships/table" Target="../tables/table2.xml"/><Relationship Id="rId5" Type="http://schemas.openxmlformats.org/officeDocument/2006/relationships/hyperlink" Target="https://hrm-pr.ru/employees/17483/view" TargetMode="External"/><Relationship Id="rId15" Type="http://schemas.openxmlformats.org/officeDocument/2006/relationships/hyperlink" Target="https://hrm-pr.ru/employees/18251/view" TargetMode="External"/><Relationship Id="rId23" Type="http://schemas.openxmlformats.org/officeDocument/2006/relationships/hyperlink" Target="https://hrm-pr.ru/employees/17821/view" TargetMode="External"/><Relationship Id="rId28" Type="http://schemas.openxmlformats.org/officeDocument/2006/relationships/hyperlink" Target="https://hrm-pr.ru/employees/19251/view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hrm-pr.ru/employees/17690/view" TargetMode="External"/><Relationship Id="rId19" Type="http://schemas.openxmlformats.org/officeDocument/2006/relationships/hyperlink" Target="https://hrm-pr.ru/employees/17716/view" TargetMode="External"/><Relationship Id="rId31" Type="http://schemas.openxmlformats.org/officeDocument/2006/relationships/hyperlink" Target="https://hrm-pr.ru/employees/19613/view" TargetMode="External"/><Relationship Id="rId4" Type="http://schemas.openxmlformats.org/officeDocument/2006/relationships/hyperlink" Target="https://hrm-pr.ru/employees/17626/view" TargetMode="External"/><Relationship Id="rId9" Type="http://schemas.openxmlformats.org/officeDocument/2006/relationships/hyperlink" Target="https://hrm-pr.ru/employees/17739/view" TargetMode="External"/><Relationship Id="rId14" Type="http://schemas.openxmlformats.org/officeDocument/2006/relationships/hyperlink" Target="https://hrm-pr.ru/employees/18136/view" TargetMode="External"/><Relationship Id="rId22" Type="http://schemas.openxmlformats.org/officeDocument/2006/relationships/hyperlink" Target="https://hrm-pr.ru/employees/19164/view" TargetMode="External"/><Relationship Id="rId27" Type="http://schemas.openxmlformats.org/officeDocument/2006/relationships/hyperlink" Target="https://hrm-pr.ru/employees/19414/view" TargetMode="External"/><Relationship Id="rId30" Type="http://schemas.openxmlformats.org/officeDocument/2006/relationships/hyperlink" Target="https://hrm-pr.ru/employees/19233/view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5"/>
  <sheetViews>
    <sheetView tabSelected="1" zoomScale="85" zoomScaleNormal="85" workbookViewId="0">
      <pane xSplit="6" ySplit="1" topLeftCell="G2" activePane="bottomRight" state="frozen"/>
      <selection pane="topRight" activeCell="C1" sqref="C1"/>
      <selection pane="bottomLeft" activeCell="A2" sqref="A2"/>
      <selection pane="bottomRight" activeCell="I14" sqref="I14"/>
    </sheetView>
  </sheetViews>
  <sheetFormatPr defaultColWidth="8.85546875" defaultRowHeight="15" outlineLevelCol="1"/>
  <cols>
    <col min="1" max="1" width="8.5703125" style="44" customWidth="1"/>
    <col min="2" max="5" width="8.5703125" style="44" customWidth="1" outlineLevel="1"/>
    <col min="6" max="6" width="8.7109375" style="44" customWidth="1"/>
    <col min="7" max="7" width="9.28515625" style="63" customWidth="1"/>
    <col min="8" max="8" width="15.5703125" style="63" customWidth="1"/>
    <col min="9" max="9" width="11.28515625" style="44" bestFit="1" customWidth="1"/>
    <col min="10" max="10" width="11.140625" style="44" bestFit="1" customWidth="1"/>
    <col min="11" max="11" width="9.28515625" style="53" customWidth="1"/>
    <col min="12" max="12" width="38" style="44" customWidth="1"/>
    <col min="13" max="13" width="9.7109375" style="44" customWidth="1"/>
    <col min="14" max="14" width="7.28515625" style="44" customWidth="1"/>
    <col min="15" max="15" width="21.85546875" style="44" customWidth="1"/>
    <col min="16" max="16" width="8.85546875" style="44" customWidth="1"/>
    <col min="17" max="17" width="22.5703125" style="44" hidden="1" customWidth="1"/>
    <col min="18" max="18" width="16.7109375" style="44" hidden="1" customWidth="1"/>
    <col min="19" max="19" width="14.7109375" style="44" customWidth="1"/>
    <col min="20" max="20" width="14.28515625" style="44" customWidth="1"/>
    <col min="21" max="21" width="10.85546875" style="44" customWidth="1"/>
    <col min="22" max="23" width="11.140625" style="44" customWidth="1"/>
    <col min="24" max="24" width="13.7109375" style="44" customWidth="1"/>
    <col min="25" max="29" width="11.140625" style="44" customWidth="1"/>
    <col min="30" max="16384" width="8.85546875" style="44"/>
  </cols>
  <sheetData>
    <row r="1" spans="1:29" ht="27.6" customHeight="1">
      <c r="A1" s="79" t="s">
        <v>44</v>
      </c>
      <c r="B1" s="79" t="s">
        <v>159</v>
      </c>
      <c r="C1" s="79" t="s">
        <v>160</v>
      </c>
      <c r="D1" s="79" t="s">
        <v>161</v>
      </c>
      <c r="E1" s="79" t="s">
        <v>162</v>
      </c>
      <c r="F1" s="79" t="s">
        <v>74</v>
      </c>
      <c r="G1" s="79" t="s">
        <v>84</v>
      </c>
      <c r="H1" s="79" t="s">
        <v>93</v>
      </c>
      <c r="I1" s="79" t="s">
        <v>82</v>
      </c>
      <c r="J1" s="79" t="s">
        <v>83</v>
      </c>
      <c r="K1" s="79" t="s">
        <v>71</v>
      </c>
      <c r="L1" s="79" t="s">
        <v>46</v>
      </c>
      <c r="M1" s="79" t="s">
        <v>55</v>
      </c>
      <c r="N1" s="79" t="s">
        <v>47</v>
      </c>
      <c r="O1" s="79" t="s">
        <v>48</v>
      </c>
      <c r="P1" s="79" t="s">
        <v>57</v>
      </c>
      <c r="Q1" s="79" t="s">
        <v>56</v>
      </c>
      <c r="R1" s="79" t="s">
        <v>49</v>
      </c>
      <c r="S1" s="79" t="s">
        <v>50</v>
      </c>
      <c r="T1" s="79" t="s">
        <v>43</v>
      </c>
      <c r="U1" s="79" t="s">
        <v>125</v>
      </c>
      <c r="V1" s="79" t="s">
        <v>126</v>
      </c>
      <c r="W1" s="66" t="s">
        <v>91</v>
      </c>
      <c r="X1" s="79" t="s">
        <v>6</v>
      </c>
      <c r="Y1" s="79" t="s">
        <v>14</v>
      </c>
      <c r="Z1" s="79" t="s">
        <v>0</v>
      </c>
      <c r="AA1" s="79" t="s">
        <v>123</v>
      </c>
      <c r="AB1" s="79" t="s">
        <v>124</v>
      </c>
      <c r="AC1" s="79" t="s">
        <v>127</v>
      </c>
    </row>
    <row r="2" spans="1:29" s="204" customFormat="1">
      <c r="A2" s="195">
        <f>ROW()-1</f>
        <v>1</v>
      </c>
      <c r="B2" s="195">
        <f t="array" ref="B2">IFERROR(SMALL(IF(IFERROR(MOD(Табель!$C$10:$P$100,2),),COLUMN(Табель!$C$10:$P$100)+ROW(Табель!$C$10:$P$100)%),Таблица2[[#This Row],[№ п/п]]),IFERROR(SMALL(IF(IFERROR(MOD(Табель!$W$10:$AJ$100,2),),COLUMN(Табель!$W$10:$AJ$100)+ROW(Табель!$W$10:$AJ$100)%),Таблица2[[#This Row],[№ п/п]]-COUNTIF($C$1:$C1,$C$2)),""))</f>
        <v>3.1</v>
      </c>
      <c r="C2" s="195">
        <f>IF(Таблица2[[#This Row],[RC]]&lt;&gt;"",FLOOR(Таблица2[[#This Row],[RC]],20)+2,"")</f>
        <v>2</v>
      </c>
      <c r="D2" s="195">
        <f>IF(Таблица2[[#This Row],[RC]]&lt;&gt;"",INT(Таблица2[[#This Row],[RC]]),"")</f>
        <v>3</v>
      </c>
      <c r="E2" s="195">
        <f>IF(Таблица2[[#This Row],[RC]]&lt;&gt;"",MOD(Таблица2[[#This Row],[RC]],1)/1%,"")</f>
        <v>10.000000000000009</v>
      </c>
      <c r="F2" s="195" t="s">
        <v>132</v>
      </c>
      <c r="G2" s="196">
        <v>1</v>
      </c>
      <c r="H2" s="197">
        <f>IF(Таблица2[[#This Row],[RC]]&lt;&gt;"",WEEKNUM(MAX(Таблица2[[#This Row],[День]:[Ночь]]),2),"")</f>
        <v>12</v>
      </c>
      <c r="I2" s="198">
        <f>IF(Таблица2[[#This Row],[RC]]&lt;&gt;"",IF(ISODD(Таблица2[[#This Row],[DateC]]),INDEX(Табель!$7:$7,Таблица2[[#This Row],[DateC]]),""),"")</f>
        <v>43542</v>
      </c>
      <c r="J2" s="198" t="str">
        <f>IF(Таблица2[[#This Row],[RC]]&lt;&gt;"",IF(ISEVEN(Таблица2[[#This Row],[DateC]]),INDEX(Табель!$7:$7,Таблица2[[#This Row],[DateC]]-1),""),"")</f>
        <v/>
      </c>
      <c r="K2" s="199">
        <v>1</v>
      </c>
      <c r="L2" s="195" t="str">
        <f>IF(Таблица2[[#This Row],[RC]]&lt;&gt;"",INDEX(Табель!$1:$1048576,Таблица2[[#This Row],[Row]],Таблица2[[#This Row],[NameCol]]),"")</f>
        <v>Давыдов Александр Дмитреевич (О)</v>
      </c>
      <c r="M2" s="200">
        <f>IFERROR(VLOOKUP(Учёт!$L2,Данные!A:I,9,FALSE)+Учёт!$K2,0)</f>
        <v>2</v>
      </c>
      <c r="N2" s="195">
        <v>12</v>
      </c>
      <c r="O2" s="88">
        <f>IF(Учёт!$M2=1,Доход!$G$18*Учёт!$N2,IF(Учёт!$M2=2,Доход!$H$18*Учёт!$N2,IF(Учёт!$M2=3,Доход!$I$18*Учёт!$N2,IF(Учёт!$M2&gt;3,Доход!I204+100,0))))</f>
        <v>1099.9992</v>
      </c>
      <c r="P2" s="195"/>
      <c r="Q2" s="195"/>
      <c r="R2" s="88">
        <f>Учёт!$O2</f>
        <v>1099.9992</v>
      </c>
      <c r="S2" s="88" t="s">
        <v>1</v>
      </c>
      <c r="T2" s="88">
        <f>IF(Учёт!$S2="да",Доход!$F$12*Учёт!$N2,0)</f>
        <v>1522.8</v>
      </c>
      <c r="U2" s="88">
        <f>Учёт!$T2-Учёт!$R2</f>
        <v>422.80079999999998</v>
      </c>
      <c r="V2" s="201">
        <f t="shared" ref="V2:V5" si="0">IFERROR(U2/T2,0)</f>
        <v>0.27764696611505124</v>
      </c>
      <c r="W2" s="88">
        <f t="shared" ref="W2:W5" si="1">N2*135</f>
        <v>1620</v>
      </c>
      <c r="X2" s="202">
        <f>IFERROR(VLOOKUP(L:L,Данные!A:K,10,FALSE),0)</f>
        <v>0</v>
      </c>
      <c r="Y2" s="88">
        <f>IF(Таблица2[[#This Row],[Официально]]=1,Таблица2[[#This Row],[Часы]]*10*0.13,0)</f>
        <v>0</v>
      </c>
      <c r="Z2" s="88">
        <f>IF(Таблица2[[#This Row],[Официально]]=1,Таблица2[[#This Row],[Часы]]*10*0.271,0)</f>
        <v>0</v>
      </c>
      <c r="AA2" s="88">
        <f>Таблица2[[#This Row],[НДФЛ]]+Таблица2[[#This Row],[Страховые взносы]]</f>
        <v>0</v>
      </c>
      <c r="AB2" s="88">
        <f>Таблица2[[#This Row],[Доход ВАЛ]]-Таблица2[[#This Row],[ИТОГО налоги]]</f>
        <v>422.80079999999998</v>
      </c>
      <c r="AC2" s="203">
        <f>IFERROR(AB2/Таблица2[[#This Row],[От заказчика]],0)</f>
        <v>0.27764696611505124</v>
      </c>
    </row>
    <row r="3" spans="1:29" s="204" customFormat="1">
      <c r="A3" s="195">
        <f t="shared" ref="A3:A4" si="2">ROW()-1</f>
        <v>2</v>
      </c>
      <c r="B3" s="195">
        <f t="array" ref="B3">IFERROR(SMALL(IF(IFERROR(MOD(Табель!$C$10:$P$100,2),),COLUMN(Табель!$C$10:$P$100)+ROW(Табель!$C$10:$P$100)%),Таблица2[[#This Row],[№ п/п]]),IFERROR(SMALL(IF(IFERROR(MOD(Табель!$W$10:$AJ$100,2),),COLUMN(Табель!$W$10:$AJ$100)+ROW(Табель!$W$10:$AJ$100)%),Таблица2[[#This Row],[№ п/п]]-COUNTIF($C$1:$C2,$C$2)),""))</f>
        <v>3.11</v>
      </c>
      <c r="C3" s="195">
        <f>IF(Таблица2[[#This Row],[RC]]&lt;&gt;"",FLOOR(Таблица2[[#This Row],[RC]],20)+2,"")</f>
        <v>2</v>
      </c>
      <c r="D3" s="195">
        <f>IF(Таблица2[[#This Row],[RC]]&lt;&gt;"",INT(Таблица2[[#This Row],[RC]]),"")</f>
        <v>3</v>
      </c>
      <c r="E3" s="195">
        <f>IF(Таблица2[[#This Row],[RC]]&lt;&gt;"",MOD(Таблица2[[#This Row],[RC]],1)/1%,"")</f>
        <v>10.999999999999988</v>
      </c>
      <c r="F3" s="195" t="s">
        <v>132</v>
      </c>
      <c r="G3" s="196">
        <v>1</v>
      </c>
      <c r="H3" s="197">
        <f>IF(Таблица2[[#This Row],[RC]]&lt;&gt;"",WEEKNUM(MAX(Таблица2[[#This Row],[День]:[Ночь]]),2),"")</f>
        <v>12</v>
      </c>
      <c r="I3" s="205">
        <f>IF(Таблица2[[#This Row],[RC]]&lt;&gt;"",IF(ISODD(Таблица2[[#This Row],[DateC]]),INDEX(Табель!$7:$7,Таблица2[[#This Row],[DateC]]),""),"")</f>
        <v>43542</v>
      </c>
      <c r="J3" s="198" t="str">
        <f>IF(Таблица2[[#This Row],[RC]]&lt;&gt;"",IF(ISEVEN(Таблица2[[#This Row],[DateC]]),INDEX(Табель!$7:$7,Таблица2[[#This Row],[DateC]]-1),""),"")</f>
        <v/>
      </c>
      <c r="K3" s="199">
        <v>1</v>
      </c>
      <c r="L3" s="195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M3" s="200">
        <f>IFERROR(VLOOKUP(Учёт!$L3,Данные!A:I,9,FALSE)+Учёт!$K3,0)</f>
        <v>2</v>
      </c>
      <c r="N3" s="195">
        <v>12</v>
      </c>
      <c r="O3" s="88">
        <f>IF(Учёт!$M3=1,Доход!$G$18*Учёт!$N3,IF(Учёт!$M3=2,Доход!$H$18*Учёт!$N3,IF(Учёт!$M3=3,Доход!$I$18*Учёт!$N3,IF(Учёт!$M3&gt;3,Доход!I205+100,0))))</f>
        <v>1099.9992</v>
      </c>
      <c r="P3" s="195"/>
      <c r="Q3" s="195"/>
      <c r="R3" s="88">
        <f>Учёт!$O3</f>
        <v>1099.9992</v>
      </c>
      <c r="S3" s="88" t="s">
        <v>1</v>
      </c>
      <c r="T3" s="88">
        <f>IF(Учёт!$S3="да",Доход!$F$12*Учёт!$N3,0)</f>
        <v>1522.8</v>
      </c>
      <c r="U3" s="88">
        <f>Учёт!$T3-Учёт!$R3</f>
        <v>422.80079999999998</v>
      </c>
      <c r="V3" s="201">
        <f t="shared" si="0"/>
        <v>0.27764696611505124</v>
      </c>
      <c r="W3" s="88">
        <f t="shared" si="1"/>
        <v>1620</v>
      </c>
      <c r="X3" s="202">
        <f>IFERROR(VLOOKUP(L:L,Данные!A:K,10,FALSE),0)</f>
        <v>0</v>
      </c>
      <c r="Y3" s="88">
        <f>IF(Таблица2[[#This Row],[Официально]]=1,Таблица2[[#This Row],[Часы]]*10*0.13,0)</f>
        <v>0</v>
      </c>
      <c r="Z3" s="88">
        <f>IF(Таблица2[[#This Row],[Официально]]=1,Таблица2[[#This Row],[Часы]]*10*0.271,0)</f>
        <v>0</v>
      </c>
      <c r="AA3" s="88">
        <f>Таблица2[[#This Row],[НДФЛ]]+Таблица2[[#This Row],[Страховые взносы]]</f>
        <v>0</v>
      </c>
      <c r="AB3" s="88">
        <f>Таблица2[[#This Row],[Доход ВАЛ]]-Таблица2[[#This Row],[ИТОГО налоги]]</f>
        <v>422.80079999999998</v>
      </c>
      <c r="AC3" s="203">
        <f>IFERROR(AB3/Таблица2[[#This Row],[От заказчика]],0)</f>
        <v>0.27764696611505124</v>
      </c>
    </row>
    <row r="4" spans="1:29" s="204" customFormat="1">
      <c r="A4" s="195">
        <f t="shared" si="2"/>
        <v>3</v>
      </c>
      <c r="B4" s="195">
        <f t="array" ref="B4">IFERROR(SMALL(IF(IFERROR(MOD(Табель!$C$10:$P$100,2),),COLUMN(Табель!$C$10:$P$100)+ROW(Табель!$C$10:$P$100)%),Таблица2[[#This Row],[№ п/п]]),IFERROR(SMALL(IF(IFERROR(MOD(Табель!$W$10:$AJ$100,2),),COLUMN(Табель!$W$10:$AJ$100)+ROW(Табель!$W$10:$AJ$100)%),Таблица2[[#This Row],[№ п/п]]-COUNTIF($C$1:$C3,$C$2)),""))</f>
        <v>3.16</v>
      </c>
      <c r="C4" s="195">
        <f>IF(Таблица2[[#This Row],[RC]]&lt;&gt;"",FLOOR(Таблица2[[#This Row],[RC]],20)+2,"")</f>
        <v>2</v>
      </c>
      <c r="D4" s="195">
        <f>IF(Таблица2[[#This Row],[RC]]&lt;&gt;"",INT(Таблица2[[#This Row],[RC]]),"")</f>
        <v>3</v>
      </c>
      <c r="E4" s="195">
        <f>IF(Таблица2[[#This Row],[RC]]&lt;&gt;"",MOD(Таблица2[[#This Row],[RC]],1)/1%,"")</f>
        <v>16.000000000000014</v>
      </c>
      <c r="F4" s="195" t="s">
        <v>132</v>
      </c>
      <c r="G4" s="196">
        <v>1</v>
      </c>
      <c r="H4" s="197">
        <f>IF(Таблица2[[#This Row],[RC]]&lt;&gt;"",WEEKNUM(MAX(Таблица2[[#This Row],[День]:[Ночь]]),2),"")</f>
        <v>12</v>
      </c>
      <c r="I4" s="205">
        <f>IF(Таблица2[[#This Row],[RC]]&lt;&gt;"",IF(ISODD(Таблица2[[#This Row],[DateC]]),INDEX(Табель!$7:$7,Таблица2[[#This Row],[DateC]]),""),"")</f>
        <v>43542</v>
      </c>
      <c r="J4" s="198" t="str">
        <f>IF(Таблица2[[#This Row],[RC]]&lt;&gt;"",IF(ISEVEN(Таблица2[[#This Row],[DateC]]),INDEX(Табель!$7:$7,Таблица2[[#This Row],[DateC]]-1),""),"")</f>
        <v/>
      </c>
      <c r="K4" s="199"/>
      <c r="L4" s="195" t="str">
        <f>IF(Таблица2[[#This Row],[RC]]&lt;&gt;"",INDEX(Табель!$1:$1048576,Таблица2[[#This Row],[Row]],Таблица2[[#This Row],[NameCol]]),"")</f>
        <v>Бровкина Алла Николаевна (ОД)</v>
      </c>
      <c r="M4" s="200">
        <f>IFERROR(VLOOKUP(Учёт!$L4,Данные!A:I,9,FALSE)+Учёт!$K4,0)</f>
        <v>1</v>
      </c>
      <c r="N4" s="195">
        <v>12</v>
      </c>
      <c r="O4" s="88">
        <f>IF(Учёт!$M4=1,Доход!$G$18*Учёт!$N4,IF(Учёт!$M4=2,Доход!$H$18*Учёт!$N4,IF(Учёт!$M4=3,Доход!$I$18*Учёт!$N4,IF(Учёт!$M4&gt;3,Доход!I206+100,0))))</f>
        <v>999.9999600000001</v>
      </c>
      <c r="P4" s="195"/>
      <c r="Q4" s="195"/>
      <c r="R4" s="88">
        <f>Учёт!$O4</f>
        <v>999.9999600000001</v>
      </c>
      <c r="S4" s="88" t="s">
        <v>1</v>
      </c>
      <c r="T4" s="88">
        <f>IF(Учёт!$S4="да",Доход!$F$12*Учёт!$N4,0)</f>
        <v>1522.8</v>
      </c>
      <c r="U4" s="88">
        <f>Учёт!$T4-Учёт!$R4</f>
        <v>522.80003999999985</v>
      </c>
      <c r="V4" s="201">
        <f t="shared" si="0"/>
        <v>0.34331497241922765</v>
      </c>
      <c r="W4" s="88">
        <f t="shared" si="1"/>
        <v>1620</v>
      </c>
      <c r="X4" s="202">
        <f>IFERROR(VLOOKUP(L:L,Данные!A:K,10,FALSE),0)</f>
        <v>1</v>
      </c>
      <c r="Y4" s="88">
        <f>IF(Таблица2[[#This Row],[Официально]]=1,Таблица2[[#This Row],[Часы]]*10*0.13,0)</f>
        <v>15.600000000000001</v>
      </c>
      <c r="Z4" s="88">
        <f>IF(Таблица2[[#This Row],[Официально]]=1,Таблица2[[#This Row],[Часы]]*10*0.271,0)</f>
        <v>32.520000000000003</v>
      </c>
      <c r="AA4" s="88">
        <f>Таблица2[[#This Row],[НДФЛ]]+Таблица2[[#This Row],[Страховые взносы]]</f>
        <v>48.120000000000005</v>
      </c>
      <c r="AB4" s="88">
        <f>Таблица2[[#This Row],[Доход ВАЛ]]-Таблица2[[#This Row],[ИТОГО налоги]]</f>
        <v>474.68003999999985</v>
      </c>
      <c r="AC4" s="203">
        <f>IFERROR(AB4/Таблица2[[#This Row],[От заказчика]],0)</f>
        <v>0.31171528762805351</v>
      </c>
    </row>
    <row r="5" spans="1:29" s="204" customFormat="1">
      <c r="A5" s="195">
        <f t="shared" ref="A5" si="3">ROW()-1</f>
        <v>4</v>
      </c>
      <c r="B5" s="195">
        <f t="array" ref="B5">IFERROR(SMALL(IF(IFERROR(MOD(Табель!$C$10:$P$100,2),),COLUMN(Табель!$C$10:$P$100)+ROW(Табель!$C$10:$P$100)%),Таблица2[[#This Row],[№ п/п]]),IFERROR(SMALL(IF(IFERROR(MOD(Табель!$W$10:$AJ$100,2),),COLUMN(Табель!$W$10:$AJ$100)+ROW(Табель!$W$10:$AJ$100)%),Таблица2[[#This Row],[№ п/п]]-COUNTIF($C$1:$C4,$C$2)),""))</f>
        <v>3.18</v>
      </c>
      <c r="C5" s="195">
        <f>IF(Таблица2[[#This Row],[RC]]&lt;&gt;"",FLOOR(Таблица2[[#This Row],[RC]],20)+2,"")</f>
        <v>2</v>
      </c>
      <c r="D5" s="195">
        <f>IF(Таблица2[[#This Row],[RC]]&lt;&gt;"",INT(Таблица2[[#This Row],[RC]]),"")</f>
        <v>3</v>
      </c>
      <c r="E5" s="195">
        <f>IF(Таблица2[[#This Row],[RC]]&lt;&gt;"",MOD(Таблица2[[#This Row],[RC]],1)/1%,"")</f>
        <v>18.000000000000014</v>
      </c>
      <c r="F5" s="195" t="s">
        <v>132</v>
      </c>
      <c r="G5" s="196">
        <v>1</v>
      </c>
      <c r="H5" s="197">
        <f>IF(Таблица2[[#This Row],[RC]]&lt;&gt;"",WEEKNUM(MAX(Таблица2[[#This Row],[День]:[Ночь]]),2),"")</f>
        <v>12</v>
      </c>
      <c r="I5" s="205">
        <f>IF(Таблица2[[#This Row],[RC]]&lt;&gt;"",IF(ISODD(Таблица2[[#This Row],[DateC]]),INDEX(Табель!$7:$7,Таблица2[[#This Row],[DateC]]),""),"")</f>
        <v>43542</v>
      </c>
      <c r="J5" s="198" t="str">
        <f>IF(Таблица2[[#This Row],[RC]]&lt;&gt;"",IF(ISEVEN(Таблица2[[#This Row],[DateC]]),INDEX(Табель!$7:$7,Таблица2[[#This Row],[DateC]]-1),""),"")</f>
        <v/>
      </c>
      <c r="K5" s="199"/>
      <c r="L5" s="195" t="str">
        <f>IF(Таблица2[[#This Row],[RC]]&lt;&gt;"",INDEX(Табель!$1:$1048576,Таблица2[[#This Row],[Row]],Таблица2[[#This Row],[NameCol]]),"")</f>
        <v>Шелехова Ольга Владимировна (ОД)</v>
      </c>
      <c r="M5" s="200">
        <f>IFERROR(VLOOKUP(Учёт!$L5,Данные!A:I,9,FALSE)+Учёт!$K5,0)</f>
        <v>1</v>
      </c>
      <c r="N5" s="195">
        <v>12</v>
      </c>
      <c r="O5" s="88">
        <f>IF(Учёт!$M5=1,Доход!$G$18*Учёт!$N5,IF(Учёт!$M5=2,Доход!$H$18*Учёт!$N5,IF(Учёт!$M5=3,Доход!$I$18*Учёт!$N5,IF(Учёт!$M5&gt;3,Доход!I207+100,0))))</f>
        <v>999.9999600000001</v>
      </c>
      <c r="P5" s="195"/>
      <c r="Q5" s="195"/>
      <c r="R5" s="88">
        <f>Учёт!$O5</f>
        <v>999.9999600000001</v>
      </c>
      <c r="S5" s="88" t="s">
        <v>1</v>
      </c>
      <c r="T5" s="88">
        <f>IF(Учёт!$S5="да",Доход!$F$12*Учёт!$N5,0)</f>
        <v>1522.8</v>
      </c>
      <c r="U5" s="88">
        <f>Учёт!$T5-Учёт!$R5</f>
        <v>522.80003999999985</v>
      </c>
      <c r="V5" s="201">
        <f t="shared" si="0"/>
        <v>0.34331497241922765</v>
      </c>
      <c r="W5" s="88">
        <f t="shared" si="1"/>
        <v>1620</v>
      </c>
      <c r="X5" s="202">
        <f>IFERROR(VLOOKUP(L:L,Данные!A:K,10,FALSE),0)</f>
        <v>0</v>
      </c>
      <c r="Y5" s="88">
        <f>IF(Таблица2[[#This Row],[Официально]]=1,Таблица2[[#This Row],[Часы]]*10*0.13,0)</f>
        <v>0</v>
      </c>
      <c r="Z5" s="88">
        <f>IF(Таблица2[[#This Row],[Официально]]=1,Таблица2[[#This Row],[Часы]]*10*0.271,0)</f>
        <v>0</v>
      </c>
      <c r="AA5" s="88">
        <f>Таблица2[[#This Row],[НДФЛ]]+Таблица2[[#This Row],[Страховые взносы]]</f>
        <v>0</v>
      </c>
      <c r="AB5" s="88">
        <f>Таблица2[[#This Row],[Доход ВАЛ]]-Таблица2[[#This Row],[ИТОГО налоги]]</f>
        <v>522.80003999999985</v>
      </c>
      <c r="AC5" s="203">
        <f>IFERROR(AB5/Таблица2[[#This Row],[От заказчика]],0)</f>
        <v>0.34331497241922765</v>
      </c>
    </row>
  </sheetData>
  <conditionalFormatting sqref="M1:M1048576">
    <cfRule type="cellIs" dxfId="136" priority="7" operator="equal">
      <formula>3</formula>
    </cfRule>
    <cfRule type="cellIs" dxfId="135" priority="8" operator="equal">
      <formula>2</formula>
    </cfRule>
  </conditionalFormatting>
  <conditionalFormatting sqref="P2:P5">
    <cfRule type="cellIs" dxfId="134" priority="6" operator="greaterThan">
      <formula>0</formula>
    </cfRule>
  </conditionalFormatting>
  <conditionalFormatting sqref="I2:J5">
    <cfRule type="expression" dxfId="133" priority="5">
      <formula>I2:J2=TODAY()</formula>
    </cfRule>
  </conditionalFormatting>
  <conditionalFormatting sqref="N1:N1048576">
    <cfRule type="cellIs" dxfId="132" priority="4" operator="equal">
      <formula>0</formula>
    </cfRule>
  </conditionalFormatting>
  <conditionalFormatting sqref="L1:L1048576">
    <cfRule type="expression" dxfId="131" priority="2">
      <formula>IF(N1=0,1,0)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N46"/>
  <sheetViews>
    <sheetView topLeftCell="H1" zoomScale="70" zoomScaleNormal="70" zoomScaleSheetLayoutView="40" workbookViewId="0">
      <selection activeCell="V10" sqref="V10"/>
    </sheetView>
  </sheetViews>
  <sheetFormatPr defaultColWidth="8.85546875" defaultRowHeight="18.75"/>
  <cols>
    <col min="1" max="1" width="12.85546875" style="49" bestFit="1" customWidth="1"/>
    <col min="2" max="2" width="64.5703125" style="49" customWidth="1"/>
    <col min="3" max="16" width="17.7109375" style="49" customWidth="1"/>
    <col min="17" max="17" width="23.7109375" style="49" bestFit="1" customWidth="1"/>
    <col min="18" max="18" width="24.85546875" style="49" customWidth="1"/>
    <col min="19" max="19" width="36.7109375" style="49" customWidth="1"/>
    <col min="20" max="20" width="45.42578125" style="49" customWidth="1"/>
    <col min="21" max="21" width="12.85546875" style="49" bestFit="1" customWidth="1"/>
    <col min="22" max="22" width="39.7109375" style="49" bestFit="1" customWidth="1"/>
    <col min="23" max="36" width="17.7109375" style="49" customWidth="1"/>
    <col min="37" max="37" width="23.7109375" style="49" bestFit="1" customWidth="1"/>
    <col min="38" max="38" width="24.85546875" style="49" customWidth="1"/>
    <col min="39" max="39" width="36.7109375" style="49" customWidth="1"/>
    <col min="40" max="40" width="45.42578125" style="49" customWidth="1"/>
    <col min="41" max="16384" width="8.85546875" style="49"/>
  </cols>
  <sheetData>
    <row r="1" spans="1:40" ht="19.5" thickBot="1">
      <c r="A1" s="50" t="s">
        <v>68</v>
      </c>
      <c r="B1" s="51">
        <f>WEEKNUM(C7,1)</f>
        <v>12</v>
      </c>
      <c r="C1" s="49" t="s">
        <v>115</v>
      </c>
      <c r="E1" s="101">
        <f>Q4/Q2</f>
        <v>0.98484848484848486</v>
      </c>
      <c r="F1" s="49" t="s">
        <v>116</v>
      </c>
      <c r="H1" s="102" t="e">
        <f>AVERAGE(#REF!,#REF!,#REF!,#REF!,#REF!,#REF!,$E$1)</f>
        <v>#REF!</v>
      </c>
      <c r="U1" s="50" t="s">
        <v>68</v>
      </c>
      <c r="V1" s="51">
        <f>WEEKNUM(W7,1)</f>
        <v>13</v>
      </c>
      <c r="W1" s="49" t="s">
        <v>115</v>
      </c>
      <c r="Y1" s="101" t="e">
        <f>AK4/AK2</f>
        <v>#DIV/0!</v>
      </c>
      <c r="Z1" s="49" t="s">
        <v>116</v>
      </c>
      <c r="AB1" s="102" t="e">
        <f>AVERAGE(#REF!,#REF!,#REF!,#REF!)</f>
        <v>#REF!</v>
      </c>
    </row>
    <row r="2" spans="1:40" ht="47.45" customHeight="1">
      <c r="A2" s="144" t="s">
        <v>85</v>
      </c>
      <c r="B2" s="145"/>
      <c r="C2" s="107">
        <v>6</v>
      </c>
      <c r="D2" s="71"/>
      <c r="E2" s="70">
        <v>10</v>
      </c>
      <c r="F2" s="71">
        <v>6</v>
      </c>
      <c r="G2" s="70"/>
      <c r="H2" s="71">
        <v>6</v>
      </c>
      <c r="I2" s="70">
        <v>8</v>
      </c>
      <c r="J2" s="71">
        <v>7</v>
      </c>
      <c r="K2" s="70">
        <v>6</v>
      </c>
      <c r="L2" s="71">
        <v>7</v>
      </c>
      <c r="M2" s="70"/>
      <c r="N2" s="71">
        <v>3</v>
      </c>
      <c r="O2" s="70">
        <v>6</v>
      </c>
      <c r="P2" s="111">
        <v>1</v>
      </c>
      <c r="Q2" s="115">
        <f>SUM(C2:P2)*12</f>
        <v>792</v>
      </c>
      <c r="R2" s="116" t="s">
        <v>140</v>
      </c>
      <c r="S2" s="85">
        <f>Q4-Q2</f>
        <v>-12</v>
      </c>
      <c r="T2" s="122" t="s">
        <v>86</v>
      </c>
      <c r="U2" s="144" t="s">
        <v>85</v>
      </c>
      <c r="V2" s="145"/>
      <c r="W2" s="107"/>
      <c r="X2" s="71"/>
      <c r="Y2" s="70"/>
      <c r="Z2" s="71"/>
      <c r="AA2" s="70"/>
      <c r="AB2" s="71"/>
      <c r="AC2" s="70"/>
      <c r="AD2" s="71"/>
      <c r="AE2" s="70"/>
      <c r="AF2" s="71"/>
      <c r="AG2" s="70"/>
      <c r="AH2" s="71"/>
      <c r="AI2" s="70"/>
      <c r="AJ2" s="111"/>
      <c r="AK2" s="115">
        <f>SUM(W2:AJ2)*12</f>
        <v>0</v>
      </c>
      <c r="AL2" s="116" t="s">
        <v>140</v>
      </c>
      <c r="AM2" s="85">
        <f>AK4-AK2</f>
        <v>0</v>
      </c>
      <c r="AN2" s="122" t="s">
        <v>86</v>
      </c>
    </row>
    <row r="3" spans="1:40" ht="47.45" customHeight="1">
      <c r="A3" s="146" t="s">
        <v>88</v>
      </c>
      <c r="B3" s="147"/>
      <c r="C3" s="108">
        <f t="shared" ref="C3:P3" si="0">COUNTIF(C10:C46,"1")</f>
        <v>6</v>
      </c>
      <c r="D3" s="73">
        <f t="shared" si="0"/>
        <v>0</v>
      </c>
      <c r="E3" s="72">
        <f t="shared" si="0"/>
        <v>10</v>
      </c>
      <c r="F3" s="73">
        <f t="shared" si="0"/>
        <v>6</v>
      </c>
      <c r="G3" s="72">
        <f t="shared" si="0"/>
        <v>0</v>
      </c>
      <c r="H3" s="73">
        <f t="shared" si="0"/>
        <v>6</v>
      </c>
      <c r="I3" s="72">
        <f t="shared" si="0"/>
        <v>8</v>
      </c>
      <c r="J3" s="73">
        <f t="shared" si="0"/>
        <v>7</v>
      </c>
      <c r="K3" s="72">
        <f t="shared" si="0"/>
        <v>6</v>
      </c>
      <c r="L3" s="73">
        <f t="shared" si="0"/>
        <v>6</v>
      </c>
      <c r="M3" s="72">
        <f t="shared" si="0"/>
        <v>0</v>
      </c>
      <c r="N3" s="73">
        <f t="shared" si="0"/>
        <v>3</v>
      </c>
      <c r="O3" s="72">
        <f t="shared" si="0"/>
        <v>6</v>
      </c>
      <c r="P3" s="112">
        <f t="shared" si="0"/>
        <v>1</v>
      </c>
      <c r="Q3" s="117">
        <f>Q2*135</f>
        <v>106920</v>
      </c>
      <c r="R3" s="118" t="s">
        <v>141</v>
      </c>
      <c r="S3" s="120">
        <f>Q5-Q3</f>
        <v>-1620</v>
      </c>
      <c r="T3" s="123"/>
      <c r="U3" s="146" t="s">
        <v>88</v>
      </c>
      <c r="V3" s="147"/>
      <c r="W3" s="108">
        <f t="shared" ref="W3:AJ3" si="1">COUNTIF(W10:W46,"1")</f>
        <v>0</v>
      </c>
      <c r="X3" s="73">
        <f t="shared" si="1"/>
        <v>0</v>
      </c>
      <c r="Y3" s="72">
        <f t="shared" si="1"/>
        <v>0</v>
      </c>
      <c r="Z3" s="73">
        <f t="shared" si="1"/>
        <v>0</v>
      </c>
      <c r="AA3" s="72">
        <f t="shared" si="1"/>
        <v>0</v>
      </c>
      <c r="AB3" s="73">
        <f t="shared" si="1"/>
        <v>0</v>
      </c>
      <c r="AC3" s="72">
        <f t="shared" si="1"/>
        <v>0</v>
      </c>
      <c r="AD3" s="73">
        <f t="shared" si="1"/>
        <v>0</v>
      </c>
      <c r="AE3" s="72">
        <f t="shared" si="1"/>
        <v>0</v>
      </c>
      <c r="AF3" s="73">
        <f t="shared" si="1"/>
        <v>0</v>
      </c>
      <c r="AG3" s="72">
        <f t="shared" si="1"/>
        <v>0</v>
      </c>
      <c r="AH3" s="73">
        <f t="shared" si="1"/>
        <v>0</v>
      </c>
      <c r="AI3" s="72">
        <f t="shared" si="1"/>
        <v>0</v>
      </c>
      <c r="AJ3" s="112">
        <f t="shared" si="1"/>
        <v>0</v>
      </c>
      <c r="AK3" s="117">
        <f>AK2*135</f>
        <v>0</v>
      </c>
      <c r="AL3" s="118" t="s">
        <v>141</v>
      </c>
      <c r="AM3" s="120">
        <f>AK5-AK3</f>
        <v>0</v>
      </c>
      <c r="AN3" s="123"/>
    </row>
    <row r="4" spans="1:40" ht="47.45" customHeight="1" thickBot="1">
      <c r="A4" s="146" t="s">
        <v>89</v>
      </c>
      <c r="B4" s="147"/>
      <c r="C4" s="109">
        <f t="shared" ref="C4:P4" si="2">COUNTIF(C10:C46,"2")</f>
        <v>3</v>
      </c>
      <c r="D4" s="74">
        <f t="shared" si="2"/>
        <v>0</v>
      </c>
      <c r="E4" s="81">
        <f t="shared" si="2"/>
        <v>0</v>
      </c>
      <c r="F4" s="74">
        <f t="shared" si="2"/>
        <v>0</v>
      </c>
      <c r="G4" s="81">
        <f t="shared" si="2"/>
        <v>2</v>
      </c>
      <c r="H4" s="74">
        <f t="shared" si="2"/>
        <v>1</v>
      </c>
      <c r="I4" s="81">
        <f t="shared" si="2"/>
        <v>2</v>
      </c>
      <c r="J4" s="74">
        <f t="shared" si="2"/>
        <v>2</v>
      </c>
      <c r="K4" s="81">
        <f t="shared" si="2"/>
        <v>0</v>
      </c>
      <c r="L4" s="74">
        <f t="shared" si="2"/>
        <v>4</v>
      </c>
      <c r="M4" s="81">
        <f t="shared" si="2"/>
        <v>1</v>
      </c>
      <c r="N4" s="74">
        <f t="shared" si="2"/>
        <v>1</v>
      </c>
      <c r="O4" s="81">
        <f t="shared" si="2"/>
        <v>3</v>
      </c>
      <c r="P4" s="113">
        <f t="shared" si="2"/>
        <v>2</v>
      </c>
      <c r="Q4" s="127">
        <f>SUM(C3:P3)*12</f>
        <v>780</v>
      </c>
      <c r="R4" s="119" t="s">
        <v>138</v>
      </c>
      <c r="S4" s="128">
        <f>Q5*0.94</f>
        <v>98982</v>
      </c>
      <c r="T4" s="129" t="s">
        <v>119</v>
      </c>
      <c r="U4" s="146" t="s">
        <v>89</v>
      </c>
      <c r="V4" s="147"/>
      <c r="W4" s="109">
        <f t="shared" ref="W4:AJ4" si="3">COUNTIF(W10:W46,"2")</f>
        <v>0</v>
      </c>
      <c r="X4" s="74">
        <f t="shared" si="3"/>
        <v>0</v>
      </c>
      <c r="Y4" s="81">
        <f t="shared" si="3"/>
        <v>0</v>
      </c>
      <c r="Z4" s="74">
        <f t="shared" si="3"/>
        <v>0</v>
      </c>
      <c r="AA4" s="81">
        <f t="shared" si="3"/>
        <v>0</v>
      </c>
      <c r="AB4" s="74">
        <f t="shared" si="3"/>
        <v>0</v>
      </c>
      <c r="AC4" s="81">
        <f t="shared" si="3"/>
        <v>0</v>
      </c>
      <c r="AD4" s="74">
        <f t="shared" si="3"/>
        <v>0</v>
      </c>
      <c r="AE4" s="81">
        <f t="shared" si="3"/>
        <v>0</v>
      </c>
      <c r="AF4" s="74">
        <f t="shared" si="3"/>
        <v>0</v>
      </c>
      <c r="AG4" s="81">
        <f t="shared" si="3"/>
        <v>0</v>
      </c>
      <c r="AH4" s="74">
        <f t="shared" si="3"/>
        <v>0</v>
      </c>
      <c r="AI4" s="81">
        <f t="shared" si="3"/>
        <v>0</v>
      </c>
      <c r="AJ4" s="113">
        <f t="shared" si="3"/>
        <v>0</v>
      </c>
      <c r="AK4" s="127">
        <f>SUM(W3:AJ3)*12</f>
        <v>0</v>
      </c>
      <c r="AL4" s="119" t="s">
        <v>138</v>
      </c>
      <c r="AM4" s="128">
        <f>AK5*0.94</f>
        <v>0</v>
      </c>
      <c r="AN4" s="129" t="s">
        <v>119</v>
      </c>
    </row>
    <row r="5" spans="1:40" ht="47.45" customHeight="1">
      <c r="A5" s="146" t="s">
        <v>90</v>
      </c>
      <c r="B5" s="147"/>
      <c r="C5" s="108">
        <f>COUNT(C10:C46)</f>
        <v>12</v>
      </c>
      <c r="D5" s="73">
        <f t="shared" ref="D5:P5" si="4">COUNT(D10:D46)</f>
        <v>3</v>
      </c>
      <c r="E5" s="72">
        <f t="shared" si="4"/>
        <v>13</v>
      </c>
      <c r="F5" s="73">
        <f t="shared" si="4"/>
        <v>9</v>
      </c>
      <c r="G5" s="72">
        <f t="shared" si="4"/>
        <v>4</v>
      </c>
      <c r="H5" s="73">
        <f t="shared" si="4"/>
        <v>9</v>
      </c>
      <c r="I5" s="72">
        <f t="shared" si="4"/>
        <v>14</v>
      </c>
      <c r="J5" s="73">
        <f t="shared" si="4"/>
        <v>11</v>
      </c>
      <c r="K5" s="72">
        <f t="shared" si="4"/>
        <v>9</v>
      </c>
      <c r="L5" s="73">
        <f t="shared" si="4"/>
        <v>13</v>
      </c>
      <c r="M5" s="72">
        <f t="shared" si="4"/>
        <v>4</v>
      </c>
      <c r="N5" s="73">
        <f t="shared" si="4"/>
        <v>7</v>
      </c>
      <c r="O5" s="72">
        <f t="shared" si="4"/>
        <v>10</v>
      </c>
      <c r="P5" s="112">
        <f t="shared" si="4"/>
        <v>5</v>
      </c>
      <c r="Q5" s="148">
        <f>Q4*135</f>
        <v>105300</v>
      </c>
      <c r="R5" s="150" t="s">
        <v>139</v>
      </c>
      <c r="S5" s="125">
        <f>S4-SUM(R10:R46)</f>
        <v>94782</v>
      </c>
      <c r="T5" s="126" t="s">
        <v>96</v>
      </c>
      <c r="U5" s="146" t="s">
        <v>90</v>
      </c>
      <c r="V5" s="147"/>
      <c r="W5" s="108">
        <f>COUNT(W10:W46)</f>
        <v>0</v>
      </c>
      <c r="X5" s="73">
        <f t="shared" ref="X5:AJ5" si="5">COUNT(X10:X46)</f>
        <v>0</v>
      </c>
      <c r="Y5" s="72">
        <f t="shared" si="5"/>
        <v>0</v>
      </c>
      <c r="Z5" s="73">
        <f t="shared" si="5"/>
        <v>0</v>
      </c>
      <c r="AA5" s="72">
        <f t="shared" si="5"/>
        <v>0</v>
      </c>
      <c r="AB5" s="73">
        <f t="shared" si="5"/>
        <v>0</v>
      </c>
      <c r="AC5" s="72">
        <f t="shared" si="5"/>
        <v>0</v>
      </c>
      <c r="AD5" s="73">
        <f t="shared" si="5"/>
        <v>0</v>
      </c>
      <c r="AE5" s="72">
        <f t="shared" si="5"/>
        <v>0</v>
      </c>
      <c r="AF5" s="73">
        <f t="shared" si="5"/>
        <v>0</v>
      </c>
      <c r="AG5" s="72">
        <f t="shared" si="5"/>
        <v>0</v>
      </c>
      <c r="AH5" s="73">
        <f t="shared" si="5"/>
        <v>0</v>
      </c>
      <c r="AI5" s="72">
        <f t="shared" si="5"/>
        <v>0</v>
      </c>
      <c r="AJ5" s="112">
        <f t="shared" si="5"/>
        <v>0</v>
      </c>
      <c r="AK5" s="148">
        <f>AK4*135</f>
        <v>0</v>
      </c>
      <c r="AL5" s="150" t="s">
        <v>139</v>
      </c>
      <c r="AM5" s="125">
        <f>AM4-SUM(AL10:AL46)</f>
        <v>0</v>
      </c>
      <c r="AN5" s="126" t="s">
        <v>96</v>
      </c>
    </row>
    <row r="6" spans="1:40" ht="47.45" customHeight="1" thickBot="1">
      <c r="A6" s="152" t="s">
        <v>94</v>
      </c>
      <c r="B6" s="153"/>
      <c r="C6" s="110">
        <f>COUNTIF(C10:C46,3)</f>
        <v>1</v>
      </c>
      <c r="D6" s="84">
        <f t="shared" ref="D6:P6" si="6">COUNTIF(D10:D46,3)</f>
        <v>0</v>
      </c>
      <c r="E6" s="83">
        <f t="shared" si="6"/>
        <v>0</v>
      </c>
      <c r="F6" s="84">
        <f t="shared" si="6"/>
        <v>0</v>
      </c>
      <c r="G6" s="83">
        <f t="shared" si="6"/>
        <v>0</v>
      </c>
      <c r="H6" s="84">
        <f t="shared" si="6"/>
        <v>0</v>
      </c>
      <c r="I6" s="83">
        <f t="shared" si="6"/>
        <v>0</v>
      </c>
      <c r="J6" s="84">
        <f t="shared" si="6"/>
        <v>0</v>
      </c>
      <c r="K6" s="83">
        <f t="shared" si="6"/>
        <v>1</v>
      </c>
      <c r="L6" s="84">
        <f t="shared" si="6"/>
        <v>0</v>
      </c>
      <c r="M6" s="83">
        <f t="shared" si="6"/>
        <v>0</v>
      </c>
      <c r="N6" s="84">
        <f t="shared" si="6"/>
        <v>0</v>
      </c>
      <c r="O6" s="83">
        <f t="shared" si="6"/>
        <v>0</v>
      </c>
      <c r="P6" s="114">
        <f t="shared" si="6"/>
        <v>0</v>
      </c>
      <c r="Q6" s="149"/>
      <c r="R6" s="151"/>
      <c r="S6" s="121">
        <f>S5/S4</f>
        <v>0.95756804267442563</v>
      </c>
      <c r="T6" s="124" t="s">
        <v>97</v>
      </c>
      <c r="U6" s="152" t="s">
        <v>94</v>
      </c>
      <c r="V6" s="153"/>
      <c r="W6" s="110">
        <f>COUNTIF(W10:W46,3)</f>
        <v>0</v>
      </c>
      <c r="X6" s="84">
        <f t="shared" ref="X6:AJ6" si="7">COUNTIF(X10:X46,3)</f>
        <v>0</v>
      </c>
      <c r="Y6" s="83">
        <f t="shared" si="7"/>
        <v>0</v>
      </c>
      <c r="Z6" s="84">
        <f t="shared" si="7"/>
        <v>0</v>
      </c>
      <c r="AA6" s="83">
        <f t="shared" si="7"/>
        <v>0</v>
      </c>
      <c r="AB6" s="84">
        <f t="shared" si="7"/>
        <v>0</v>
      </c>
      <c r="AC6" s="83">
        <f t="shared" si="7"/>
        <v>0</v>
      </c>
      <c r="AD6" s="84">
        <f t="shared" si="7"/>
        <v>0</v>
      </c>
      <c r="AE6" s="83">
        <f t="shared" si="7"/>
        <v>0</v>
      </c>
      <c r="AF6" s="84">
        <f t="shared" si="7"/>
        <v>0</v>
      </c>
      <c r="AG6" s="83">
        <f t="shared" si="7"/>
        <v>0</v>
      </c>
      <c r="AH6" s="84">
        <f t="shared" si="7"/>
        <v>0</v>
      </c>
      <c r="AI6" s="83">
        <f t="shared" si="7"/>
        <v>0</v>
      </c>
      <c r="AJ6" s="114">
        <f t="shared" si="7"/>
        <v>0</v>
      </c>
      <c r="AK6" s="149"/>
      <c r="AL6" s="151"/>
      <c r="AM6" s="121" t="e">
        <f>AM5/AM4</f>
        <v>#DIV/0!</v>
      </c>
      <c r="AN6" s="124" t="s">
        <v>97</v>
      </c>
    </row>
    <row r="7" spans="1:40" ht="50.45" customHeight="1">
      <c r="A7" s="154" t="s">
        <v>44</v>
      </c>
      <c r="B7" s="156" t="s">
        <v>46</v>
      </c>
      <c r="C7" s="159">
        <v>43542</v>
      </c>
      <c r="D7" s="160"/>
      <c r="E7" s="159">
        <f>C7+1</f>
        <v>43543</v>
      </c>
      <c r="F7" s="160"/>
      <c r="G7" s="159">
        <f>E7+1</f>
        <v>43544</v>
      </c>
      <c r="H7" s="160"/>
      <c r="I7" s="159">
        <f>G7+1</f>
        <v>43545</v>
      </c>
      <c r="J7" s="160"/>
      <c r="K7" s="159">
        <f>I7+1</f>
        <v>43546</v>
      </c>
      <c r="L7" s="160"/>
      <c r="M7" s="159">
        <f>K7+1</f>
        <v>43547</v>
      </c>
      <c r="N7" s="160"/>
      <c r="O7" s="159">
        <f>M7+1</f>
        <v>43548</v>
      </c>
      <c r="P7" s="160"/>
      <c r="Q7" s="161" t="s">
        <v>87</v>
      </c>
      <c r="R7" s="161" t="s">
        <v>95</v>
      </c>
      <c r="S7" s="161" t="s">
        <v>45</v>
      </c>
      <c r="T7" s="161" t="s">
        <v>73</v>
      </c>
      <c r="U7" s="154" t="s">
        <v>44</v>
      </c>
      <c r="V7" s="156" t="s">
        <v>46</v>
      </c>
      <c r="W7" s="159">
        <v>43549</v>
      </c>
      <c r="X7" s="160"/>
      <c r="Y7" s="159">
        <f>W7+1</f>
        <v>43550</v>
      </c>
      <c r="Z7" s="160"/>
      <c r="AA7" s="159">
        <f>Y7+1</f>
        <v>43551</v>
      </c>
      <c r="AB7" s="160"/>
      <c r="AC7" s="159">
        <f>AA7+1</f>
        <v>43552</v>
      </c>
      <c r="AD7" s="160"/>
      <c r="AE7" s="159">
        <f>AC7+1</f>
        <v>43553</v>
      </c>
      <c r="AF7" s="160"/>
      <c r="AG7" s="159">
        <f>AE7+1</f>
        <v>43554</v>
      </c>
      <c r="AH7" s="160"/>
      <c r="AI7" s="159">
        <f>AG7+1</f>
        <v>43555</v>
      </c>
      <c r="AJ7" s="160"/>
      <c r="AK7" s="161" t="s">
        <v>87</v>
      </c>
      <c r="AL7" s="161" t="s">
        <v>95</v>
      </c>
      <c r="AM7" s="161" t="s">
        <v>45</v>
      </c>
      <c r="AN7" s="161" t="s">
        <v>73</v>
      </c>
    </row>
    <row r="8" spans="1:40" ht="25.5">
      <c r="A8" s="146"/>
      <c r="B8" s="157"/>
      <c r="C8" s="163" t="s">
        <v>75</v>
      </c>
      <c r="D8" s="164"/>
      <c r="E8" s="163" t="s">
        <v>76</v>
      </c>
      <c r="F8" s="164"/>
      <c r="G8" s="163" t="s">
        <v>77</v>
      </c>
      <c r="H8" s="164"/>
      <c r="I8" s="163" t="s">
        <v>78</v>
      </c>
      <c r="J8" s="164"/>
      <c r="K8" s="163" t="s">
        <v>79</v>
      </c>
      <c r="L8" s="164"/>
      <c r="M8" s="163" t="s">
        <v>80</v>
      </c>
      <c r="N8" s="164"/>
      <c r="O8" s="163" t="s">
        <v>81</v>
      </c>
      <c r="P8" s="164"/>
      <c r="Q8" s="161"/>
      <c r="R8" s="161"/>
      <c r="S8" s="161"/>
      <c r="T8" s="161"/>
      <c r="U8" s="146"/>
      <c r="V8" s="157"/>
      <c r="W8" s="163" t="s">
        <v>75</v>
      </c>
      <c r="X8" s="164"/>
      <c r="Y8" s="163" t="s">
        <v>76</v>
      </c>
      <c r="Z8" s="164"/>
      <c r="AA8" s="163" t="s">
        <v>77</v>
      </c>
      <c r="AB8" s="164"/>
      <c r="AC8" s="163" t="s">
        <v>78</v>
      </c>
      <c r="AD8" s="164"/>
      <c r="AE8" s="163" t="s">
        <v>79</v>
      </c>
      <c r="AF8" s="164"/>
      <c r="AG8" s="163" t="s">
        <v>80</v>
      </c>
      <c r="AH8" s="164"/>
      <c r="AI8" s="163" t="s">
        <v>81</v>
      </c>
      <c r="AJ8" s="164"/>
      <c r="AK8" s="161"/>
      <c r="AL8" s="161"/>
      <c r="AM8" s="161"/>
      <c r="AN8" s="161"/>
    </row>
    <row r="9" spans="1:40" ht="26.25" thickBot="1">
      <c r="A9" s="155"/>
      <c r="B9" s="158"/>
      <c r="C9" s="103" t="s">
        <v>66</v>
      </c>
      <c r="D9" s="104" t="s">
        <v>67</v>
      </c>
      <c r="E9" s="103" t="s">
        <v>66</v>
      </c>
      <c r="F9" s="104" t="s">
        <v>67</v>
      </c>
      <c r="G9" s="103" t="s">
        <v>66</v>
      </c>
      <c r="H9" s="104" t="s">
        <v>67</v>
      </c>
      <c r="I9" s="103" t="s">
        <v>66</v>
      </c>
      <c r="J9" s="104" t="s">
        <v>67</v>
      </c>
      <c r="K9" s="103" t="s">
        <v>66</v>
      </c>
      <c r="L9" s="104" t="s">
        <v>67</v>
      </c>
      <c r="M9" s="103" t="s">
        <v>66</v>
      </c>
      <c r="N9" s="104" t="s">
        <v>67</v>
      </c>
      <c r="O9" s="103" t="s">
        <v>66</v>
      </c>
      <c r="P9" s="104" t="s">
        <v>67</v>
      </c>
      <c r="Q9" s="162"/>
      <c r="R9" s="162"/>
      <c r="S9" s="162"/>
      <c r="T9" s="162"/>
      <c r="U9" s="155"/>
      <c r="V9" s="158"/>
      <c r="W9" s="103" t="s">
        <v>66</v>
      </c>
      <c r="X9" s="104" t="s">
        <v>67</v>
      </c>
      <c r="Y9" s="103" t="s">
        <v>66</v>
      </c>
      <c r="Z9" s="104" t="s">
        <v>67</v>
      </c>
      <c r="AA9" s="103" t="s">
        <v>66</v>
      </c>
      <c r="AB9" s="104" t="s">
        <v>67</v>
      </c>
      <c r="AC9" s="103" t="s">
        <v>66</v>
      </c>
      <c r="AD9" s="104" t="s">
        <v>67</v>
      </c>
      <c r="AE9" s="103" t="s">
        <v>66</v>
      </c>
      <c r="AF9" s="104" t="s">
        <v>67</v>
      </c>
      <c r="AG9" s="103" t="s">
        <v>66</v>
      </c>
      <c r="AH9" s="104" t="s">
        <v>67</v>
      </c>
      <c r="AI9" s="103" t="s">
        <v>66</v>
      </c>
      <c r="AJ9" s="104" t="s">
        <v>67</v>
      </c>
      <c r="AK9" s="162"/>
      <c r="AL9" s="162"/>
      <c r="AM9" s="162"/>
      <c r="AN9" s="162"/>
    </row>
    <row r="10" spans="1:40" ht="47.45" customHeight="1">
      <c r="A10" s="69">
        <v>1</v>
      </c>
      <c r="B10" s="130" t="s">
        <v>156</v>
      </c>
      <c r="C10" s="70">
        <v>1</v>
      </c>
      <c r="D10" s="71"/>
      <c r="E10" s="70"/>
      <c r="F10" s="71"/>
      <c r="G10" s="70"/>
      <c r="H10" s="71"/>
      <c r="I10" s="70">
        <v>1</v>
      </c>
      <c r="J10" s="71"/>
      <c r="K10" s="70">
        <v>1</v>
      </c>
      <c r="L10" s="71"/>
      <c r="M10" s="70"/>
      <c r="N10" s="71"/>
      <c r="O10" s="70"/>
      <c r="P10" s="71"/>
      <c r="Q10" s="75">
        <f>COUNTIF(C10:P10,"1")</f>
        <v>3</v>
      </c>
      <c r="R10" s="86">
        <f>ROUNDUP(SUMIFS(Учёт!$O:$O,Учёт!$L:$L,Табель!B10,Учёт!$I:$I,C$7)+SUMIFS(Учёт!$O:$O,Учёт!$L:$L,Табель!B10,Учёт!$J:$J,C$7)+SUMIFS(Учёт!$O:$O,Учёт!$L:$L,Табель!B10,Учёт!$I:$I,E$7)+SUMIFS(Учёт!$O:$O,Учёт!$L:$L,Табель!B10,Учёт!$J:$J,E$7)+SUMIFS(Учёт!$O:$O,Учёт!$L:$L,Табель!B10,Учёт!$I:$I,G$7)+SUMIFS(Учёт!$O:$O,Учёт!$L:$L,Табель!B10,Учёт!$J:$J,G$7)+SUMIFS(Учёт!$O:$O,Учёт!$L:$L,Табель!B10,Учёт!$I:$I,I$7)+SUMIFS(Учёт!$O:$O,Учёт!$L:$L,Табель!B10,Учёт!$J:$J,I$7)+SUMIFS(Учёт!$O:$O,Учёт!$L:$L,Табель!B10,Учёт!$I:$I,K$7)+SUMIFS(Учёт!$O:$O,Учёт!$L:$L,Табель!B10,Учёт!$J:$J,K$7)+SUMIFS(Учёт!$O:$O,Учёт!$L:$L,Табель!B10,Учёт!$I:$I,M$7)+SUMIFS(Учёт!$O:$O,Учёт!$L:$L,Табель!B10,Учёт!$J:$J,M$7)+SUMIFS(Учёт!$O:$O,Учёт!$L:$L,Табель!B10,Учёт!$I:$I,O$7)+SUMIFS(Учёт!$O:$O,Учёт!$L:$L,Табель!B10,Учёт!$J:$J,O$7),0)</f>
        <v>1100</v>
      </c>
      <c r="S10" s="75"/>
      <c r="T10" s="75"/>
      <c r="U10" s="69">
        <v>1</v>
      </c>
      <c r="V10" s="130"/>
      <c r="W10" s="70"/>
      <c r="X10" s="71"/>
      <c r="Y10" s="70"/>
      <c r="Z10" s="71"/>
      <c r="AA10" s="70"/>
      <c r="AB10" s="71"/>
      <c r="AC10" s="70"/>
      <c r="AD10" s="71"/>
      <c r="AE10" s="70"/>
      <c r="AF10" s="71"/>
      <c r="AG10" s="70"/>
      <c r="AH10" s="71"/>
      <c r="AI10" s="70"/>
      <c r="AJ10" s="71"/>
      <c r="AK10" s="75">
        <f>COUNTIF(W10:AJ10,"1")</f>
        <v>0</v>
      </c>
      <c r="AL10" s="86">
        <f>ROUNDUP(SUMIFS(Учёт!$O:$O,Учёт!$L:$L,Табель!V10,Учёт!$I:$I,W$7)+SUMIFS(Учёт!$O:$O,Учёт!$L:$L,Табель!V10,Учёт!$J:$J,W$7)+SUMIFS(Учёт!$O:$O,Учёт!$L:$L,Табель!V10,Учёт!$I:$I,Y$7)+SUMIFS(Учёт!$O:$O,Учёт!$L:$L,Табель!V10,Учёт!$J:$J,Y$7)+SUMIFS(Учёт!$O:$O,Учёт!$L:$L,Табель!V10,Учёт!$I:$I,AA$7)+SUMIFS(Учёт!$O:$O,Учёт!$L:$L,Табель!V10,Учёт!$J:$J,AA$7)+SUMIFS(Учёт!$O:$O,Учёт!$L:$L,Табель!V10,Учёт!$I:$I,AC$7)+SUMIFS(Учёт!$O:$O,Учёт!$L:$L,Табель!V10,Учёт!$J:$J,AC$7)+SUMIFS(Учёт!$O:$O,Учёт!$L:$L,Табель!V10,Учёт!$I:$I,AE$7)+SUMIFS(Учёт!$O:$O,Учёт!$L:$L,Табель!V10,Учёт!$J:$J,AE$7)+SUMIFS(Учёт!$O:$O,Учёт!$L:$L,Табель!V10,Учёт!$I:$I,AG$7)+SUMIFS(Учёт!$O:$O,Учёт!$L:$L,Табель!V10,Учёт!$J:$J,AG$7)+SUMIFS(Учёт!$O:$O,Учёт!$L:$L,Табель!V10,Учёт!$I:$I,AI$7)+SUMIFS(Учёт!$O:$O,Учёт!$L:$L,Табель!V10,Учёт!$J:$J,AI$7),0)</f>
        <v>0</v>
      </c>
      <c r="AM10" s="75"/>
      <c r="AN10" s="75"/>
    </row>
    <row r="11" spans="1:40" ht="47.45" customHeight="1">
      <c r="A11" s="67">
        <v>2</v>
      </c>
      <c r="B11" s="130" t="s">
        <v>113</v>
      </c>
      <c r="C11" s="72">
        <v>1</v>
      </c>
      <c r="D11" s="73"/>
      <c r="E11" s="72"/>
      <c r="F11" s="73"/>
      <c r="G11" s="72"/>
      <c r="H11" s="73">
        <v>1</v>
      </c>
      <c r="I11" s="72"/>
      <c r="J11" s="73">
        <v>1</v>
      </c>
      <c r="K11" s="72"/>
      <c r="L11" s="73">
        <v>2</v>
      </c>
      <c r="M11" s="72"/>
      <c r="N11" s="73"/>
      <c r="O11" s="72">
        <v>1</v>
      </c>
      <c r="P11" s="73"/>
      <c r="Q11" s="76">
        <f t="shared" ref="Q11:Q46" si="8">COUNTIF(C11:P11,"1")</f>
        <v>4</v>
      </c>
      <c r="R11" s="87">
        <f>ROUNDUP(SUMIFS(Учёт!$O:$O,Учёт!$L:$L,Табель!B11,Учёт!$I:$I,C$7)+SUMIFS(Учёт!$O:$O,Учёт!$L:$L,Табель!B11,Учёт!$J:$J,C$7)+SUMIFS(Учёт!$O:$O,Учёт!$L:$L,Табель!B11,Учёт!$I:$I,E$7)+SUMIFS(Учёт!$O:$O,Учёт!$L:$L,Табель!B11,Учёт!$J:$J,E$7)+SUMIFS(Учёт!$O:$O,Учёт!$L:$L,Табель!B11,Учёт!$I:$I,G$7)+SUMIFS(Учёт!$O:$O,Учёт!$L:$L,Табель!B11,Учёт!$J:$J,G$7)+SUMIFS(Учёт!$O:$O,Учёт!$L:$L,Табель!B11,Учёт!$I:$I,I$7)+SUMIFS(Учёт!$O:$O,Учёт!$L:$L,Табель!B11,Учёт!$J:$J,I$7)+SUMIFS(Учёт!$O:$O,Учёт!$L:$L,Табель!B11,Учёт!$I:$I,K$7)+SUMIFS(Учёт!$O:$O,Учёт!$L:$L,Табель!B11,Учёт!$J:$J,K$7)+SUMIFS(Учёт!$O:$O,Учёт!$L:$L,Табель!B11,Учёт!$I:$I,M$7)+SUMIFS(Учёт!$O:$O,Учёт!$L:$L,Табель!B11,Учёт!$J:$J,M$7)+SUMIFS(Учёт!$O:$O,Учёт!$L:$L,Табель!B11,Учёт!$I:$I,O$7)+SUMIFS(Учёт!$O:$O,Учёт!$L:$L,Табель!B11,Учёт!$J:$J,O$7),0)</f>
        <v>1100</v>
      </c>
      <c r="S11" s="76"/>
      <c r="T11" s="76"/>
      <c r="U11" s="67">
        <v>2</v>
      </c>
      <c r="V11" s="130"/>
      <c r="W11" s="72"/>
      <c r="X11" s="73"/>
      <c r="Y11" s="72"/>
      <c r="Z11" s="73"/>
      <c r="AA11" s="72"/>
      <c r="AB11" s="73"/>
      <c r="AC11" s="72"/>
      <c r="AD11" s="73"/>
      <c r="AE11" s="72"/>
      <c r="AF11" s="73"/>
      <c r="AG11" s="72"/>
      <c r="AH11" s="73"/>
      <c r="AI11" s="72"/>
      <c r="AJ11" s="73"/>
      <c r="AK11" s="76">
        <f t="shared" ref="AK11:AK46" si="9">COUNTIF(W11:AJ11,"1")</f>
        <v>0</v>
      </c>
      <c r="AL11" s="87">
        <f>ROUNDUP(SUMIFS(Учёт!$O:$O,Учёт!$L:$L,Табель!V11,Учёт!$I:$I,W$7)+SUMIFS(Учёт!$O:$O,Учёт!$L:$L,Табель!V11,Учёт!$J:$J,W$7)+SUMIFS(Учёт!$O:$O,Учёт!$L:$L,Табель!V11,Учёт!$I:$I,Y$7)+SUMIFS(Учёт!$O:$O,Учёт!$L:$L,Табель!V11,Учёт!$J:$J,Y$7)+SUMIFS(Учёт!$O:$O,Учёт!$L:$L,Табель!V11,Учёт!$I:$I,AA$7)+SUMIFS(Учёт!$O:$O,Учёт!$L:$L,Табель!V11,Учёт!$J:$J,AA$7)+SUMIFS(Учёт!$O:$O,Учёт!$L:$L,Табель!V11,Учёт!$I:$I,AC$7)+SUMIFS(Учёт!$O:$O,Учёт!$L:$L,Табель!V11,Учёт!$J:$J,AC$7)+SUMIFS(Учёт!$O:$O,Учёт!$L:$L,Табель!V11,Учёт!$I:$I,AE$7)+SUMIFS(Учёт!$O:$O,Учёт!$L:$L,Табель!V11,Учёт!$J:$J,AE$7)+SUMIFS(Учёт!$O:$O,Учёт!$L:$L,Табель!V11,Учёт!$I:$I,AG$7)+SUMIFS(Учёт!$O:$O,Учёт!$L:$L,Табель!V11,Учёт!$J:$J,AG$7)+SUMIFS(Учёт!$O:$O,Учёт!$L:$L,Табель!V11,Учёт!$I:$I,AI$7)+SUMIFS(Учёт!$O:$O,Учёт!$L:$L,Табель!V11,Учёт!$J:$J,AI$7),0)</f>
        <v>0</v>
      </c>
      <c r="AM11" s="76"/>
      <c r="AN11" s="76"/>
    </row>
    <row r="12" spans="1:40" ht="47.45" customHeight="1">
      <c r="A12" s="67">
        <v>3</v>
      </c>
      <c r="B12" s="130" t="s">
        <v>112</v>
      </c>
      <c r="C12" s="72"/>
      <c r="D12" s="73"/>
      <c r="E12" s="72"/>
      <c r="F12" s="73">
        <v>1</v>
      </c>
      <c r="G12" s="72"/>
      <c r="H12" s="73"/>
      <c r="I12" s="72"/>
      <c r="J12" s="73">
        <v>1</v>
      </c>
      <c r="K12" s="72"/>
      <c r="L12" s="73">
        <v>1</v>
      </c>
      <c r="M12" s="72"/>
      <c r="N12" s="73"/>
      <c r="O12" s="72">
        <v>1</v>
      </c>
      <c r="P12" s="73"/>
      <c r="Q12" s="76">
        <f t="shared" si="8"/>
        <v>4</v>
      </c>
      <c r="R12" s="87">
        <f>ROUNDUP(SUMIFS(Учёт!$O:$O,Учёт!$L:$L,Табель!B12,Учёт!$I:$I,C$7)+SUMIFS(Учёт!$O:$O,Учёт!$L:$L,Табель!B12,Учёт!$J:$J,C$7)+SUMIFS(Учёт!$O:$O,Учёт!$L:$L,Табель!B12,Учёт!$I:$I,E$7)+SUMIFS(Учёт!$O:$O,Учёт!$L:$L,Табель!B12,Учёт!$J:$J,E$7)+SUMIFS(Учёт!$O:$O,Учёт!$L:$L,Табель!B12,Учёт!$I:$I,G$7)+SUMIFS(Учёт!$O:$O,Учёт!$L:$L,Табель!B12,Учёт!$J:$J,G$7)+SUMIFS(Учёт!$O:$O,Учёт!$L:$L,Табель!B12,Учёт!$I:$I,I$7)+SUMIFS(Учёт!$O:$O,Учёт!$L:$L,Табель!B12,Учёт!$J:$J,I$7)+SUMIFS(Учёт!$O:$O,Учёт!$L:$L,Табель!B12,Учёт!$I:$I,K$7)+SUMIFS(Учёт!$O:$O,Учёт!$L:$L,Табель!B12,Учёт!$J:$J,K$7)+SUMIFS(Учёт!$O:$O,Учёт!$L:$L,Табель!B12,Учёт!$I:$I,M$7)+SUMIFS(Учёт!$O:$O,Учёт!$L:$L,Табель!B12,Учёт!$J:$J,M$7)+SUMIFS(Учёт!$O:$O,Учёт!$L:$L,Табель!B12,Учёт!$I:$I,O$7)+SUMIFS(Учёт!$O:$O,Учёт!$L:$L,Табель!B12,Учёт!$J:$J,O$7),0)</f>
        <v>0</v>
      </c>
      <c r="S12" s="76"/>
      <c r="T12" s="76"/>
      <c r="U12" s="67">
        <v>3</v>
      </c>
      <c r="V12" s="130"/>
      <c r="W12" s="72"/>
      <c r="X12" s="73"/>
      <c r="Y12" s="72"/>
      <c r="Z12" s="73"/>
      <c r="AA12" s="72"/>
      <c r="AB12" s="73"/>
      <c r="AC12" s="72"/>
      <c r="AD12" s="73"/>
      <c r="AE12" s="72"/>
      <c r="AF12" s="73"/>
      <c r="AG12" s="72"/>
      <c r="AH12" s="73"/>
      <c r="AI12" s="72"/>
      <c r="AJ12" s="73"/>
      <c r="AK12" s="76">
        <f t="shared" si="9"/>
        <v>0</v>
      </c>
      <c r="AL12" s="87">
        <f>ROUNDUP(SUMIFS(Учёт!$O:$O,Учёт!$L:$L,Табель!V12,Учёт!$I:$I,W$7)+SUMIFS(Учёт!$O:$O,Учёт!$L:$L,Табель!V12,Учёт!$J:$J,W$7)+SUMIFS(Учёт!$O:$O,Учёт!$L:$L,Табель!V12,Учёт!$I:$I,Y$7)+SUMIFS(Учёт!$O:$O,Учёт!$L:$L,Табель!V12,Учёт!$J:$J,Y$7)+SUMIFS(Учёт!$O:$O,Учёт!$L:$L,Табель!V12,Учёт!$I:$I,AA$7)+SUMIFS(Учёт!$O:$O,Учёт!$L:$L,Табель!V12,Учёт!$J:$J,AA$7)+SUMIFS(Учёт!$O:$O,Учёт!$L:$L,Табель!V12,Учёт!$I:$I,AC$7)+SUMIFS(Учёт!$O:$O,Учёт!$L:$L,Табель!V12,Учёт!$J:$J,AC$7)+SUMIFS(Учёт!$O:$O,Учёт!$L:$L,Табель!V12,Учёт!$I:$I,AE$7)+SUMIFS(Учёт!$O:$O,Учёт!$L:$L,Табель!V12,Учёт!$J:$J,AE$7)+SUMIFS(Учёт!$O:$O,Учёт!$L:$L,Табель!V12,Учёт!$I:$I,AG$7)+SUMIFS(Учёт!$O:$O,Учёт!$L:$L,Табель!V12,Учёт!$J:$J,AG$7)+SUMIFS(Учёт!$O:$O,Учёт!$L:$L,Табель!V12,Учёт!$I:$I,AI$7)+SUMIFS(Учёт!$O:$O,Учёт!$L:$L,Табель!V12,Учёт!$J:$J,AI$7),0)</f>
        <v>0</v>
      </c>
      <c r="AM12" s="76"/>
      <c r="AN12" s="76"/>
    </row>
    <row r="13" spans="1:40" ht="47.45" customHeight="1">
      <c r="A13" s="67">
        <v>4</v>
      </c>
      <c r="B13" s="130" t="s">
        <v>111</v>
      </c>
      <c r="C13" s="72"/>
      <c r="D13" s="73"/>
      <c r="E13" s="72"/>
      <c r="F13" s="73">
        <v>1</v>
      </c>
      <c r="G13" s="72"/>
      <c r="H13" s="73"/>
      <c r="I13" s="72"/>
      <c r="J13" s="73">
        <v>1</v>
      </c>
      <c r="K13" s="72"/>
      <c r="L13" s="73">
        <v>1</v>
      </c>
      <c r="M13" s="72"/>
      <c r="N13" s="73"/>
      <c r="O13" s="72">
        <v>1</v>
      </c>
      <c r="P13" s="73"/>
      <c r="Q13" s="76">
        <f t="shared" si="8"/>
        <v>4</v>
      </c>
      <c r="R13" s="87">
        <f>ROUNDUP(SUMIFS(Учёт!$O:$O,Учёт!$L:$L,Табель!B13,Учёт!$I:$I,C$7)+SUMIFS(Учёт!$O:$O,Учёт!$L:$L,Табель!B13,Учёт!$J:$J,C$7)+SUMIFS(Учёт!$O:$O,Учёт!$L:$L,Табель!B13,Учёт!$I:$I,E$7)+SUMIFS(Учёт!$O:$O,Учёт!$L:$L,Табель!B13,Учёт!$J:$J,E$7)+SUMIFS(Учёт!$O:$O,Учёт!$L:$L,Табель!B13,Учёт!$I:$I,G$7)+SUMIFS(Учёт!$O:$O,Учёт!$L:$L,Табель!B13,Учёт!$J:$J,G$7)+SUMIFS(Учёт!$O:$O,Учёт!$L:$L,Табель!B13,Учёт!$I:$I,I$7)+SUMIFS(Учёт!$O:$O,Учёт!$L:$L,Табель!B13,Учёт!$J:$J,I$7)+SUMIFS(Учёт!$O:$O,Учёт!$L:$L,Табель!B13,Учёт!$I:$I,K$7)+SUMIFS(Учёт!$O:$O,Учёт!$L:$L,Табель!B13,Учёт!$J:$J,K$7)+SUMIFS(Учёт!$O:$O,Учёт!$L:$L,Табель!B13,Учёт!$I:$I,M$7)+SUMIFS(Учёт!$O:$O,Учёт!$L:$L,Табель!B13,Учёт!$J:$J,M$7)+SUMIFS(Учёт!$O:$O,Учёт!$L:$L,Табель!B13,Учёт!$I:$I,O$7)+SUMIFS(Учёт!$O:$O,Учёт!$L:$L,Табель!B13,Учёт!$J:$J,O$7),0)</f>
        <v>0</v>
      </c>
      <c r="S13" s="76"/>
      <c r="T13" s="76"/>
      <c r="U13" s="67">
        <v>4</v>
      </c>
      <c r="V13" s="130"/>
      <c r="W13" s="72"/>
      <c r="X13" s="73"/>
      <c r="Y13" s="72"/>
      <c r="Z13" s="73"/>
      <c r="AA13" s="72"/>
      <c r="AB13" s="73"/>
      <c r="AC13" s="72"/>
      <c r="AD13" s="73"/>
      <c r="AE13" s="72"/>
      <c r="AF13" s="73"/>
      <c r="AG13" s="72"/>
      <c r="AH13" s="73"/>
      <c r="AI13" s="72"/>
      <c r="AJ13" s="73"/>
      <c r="AK13" s="76">
        <f t="shared" si="9"/>
        <v>0</v>
      </c>
      <c r="AL13" s="87">
        <f>ROUNDUP(SUMIFS(Учёт!$O:$O,Учёт!$L:$L,Табель!V13,Учёт!$I:$I,W$7)+SUMIFS(Учёт!$O:$O,Учёт!$L:$L,Табель!V13,Учёт!$J:$J,W$7)+SUMIFS(Учёт!$O:$O,Учёт!$L:$L,Табель!V13,Учёт!$I:$I,Y$7)+SUMIFS(Учёт!$O:$O,Учёт!$L:$L,Табель!V13,Учёт!$J:$J,Y$7)+SUMIFS(Учёт!$O:$O,Учёт!$L:$L,Табель!V13,Учёт!$I:$I,AA$7)+SUMIFS(Учёт!$O:$O,Учёт!$L:$L,Табель!V13,Учёт!$J:$J,AA$7)+SUMIFS(Учёт!$O:$O,Учёт!$L:$L,Табель!V13,Учёт!$I:$I,AC$7)+SUMIFS(Учёт!$O:$O,Учёт!$L:$L,Табель!V13,Учёт!$J:$J,AC$7)+SUMIFS(Учёт!$O:$O,Учёт!$L:$L,Табель!V13,Учёт!$I:$I,AE$7)+SUMIFS(Учёт!$O:$O,Учёт!$L:$L,Табель!V13,Учёт!$J:$J,AE$7)+SUMIFS(Учёт!$O:$O,Учёт!$L:$L,Табель!V13,Учёт!$I:$I,AG$7)+SUMIFS(Учёт!$O:$O,Учёт!$L:$L,Табель!V13,Учёт!$J:$J,AG$7)+SUMIFS(Учёт!$O:$O,Учёт!$L:$L,Табель!V13,Учёт!$I:$I,AI$7)+SUMIFS(Учёт!$O:$O,Учёт!$L:$L,Табель!V13,Учёт!$J:$J,AI$7),0)</f>
        <v>0</v>
      </c>
      <c r="AM13" s="76"/>
      <c r="AN13" s="76"/>
    </row>
    <row r="14" spans="1:40" ht="47.45" customHeight="1">
      <c r="A14" s="67">
        <v>5</v>
      </c>
      <c r="B14" s="130" t="s">
        <v>109</v>
      </c>
      <c r="C14" s="72"/>
      <c r="D14" s="73"/>
      <c r="E14" s="72">
        <v>1</v>
      </c>
      <c r="F14" s="73"/>
      <c r="G14" s="72"/>
      <c r="H14" s="73"/>
      <c r="I14" s="72">
        <v>1</v>
      </c>
      <c r="J14" s="73"/>
      <c r="K14" s="72">
        <v>1</v>
      </c>
      <c r="L14" s="73"/>
      <c r="M14" s="72"/>
      <c r="N14" s="73"/>
      <c r="O14" s="72"/>
      <c r="P14" s="73"/>
      <c r="Q14" s="76">
        <f t="shared" si="8"/>
        <v>3</v>
      </c>
      <c r="R14" s="87">
        <f>ROUNDUP(SUMIFS(Учёт!$O:$O,Учёт!$L:$L,Табель!B14,Учёт!$I:$I,C$7)+SUMIFS(Учёт!$O:$O,Учёт!$L:$L,Табель!B14,Учёт!$J:$J,C$7)+SUMIFS(Учёт!$O:$O,Учёт!$L:$L,Табель!B14,Учёт!$I:$I,E$7)+SUMIFS(Учёт!$O:$O,Учёт!$L:$L,Табель!B14,Учёт!$J:$J,E$7)+SUMIFS(Учёт!$O:$O,Учёт!$L:$L,Табель!B14,Учёт!$I:$I,G$7)+SUMIFS(Учёт!$O:$O,Учёт!$L:$L,Табель!B14,Учёт!$J:$J,G$7)+SUMIFS(Учёт!$O:$O,Учёт!$L:$L,Табель!B14,Учёт!$I:$I,I$7)+SUMIFS(Учёт!$O:$O,Учёт!$L:$L,Табель!B14,Учёт!$J:$J,I$7)+SUMIFS(Учёт!$O:$O,Учёт!$L:$L,Табель!B14,Учёт!$I:$I,K$7)+SUMIFS(Учёт!$O:$O,Учёт!$L:$L,Табель!B14,Учёт!$J:$J,K$7)+SUMIFS(Учёт!$O:$O,Учёт!$L:$L,Табель!B14,Учёт!$I:$I,M$7)+SUMIFS(Учёт!$O:$O,Учёт!$L:$L,Табель!B14,Учёт!$J:$J,M$7)+SUMIFS(Учёт!$O:$O,Учёт!$L:$L,Табель!B14,Учёт!$I:$I,O$7)+SUMIFS(Учёт!$O:$O,Учёт!$L:$L,Табель!B14,Учёт!$J:$J,O$7),0)</f>
        <v>0</v>
      </c>
      <c r="S14" s="76"/>
      <c r="T14" s="76"/>
      <c r="U14" s="67">
        <v>5</v>
      </c>
      <c r="V14" s="130"/>
      <c r="W14" s="72"/>
      <c r="X14" s="73"/>
      <c r="Y14" s="72"/>
      <c r="Z14" s="73"/>
      <c r="AA14" s="72"/>
      <c r="AB14" s="73"/>
      <c r="AC14" s="72"/>
      <c r="AD14" s="73"/>
      <c r="AE14" s="72"/>
      <c r="AF14" s="73"/>
      <c r="AG14" s="72"/>
      <c r="AH14" s="73"/>
      <c r="AI14" s="72"/>
      <c r="AJ14" s="73"/>
      <c r="AK14" s="76">
        <f t="shared" si="9"/>
        <v>0</v>
      </c>
      <c r="AL14" s="87">
        <f>ROUNDUP(SUMIFS(Учёт!$O:$O,Учёт!$L:$L,Табель!V14,Учёт!$I:$I,W$7)+SUMIFS(Учёт!$O:$O,Учёт!$L:$L,Табель!V14,Учёт!$J:$J,W$7)+SUMIFS(Учёт!$O:$O,Учёт!$L:$L,Табель!V14,Учёт!$I:$I,Y$7)+SUMIFS(Учёт!$O:$O,Учёт!$L:$L,Табель!V14,Учёт!$J:$J,Y$7)+SUMIFS(Учёт!$O:$O,Учёт!$L:$L,Табель!V14,Учёт!$I:$I,AA$7)+SUMIFS(Учёт!$O:$O,Учёт!$L:$L,Табель!V14,Учёт!$J:$J,AA$7)+SUMIFS(Учёт!$O:$O,Учёт!$L:$L,Табель!V14,Учёт!$I:$I,AC$7)+SUMIFS(Учёт!$O:$O,Учёт!$L:$L,Табель!V14,Учёт!$J:$J,AC$7)+SUMIFS(Учёт!$O:$O,Учёт!$L:$L,Табель!V14,Учёт!$I:$I,AE$7)+SUMIFS(Учёт!$O:$O,Учёт!$L:$L,Табель!V14,Учёт!$J:$J,AE$7)+SUMIFS(Учёт!$O:$O,Учёт!$L:$L,Табель!V14,Учёт!$I:$I,AG$7)+SUMIFS(Учёт!$O:$O,Учёт!$L:$L,Табель!V14,Учёт!$J:$J,AG$7)+SUMIFS(Учёт!$O:$O,Учёт!$L:$L,Табель!V14,Учёт!$I:$I,AI$7)+SUMIFS(Учёт!$O:$O,Учёт!$L:$L,Табель!V14,Учёт!$J:$J,AI$7),0)</f>
        <v>0</v>
      </c>
      <c r="AM14" s="76"/>
      <c r="AN14" s="76"/>
    </row>
    <row r="15" spans="1:40" ht="47.45" customHeight="1">
      <c r="A15" s="67">
        <v>6</v>
      </c>
      <c r="B15" s="130" t="s">
        <v>118</v>
      </c>
      <c r="C15" s="72"/>
      <c r="D15" s="73"/>
      <c r="E15" s="72"/>
      <c r="F15" s="73">
        <v>1</v>
      </c>
      <c r="G15" s="72"/>
      <c r="H15" s="73"/>
      <c r="I15" s="72"/>
      <c r="J15" s="73">
        <v>1</v>
      </c>
      <c r="K15" s="72"/>
      <c r="L15" s="73">
        <v>1</v>
      </c>
      <c r="M15" s="72"/>
      <c r="N15" s="73"/>
      <c r="O15" s="72"/>
      <c r="P15" s="73"/>
      <c r="Q15" s="76">
        <f t="shared" si="8"/>
        <v>3</v>
      </c>
      <c r="R15" s="87">
        <f>ROUNDUP(SUMIFS(Учёт!$O:$O,Учёт!$L:$L,Табель!B15,Учёт!$I:$I,C$7)+SUMIFS(Учёт!$O:$O,Учёт!$L:$L,Табель!B15,Учёт!$J:$J,C$7)+SUMIFS(Учёт!$O:$O,Учёт!$L:$L,Табель!B15,Учёт!$I:$I,E$7)+SUMIFS(Учёт!$O:$O,Учёт!$L:$L,Табель!B15,Учёт!$J:$J,E$7)+SUMIFS(Учёт!$O:$O,Учёт!$L:$L,Табель!B15,Учёт!$I:$I,G$7)+SUMIFS(Учёт!$O:$O,Учёт!$L:$L,Табель!B15,Учёт!$J:$J,G$7)+SUMIFS(Учёт!$O:$O,Учёт!$L:$L,Табель!B15,Учёт!$I:$I,I$7)+SUMIFS(Учёт!$O:$O,Учёт!$L:$L,Табель!B15,Учёт!$J:$J,I$7)+SUMIFS(Учёт!$O:$O,Учёт!$L:$L,Табель!B15,Учёт!$I:$I,K$7)+SUMIFS(Учёт!$O:$O,Учёт!$L:$L,Табель!B15,Учёт!$J:$J,K$7)+SUMIFS(Учёт!$O:$O,Учёт!$L:$L,Табель!B15,Учёт!$I:$I,M$7)+SUMIFS(Учёт!$O:$O,Учёт!$L:$L,Табель!B15,Учёт!$J:$J,M$7)+SUMIFS(Учёт!$O:$O,Учёт!$L:$L,Табель!B15,Учёт!$I:$I,O$7)+SUMIFS(Учёт!$O:$O,Учёт!$L:$L,Табель!B15,Учёт!$J:$J,O$7),0)</f>
        <v>0</v>
      </c>
      <c r="S15" s="76"/>
      <c r="T15" s="76"/>
      <c r="U15" s="67">
        <v>6</v>
      </c>
      <c r="V15" s="130"/>
      <c r="W15" s="72"/>
      <c r="X15" s="73"/>
      <c r="Y15" s="72"/>
      <c r="Z15" s="73"/>
      <c r="AA15" s="72"/>
      <c r="AB15" s="73"/>
      <c r="AC15" s="72"/>
      <c r="AD15" s="73"/>
      <c r="AE15" s="72"/>
      <c r="AF15" s="73"/>
      <c r="AG15" s="72"/>
      <c r="AH15" s="73"/>
      <c r="AI15" s="72"/>
      <c r="AJ15" s="73"/>
      <c r="AK15" s="76">
        <f t="shared" si="9"/>
        <v>0</v>
      </c>
      <c r="AL15" s="87">
        <f>ROUNDUP(SUMIFS(Учёт!$O:$O,Учёт!$L:$L,Табель!V15,Учёт!$I:$I,W$7)+SUMIFS(Учёт!$O:$O,Учёт!$L:$L,Табель!V15,Учёт!$J:$J,W$7)+SUMIFS(Учёт!$O:$O,Учёт!$L:$L,Табель!V15,Учёт!$I:$I,Y$7)+SUMIFS(Учёт!$O:$O,Учёт!$L:$L,Табель!V15,Учёт!$J:$J,Y$7)+SUMIFS(Учёт!$O:$O,Учёт!$L:$L,Табель!V15,Учёт!$I:$I,AA$7)+SUMIFS(Учёт!$O:$O,Учёт!$L:$L,Табель!V15,Учёт!$J:$J,AA$7)+SUMIFS(Учёт!$O:$O,Учёт!$L:$L,Табель!V15,Учёт!$I:$I,AC$7)+SUMIFS(Учёт!$O:$O,Учёт!$L:$L,Табель!V15,Учёт!$J:$J,AC$7)+SUMIFS(Учёт!$O:$O,Учёт!$L:$L,Табель!V15,Учёт!$I:$I,AE$7)+SUMIFS(Учёт!$O:$O,Учёт!$L:$L,Табель!V15,Учёт!$J:$J,AE$7)+SUMIFS(Учёт!$O:$O,Учёт!$L:$L,Табель!V15,Учёт!$I:$I,AG$7)+SUMIFS(Учёт!$O:$O,Учёт!$L:$L,Табель!V15,Учёт!$J:$J,AG$7)+SUMIFS(Учёт!$O:$O,Учёт!$L:$L,Табель!V15,Учёт!$I:$I,AI$7)+SUMIFS(Учёт!$O:$O,Учёт!$L:$L,Табель!V15,Учёт!$J:$J,AI$7),0)</f>
        <v>0</v>
      </c>
      <c r="AM15" s="76"/>
      <c r="AN15" s="76"/>
    </row>
    <row r="16" spans="1:40" ht="47.45" customHeight="1">
      <c r="A16" s="67">
        <v>7</v>
      </c>
      <c r="B16" s="130" t="s">
        <v>104</v>
      </c>
      <c r="C16" s="72">
        <v>1</v>
      </c>
      <c r="D16" s="73"/>
      <c r="E16" s="72">
        <v>1</v>
      </c>
      <c r="F16" s="73"/>
      <c r="G16" s="72"/>
      <c r="H16" s="73"/>
      <c r="I16" s="72">
        <v>1</v>
      </c>
      <c r="J16" s="73"/>
      <c r="K16" s="72">
        <v>1</v>
      </c>
      <c r="L16" s="73"/>
      <c r="M16" s="72"/>
      <c r="N16" s="73"/>
      <c r="O16" s="72"/>
      <c r="P16" s="73"/>
      <c r="Q16" s="76">
        <f t="shared" si="8"/>
        <v>4</v>
      </c>
      <c r="R16" s="87">
        <f>ROUNDUP(SUMIFS(Учёт!$O:$O,Учёт!$L:$L,Табель!B16,Учёт!$I:$I,C$7)+SUMIFS(Учёт!$O:$O,Учёт!$L:$L,Табель!B16,Учёт!$J:$J,C$7)+SUMIFS(Учёт!$O:$O,Учёт!$L:$L,Табель!B16,Учёт!$I:$I,E$7)+SUMIFS(Учёт!$O:$O,Учёт!$L:$L,Табель!B16,Учёт!$J:$J,E$7)+SUMIFS(Учёт!$O:$O,Учёт!$L:$L,Табель!B16,Учёт!$I:$I,G$7)+SUMIFS(Учёт!$O:$O,Учёт!$L:$L,Табель!B16,Учёт!$J:$J,G$7)+SUMIFS(Учёт!$O:$O,Учёт!$L:$L,Табель!B16,Учёт!$I:$I,I$7)+SUMIFS(Учёт!$O:$O,Учёт!$L:$L,Табель!B16,Учёт!$J:$J,I$7)+SUMIFS(Учёт!$O:$O,Учёт!$L:$L,Табель!B16,Учёт!$I:$I,K$7)+SUMIFS(Учёт!$O:$O,Учёт!$L:$L,Табель!B16,Учёт!$J:$J,K$7)+SUMIFS(Учёт!$O:$O,Учёт!$L:$L,Табель!B16,Учёт!$I:$I,M$7)+SUMIFS(Учёт!$O:$O,Учёт!$L:$L,Табель!B16,Учёт!$J:$J,M$7)+SUMIFS(Учёт!$O:$O,Учёт!$L:$L,Табель!B16,Учёт!$I:$I,O$7)+SUMIFS(Учёт!$O:$O,Учёт!$L:$L,Табель!B16,Учёт!$J:$J,O$7),0)</f>
        <v>1000</v>
      </c>
      <c r="S16" s="76"/>
      <c r="T16" s="76"/>
      <c r="U16" s="67">
        <v>7</v>
      </c>
      <c r="V16" s="130"/>
      <c r="W16" s="72"/>
      <c r="X16" s="73"/>
      <c r="Y16" s="72"/>
      <c r="Z16" s="73"/>
      <c r="AA16" s="72"/>
      <c r="AB16" s="73"/>
      <c r="AC16" s="72"/>
      <c r="AD16" s="73"/>
      <c r="AE16" s="72"/>
      <c r="AF16" s="73"/>
      <c r="AG16" s="72"/>
      <c r="AH16" s="73"/>
      <c r="AI16" s="72"/>
      <c r="AJ16" s="73"/>
      <c r="AK16" s="76">
        <f t="shared" si="9"/>
        <v>0</v>
      </c>
      <c r="AL16" s="87">
        <f>ROUNDUP(SUMIFS(Учёт!$O:$O,Учёт!$L:$L,Табель!V16,Учёт!$I:$I,W$7)+SUMIFS(Учёт!$O:$O,Учёт!$L:$L,Табель!V16,Учёт!$J:$J,W$7)+SUMIFS(Учёт!$O:$O,Учёт!$L:$L,Табель!V16,Учёт!$I:$I,Y$7)+SUMIFS(Учёт!$O:$O,Учёт!$L:$L,Табель!V16,Учёт!$J:$J,Y$7)+SUMIFS(Учёт!$O:$O,Учёт!$L:$L,Табель!V16,Учёт!$I:$I,AA$7)+SUMIFS(Учёт!$O:$O,Учёт!$L:$L,Табель!V16,Учёт!$J:$J,AA$7)+SUMIFS(Учёт!$O:$O,Учёт!$L:$L,Табель!V16,Учёт!$I:$I,AC$7)+SUMIFS(Учёт!$O:$O,Учёт!$L:$L,Табель!V16,Учёт!$J:$J,AC$7)+SUMIFS(Учёт!$O:$O,Учёт!$L:$L,Табель!V16,Учёт!$I:$I,AE$7)+SUMIFS(Учёт!$O:$O,Учёт!$L:$L,Табель!V16,Учёт!$J:$J,AE$7)+SUMIFS(Учёт!$O:$O,Учёт!$L:$L,Табель!V16,Учёт!$I:$I,AG$7)+SUMIFS(Учёт!$O:$O,Учёт!$L:$L,Табель!V16,Учёт!$J:$J,AG$7)+SUMIFS(Учёт!$O:$O,Учёт!$L:$L,Табель!V16,Учёт!$I:$I,AI$7)+SUMIFS(Учёт!$O:$O,Учёт!$L:$L,Табель!V16,Учёт!$J:$J,AI$7),0)</f>
        <v>0</v>
      </c>
      <c r="AM16" s="76"/>
      <c r="AN16" s="76"/>
    </row>
    <row r="17" spans="1:40" ht="47.45" customHeight="1">
      <c r="A17" s="67">
        <v>8</v>
      </c>
      <c r="B17" s="130" t="s">
        <v>103</v>
      </c>
      <c r="C17" s="72"/>
      <c r="D17" s="73"/>
      <c r="E17" s="72">
        <v>1</v>
      </c>
      <c r="F17" s="73"/>
      <c r="G17" s="72"/>
      <c r="H17" s="73"/>
      <c r="I17" s="72">
        <v>1</v>
      </c>
      <c r="J17" s="73"/>
      <c r="K17" s="72">
        <v>1</v>
      </c>
      <c r="L17" s="73"/>
      <c r="M17" s="72"/>
      <c r="N17" s="73"/>
      <c r="O17" s="72"/>
      <c r="P17" s="73"/>
      <c r="Q17" s="76">
        <f t="shared" si="8"/>
        <v>3</v>
      </c>
      <c r="R17" s="87">
        <f>ROUNDUP(SUMIFS(Учёт!$O:$O,Учёт!$L:$L,Табель!B17,Учёт!$I:$I,C$7)+SUMIFS(Учёт!$O:$O,Учёт!$L:$L,Табель!B17,Учёт!$J:$J,C$7)+SUMIFS(Учёт!$O:$O,Учёт!$L:$L,Табель!B17,Учёт!$I:$I,E$7)+SUMIFS(Учёт!$O:$O,Учёт!$L:$L,Табель!B17,Учёт!$J:$J,E$7)+SUMIFS(Учёт!$O:$O,Учёт!$L:$L,Табель!B17,Учёт!$I:$I,G$7)+SUMIFS(Учёт!$O:$O,Учёт!$L:$L,Табель!B17,Учёт!$J:$J,G$7)+SUMIFS(Учёт!$O:$O,Учёт!$L:$L,Табель!B17,Учёт!$I:$I,I$7)+SUMIFS(Учёт!$O:$O,Учёт!$L:$L,Табель!B17,Учёт!$J:$J,I$7)+SUMIFS(Учёт!$O:$O,Учёт!$L:$L,Табель!B17,Учёт!$I:$I,K$7)+SUMIFS(Учёт!$O:$O,Учёт!$L:$L,Табель!B17,Учёт!$J:$J,K$7)+SUMIFS(Учёт!$O:$O,Учёт!$L:$L,Табель!B17,Учёт!$I:$I,M$7)+SUMIFS(Учёт!$O:$O,Учёт!$L:$L,Табель!B17,Учёт!$J:$J,M$7)+SUMIFS(Учёт!$O:$O,Учёт!$L:$L,Табель!B17,Учёт!$I:$I,O$7)+SUMIFS(Учёт!$O:$O,Учёт!$L:$L,Табель!B17,Учёт!$J:$J,O$7),0)</f>
        <v>0</v>
      </c>
      <c r="S17" s="76"/>
      <c r="T17" s="76"/>
      <c r="U17" s="67">
        <v>8</v>
      </c>
      <c r="V17" s="130"/>
      <c r="W17" s="72"/>
      <c r="X17" s="73"/>
      <c r="Y17" s="72"/>
      <c r="Z17" s="73"/>
      <c r="AA17" s="72"/>
      <c r="AB17" s="73"/>
      <c r="AC17" s="72"/>
      <c r="AD17" s="73"/>
      <c r="AE17" s="72"/>
      <c r="AF17" s="73"/>
      <c r="AG17" s="72"/>
      <c r="AH17" s="73"/>
      <c r="AI17" s="72"/>
      <c r="AJ17" s="73"/>
      <c r="AK17" s="76">
        <f t="shared" si="9"/>
        <v>0</v>
      </c>
      <c r="AL17" s="87">
        <f>ROUNDUP(SUMIFS(Учёт!$O:$O,Учёт!$L:$L,Табель!V17,Учёт!$I:$I,W$7)+SUMIFS(Учёт!$O:$O,Учёт!$L:$L,Табель!V17,Учёт!$J:$J,W$7)+SUMIFS(Учёт!$O:$O,Учёт!$L:$L,Табель!V17,Учёт!$I:$I,Y$7)+SUMIFS(Учёт!$O:$O,Учёт!$L:$L,Табель!V17,Учёт!$J:$J,Y$7)+SUMIFS(Учёт!$O:$O,Учёт!$L:$L,Табель!V17,Учёт!$I:$I,AA$7)+SUMIFS(Учёт!$O:$O,Учёт!$L:$L,Табель!V17,Учёт!$J:$J,AA$7)+SUMIFS(Учёт!$O:$O,Учёт!$L:$L,Табель!V17,Учёт!$I:$I,AC$7)+SUMIFS(Учёт!$O:$O,Учёт!$L:$L,Табель!V17,Учёт!$J:$J,AC$7)+SUMIFS(Учёт!$O:$O,Учёт!$L:$L,Табель!V17,Учёт!$I:$I,AE$7)+SUMIFS(Учёт!$O:$O,Учёт!$L:$L,Табель!V17,Учёт!$J:$J,AE$7)+SUMIFS(Учёт!$O:$O,Учёт!$L:$L,Табель!V17,Учёт!$I:$I,AG$7)+SUMIFS(Учёт!$O:$O,Учёт!$L:$L,Табель!V17,Учёт!$J:$J,AG$7)+SUMIFS(Учёт!$O:$O,Учёт!$L:$L,Табель!V17,Учёт!$I:$I,AI$7)+SUMIFS(Учёт!$O:$O,Учёт!$L:$L,Табель!V17,Учёт!$J:$J,AI$7),0)</f>
        <v>0</v>
      </c>
      <c r="AM17" s="76"/>
      <c r="AN17" s="76"/>
    </row>
    <row r="18" spans="1:40" ht="47.45" customHeight="1">
      <c r="A18" s="67">
        <v>9</v>
      </c>
      <c r="B18" s="77" t="s">
        <v>154</v>
      </c>
      <c r="C18" s="72">
        <v>1</v>
      </c>
      <c r="D18" s="73"/>
      <c r="E18" s="72">
        <v>1</v>
      </c>
      <c r="F18" s="73"/>
      <c r="G18" s="72">
        <v>4</v>
      </c>
      <c r="H18" s="73"/>
      <c r="I18" s="72">
        <v>1</v>
      </c>
      <c r="J18" s="73"/>
      <c r="K18" s="72">
        <v>1</v>
      </c>
      <c r="L18" s="73"/>
      <c r="M18" s="72">
        <v>2</v>
      </c>
      <c r="N18" s="73"/>
      <c r="O18" s="72">
        <v>2</v>
      </c>
      <c r="P18" s="73"/>
      <c r="Q18" s="76">
        <f t="shared" si="8"/>
        <v>4</v>
      </c>
      <c r="R18" s="87">
        <f>ROUNDUP(SUMIFS(Учёт!$O:$O,Учёт!$L:$L,Табель!B18,Учёт!$I:$I,C$7)+SUMIFS(Учёт!$O:$O,Учёт!$L:$L,Табель!B18,Учёт!$J:$J,C$7)+SUMIFS(Учёт!$O:$O,Учёт!$L:$L,Табель!B18,Учёт!$I:$I,E$7)+SUMIFS(Учёт!$O:$O,Учёт!$L:$L,Табель!B18,Учёт!$J:$J,E$7)+SUMIFS(Учёт!$O:$O,Учёт!$L:$L,Табель!B18,Учёт!$I:$I,G$7)+SUMIFS(Учёт!$O:$O,Учёт!$L:$L,Табель!B18,Учёт!$J:$J,G$7)+SUMIFS(Учёт!$O:$O,Учёт!$L:$L,Табель!B18,Учёт!$I:$I,I$7)+SUMIFS(Учёт!$O:$O,Учёт!$L:$L,Табель!B18,Учёт!$J:$J,I$7)+SUMIFS(Учёт!$O:$O,Учёт!$L:$L,Табель!B18,Учёт!$I:$I,K$7)+SUMIFS(Учёт!$O:$O,Учёт!$L:$L,Табель!B18,Учёт!$J:$J,K$7)+SUMIFS(Учёт!$O:$O,Учёт!$L:$L,Табель!B18,Учёт!$I:$I,M$7)+SUMIFS(Учёт!$O:$O,Учёт!$L:$L,Табель!B18,Учёт!$J:$J,M$7)+SUMIFS(Учёт!$O:$O,Учёт!$L:$L,Табель!B18,Учёт!$I:$I,O$7)+SUMIFS(Учёт!$O:$O,Учёт!$L:$L,Табель!B18,Учёт!$J:$J,O$7),0)</f>
        <v>1000</v>
      </c>
      <c r="S18" s="76"/>
      <c r="T18" s="76"/>
      <c r="U18" s="67">
        <v>9</v>
      </c>
      <c r="V18" s="77"/>
      <c r="W18" s="72"/>
      <c r="X18" s="73"/>
      <c r="Y18" s="72"/>
      <c r="Z18" s="73"/>
      <c r="AA18" s="72"/>
      <c r="AB18" s="73"/>
      <c r="AC18" s="72"/>
      <c r="AD18" s="73"/>
      <c r="AE18" s="72"/>
      <c r="AF18" s="73"/>
      <c r="AG18" s="72"/>
      <c r="AH18" s="73"/>
      <c r="AI18" s="72"/>
      <c r="AJ18" s="73"/>
      <c r="AK18" s="76">
        <f t="shared" si="9"/>
        <v>0</v>
      </c>
      <c r="AL18" s="87">
        <f>ROUNDUP(SUMIFS(Учёт!$O:$O,Учёт!$L:$L,Табель!V18,Учёт!$I:$I,W$7)+SUMIFS(Учёт!$O:$O,Учёт!$L:$L,Табель!V18,Учёт!$J:$J,W$7)+SUMIFS(Учёт!$O:$O,Учёт!$L:$L,Табель!V18,Учёт!$I:$I,Y$7)+SUMIFS(Учёт!$O:$O,Учёт!$L:$L,Табель!V18,Учёт!$J:$J,Y$7)+SUMIFS(Учёт!$O:$O,Учёт!$L:$L,Табель!V18,Учёт!$I:$I,AA$7)+SUMIFS(Учёт!$O:$O,Учёт!$L:$L,Табель!V18,Учёт!$J:$J,AA$7)+SUMIFS(Учёт!$O:$O,Учёт!$L:$L,Табель!V18,Учёт!$I:$I,AC$7)+SUMIFS(Учёт!$O:$O,Учёт!$L:$L,Табель!V18,Учёт!$J:$J,AC$7)+SUMIFS(Учёт!$O:$O,Учёт!$L:$L,Табель!V18,Учёт!$I:$I,AE$7)+SUMIFS(Учёт!$O:$O,Учёт!$L:$L,Табель!V18,Учёт!$J:$J,AE$7)+SUMIFS(Учёт!$O:$O,Учёт!$L:$L,Табель!V18,Учёт!$I:$I,AG$7)+SUMIFS(Учёт!$O:$O,Учёт!$L:$L,Табель!V18,Учёт!$J:$J,AG$7)+SUMIFS(Учёт!$O:$O,Учёт!$L:$L,Табель!V18,Учёт!$I:$I,AI$7)+SUMIFS(Учёт!$O:$O,Учёт!$L:$L,Табель!V18,Учёт!$J:$J,AI$7),0)</f>
        <v>0</v>
      </c>
      <c r="AM18" s="76"/>
      <c r="AN18" s="76"/>
    </row>
    <row r="19" spans="1:40" ht="49.9" customHeight="1">
      <c r="A19" s="67">
        <v>10</v>
      </c>
      <c r="B19" s="77" t="s">
        <v>107</v>
      </c>
      <c r="C19" s="72"/>
      <c r="D19" s="73"/>
      <c r="E19" s="72">
        <v>1</v>
      </c>
      <c r="F19" s="73"/>
      <c r="G19" s="72"/>
      <c r="H19" s="73">
        <v>1</v>
      </c>
      <c r="I19" s="72">
        <v>4</v>
      </c>
      <c r="J19" s="73">
        <v>1</v>
      </c>
      <c r="K19" s="72"/>
      <c r="L19" s="73"/>
      <c r="M19" s="72"/>
      <c r="N19" s="73">
        <v>1</v>
      </c>
      <c r="O19" s="72"/>
      <c r="P19" s="73"/>
      <c r="Q19" s="76">
        <f t="shared" si="8"/>
        <v>4</v>
      </c>
      <c r="R19" s="87">
        <f>ROUNDUP(SUMIFS(Учёт!$O:$O,Учёт!$L:$L,Табель!B19,Учёт!$I:$I,C$7)+SUMIFS(Учёт!$O:$O,Учёт!$L:$L,Табель!B19,Учёт!$J:$J,C$7)+SUMIFS(Учёт!$O:$O,Учёт!$L:$L,Табель!B19,Учёт!$I:$I,E$7)+SUMIFS(Учёт!$O:$O,Учёт!$L:$L,Табель!B19,Учёт!$J:$J,E$7)+SUMIFS(Учёт!$O:$O,Учёт!$L:$L,Табель!B19,Учёт!$I:$I,G$7)+SUMIFS(Учёт!$O:$O,Учёт!$L:$L,Табель!B19,Учёт!$J:$J,G$7)+SUMIFS(Учёт!$O:$O,Учёт!$L:$L,Табель!B19,Учёт!$I:$I,I$7)+SUMIFS(Учёт!$O:$O,Учёт!$L:$L,Табель!B19,Учёт!$J:$J,I$7)+SUMIFS(Учёт!$O:$O,Учёт!$L:$L,Табель!B19,Учёт!$I:$I,K$7)+SUMIFS(Учёт!$O:$O,Учёт!$L:$L,Табель!B19,Учёт!$J:$J,K$7)+SUMIFS(Учёт!$O:$O,Учёт!$L:$L,Табель!B19,Учёт!$I:$I,M$7)+SUMIFS(Учёт!$O:$O,Учёт!$L:$L,Табель!B19,Учёт!$J:$J,M$7)+SUMIFS(Учёт!$O:$O,Учёт!$L:$L,Табель!B19,Учёт!$I:$I,O$7)+SUMIFS(Учёт!$O:$O,Учёт!$L:$L,Табель!B19,Учёт!$J:$J,O$7),0)</f>
        <v>0</v>
      </c>
      <c r="S19" s="76"/>
      <c r="T19" s="76"/>
      <c r="U19" s="67">
        <v>10</v>
      </c>
      <c r="V19" s="77"/>
      <c r="W19" s="72"/>
      <c r="X19" s="73"/>
      <c r="Y19" s="72"/>
      <c r="Z19" s="73"/>
      <c r="AA19" s="72"/>
      <c r="AB19" s="73"/>
      <c r="AC19" s="72"/>
      <c r="AD19" s="73"/>
      <c r="AE19" s="72"/>
      <c r="AF19" s="73"/>
      <c r="AG19" s="72"/>
      <c r="AH19" s="73"/>
      <c r="AI19" s="72"/>
      <c r="AJ19" s="73"/>
      <c r="AK19" s="76">
        <f t="shared" si="9"/>
        <v>0</v>
      </c>
      <c r="AL19" s="87">
        <f>ROUNDUP(SUMIFS(Учёт!$O:$O,Учёт!$L:$L,Табель!V19,Учёт!$I:$I,W$7)+SUMIFS(Учёт!$O:$O,Учёт!$L:$L,Табель!V19,Учёт!$J:$J,W$7)+SUMIFS(Учёт!$O:$O,Учёт!$L:$L,Табель!V19,Учёт!$I:$I,Y$7)+SUMIFS(Учёт!$O:$O,Учёт!$L:$L,Табель!V19,Учёт!$J:$J,Y$7)+SUMIFS(Учёт!$O:$O,Учёт!$L:$L,Табель!V19,Учёт!$I:$I,AA$7)+SUMIFS(Учёт!$O:$O,Учёт!$L:$L,Табель!V19,Учёт!$J:$J,AA$7)+SUMIFS(Учёт!$O:$O,Учёт!$L:$L,Табель!V19,Учёт!$I:$I,AC$7)+SUMIFS(Учёт!$O:$O,Учёт!$L:$L,Табель!V19,Учёт!$J:$J,AC$7)+SUMIFS(Учёт!$O:$O,Учёт!$L:$L,Табель!V19,Учёт!$I:$I,AE$7)+SUMIFS(Учёт!$O:$O,Учёт!$L:$L,Табель!V19,Учёт!$J:$J,AE$7)+SUMIFS(Учёт!$O:$O,Учёт!$L:$L,Табель!V19,Учёт!$I:$I,AG$7)+SUMIFS(Учёт!$O:$O,Учёт!$L:$L,Табель!V19,Учёт!$J:$J,AG$7)+SUMIFS(Учёт!$O:$O,Учёт!$L:$L,Табель!V19,Учёт!$I:$I,AI$7)+SUMIFS(Учёт!$O:$O,Учёт!$L:$L,Табель!V19,Учёт!$J:$J,AI$7),0)</f>
        <v>0</v>
      </c>
      <c r="AM19" s="76"/>
      <c r="AN19" s="76"/>
    </row>
    <row r="20" spans="1:40" ht="52.5">
      <c r="A20" s="67">
        <v>11</v>
      </c>
      <c r="B20" s="77" t="s">
        <v>101</v>
      </c>
      <c r="C20" s="72"/>
      <c r="D20" s="73"/>
      <c r="E20" s="72">
        <v>1</v>
      </c>
      <c r="F20" s="73"/>
      <c r="G20" s="72"/>
      <c r="H20" s="73">
        <v>1</v>
      </c>
      <c r="I20" s="72">
        <v>4</v>
      </c>
      <c r="J20" s="73">
        <v>1</v>
      </c>
      <c r="K20" s="72"/>
      <c r="L20" s="73"/>
      <c r="M20" s="72"/>
      <c r="N20" s="73">
        <v>1</v>
      </c>
      <c r="O20" s="72"/>
      <c r="P20" s="73"/>
      <c r="Q20" s="76">
        <f t="shared" si="8"/>
        <v>4</v>
      </c>
      <c r="R20" s="87">
        <f>ROUNDUP(SUMIFS(Учёт!$O:$O,Учёт!$L:$L,Табель!B20,Учёт!$I:$I,C$7)+SUMIFS(Учёт!$O:$O,Учёт!$L:$L,Табель!B20,Учёт!$J:$J,C$7)+SUMIFS(Учёт!$O:$O,Учёт!$L:$L,Табель!B20,Учёт!$I:$I,E$7)+SUMIFS(Учёт!$O:$O,Учёт!$L:$L,Табель!B20,Учёт!$J:$J,E$7)+SUMIFS(Учёт!$O:$O,Учёт!$L:$L,Табель!B20,Учёт!$I:$I,G$7)+SUMIFS(Учёт!$O:$O,Учёт!$L:$L,Табель!B20,Учёт!$J:$J,G$7)+SUMIFS(Учёт!$O:$O,Учёт!$L:$L,Табель!B20,Учёт!$I:$I,I$7)+SUMIFS(Учёт!$O:$O,Учёт!$L:$L,Табель!B20,Учёт!$J:$J,I$7)+SUMIFS(Учёт!$O:$O,Учёт!$L:$L,Табель!B20,Учёт!$I:$I,K$7)+SUMIFS(Учёт!$O:$O,Учёт!$L:$L,Табель!B20,Учёт!$J:$J,K$7)+SUMIFS(Учёт!$O:$O,Учёт!$L:$L,Табель!B20,Учёт!$I:$I,M$7)+SUMIFS(Учёт!$O:$O,Учёт!$L:$L,Табель!B20,Учёт!$J:$J,M$7)+SUMIFS(Учёт!$O:$O,Учёт!$L:$L,Табель!B20,Учёт!$I:$I,O$7)+SUMIFS(Учёт!$O:$O,Учёт!$L:$L,Табель!B20,Учёт!$J:$J,O$7),0)</f>
        <v>0</v>
      </c>
      <c r="S20" s="76"/>
      <c r="T20" s="76"/>
      <c r="U20" s="67">
        <v>11</v>
      </c>
      <c r="V20" s="77"/>
      <c r="W20" s="72"/>
      <c r="X20" s="73"/>
      <c r="Y20" s="72"/>
      <c r="Z20" s="73"/>
      <c r="AA20" s="72"/>
      <c r="AB20" s="73"/>
      <c r="AC20" s="72"/>
      <c r="AD20" s="73"/>
      <c r="AE20" s="72"/>
      <c r="AF20" s="73"/>
      <c r="AG20" s="72"/>
      <c r="AH20" s="73"/>
      <c r="AI20" s="72"/>
      <c r="AJ20" s="73"/>
      <c r="AK20" s="76">
        <f t="shared" si="9"/>
        <v>0</v>
      </c>
      <c r="AL20" s="87">
        <f>ROUNDUP(SUMIFS(Учёт!$O:$O,Учёт!$L:$L,Табель!V20,Учёт!$I:$I,W$7)+SUMIFS(Учёт!$O:$O,Учёт!$L:$L,Табель!V20,Учёт!$J:$J,W$7)+SUMIFS(Учёт!$O:$O,Учёт!$L:$L,Табель!V20,Учёт!$I:$I,Y$7)+SUMIFS(Учёт!$O:$O,Учёт!$L:$L,Табель!V20,Учёт!$J:$J,Y$7)+SUMIFS(Учёт!$O:$O,Учёт!$L:$L,Табель!V20,Учёт!$I:$I,AA$7)+SUMIFS(Учёт!$O:$O,Учёт!$L:$L,Табель!V20,Учёт!$J:$J,AA$7)+SUMIFS(Учёт!$O:$O,Учёт!$L:$L,Табель!V20,Учёт!$I:$I,AC$7)+SUMIFS(Учёт!$O:$O,Учёт!$L:$L,Табель!V20,Учёт!$J:$J,AC$7)+SUMIFS(Учёт!$O:$O,Учёт!$L:$L,Табель!V20,Учёт!$I:$I,AE$7)+SUMIFS(Учёт!$O:$O,Учёт!$L:$L,Табель!V20,Учёт!$J:$J,AE$7)+SUMIFS(Учёт!$O:$O,Учёт!$L:$L,Табель!V20,Учёт!$I:$I,AG$7)+SUMIFS(Учёт!$O:$O,Учёт!$L:$L,Табель!V20,Учёт!$J:$J,AG$7)+SUMIFS(Учёт!$O:$O,Учёт!$L:$L,Табель!V20,Учёт!$I:$I,AI$7)+SUMIFS(Учёт!$O:$O,Учёт!$L:$L,Табель!V20,Учёт!$J:$J,AI$7),0)</f>
        <v>0</v>
      </c>
      <c r="AM20" s="76"/>
      <c r="AN20" s="76"/>
    </row>
    <row r="21" spans="1:40" ht="47.45" customHeight="1">
      <c r="A21" s="67">
        <v>12</v>
      </c>
      <c r="B21" s="77" t="s">
        <v>102</v>
      </c>
      <c r="C21" s="72">
        <v>2</v>
      </c>
      <c r="D21" s="73"/>
      <c r="E21" s="72">
        <v>1</v>
      </c>
      <c r="F21" s="73"/>
      <c r="G21" s="72"/>
      <c r="H21" s="73">
        <v>1</v>
      </c>
      <c r="I21" s="72"/>
      <c r="J21" s="73">
        <v>1</v>
      </c>
      <c r="K21" s="72"/>
      <c r="L21" s="73">
        <v>2</v>
      </c>
      <c r="M21" s="72"/>
      <c r="N21" s="73">
        <v>1</v>
      </c>
      <c r="O21" s="72"/>
      <c r="P21" s="73"/>
      <c r="Q21" s="76">
        <f t="shared" si="8"/>
        <v>4</v>
      </c>
      <c r="R21" s="87">
        <f>ROUNDUP(SUMIFS(Учёт!$O:$O,Учёт!$L:$L,Табель!B21,Учёт!$I:$I,C$7)+SUMIFS(Учёт!$O:$O,Учёт!$L:$L,Табель!B21,Учёт!$J:$J,C$7)+SUMIFS(Учёт!$O:$O,Учёт!$L:$L,Табель!B21,Учёт!$I:$I,E$7)+SUMIFS(Учёт!$O:$O,Учёт!$L:$L,Табель!B21,Учёт!$J:$J,E$7)+SUMIFS(Учёт!$O:$O,Учёт!$L:$L,Табель!B21,Учёт!$I:$I,G$7)+SUMIFS(Учёт!$O:$O,Учёт!$L:$L,Табель!B21,Учёт!$J:$J,G$7)+SUMIFS(Учёт!$O:$O,Учёт!$L:$L,Табель!B21,Учёт!$I:$I,I$7)+SUMIFS(Учёт!$O:$O,Учёт!$L:$L,Табель!B21,Учёт!$J:$J,I$7)+SUMIFS(Учёт!$O:$O,Учёт!$L:$L,Табель!B21,Учёт!$I:$I,K$7)+SUMIFS(Учёт!$O:$O,Учёт!$L:$L,Табель!B21,Учёт!$J:$J,K$7)+SUMIFS(Учёт!$O:$O,Учёт!$L:$L,Табель!B21,Учёт!$I:$I,M$7)+SUMIFS(Учёт!$O:$O,Учёт!$L:$L,Табель!B21,Учёт!$J:$J,M$7)+SUMIFS(Учёт!$O:$O,Учёт!$L:$L,Табель!B21,Учёт!$I:$I,O$7)+SUMIFS(Учёт!$O:$O,Учёт!$L:$L,Табель!B21,Учёт!$J:$J,O$7),0)</f>
        <v>0</v>
      </c>
      <c r="S21" s="76"/>
      <c r="T21" s="76"/>
      <c r="U21" s="67">
        <v>12</v>
      </c>
      <c r="V21" s="77"/>
      <c r="W21" s="72"/>
      <c r="X21" s="73"/>
      <c r="Y21" s="72"/>
      <c r="Z21" s="73"/>
      <c r="AA21" s="72"/>
      <c r="AB21" s="73"/>
      <c r="AC21" s="72"/>
      <c r="AD21" s="73"/>
      <c r="AE21" s="72"/>
      <c r="AF21" s="73"/>
      <c r="AG21" s="72"/>
      <c r="AH21" s="73"/>
      <c r="AI21" s="72"/>
      <c r="AJ21" s="73"/>
      <c r="AK21" s="76">
        <f t="shared" si="9"/>
        <v>0</v>
      </c>
      <c r="AL21" s="87">
        <f>ROUNDUP(SUMIFS(Учёт!$O:$O,Учёт!$L:$L,Табель!V21,Учёт!$I:$I,W$7)+SUMIFS(Учёт!$O:$O,Учёт!$L:$L,Табель!V21,Учёт!$J:$J,W$7)+SUMIFS(Учёт!$O:$O,Учёт!$L:$L,Табель!V21,Учёт!$I:$I,Y$7)+SUMIFS(Учёт!$O:$O,Учёт!$L:$L,Табель!V21,Учёт!$J:$J,Y$7)+SUMIFS(Учёт!$O:$O,Учёт!$L:$L,Табель!V21,Учёт!$I:$I,AA$7)+SUMIFS(Учёт!$O:$O,Учёт!$L:$L,Табель!V21,Учёт!$J:$J,AA$7)+SUMIFS(Учёт!$O:$O,Учёт!$L:$L,Табель!V21,Учёт!$I:$I,AC$7)+SUMIFS(Учёт!$O:$O,Учёт!$L:$L,Табель!V21,Учёт!$J:$J,AC$7)+SUMIFS(Учёт!$O:$O,Учёт!$L:$L,Табель!V21,Учёт!$I:$I,AE$7)+SUMIFS(Учёт!$O:$O,Учёт!$L:$L,Табель!V21,Учёт!$J:$J,AE$7)+SUMIFS(Учёт!$O:$O,Учёт!$L:$L,Табель!V21,Учёт!$I:$I,AG$7)+SUMIFS(Учёт!$O:$O,Учёт!$L:$L,Табель!V21,Учёт!$J:$J,AG$7)+SUMIFS(Учёт!$O:$O,Учёт!$L:$L,Табель!V21,Учёт!$I:$I,AI$7)+SUMIFS(Учёт!$O:$O,Учёт!$L:$L,Табель!V21,Учёт!$J:$J,AI$7),0)</f>
        <v>0</v>
      </c>
      <c r="AM21" s="76"/>
      <c r="AN21" s="76"/>
    </row>
    <row r="22" spans="1:40" ht="47.45" customHeight="1">
      <c r="A22" s="67">
        <v>13</v>
      </c>
      <c r="B22" s="77" t="s">
        <v>133</v>
      </c>
      <c r="C22" s="72"/>
      <c r="D22" s="73"/>
      <c r="E22" s="72">
        <v>1</v>
      </c>
      <c r="F22" s="73"/>
      <c r="G22" s="72"/>
      <c r="H22" s="73">
        <v>1</v>
      </c>
      <c r="I22" s="72"/>
      <c r="J22" s="73"/>
      <c r="K22" s="72"/>
      <c r="L22" s="73">
        <v>1</v>
      </c>
      <c r="M22" s="72"/>
      <c r="N22" s="73"/>
      <c r="O22" s="72">
        <v>1</v>
      </c>
      <c r="P22" s="73"/>
      <c r="Q22" s="76">
        <f t="shared" si="8"/>
        <v>4</v>
      </c>
      <c r="R22" s="87">
        <f>ROUNDUP(SUMIFS(Учёт!$O:$O,Учёт!$L:$L,Табель!B22,Учёт!$I:$I,C$7)+SUMIFS(Учёт!$O:$O,Учёт!$L:$L,Табель!B22,Учёт!$J:$J,C$7)+SUMIFS(Учёт!$O:$O,Учёт!$L:$L,Табель!B22,Учёт!$I:$I,E$7)+SUMIFS(Учёт!$O:$O,Учёт!$L:$L,Табель!B22,Учёт!$J:$J,E$7)+SUMIFS(Учёт!$O:$O,Учёт!$L:$L,Табель!B22,Учёт!$I:$I,G$7)+SUMIFS(Учёт!$O:$O,Учёт!$L:$L,Табель!B22,Учёт!$J:$J,G$7)+SUMIFS(Учёт!$O:$O,Учёт!$L:$L,Табель!B22,Учёт!$I:$I,I$7)+SUMIFS(Учёт!$O:$O,Учёт!$L:$L,Табель!B22,Учёт!$J:$J,I$7)+SUMIFS(Учёт!$O:$O,Учёт!$L:$L,Табель!B22,Учёт!$I:$I,K$7)+SUMIFS(Учёт!$O:$O,Учёт!$L:$L,Табель!B22,Учёт!$J:$J,K$7)+SUMIFS(Учёт!$O:$O,Учёт!$L:$L,Табель!B22,Учёт!$I:$I,M$7)+SUMIFS(Учёт!$O:$O,Учёт!$L:$L,Табель!B22,Учёт!$J:$J,M$7)+SUMIFS(Учёт!$O:$O,Учёт!$L:$L,Табель!B22,Учёт!$I:$I,O$7)+SUMIFS(Учёт!$O:$O,Учёт!$L:$L,Табель!B22,Учёт!$J:$J,O$7),0)</f>
        <v>0</v>
      </c>
      <c r="S22" s="76"/>
      <c r="T22" s="76"/>
      <c r="U22" s="67">
        <v>13</v>
      </c>
      <c r="V22" s="77"/>
      <c r="W22" s="72"/>
      <c r="X22" s="73"/>
      <c r="Y22" s="72"/>
      <c r="Z22" s="73"/>
      <c r="AA22" s="72"/>
      <c r="AB22" s="73"/>
      <c r="AC22" s="72"/>
      <c r="AD22" s="73"/>
      <c r="AE22" s="72"/>
      <c r="AF22" s="73"/>
      <c r="AG22" s="72"/>
      <c r="AH22" s="73"/>
      <c r="AI22" s="72"/>
      <c r="AJ22" s="73"/>
      <c r="AK22" s="76">
        <f t="shared" si="9"/>
        <v>0</v>
      </c>
      <c r="AL22" s="87">
        <f>ROUNDUP(SUMIFS(Учёт!$O:$O,Учёт!$L:$L,Табель!V22,Учёт!$I:$I,W$7)+SUMIFS(Учёт!$O:$O,Учёт!$L:$L,Табель!V22,Учёт!$J:$J,W$7)+SUMIFS(Учёт!$O:$O,Учёт!$L:$L,Табель!V22,Учёт!$I:$I,Y$7)+SUMIFS(Учёт!$O:$O,Учёт!$L:$L,Табель!V22,Учёт!$J:$J,Y$7)+SUMIFS(Учёт!$O:$O,Учёт!$L:$L,Табель!V22,Учёт!$I:$I,AA$7)+SUMIFS(Учёт!$O:$O,Учёт!$L:$L,Табель!V22,Учёт!$J:$J,AA$7)+SUMIFS(Учёт!$O:$O,Учёт!$L:$L,Табель!V22,Учёт!$I:$I,AC$7)+SUMIFS(Учёт!$O:$O,Учёт!$L:$L,Табель!V22,Учёт!$J:$J,AC$7)+SUMIFS(Учёт!$O:$O,Учёт!$L:$L,Табель!V22,Учёт!$I:$I,AE$7)+SUMIFS(Учёт!$O:$O,Учёт!$L:$L,Табель!V22,Учёт!$J:$J,AE$7)+SUMIFS(Учёт!$O:$O,Учёт!$L:$L,Табель!V22,Учёт!$I:$I,AG$7)+SUMIFS(Учёт!$O:$O,Учёт!$L:$L,Табель!V22,Учёт!$J:$J,AG$7)+SUMIFS(Учёт!$O:$O,Учёт!$L:$L,Табель!V22,Учёт!$I:$I,AI$7)+SUMIFS(Учёт!$O:$O,Учёт!$L:$L,Табель!V22,Учёт!$J:$J,AI$7),0)</f>
        <v>0</v>
      </c>
      <c r="AM22" s="76"/>
      <c r="AN22" s="76"/>
    </row>
    <row r="23" spans="1:40" ht="54" customHeight="1">
      <c r="A23" s="67">
        <v>14</v>
      </c>
      <c r="B23" s="77" t="s">
        <v>135</v>
      </c>
      <c r="C23" s="72"/>
      <c r="D23" s="73"/>
      <c r="E23" s="72"/>
      <c r="F23" s="73">
        <v>1</v>
      </c>
      <c r="G23" s="72"/>
      <c r="H23" s="73"/>
      <c r="I23" s="72">
        <v>2</v>
      </c>
      <c r="J23" s="73"/>
      <c r="K23" s="72"/>
      <c r="L23" s="73">
        <v>2</v>
      </c>
      <c r="M23" s="72"/>
      <c r="N23" s="73"/>
      <c r="O23" s="72"/>
      <c r="P23" s="73"/>
      <c r="Q23" s="76">
        <f t="shared" si="8"/>
        <v>1</v>
      </c>
      <c r="R23" s="87">
        <f>ROUNDUP(SUMIFS(Учёт!$O:$O,Учёт!$L:$L,Табель!B23,Учёт!$I:$I,C$7)+SUMIFS(Учёт!$O:$O,Учёт!$L:$L,Табель!B23,Учёт!$J:$J,C$7)+SUMIFS(Учёт!$O:$O,Учёт!$L:$L,Табель!B23,Учёт!$I:$I,E$7)+SUMIFS(Учёт!$O:$O,Учёт!$L:$L,Табель!B23,Учёт!$J:$J,E$7)+SUMIFS(Учёт!$O:$O,Учёт!$L:$L,Табель!B23,Учёт!$I:$I,G$7)+SUMIFS(Учёт!$O:$O,Учёт!$L:$L,Табель!B23,Учёт!$J:$J,G$7)+SUMIFS(Учёт!$O:$O,Учёт!$L:$L,Табель!B23,Учёт!$I:$I,I$7)+SUMIFS(Учёт!$O:$O,Учёт!$L:$L,Табель!B23,Учёт!$J:$J,I$7)+SUMIFS(Учёт!$O:$O,Учёт!$L:$L,Табель!B23,Учёт!$I:$I,K$7)+SUMIFS(Учёт!$O:$O,Учёт!$L:$L,Табель!B23,Учёт!$J:$J,K$7)+SUMIFS(Учёт!$O:$O,Учёт!$L:$L,Табель!B23,Учёт!$I:$I,M$7)+SUMIFS(Учёт!$O:$O,Учёт!$L:$L,Табель!B23,Учёт!$J:$J,M$7)+SUMIFS(Учёт!$O:$O,Учёт!$L:$L,Табель!B23,Учёт!$I:$I,O$7)+SUMIFS(Учёт!$O:$O,Учёт!$L:$L,Табель!B23,Учёт!$J:$J,O$7),0)</f>
        <v>0</v>
      </c>
      <c r="S23" s="76"/>
      <c r="T23" s="76"/>
      <c r="U23" s="67">
        <v>14</v>
      </c>
      <c r="V23" s="77"/>
      <c r="W23" s="72"/>
      <c r="X23" s="73"/>
      <c r="Y23" s="72"/>
      <c r="Z23" s="73"/>
      <c r="AA23" s="72"/>
      <c r="AB23" s="73"/>
      <c r="AC23" s="72"/>
      <c r="AD23" s="73"/>
      <c r="AE23" s="72"/>
      <c r="AF23" s="73"/>
      <c r="AG23" s="72"/>
      <c r="AH23" s="73"/>
      <c r="AI23" s="72"/>
      <c r="AJ23" s="73"/>
      <c r="AK23" s="76">
        <f t="shared" si="9"/>
        <v>0</v>
      </c>
      <c r="AL23" s="87">
        <f>ROUNDUP(SUMIFS(Учёт!$O:$O,Учёт!$L:$L,Табель!V23,Учёт!$I:$I,W$7)+SUMIFS(Учёт!$O:$O,Учёт!$L:$L,Табель!V23,Учёт!$J:$J,W$7)+SUMIFS(Учёт!$O:$O,Учёт!$L:$L,Табель!V23,Учёт!$I:$I,Y$7)+SUMIFS(Учёт!$O:$O,Учёт!$L:$L,Табель!V23,Учёт!$J:$J,Y$7)+SUMIFS(Учёт!$O:$O,Учёт!$L:$L,Табель!V23,Учёт!$I:$I,AA$7)+SUMIFS(Учёт!$O:$O,Учёт!$L:$L,Табель!V23,Учёт!$J:$J,AA$7)+SUMIFS(Учёт!$O:$O,Учёт!$L:$L,Табель!V23,Учёт!$I:$I,AC$7)+SUMIFS(Учёт!$O:$O,Учёт!$L:$L,Табель!V23,Учёт!$J:$J,AC$7)+SUMIFS(Учёт!$O:$O,Учёт!$L:$L,Табель!V23,Учёт!$I:$I,AE$7)+SUMIFS(Учёт!$O:$O,Учёт!$L:$L,Табель!V23,Учёт!$J:$J,AE$7)+SUMIFS(Учёт!$O:$O,Учёт!$L:$L,Табель!V23,Учёт!$I:$I,AG$7)+SUMIFS(Учёт!$O:$O,Учёт!$L:$L,Табель!V23,Учёт!$J:$J,AG$7)+SUMIFS(Учёт!$O:$O,Учёт!$L:$L,Табель!V23,Учёт!$I:$I,AI$7)+SUMIFS(Учёт!$O:$O,Учёт!$L:$L,Табель!V23,Учёт!$J:$J,AI$7),0)</f>
        <v>0</v>
      </c>
      <c r="AM23" s="76"/>
      <c r="AN23" s="76"/>
    </row>
    <row r="24" spans="1:40" ht="47.45" customHeight="1">
      <c r="A24" s="67">
        <v>15</v>
      </c>
      <c r="B24" s="130" t="s">
        <v>144</v>
      </c>
      <c r="C24" s="72">
        <v>1</v>
      </c>
      <c r="D24" s="73"/>
      <c r="E24" s="72">
        <v>1</v>
      </c>
      <c r="F24" s="73"/>
      <c r="G24" s="72"/>
      <c r="H24" s="73"/>
      <c r="I24" s="72">
        <v>1</v>
      </c>
      <c r="J24" s="73"/>
      <c r="K24" s="72">
        <v>1</v>
      </c>
      <c r="L24" s="73"/>
      <c r="M24" s="72"/>
      <c r="N24" s="73">
        <v>2</v>
      </c>
      <c r="O24" s="72"/>
      <c r="P24" s="73">
        <v>2</v>
      </c>
      <c r="Q24" s="76">
        <f t="shared" si="8"/>
        <v>4</v>
      </c>
      <c r="R24" s="87">
        <f>ROUNDUP(SUMIFS(Учёт!$O:$O,Учёт!$L:$L,Табель!B24,Учёт!$I:$I,C$7)+SUMIFS(Учёт!$O:$O,Учёт!$L:$L,Табель!B24,Учёт!$J:$J,C$7)+SUMIFS(Учёт!$O:$O,Учёт!$L:$L,Табель!B24,Учёт!$I:$I,E$7)+SUMIFS(Учёт!$O:$O,Учёт!$L:$L,Табель!B24,Учёт!$J:$J,E$7)+SUMIFS(Учёт!$O:$O,Учёт!$L:$L,Табель!B24,Учёт!$I:$I,G$7)+SUMIFS(Учёт!$O:$O,Учёт!$L:$L,Табель!B24,Учёт!$J:$J,G$7)+SUMIFS(Учёт!$O:$O,Учёт!$L:$L,Табель!B24,Учёт!$I:$I,I$7)+SUMIFS(Учёт!$O:$O,Учёт!$L:$L,Табель!B24,Учёт!$J:$J,I$7)+SUMIFS(Учёт!$O:$O,Учёт!$L:$L,Табель!B24,Учёт!$I:$I,K$7)+SUMIFS(Учёт!$O:$O,Учёт!$L:$L,Табель!B24,Учёт!$J:$J,K$7)+SUMIFS(Учёт!$O:$O,Учёт!$L:$L,Табель!B24,Учёт!$I:$I,M$7)+SUMIFS(Учёт!$O:$O,Учёт!$L:$L,Табель!B24,Учёт!$J:$J,M$7)+SUMIFS(Учёт!$O:$O,Учёт!$L:$L,Табель!B24,Учёт!$I:$I,O$7)+SUMIFS(Учёт!$O:$O,Учёт!$L:$L,Табель!B24,Учёт!$J:$J,O$7),0)</f>
        <v>0</v>
      </c>
      <c r="S24" s="76"/>
      <c r="T24" s="76"/>
      <c r="U24" s="67">
        <v>15</v>
      </c>
      <c r="V24" s="130"/>
      <c r="W24" s="72"/>
      <c r="X24" s="73"/>
      <c r="Y24" s="72"/>
      <c r="Z24" s="73"/>
      <c r="AA24" s="72"/>
      <c r="AB24" s="73"/>
      <c r="AC24" s="72"/>
      <c r="AD24" s="73"/>
      <c r="AE24" s="72"/>
      <c r="AF24" s="73"/>
      <c r="AG24" s="72"/>
      <c r="AH24" s="73"/>
      <c r="AI24" s="72"/>
      <c r="AJ24" s="73"/>
      <c r="AK24" s="76">
        <f t="shared" si="9"/>
        <v>0</v>
      </c>
      <c r="AL24" s="87">
        <f>ROUNDUP(SUMIFS(Учёт!$O:$O,Учёт!$L:$L,Табель!V24,Учёт!$I:$I,W$7)+SUMIFS(Учёт!$O:$O,Учёт!$L:$L,Табель!V24,Учёт!$J:$J,W$7)+SUMIFS(Учёт!$O:$O,Учёт!$L:$L,Табель!V24,Учёт!$I:$I,Y$7)+SUMIFS(Учёт!$O:$O,Учёт!$L:$L,Табель!V24,Учёт!$J:$J,Y$7)+SUMIFS(Учёт!$O:$O,Учёт!$L:$L,Табель!V24,Учёт!$I:$I,AA$7)+SUMIFS(Учёт!$O:$O,Учёт!$L:$L,Табель!V24,Учёт!$J:$J,AA$7)+SUMIFS(Учёт!$O:$O,Учёт!$L:$L,Табель!V24,Учёт!$I:$I,AC$7)+SUMIFS(Учёт!$O:$O,Учёт!$L:$L,Табель!V24,Учёт!$J:$J,AC$7)+SUMIFS(Учёт!$O:$O,Учёт!$L:$L,Табель!V24,Учёт!$I:$I,AE$7)+SUMIFS(Учёт!$O:$O,Учёт!$L:$L,Табель!V24,Учёт!$J:$J,AE$7)+SUMIFS(Учёт!$O:$O,Учёт!$L:$L,Табель!V24,Учёт!$I:$I,AG$7)+SUMIFS(Учёт!$O:$O,Учёт!$L:$L,Табель!V24,Учёт!$J:$J,AG$7)+SUMIFS(Учёт!$O:$O,Учёт!$L:$L,Табель!V24,Учёт!$I:$I,AI$7)+SUMIFS(Учёт!$O:$O,Учёт!$L:$L,Табель!V24,Учёт!$J:$J,AI$7),0)</f>
        <v>0</v>
      </c>
      <c r="AM24" s="76"/>
      <c r="AN24" s="76"/>
    </row>
    <row r="25" spans="1:40" ht="47.45" customHeight="1">
      <c r="A25" s="67">
        <v>16</v>
      </c>
      <c r="B25" s="77" t="s">
        <v>152</v>
      </c>
      <c r="C25" s="72">
        <v>4</v>
      </c>
      <c r="D25" s="73"/>
      <c r="E25" s="72"/>
      <c r="F25" s="73">
        <v>1</v>
      </c>
      <c r="G25" s="72"/>
      <c r="H25" s="73"/>
      <c r="I25" s="72">
        <v>1</v>
      </c>
      <c r="J25" s="73"/>
      <c r="K25" s="72"/>
      <c r="L25" s="73">
        <v>1</v>
      </c>
      <c r="M25" s="72"/>
      <c r="N25" s="73"/>
      <c r="O25" s="72">
        <v>1</v>
      </c>
      <c r="P25" s="73"/>
      <c r="Q25" s="76">
        <f t="shared" si="8"/>
        <v>4</v>
      </c>
      <c r="R25" s="87">
        <f>ROUNDUP(SUMIFS(Учёт!$O:$O,Учёт!$L:$L,Табель!B25,Учёт!$I:$I,C$7)+SUMIFS(Учёт!$O:$O,Учёт!$L:$L,Табель!B25,Учёт!$J:$J,C$7)+SUMIFS(Учёт!$O:$O,Учёт!$L:$L,Табель!B25,Учёт!$I:$I,E$7)+SUMIFS(Учёт!$O:$O,Учёт!$L:$L,Табель!B25,Учёт!$J:$J,E$7)+SUMIFS(Учёт!$O:$O,Учёт!$L:$L,Табель!B25,Учёт!$I:$I,G$7)+SUMIFS(Учёт!$O:$O,Учёт!$L:$L,Табель!B25,Учёт!$J:$J,G$7)+SUMIFS(Учёт!$O:$O,Учёт!$L:$L,Табель!B25,Учёт!$I:$I,I$7)+SUMIFS(Учёт!$O:$O,Учёт!$L:$L,Табель!B25,Учёт!$J:$J,I$7)+SUMIFS(Учёт!$O:$O,Учёт!$L:$L,Табель!B25,Учёт!$I:$I,K$7)+SUMIFS(Учёт!$O:$O,Учёт!$L:$L,Табель!B25,Учёт!$J:$J,K$7)+SUMIFS(Учёт!$O:$O,Учёт!$L:$L,Табель!B25,Учёт!$I:$I,M$7)+SUMIFS(Учёт!$O:$O,Учёт!$L:$L,Табель!B25,Учёт!$J:$J,M$7)+SUMIFS(Учёт!$O:$O,Учёт!$L:$L,Табель!B25,Учёт!$I:$I,O$7)+SUMIFS(Учёт!$O:$O,Учёт!$L:$L,Табель!B25,Учёт!$J:$J,O$7),0)</f>
        <v>0</v>
      </c>
      <c r="S25" s="76"/>
      <c r="T25" s="76"/>
      <c r="U25" s="67">
        <v>16</v>
      </c>
      <c r="V25" s="77"/>
      <c r="W25" s="72"/>
      <c r="X25" s="73"/>
      <c r="Y25" s="72"/>
      <c r="Z25" s="73"/>
      <c r="AA25" s="72"/>
      <c r="AB25" s="73"/>
      <c r="AC25" s="72"/>
      <c r="AD25" s="73"/>
      <c r="AE25" s="72"/>
      <c r="AF25" s="73"/>
      <c r="AG25" s="72"/>
      <c r="AH25" s="73"/>
      <c r="AI25" s="72"/>
      <c r="AJ25" s="73"/>
      <c r="AK25" s="76">
        <f t="shared" si="9"/>
        <v>0</v>
      </c>
      <c r="AL25" s="87">
        <f>ROUNDUP(SUMIFS(Учёт!$O:$O,Учёт!$L:$L,Табель!V25,Учёт!$I:$I,W$7)+SUMIFS(Учёт!$O:$O,Учёт!$L:$L,Табель!V25,Учёт!$J:$J,W$7)+SUMIFS(Учёт!$O:$O,Учёт!$L:$L,Табель!V25,Учёт!$I:$I,Y$7)+SUMIFS(Учёт!$O:$O,Учёт!$L:$L,Табель!V25,Учёт!$J:$J,Y$7)+SUMIFS(Учёт!$O:$O,Учёт!$L:$L,Табель!V25,Учёт!$I:$I,AA$7)+SUMIFS(Учёт!$O:$O,Учёт!$L:$L,Табель!V25,Учёт!$J:$J,AA$7)+SUMIFS(Учёт!$O:$O,Учёт!$L:$L,Табель!V25,Учёт!$I:$I,AC$7)+SUMIFS(Учёт!$O:$O,Учёт!$L:$L,Табель!V25,Учёт!$J:$J,AC$7)+SUMIFS(Учёт!$O:$O,Учёт!$L:$L,Табель!V25,Учёт!$I:$I,AE$7)+SUMIFS(Учёт!$O:$O,Учёт!$L:$L,Табель!V25,Учёт!$J:$J,AE$7)+SUMIFS(Учёт!$O:$O,Учёт!$L:$L,Табель!V25,Учёт!$I:$I,AG$7)+SUMIFS(Учёт!$O:$O,Учёт!$L:$L,Табель!V25,Учёт!$J:$J,AG$7)+SUMIFS(Учёт!$O:$O,Учёт!$L:$L,Табель!V25,Учёт!$I:$I,AI$7)+SUMIFS(Учёт!$O:$O,Учёт!$L:$L,Табель!V25,Учёт!$J:$J,AI$7),0)</f>
        <v>0</v>
      </c>
      <c r="AM25" s="76"/>
      <c r="AN25" s="76"/>
    </row>
    <row r="26" spans="1:40" ht="47.45" customHeight="1">
      <c r="A26" s="67">
        <v>17</v>
      </c>
      <c r="B26" s="142" t="s">
        <v>145</v>
      </c>
      <c r="C26" s="72"/>
      <c r="D26" s="73"/>
      <c r="E26" s="72"/>
      <c r="F26" s="73"/>
      <c r="G26" s="72"/>
      <c r="H26" s="73"/>
      <c r="I26" s="72"/>
      <c r="J26" s="73">
        <v>2</v>
      </c>
      <c r="K26" s="72"/>
      <c r="L26" s="73">
        <v>2</v>
      </c>
      <c r="M26" s="72"/>
      <c r="N26" s="73"/>
      <c r="O26" s="72"/>
      <c r="P26" s="73"/>
      <c r="Q26" s="76">
        <f t="shared" si="8"/>
        <v>0</v>
      </c>
      <c r="R26" s="87">
        <f>ROUNDUP(SUMIFS(Учёт!$O:$O,Учёт!$L:$L,Табель!B26,Учёт!$I:$I,C$7)+SUMIFS(Учёт!$O:$O,Учёт!$L:$L,Табель!B26,Учёт!$J:$J,C$7)+SUMIFS(Учёт!$O:$O,Учёт!$L:$L,Табель!B26,Учёт!$I:$I,E$7)+SUMIFS(Учёт!$O:$O,Учёт!$L:$L,Табель!B26,Учёт!$J:$J,E$7)+SUMIFS(Учёт!$O:$O,Учёт!$L:$L,Табель!B26,Учёт!$I:$I,G$7)+SUMIFS(Учёт!$O:$O,Учёт!$L:$L,Табель!B26,Учёт!$J:$J,G$7)+SUMIFS(Учёт!$O:$O,Учёт!$L:$L,Табель!B26,Учёт!$I:$I,I$7)+SUMIFS(Учёт!$O:$O,Учёт!$L:$L,Табель!B26,Учёт!$J:$J,I$7)+SUMIFS(Учёт!$O:$O,Учёт!$L:$L,Табель!B26,Учёт!$I:$I,K$7)+SUMIFS(Учёт!$O:$O,Учёт!$L:$L,Табель!B26,Учёт!$J:$J,K$7)+SUMIFS(Учёт!$O:$O,Учёт!$L:$L,Табель!B26,Учёт!$I:$I,M$7)+SUMIFS(Учёт!$O:$O,Учёт!$L:$L,Табель!B26,Учёт!$J:$J,M$7)+SUMIFS(Учёт!$O:$O,Учёт!$L:$L,Табель!B26,Учёт!$I:$I,O$7)+SUMIFS(Учёт!$O:$O,Учёт!$L:$L,Табель!B26,Учёт!$J:$J,O$7),0)</f>
        <v>0</v>
      </c>
      <c r="S26" s="76"/>
      <c r="T26" s="76"/>
      <c r="U26" s="67">
        <v>17</v>
      </c>
      <c r="V26" s="142"/>
      <c r="W26" s="72"/>
      <c r="X26" s="73"/>
      <c r="Y26" s="72"/>
      <c r="Z26" s="73"/>
      <c r="AA26" s="72"/>
      <c r="AB26" s="73"/>
      <c r="AC26" s="72"/>
      <c r="AD26" s="73"/>
      <c r="AE26" s="72"/>
      <c r="AF26" s="73"/>
      <c r="AG26" s="72"/>
      <c r="AH26" s="73"/>
      <c r="AI26" s="72"/>
      <c r="AJ26" s="73"/>
      <c r="AK26" s="76">
        <f t="shared" si="9"/>
        <v>0</v>
      </c>
      <c r="AL26" s="87">
        <f>ROUNDUP(SUMIFS(Учёт!$O:$O,Учёт!$L:$L,Табель!V26,Учёт!$I:$I,W$7)+SUMIFS(Учёт!$O:$O,Учёт!$L:$L,Табель!V26,Учёт!$J:$J,W$7)+SUMIFS(Учёт!$O:$O,Учёт!$L:$L,Табель!V26,Учёт!$I:$I,Y$7)+SUMIFS(Учёт!$O:$O,Учёт!$L:$L,Табель!V26,Учёт!$J:$J,Y$7)+SUMIFS(Учёт!$O:$O,Учёт!$L:$L,Табель!V26,Учёт!$I:$I,AA$7)+SUMIFS(Учёт!$O:$O,Учёт!$L:$L,Табель!V26,Учёт!$J:$J,AA$7)+SUMIFS(Учёт!$O:$O,Учёт!$L:$L,Табель!V26,Учёт!$I:$I,AC$7)+SUMIFS(Учёт!$O:$O,Учёт!$L:$L,Табель!V26,Учёт!$J:$J,AC$7)+SUMIFS(Учёт!$O:$O,Учёт!$L:$L,Табель!V26,Учёт!$I:$I,AE$7)+SUMIFS(Учёт!$O:$O,Учёт!$L:$L,Табель!V26,Учёт!$J:$J,AE$7)+SUMIFS(Учёт!$O:$O,Учёт!$L:$L,Табель!V26,Учёт!$I:$I,AG$7)+SUMIFS(Учёт!$O:$O,Учёт!$L:$L,Табель!V26,Учёт!$J:$J,AG$7)+SUMIFS(Учёт!$O:$O,Учёт!$L:$L,Табель!V26,Учёт!$I:$I,AI$7)+SUMIFS(Учёт!$O:$O,Учёт!$L:$L,Табель!V26,Учёт!$J:$J,AI$7),0)</f>
        <v>0</v>
      </c>
      <c r="AM26" s="76"/>
      <c r="AN26" s="76"/>
    </row>
    <row r="27" spans="1:40" ht="47.45" customHeight="1">
      <c r="A27" s="67">
        <v>18</v>
      </c>
      <c r="B27" s="78" t="s">
        <v>99</v>
      </c>
      <c r="C27" s="72">
        <v>3</v>
      </c>
      <c r="D27" s="73">
        <v>4</v>
      </c>
      <c r="E27" s="72">
        <v>4</v>
      </c>
      <c r="F27" s="73">
        <v>4</v>
      </c>
      <c r="G27" s="72">
        <v>2</v>
      </c>
      <c r="H27" s="73">
        <v>4</v>
      </c>
      <c r="I27" s="72">
        <v>4</v>
      </c>
      <c r="J27" s="73">
        <v>4</v>
      </c>
      <c r="K27" s="72">
        <v>3</v>
      </c>
      <c r="L27" s="73">
        <v>4</v>
      </c>
      <c r="M27" s="72">
        <v>4</v>
      </c>
      <c r="N27" s="73">
        <v>4</v>
      </c>
      <c r="O27" s="72">
        <v>2</v>
      </c>
      <c r="P27" s="73">
        <v>4</v>
      </c>
      <c r="Q27" s="76">
        <f t="shared" si="8"/>
        <v>0</v>
      </c>
      <c r="R27" s="87">
        <f>ROUNDUP(SUMIFS(Учёт!$O:$O,Учёт!$L:$L,Табель!B27,Учёт!$I:$I,C$7)+SUMIFS(Учёт!$O:$O,Учёт!$L:$L,Табель!B27,Учёт!$J:$J,C$7)+SUMIFS(Учёт!$O:$O,Учёт!$L:$L,Табель!B27,Учёт!$I:$I,E$7)+SUMIFS(Учёт!$O:$O,Учёт!$L:$L,Табель!B27,Учёт!$J:$J,E$7)+SUMIFS(Учёт!$O:$O,Учёт!$L:$L,Табель!B27,Учёт!$I:$I,G$7)+SUMIFS(Учёт!$O:$O,Учёт!$L:$L,Табель!B27,Учёт!$J:$J,G$7)+SUMIFS(Учёт!$O:$O,Учёт!$L:$L,Табель!B27,Учёт!$I:$I,I$7)+SUMIFS(Учёт!$O:$O,Учёт!$L:$L,Табель!B27,Учёт!$J:$J,I$7)+SUMIFS(Учёт!$O:$O,Учёт!$L:$L,Табель!B27,Учёт!$I:$I,K$7)+SUMIFS(Учёт!$O:$O,Учёт!$L:$L,Табель!B27,Учёт!$J:$J,K$7)+SUMIFS(Учёт!$O:$O,Учёт!$L:$L,Табель!B27,Учёт!$I:$I,M$7)+SUMIFS(Учёт!$O:$O,Учёт!$L:$L,Табель!B27,Учёт!$J:$J,M$7)+SUMIFS(Учёт!$O:$O,Учёт!$L:$L,Табель!B27,Учёт!$I:$I,O$7)+SUMIFS(Учёт!$O:$O,Учёт!$L:$L,Табель!B27,Учёт!$J:$J,O$7),0)</f>
        <v>0</v>
      </c>
      <c r="S27" s="76"/>
      <c r="T27" s="76"/>
      <c r="U27" s="67">
        <v>18</v>
      </c>
      <c r="V27" s="78"/>
      <c r="W27" s="72"/>
      <c r="X27" s="73"/>
      <c r="Y27" s="72"/>
      <c r="Z27" s="73"/>
      <c r="AA27" s="72"/>
      <c r="AB27" s="73"/>
      <c r="AC27" s="72"/>
      <c r="AD27" s="73"/>
      <c r="AE27" s="72"/>
      <c r="AF27" s="73"/>
      <c r="AG27" s="72"/>
      <c r="AH27" s="73"/>
      <c r="AI27" s="72"/>
      <c r="AJ27" s="73"/>
      <c r="AK27" s="76">
        <f t="shared" si="9"/>
        <v>0</v>
      </c>
      <c r="AL27" s="87">
        <f>ROUNDUP(SUMIFS(Учёт!$O:$O,Учёт!$L:$L,Табель!V27,Учёт!$I:$I,W$7)+SUMIFS(Учёт!$O:$O,Учёт!$L:$L,Табель!V27,Учёт!$J:$J,W$7)+SUMIFS(Учёт!$O:$O,Учёт!$L:$L,Табель!V27,Учёт!$I:$I,Y$7)+SUMIFS(Учёт!$O:$O,Учёт!$L:$L,Табель!V27,Учёт!$J:$J,Y$7)+SUMIFS(Учёт!$O:$O,Учёт!$L:$L,Табель!V27,Учёт!$I:$I,AA$7)+SUMIFS(Учёт!$O:$O,Учёт!$L:$L,Табель!V27,Учёт!$J:$J,AA$7)+SUMIFS(Учёт!$O:$O,Учёт!$L:$L,Табель!V27,Учёт!$I:$I,AC$7)+SUMIFS(Учёт!$O:$O,Учёт!$L:$L,Табель!V27,Учёт!$J:$J,AC$7)+SUMIFS(Учёт!$O:$O,Учёт!$L:$L,Табель!V27,Учёт!$I:$I,AE$7)+SUMIFS(Учёт!$O:$O,Учёт!$L:$L,Табель!V27,Учёт!$J:$J,AE$7)+SUMIFS(Учёт!$O:$O,Учёт!$L:$L,Табель!V27,Учёт!$I:$I,AG$7)+SUMIFS(Учёт!$O:$O,Учёт!$L:$L,Табель!V27,Учёт!$J:$J,AG$7)+SUMIFS(Учёт!$O:$O,Учёт!$L:$L,Табель!V27,Учёт!$I:$I,AI$7)+SUMIFS(Учёт!$O:$O,Учёт!$L:$L,Табель!V27,Учёт!$J:$J,AI$7),0)</f>
        <v>0</v>
      </c>
      <c r="AM27" s="76"/>
      <c r="AN27" s="76"/>
    </row>
    <row r="28" spans="1:40" ht="47.45" customHeight="1">
      <c r="A28" s="67">
        <v>19</v>
      </c>
      <c r="B28" s="78" t="s">
        <v>98</v>
      </c>
      <c r="C28" s="72"/>
      <c r="D28" s="73">
        <v>4</v>
      </c>
      <c r="E28" s="72">
        <v>4</v>
      </c>
      <c r="F28" s="73">
        <v>4</v>
      </c>
      <c r="G28" s="72">
        <v>4</v>
      </c>
      <c r="H28" s="73">
        <v>4</v>
      </c>
      <c r="I28" s="72">
        <v>4</v>
      </c>
      <c r="J28" s="73">
        <v>4</v>
      </c>
      <c r="K28" s="72">
        <v>4</v>
      </c>
      <c r="L28" s="73">
        <v>4</v>
      </c>
      <c r="M28" s="72">
        <v>4</v>
      </c>
      <c r="N28" s="73">
        <v>4</v>
      </c>
      <c r="O28" s="72">
        <v>4</v>
      </c>
      <c r="P28" s="73">
        <v>4</v>
      </c>
      <c r="Q28" s="76">
        <f t="shared" si="8"/>
        <v>0</v>
      </c>
      <c r="R28" s="87">
        <f>ROUNDUP(SUMIFS(Учёт!$O:$O,Учёт!$L:$L,Табель!B28,Учёт!$I:$I,C$7)+SUMIFS(Учёт!$O:$O,Учёт!$L:$L,Табель!B28,Учёт!$J:$J,C$7)+SUMIFS(Учёт!$O:$O,Учёт!$L:$L,Табель!B28,Учёт!$I:$I,E$7)+SUMIFS(Учёт!$O:$O,Учёт!$L:$L,Табель!B28,Учёт!$J:$J,E$7)+SUMIFS(Учёт!$O:$O,Учёт!$L:$L,Табель!B28,Учёт!$I:$I,G$7)+SUMIFS(Учёт!$O:$O,Учёт!$L:$L,Табель!B28,Учёт!$J:$J,G$7)+SUMIFS(Учёт!$O:$O,Учёт!$L:$L,Табель!B28,Учёт!$I:$I,I$7)+SUMIFS(Учёт!$O:$O,Учёт!$L:$L,Табель!B28,Учёт!$J:$J,I$7)+SUMIFS(Учёт!$O:$O,Учёт!$L:$L,Табель!B28,Учёт!$I:$I,K$7)+SUMIFS(Учёт!$O:$O,Учёт!$L:$L,Табель!B28,Учёт!$J:$J,K$7)+SUMIFS(Учёт!$O:$O,Учёт!$L:$L,Табель!B28,Учёт!$I:$I,M$7)+SUMIFS(Учёт!$O:$O,Учёт!$L:$L,Табель!B28,Учёт!$J:$J,M$7)+SUMIFS(Учёт!$O:$O,Учёт!$L:$L,Табель!B28,Учёт!$I:$I,O$7)+SUMIFS(Учёт!$O:$O,Учёт!$L:$L,Табель!B28,Учёт!$J:$J,O$7),0)</f>
        <v>0</v>
      </c>
      <c r="S28" s="76"/>
      <c r="T28" s="76"/>
      <c r="U28" s="67">
        <v>19</v>
      </c>
      <c r="V28" s="78"/>
      <c r="W28" s="72"/>
      <c r="X28" s="73"/>
      <c r="Y28" s="72"/>
      <c r="Z28" s="73"/>
      <c r="AA28" s="72"/>
      <c r="AB28" s="73"/>
      <c r="AC28" s="72"/>
      <c r="AD28" s="73"/>
      <c r="AE28" s="72"/>
      <c r="AF28" s="73"/>
      <c r="AG28" s="72"/>
      <c r="AH28" s="73"/>
      <c r="AI28" s="72"/>
      <c r="AJ28" s="73"/>
      <c r="AK28" s="76">
        <f t="shared" si="9"/>
        <v>0</v>
      </c>
      <c r="AL28" s="87">
        <f>ROUNDUP(SUMIFS(Учёт!$O:$O,Учёт!$L:$L,Табель!V28,Учёт!$I:$I,W$7)+SUMIFS(Учёт!$O:$O,Учёт!$L:$L,Табель!V28,Учёт!$J:$J,W$7)+SUMIFS(Учёт!$O:$O,Учёт!$L:$L,Табель!V28,Учёт!$I:$I,Y$7)+SUMIFS(Учёт!$O:$O,Учёт!$L:$L,Табель!V28,Учёт!$J:$J,Y$7)+SUMIFS(Учёт!$O:$O,Учёт!$L:$L,Табель!V28,Учёт!$I:$I,AA$7)+SUMIFS(Учёт!$O:$O,Учёт!$L:$L,Табель!V28,Учёт!$J:$J,AA$7)+SUMIFS(Учёт!$O:$O,Учёт!$L:$L,Табель!V28,Учёт!$I:$I,AC$7)+SUMIFS(Учёт!$O:$O,Учёт!$L:$L,Табель!V28,Учёт!$J:$J,AC$7)+SUMIFS(Учёт!$O:$O,Учёт!$L:$L,Табель!V28,Учёт!$I:$I,AE$7)+SUMIFS(Учёт!$O:$O,Учёт!$L:$L,Табель!V28,Учёт!$J:$J,AE$7)+SUMIFS(Учёт!$O:$O,Учёт!$L:$L,Табель!V28,Учёт!$I:$I,AG$7)+SUMIFS(Учёт!$O:$O,Учёт!$L:$L,Табель!V28,Учёт!$J:$J,AG$7)+SUMIFS(Учёт!$O:$O,Учёт!$L:$L,Табель!V28,Учёт!$I:$I,AI$7)+SUMIFS(Учёт!$O:$O,Учёт!$L:$L,Табель!V28,Учёт!$J:$J,AI$7),0)</f>
        <v>0</v>
      </c>
      <c r="AM28" s="76"/>
      <c r="AN28" s="76"/>
    </row>
    <row r="29" spans="1:40" ht="47.45" customHeight="1">
      <c r="A29" s="67">
        <v>20</v>
      </c>
      <c r="B29" s="78" t="s">
        <v>146</v>
      </c>
      <c r="C29" s="72">
        <v>4</v>
      </c>
      <c r="D29" s="73">
        <v>4</v>
      </c>
      <c r="E29" s="72">
        <v>4</v>
      </c>
      <c r="F29" s="73">
        <v>4</v>
      </c>
      <c r="G29" s="72">
        <v>2</v>
      </c>
      <c r="H29" s="73">
        <v>2</v>
      </c>
      <c r="I29" s="72">
        <v>2</v>
      </c>
      <c r="J29" s="73"/>
      <c r="K29" s="72">
        <v>4</v>
      </c>
      <c r="L29" s="73">
        <v>4</v>
      </c>
      <c r="M29" s="72">
        <v>4</v>
      </c>
      <c r="N29" s="73">
        <v>4</v>
      </c>
      <c r="O29" s="72">
        <v>2</v>
      </c>
      <c r="P29" s="73">
        <v>2</v>
      </c>
      <c r="Q29" s="76">
        <f t="shared" si="8"/>
        <v>0</v>
      </c>
      <c r="R29" s="87">
        <f>ROUNDUP(SUMIFS(Учёт!$O:$O,Учёт!$L:$L,Табель!B29,Учёт!$I:$I,C$7)+SUMIFS(Учёт!$O:$O,Учёт!$L:$L,Табель!B29,Учёт!$J:$J,C$7)+SUMIFS(Учёт!$O:$O,Учёт!$L:$L,Табель!B29,Учёт!$I:$I,E$7)+SUMIFS(Учёт!$O:$O,Учёт!$L:$L,Табель!B29,Учёт!$J:$J,E$7)+SUMIFS(Учёт!$O:$O,Учёт!$L:$L,Табель!B29,Учёт!$I:$I,G$7)+SUMIFS(Учёт!$O:$O,Учёт!$L:$L,Табель!B29,Учёт!$J:$J,G$7)+SUMIFS(Учёт!$O:$O,Учёт!$L:$L,Табель!B29,Учёт!$I:$I,I$7)+SUMIFS(Учёт!$O:$O,Учёт!$L:$L,Табель!B29,Учёт!$J:$J,I$7)+SUMIFS(Учёт!$O:$O,Учёт!$L:$L,Табель!B29,Учёт!$I:$I,K$7)+SUMIFS(Учёт!$O:$O,Учёт!$L:$L,Табель!B29,Учёт!$J:$J,K$7)+SUMIFS(Учёт!$O:$O,Учёт!$L:$L,Табель!B29,Учёт!$I:$I,M$7)+SUMIFS(Учёт!$O:$O,Учёт!$L:$L,Табель!B29,Учёт!$J:$J,M$7)+SUMIFS(Учёт!$O:$O,Учёт!$L:$L,Табель!B29,Учёт!$I:$I,O$7)+SUMIFS(Учёт!$O:$O,Учёт!$L:$L,Табель!B29,Учёт!$J:$J,O$7),0)</f>
        <v>0</v>
      </c>
      <c r="S29" s="76"/>
      <c r="T29" s="76"/>
      <c r="U29" s="67">
        <v>20</v>
      </c>
      <c r="V29" s="78"/>
      <c r="W29" s="72"/>
      <c r="X29" s="73"/>
      <c r="Y29" s="72"/>
      <c r="Z29" s="73"/>
      <c r="AA29" s="72"/>
      <c r="AB29" s="73"/>
      <c r="AC29" s="72"/>
      <c r="AD29" s="73"/>
      <c r="AE29" s="72"/>
      <c r="AF29" s="73"/>
      <c r="AG29" s="72"/>
      <c r="AH29" s="73"/>
      <c r="AI29" s="72"/>
      <c r="AJ29" s="73"/>
      <c r="AK29" s="76">
        <f t="shared" si="9"/>
        <v>0</v>
      </c>
      <c r="AL29" s="87">
        <f>ROUNDUP(SUMIFS(Учёт!$O:$O,Учёт!$L:$L,Табель!V29,Учёт!$I:$I,W$7)+SUMIFS(Учёт!$O:$O,Учёт!$L:$L,Табель!V29,Учёт!$J:$J,W$7)+SUMIFS(Учёт!$O:$O,Учёт!$L:$L,Табель!V29,Учёт!$I:$I,Y$7)+SUMIFS(Учёт!$O:$O,Учёт!$L:$L,Табель!V29,Учёт!$J:$J,Y$7)+SUMIFS(Учёт!$O:$O,Учёт!$L:$L,Табель!V29,Учёт!$I:$I,AA$7)+SUMIFS(Учёт!$O:$O,Учёт!$L:$L,Табель!V29,Учёт!$J:$J,AA$7)+SUMIFS(Учёт!$O:$O,Учёт!$L:$L,Табель!V29,Учёт!$I:$I,AC$7)+SUMIFS(Учёт!$O:$O,Учёт!$L:$L,Табель!V29,Учёт!$J:$J,AC$7)+SUMIFS(Учёт!$O:$O,Учёт!$L:$L,Табель!V29,Учёт!$I:$I,AE$7)+SUMIFS(Учёт!$O:$O,Учёт!$L:$L,Табель!V29,Учёт!$J:$J,AE$7)+SUMIFS(Учёт!$O:$O,Учёт!$L:$L,Табель!V29,Учёт!$I:$I,AG$7)+SUMIFS(Учёт!$O:$O,Учёт!$L:$L,Табель!V29,Учёт!$J:$J,AG$7)+SUMIFS(Учёт!$O:$O,Учёт!$L:$L,Табель!V29,Учёт!$I:$I,AI$7)+SUMIFS(Учёт!$O:$O,Учёт!$L:$L,Табель!V29,Учёт!$J:$J,AI$7),0)</f>
        <v>0</v>
      </c>
      <c r="AM29" s="76"/>
      <c r="AN29" s="76"/>
    </row>
    <row r="30" spans="1:40" ht="47.45" customHeight="1">
      <c r="A30" s="67">
        <v>21</v>
      </c>
      <c r="B30" s="130" t="s">
        <v>137</v>
      </c>
      <c r="C30" s="72"/>
      <c r="D30" s="73"/>
      <c r="E30" s="72"/>
      <c r="F30" s="73">
        <v>1</v>
      </c>
      <c r="G30" s="72"/>
      <c r="H30" s="73">
        <v>1</v>
      </c>
      <c r="I30" s="72"/>
      <c r="J30" s="73">
        <v>2</v>
      </c>
      <c r="K30" s="72"/>
      <c r="L30" s="73">
        <v>1</v>
      </c>
      <c r="M30" s="72"/>
      <c r="N30" s="73"/>
      <c r="O30" s="72"/>
      <c r="P30" s="73">
        <v>1</v>
      </c>
      <c r="Q30" s="76">
        <f t="shared" si="8"/>
        <v>4</v>
      </c>
      <c r="R30" s="87">
        <f>ROUNDUP(SUMIFS(Учёт!$O:$O,Учёт!$L:$L,Табель!B30,Учёт!$I:$I,C$7)+SUMIFS(Учёт!$O:$O,Учёт!$L:$L,Табель!B30,Учёт!$J:$J,C$7)+SUMIFS(Учёт!$O:$O,Учёт!$L:$L,Табель!B30,Учёт!$I:$I,E$7)+SUMIFS(Учёт!$O:$O,Учёт!$L:$L,Табель!B30,Учёт!$J:$J,E$7)+SUMIFS(Учёт!$O:$O,Учёт!$L:$L,Табель!B30,Учёт!$I:$I,G$7)+SUMIFS(Учёт!$O:$O,Учёт!$L:$L,Табель!B30,Учёт!$J:$J,G$7)+SUMIFS(Учёт!$O:$O,Учёт!$L:$L,Табель!B30,Учёт!$I:$I,I$7)+SUMIFS(Учёт!$O:$O,Учёт!$L:$L,Табель!B30,Учёт!$J:$J,I$7)+SUMIFS(Учёт!$O:$O,Учёт!$L:$L,Табель!B30,Учёт!$I:$I,K$7)+SUMIFS(Учёт!$O:$O,Учёт!$L:$L,Табель!B30,Учёт!$J:$J,K$7)+SUMIFS(Учёт!$O:$O,Учёт!$L:$L,Табель!B30,Учёт!$I:$I,M$7)+SUMIFS(Учёт!$O:$O,Учёт!$L:$L,Табель!B30,Учёт!$J:$J,M$7)+SUMIFS(Учёт!$O:$O,Учёт!$L:$L,Табель!B30,Учёт!$I:$I,O$7)+SUMIFS(Учёт!$O:$O,Учёт!$L:$L,Табель!B30,Учёт!$J:$J,O$7),0)</f>
        <v>0</v>
      </c>
      <c r="S30" s="76"/>
      <c r="T30" s="76"/>
      <c r="U30" s="67">
        <v>21</v>
      </c>
      <c r="V30" s="130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6">
        <f t="shared" si="9"/>
        <v>0</v>
      </c>
      <c r="AL30" s="87">
        <f>ROUNDUP(SUMIFS(Учёт!$O:$O,Учёт!$L:$L,Табель!V30,Учёт!$I:$I,W$7)+SUMIFS(Учёт!$O:$O,Учёт!$L:$L,Табель!V30,Учёт!$J:$J,W$7)+SUMIFS(Учёт!$O:$O,Учёт!$L:$L,Табель!V30,Учёт!$I:$I,Y$7)+SUMIFS(Учёт!$O:$O,Учёт!$L:$L,Табель!V30,Учёт!$J:$J,Y$7)+SUMIFS(Учёт!$O:$O,Учёт!$L:$L,Табель!V30,Учёт!$I:$I,AA$7)+SUMIFS(Учёт!$O:$O,Учёт!$L:$L,Табель!V30,Учёт!$J:$J,AA$7)+SUMIFS(Учёт!$O:$O,Учёт!$L:$L,Табель!V30,Учёт!$I:$I,AC$7)+SUMIFS(Учёт!$O:$O,Учёт!$L:$L,Табель!V30,Учёт!$J:$J,AC$7)+SUMIFS(Учёт!$O:$O,Учёт!$L:$L,Табель!V30,Учёт!$I:$I,AE$7)+SUMIFS(Учёт!$O:$O,Учёт!$L:$L,Табель!V30,Учёт!$J:$J,AE$7)+SUMIFS(Учёт!$O:$O,Учёт!$L:$L,Табель!V30,Учёт!$I:$I,AG$7)+SUMIFS(Учёт!$O:$O,Учёт!$L:$L,Табель!V30,Учёт!$J:$J,AG$7)+SUMIFS(Учёт!$O:$O,Учёт!$L:$L,Табель!V30,Учёт!$I:$I,AI$7)+SUMIFS(Учёт!$O:$O,Учёт!$L:$L,Табель!V30,Учёт!$J:$J,AI$7),0)</f>
        <v>0</v>
      </c>
      <c r="AM30" s="76"/>
      <c r="AN30" s="76"/>
    </row>
    <row r="31" spans="1:40" ht="47.45" customHeight="1">
      <c r="A31" s="67">
        <v>22</v>
      </c>
      <c r="B31" s="130" t="s">
        <v>157</v>
      </c>
      <c r="C31" s="72">
        <v>1</v>
      </c>
      <c r="D31" s="73"/>
      <c r="E31" s="72"/>
      <c r="F31" s="73"/>
      <c r="G31" s="72"/>
      <c r="H31" s="73"/>
      <c r="I31" s="72">
        <v>1</v>
      </c>
      <c r="J31" s="73"/>
      <c r="K31" s="72"/>
      <c r="L31" s="73"/>
      <c r="M31" s="72"/>
      <c r="N31" s="73"/>
      <c r="O31" s="72">
        <v>1</v>
      </c>
      <c r="P31" s="73"/>
      <c r="Q31" s="76">
        <f t="shared" si="8"/>
        <v>3</v>
      </c>
      <c r="R31" s="87">
        <f>ROUNDUP(SUMIFS(Учёт!$O:$O,Учёт!$L:$L,Табель!B31,Учёт!$I:$I,C$7)+SUMIFS(Учёт!$O:$O,Учёт!$L:$L,Табель!B31,Учёт!$J:$J,C$7)+SUMIFS(Учёт!$O:$O,Учёт!$L:$L,Табель!B31,Учёт!$I:$I,E$7)+SUMIFS(Учёт!$O:$O,Учёт!$L:$L,Табель!B31,Учёт!$J:$J,E$7)+SUMIFS(Учёт!$O:$O,Учёт!$L:$L,Табель!B31,Учёт!$I:$I,G$7)+SUMIFS(Учёт!$O:$O,Учёт!$L:$L,Табель!B31,Учёт!$J:$J,G$7)+SUMIFS(Учёт!$O:$O,Учёт!$L:$L,Табель!B31,Учёт!$I:$I,I$7)+SUMIFS(Учёт!$O:$O,Учёт!$L:$L,Табель!B31,Учёт!$J:$J,I$7)+SUMIFS(Учёт!$O:$O,Учёт!$L:$L,Табель!B31,Учёт!$I:$I,K$7)+SUMIFS(Учёт!$O:$O,Учёт!$L:$L,Табель!B31,Учёт!$J:$J,K$7)+SUMIFS(Учёт!$O:$O,Учёт!$L:$L,Табель!B31,Учёт!$I:$I,M$7)+SUMIFS(Учёт!$O:$O,Учёт!$L:$L,Табель!B31,Учёт!$J:$J,M$7)+SUMIFS(Учёт!$O:$O,Учёт!$L:$L,Табель!B31,Учёт!$I:$I,O$7)+SUMIFS(Учёт!$O:$O,Учёт!$L:$L,Табель!B31,Учёт!$J:$J,O$7),0)</f>
        <v>0</v>
      </c>
      <c r="S31" s="76"/>
      <c r="T31" s="76"/>
      <c r="U31" s="67">
        <v>22</v>
      </c>
      <c r="V31" s="130"/>
      <c r="W31" s="72"/>
      <c r="X31" s="73"/>
      <c r="Y31" s="72"/>
      <c r="Z31" s="73"/>
      <c r="AA31" s="72"/>
      <c r="AB31" s="73"/>
      <c r="AC31" s="72"/>
      <c r="AD31" s="73"/>
      <c r="AE31" s="72"/>
      <c r="AF31" s="73"/>
      <c r="AG31" s="72"/>
      <c r="AH31" s="73"/>
      <c r="AI31" s="72"/>
      <c r="AJ31" s="73"/>
      <c r="AK31" s="76">
        <f t="shared" si="9"/>
        <v>0</v>
      </c>
      <c r="AL31" s="87">
        <f>ROUNDUP(SUMIFS(Учёт!$O:$O,Учёт!$L:$L,Табель!V31,Учёт!$I:$I,W$7)+SUMIFS(Учёт!$O:$O,Учёт!$L:$L,Табель!V31,Учёт!$J:$J,W$7)+SUMIFS(Учёт!$O:$O,Учёт!$L:$L,Табель!V31,Учёт!$I:$I,Y$7)+SUMIFS(Учёт!$O:$O,Учёт!$L:$L,Табель!V31,Учёт!$J:$J,Y$7)+SUMIFS(Учёт!$O:$O,Учёт!$L:$L,Табель!V31,Учёт!$I:$I,AA$7)+SUMIFS(Учёт!$O:$O,Учёт!$L:$L,Табель!V31,Учёт!$J:$J,AA$7)+SUMIFS(Учёт!$O:$O,Учёт!$L:$L,Табель!V31,Учёт!$I:$I,AC$7)+SUMIFS(Учёт!$O:$O,Учёт!$L:$L,Табель!V31,Учёт!$J:$J,AC$7)+SUMIFS(Учёт!$O:$O,Учёт!$L:$L,Табель!V31,Учёт!$I:$I,AE$7)+SUMIFS(Учёт!$O:$O,Учёт!$L:$L,Табель!V31,Учёт!$J:$J,AE$7)+SUMIFS(Учёт!$O:$O,Учёт!$L:$L,Табель!V31,Учёт!$I:$I,AG$7)+SUMIFS(Учёт!$O:$O,Учёт!$L:$L,Табель!V31,Учёт!$J:$J,AG$7)+SUMIFS(Учёт!$O:$O,Учёт!$L:$L,Табель!V31,Учёт!$I:$I,AI$7)+SUMIFS(Учёт!$O:$O,Учёт!$L:$L,Табель!V31,Учёт!$J:$J,AI$7),0)</f>
        <v>0</v>
      </c>
      <c r="AM31" s="76"/>
      <c r="AN31" s="76"/>
    </row>
    <row r="32" spans="1:40" ht="47.45" customHeight="1">
      <c r="A32" s="67">
        <v>23</v>
      </c>
      <c r="B32" s="142" t="s">
        <v>148</v>
      </c>
      <c r="C32" s="72">
        <v>2</v>
      </c>
      <c r="D32" s="73"/>
      <c r="E32" s="72"/>
      <c r="F32" s="73"/>
      <c r="G32" s="72"/>
      <c r="H32" s="73"/>
      <c r="I32" s="72"/>
      <c r="J32" s="73"/>
      <c r="K32" s="72"/>
      <c r="L32" s="73"/>
      <c r="M32" s="72"/>
      <c r="N32" s="73"/>
      <c r="O32" s="72"/>
      <c r="P32" s="73"/>
      <c r="Q32" s="76">
        <f t="shared" si="8"/>
        <v>0</v>
      </c>
      <c r="R32" s="87">
        <f>ROUNDUP(SUMIFS(Учёт!$O:$O,Учёт!$L:$L,Табель!B32,Учёт!$I:$I,C$7)+SUMIFS(Учёт!$O:$O,Учёт!$L:$L,Табель!B32,Учёт!$J:$J,C$7)+SUMIFS(Учёт!$O:$O,Учёт!$L:$L,Табель!B32,Учёт!$I:$I,E$7)+SUMIFS(Учёт!$O:$O,Учёт!$L:$L,Табель!B32,Учёт!$J:$J,E$7)+SUMIFS(Учёт!$O:$O,Учёт!$L:$L,Табель!B32,Учёт!$I:$I,G$7)+SUMIFS(Учёт!$O:$O,Учёт!$L:$L,Табель!B32,Учёт!$J:$J,G$7)+SUMIFS(Учёт!$O:$O,Учёт!$L:$L,Табель!B32,Учёт!$I:$I,I$7)+SUMIFS(Учёт!$O:$O,Учёт!$L:$L,Табель!B32,Учёт!$J:$J,I$7)+SUMIFS(Учёт!$O:$O,Учёт!$L:$L,Табель!B32,Учёт!$I:$I,K$7)+SUMIFS(Учёт!$O:$O,Учёт!$L:$L,Табель!B32,Учёт!$J:$J,K$7)+SUMIFS(Учёт!$O:$O,Учёт!$L:$L,Табель!B32,Учёт!$I:$I,M$7)+SUMIFS(Учёт!$O:$O,Учёт!$L:$L,Табель!B32,Учёт!$J:$J,M$7)+SUMIFS(Учёт!$O:$O,Учёт!$L:$L,Табель!B32,Учёт!$I:$I,O$7)+SUMIFS(Учёт!$O:$O,Учёт!$L:$L,Табель!B32,Учёт!$J:$J,O$7),0)</f>
        <v>0</v>
      </c>
      <c r="S32" s="76"/>
      <c r="T32" s="76"/>
      <c r="U32" s="67">
        <v>23</v>
      </c>
      <c r="V32" s="142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6">
        <f t="shared" si="9"/>
        <v>0</v>
      </c>
      <c r="AL32" s="87">
        <f>ROUNDUP(SUMIFS(Учёт!$O:$O,Учёт!$L:$L,Табель!V32,Учёт!$I:$I,W$7)+SUMIFS(Учёт!$O:$O,Учёт!$L:$L,Табель!V32,Учёт!$J:$J,W$7)+SUMIFS(Учёт!$O:$O,Учёт!$L:$L,Табель!V32,Учёт!$I:$I,Y$7)+SUMIFS(Учёт!$O:$O,Учёт!$L:$L,Табель!V32,Учёт!$J:$J,Y$7)+SUMIFS(Учёт!$O:$O,Учёт!$L:$L,Табель!V32,Учёт!$I:$I,AA$7)+SUMIFS(Учёт!$O:$O,Учёт!$L:$L,Табель!V32,Учёт!$J:$J,AA$7)+SUMIFS(Учёт!$O:$O,Учёт!$L:$L,Табель!V32,Учёт!$I:$I,AC$7)+SUMIFS(Учёт!$O:$O,Учёт!$L:$L,Табель!V32,Учёт!$J:$J,AC$7)+SUMIFS(Учёт!$O:$O,Учёт!$L:$L,Табель!V32,Учёт!$I:$I,AE$7)+SUMIFS(Учёт!$O:$O,Учёт!$L:$L,Табель!V32,Учёт!$J:$J,AE$7)+SUMIFS(Учёт!$O:$O,Учёт!$L:$L,Табель!V32,Учёт!$I:$I,AG$7)+SUMIFS(Учёт!$O:$O,Учёт!$L:$L,Табель!V32,Учёт!$J:$J,AG$7)+SUMIFS(Учёт!$O:$O,Учёт!$L:$L,Табель!V32,Учёт!$I:$I,AI$7)+SUMIFS(Учёт!$O:$O,Учёт!$L:$L,Табель!V32,Учёт!$J:$J,AI$7),0)</f>
        <v>0</v>
      </c>
      <c r="AM32" s="76"/>
      <c r="AN32" s="76"/>
    </row>
    <row r="33" spans="1:40" ht="47.45" customHeight="1">
      <c r="A33" s="67">
        <v>24</v>
      </c>
      <c r="B33" s="77" t="s">
        <v>155</v>
      </c>
      <c r="C33" s="72">
        <v>2</v>
      </c>
      <c r="D33" s="73"/>
      <c r="E33" s="72">
        <v>1</v>
      </c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6">
        <f t="shared" si="8"/>
        <v>1</v>
      </c>
      <c r="R33" s="87">
        <f>ROUNDUP(SUMIFS(Учёт!$O:$O,Учёт!$L:$L,Табель!B33,Учёт!$I:$I,C$7)+SUMIFS(Учёт!$O:$O,Учёт!$L:$L,Табель!B33,Учёт!$J:$J,C$7)+SUMIFS(Учёт!$O:$O,Учёт!$L:$L,Табель!B33,Учёт!$I:$I,E$7)+SUMIFS(Учёт!$O:$O,Учёт!$L:$L,Табель!B33,Учёт!$J:$J,E$7)+SUMIFS(Учёт!$O:$O,Учёт!$L:$L,Табель!B33,Учёт!$I:$I,G$7)+SUMIFS(Учёт!$O:$O,Учёт!$L:$L,Табель!B33,Учёт!$J:$J,G$7)+SUMIFS(Учёт!$O:$O,Учёт!$L:$L,Табель!B33,Учёт!$I:$I,I$7)+SUMIFS(Учёт!$O:$O,Учёт!$L:$L,Табель!B33,Учёт!$J:$J,I$7)+SUMIFS(Учёт!$O:$O,Учёт!$L:$L,Табель!B33,Учёт!$I:$I,K$7)+SUMIFS(Учёт!$O:$O,Учёт!$L:$L,Табель!B33,Учёт!$J:$J,K$7)+SUMIFS(Учёт!$O:$O,Учёт!$L:$L,Табель!B33,Учёт!$I:$I,M$7)+SUMIFS(Учёт!$O:$O,Учёт!$L:$L,Табель!B33,Учёт!$J:$J,M$7)+SUMIFS(Учёт!$O:$O,Учёт!$L:$L,Табель!B33,Учёт!$I:$I,O$7)+SUMIFS(Учёт!$O:$O,Учёт!$L:$L,Табель!B33,Учёт!$J:$J,O$7),0)</f>
        <v>0</v>
      </c>
      <c r="S33" s="76"/>
      <c r="T33" s="76"/>
      <c r="U33" s="67">
        <v>24</v>
      </c>
      <c r="V33" s="77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6">
        <f t="shared" si="9"/>
        <v>0</v>
      </c>
      <c r="AL33" s="87">
        <f>ROUNDUP(SUMIFS(Учёт!$O:$O,Учёт!$L:$L,Табель!V33,Учёт!$I:$I,W$7)+SUMIFS(Учёт!$O:$O,Учёт!$L:$L,Табель!V33,Учёт!$J:$J,W$7)+SUMIFS(Учёт!$O:$O,Учёт!$L:$L,Табель!V33,Учёт!$I:$I,Y$7)+SUMIFS(Учёт!$O:$O,Учёт!$L:$L,Табель!V33,Учёт!$J:$J,Y$7)+SUMIFS(Учёт!$O:$O,Учёт!$L:$L,Табель!V33,Учёт!$I:$I,AA$7)+SUMIFS(Учёт!$O:$O,Учёт!$L:$L,Табель!V33,Учёт!$J:$J,AA$7)+SUMIFS(Учёт!$O:$O,Учёт!$L:$L,Табель!V33,Учёт!$I:$I,AC$7)+SUMIFS(Учёт!$O:$O,Учёт!$L:$L,Табель!V33,Учёт!$J:$J,AC$7)+SUMIFS(Учёт!$O:$O,Учёт!$L:$L,Табель!V33,Учёт!$I:$I,AE$7)+SUMIFS(Учёт!$O:$O,Учёт!$L:$L,Табель!V33,Учёт!$J:$J,AE$7)+SUMIFS(Учёт!$O:$O,Учёт!$L:$L,Табель!V33,Учёт!$I:$I,AG$7)+SUMIFS(Учёт!$O:$O,Учёт!$L:$L,Табель!V33,Учёт!$J:$J,AG$7)+SUMIFS(Учёт!$O:$O,Учёт!$L:$L,Табель!V33,Учёт!$I:$I,AI$7)+SUMIFS(Учёт!$O:$O,Учёт!$L:$L,Табель!V33,Учёт!$J:$J,AI$7),0)</f>
        <v>0</v>
      </c>
      <c r="AM33" s="76"/>
      <c r="AN33" s="76"/>
    </row>
    <row r="34" spans="1:40" ht="47.45" customHeight="1">
      <c r="A34" s="67">
        <v>25</v>
      </c>
      <c r="B34" s="78" t="s">
        <v>100</v>
      </c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6">
        <f t="shared" si="8"/>
        <v>0</v>
      </c>
      <c r="R34" s="87">
        <f>ROUNDUP(SUMIFS(Учёт!$O:$O,Учёт!$L:$L,Табель!B34,Учёт!$I:$I,C$7)+SUMIFS(Учёт!$O:$O,Учёт!$L:$L,Табель!B34,Учёт!$J:$J,C$7)+SUMIFS(Учёт!$O:$O,Учёт!$L:$L,Табель!B34,Учёт!$I:$I,E$7)+SUMIFS(Учёт!$O:$O,Учёт!$L:$L,Табель!B34,Учёт!$J:$J,E$7)+SUMIFS(Учёт!$O:$O,Учёт!$L:$L,Табель!B34,Учёт!$I:$I,G$7)+SUMIFS(Учёт!$O:$O,Учёт!$L:$L,Табель!B34,Учёт!$J:$J,G$7)+SUMIFS(Учёт!$O:$O,Учёт!$L:$L,Табель!B34,Учёт!$I:$I,I$7)+SUMIFS(Учёт!$O:$O,Учёт!$L:$L,Табель!B34,Учёт!$J:$J,I$7)+SUMIFS(Учёт!$O:$O,Учёт!$L:$L,Табель!B34,Учёт!$I:$I,K$7)+SUMIFS(Учёт!$O:$O,Учёт!$L:$L,Табель!B34,Учёт!$J:$J,K$7)+SUMIFS(Учёт!$O:$O,Учёт!$L:$L,Табель!B34,Учёт!$I:$I,M$7)+SUMIFS(Учёт!$O:$O,Учёт!$L:$L,Табель!B34,Учёт!$J:$J,M$7)+SUMIFS(Учёт!$O:$O,Учёт!$L:$L,Табель!B34,Учёт!$I:$I,O$7)+SUMIFS(Учёт!$O:$O,Учёт!$L:$L,Табель!B34,Учёт!$J:$J,O$7),0)</f>
        <v>0</v>
      </c>
      <c r="S34" s="76"/>
      <c r="T34" s="76"/>
      <c r="U34" s="67">
        <v>25</v>
      </c>
      <c r="V34" s="78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6">
        <f t="shared" si="9"/>
        <v>0</v>
      </c>
      <c r="AL34" s="87">
        <f>ROUNDUP(SUMIFS(Учёт!$O:$O,Учёт!$L:$L,Табель!V34,Учёт!$I:$I,W$7)+SUMIFS(Учёт!$O:$O,Учёт!$L:$L,Табель!V34,Учёт!$J:$J,W$7)+SUMIFS(Учёт!$O:$O,Учёт!$L:$L,Табель!V34,Учёт!$I:$I,Y$7)+SUMIFS(Учёт!$O:$O,Учёт!$L:$L,Табель!V34,Учёт!$J:$J,Y$7)+SUMIFS(Учёт!$O:$O,Учёт!$L:$L,Табель!V34,Учёт!$I:$I,AA$7)+SUMIFS(Учёт!$O:$O,Учёт!$L:$L,Табель!V34,Учёт!$J:$J,AA$7)+SUMIFS(Учёт!$O:$O,Учёт!$L:$L,Табель!V34,Учёт!$I:$I,AC$7)+SUMIFS(Учёт!$O:$O,Учёт!$L:$L,Табель!V34,Учёт!$J:$J,AC$7)+SUMIFS(Учёт!$O:$O,Учёт!$L:$L,Табель!V34,Учёт!$I:$I,AE$7)+SUMIFS(Учёт!$O:$O,Учёт!$L:$L,Табель!V34,Учёт!$J:$J,AE$7)+SUMIFS(Учёт!$O:$O,Учёт!$L:$L,Табель!V34,Учёт!$I:$I,AG$7)+SUMIFS(Учёт!$O:$O,Учёт!$L:$L,Табель!V34,Учёт!$J:$J,AG$7)+SUMIFS(Учёт!$O:$O,Учёт!$L:$L,Табель!V34,Учёт!$I:$I,AI$7)+SUMIFS(Учёт!$O:$O,Учёт!$L:$L,Табель!V34,Учёт!$J:$J,AI$7),0)</f>
        <v>0</v>
      </c>
      <c r="AM34" s="76"/>
      <c r="AN34" s="76"/>
    </row>
    <row r="35" spans="1:40" ht="47.45" customHeight="1">
      <c r="A35" s="67">
        <v>26</v>
      </c>
      <c r="B35" s="78" t="s">
        <v>151</v>
      </c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6">
        <f t="shared" si="8"/>
        <v>0</v>
      </c>
      <c r="R35" s="87">
        <f>ROUNDUP(SUMIFS(Учёт!$O:$O,Учёт!$L:$L,Табель!B35,Учёт!$I:$I,C$7)+SUMIFS(Учёт!$O:$O,Учёт!$L:$L,Табель!B35,Учёт!$J:$J,C$7)+SUMIFS(Учёт!$O:$O,Учёт!$L:$L,Табель!B35,Учёт!$I:$I,E$7)+SUMIFS(Учёт!$O:$O,Учёт!$L:$L,Табель!B35,Учёт!$J:$J,E$7)+SUMIFS(Учёт!$O:$O,Учёт!$L:$L,Табель!B35,Учёт!$I:$I,G$7)+SUMIFS(Учёт!$O:$O,Учёт!$L:$L,Табель!B35,Учёт!$J:$J,G$7)+SUMIFS(Учёт!$O:$O,Учёт!$L:$L,Табель!B35,Учёт!$I:$I,I$7)+SUMIFS(Учёт!$O:$O,Учёт!$L:$L,Табель!B35,Учёт!$J:$J,I$7)+SUMIFS(Учёт!$O:$O,Учёт!$L:$L,Табель!B35,Учёт!$I:$I,K$7)+SUMIFS(Учёт!$O:$O,Учёт!$L:$L,Табель!B35,Учёт!$J:$J,K$7)+SUMIFS(Учёт!$O:$O,Учёт!$L:$L,Табель!B35,Учёт!$I:$I,M$7)+SUMIFS(Учёт!$O:$O,Учёт!$L:$L,Табель!B35,Учёт!$J:$J,M$7)+SUMIFS(Учёт!$O:$O,Учёт!$L:$L,Табель!B35,Учёт!$I:$I,O$7)+SUMIFS(Учёт!$O:$O,Учёт!$L:$L,Табель!B35,Учёт!$J:$J,O$7),0)</f>
        <v>0</v>
      </c>
      <c r="S35" s="76"/>
      <c r="T35" s="76"/>
      <c r="U35" s="67">
        <v>26</v>
      </c>
      <c r="V35" s="78"/>
      <c r="W35" s="72"/>
      <c r="X35" s="73"/>
      <c r="Y35" s="72"/>
      <c r="Z35" s="73"/>
      <c r="AA35" s="72"/>
      <c r="AB35" s="73"/>
      <c r="AC35" s="72"/>
      <c r="AD35" s="73"/>
      <c r="AE35" s="72"/>
      <c r="AF35" s="73"/>
      <c r="AG35" s="72"/>
      <c r="AH35" s="73"/>
      <c r="AI35" s="72"/>
      <c r="AJ35" s="73"/>
      <c r="AK35" s="76">
        <f t="shared" si="9"/>
        <v>0</v>
      </c>
      <c r="AL35" s="87">
        <f>ROUNDUP(SUMIFS(Учёт!$O:$O,Учёт!$L:$L,Табель!V35,Учёт!$I:$I,W$7)+SUMIFS(Учёт!$O:$O,Учёт!$L:$L,Табель!V35,Учёт!$J:$J,W$7)+SUMIFS(Учёт!$O:$O,Учёт!$L:$L,Табель!V35,Учёт!$I:$I,Y$7)+SUMIFS(Учёт!$O:$O,Учёт!$L:$L,Табель!V35,Учёт!$J:$J,Y$7)+SUMIFS(Учёт!$O:$O,Учёт!$L:$L,Табель!V35,Учёт!$I:$I,AA$7)+SUMIFS(Учёт!$O:$O,Учёт!$L:$L,Табель!V35,Учёт!$J:$J,AA$7)+SUMIFS(Учёт!$O:$O,Учёт!$L:$L,Табель!V35,Учёт!$I:$I,AC$7)+SUMIFS(Учёт!$O:$O,Учёт!$L:$L,Табель!V35,Учёт!$J:$J,AC$7)+SUMIFS(Учёт!$O:$O,Учёт!$L:$L,Табель!V35,Учёт!$I:$I,AE$7)+SUMIFS(Учёт!$O:$O,Учёт!$L:$L,Табель!V35,Учёт!$J:$J,AE$7)+SUMIFS(Учёт!$O:$O,Учёт!$L:$L,Табель!V35,Учёт!$I:$I,AG$7)+SUMIFS(Учёт!$O:$O,Учёт!$L:$L,Табель!V35,Учёт!$J:$J,AG$7)+SUMIFS(Учёт!$O:$O,Учёт!$L:$L,Табель!V35,Учёт!$I:$I,AI$7)+SUMIFS(Учёт!$O:$O,Учёт!$L:$L,Табель!V35,Учёт!$J:$J,AI$7),0)</f>
        <v>0</v>
      </c>
      <c r="AM35" s="76"/>
      <c r="AN35" s="76"/>
    </row>
    <row r="36" spans="1:40" ht="47.45" customHeight="1">
      <c r="A36" s="67">
        <v>27</v>
      </c>
      <c r="B36" s="78"/>
      <c r="C36" s="72"/>
      <c r="D36" s="73"/>
      <c r="E36" s="72"/>
      <c r="F36" s="73"/>
      <c r="G36" s="72"/>
      <c r="H36" s="73"/>
      <c r="I36" s="72"/>
      <c r="J36" s="73"/>
      <c r="K36" s="72"/>
      <c r="L36" s="73"/>
      <c r="M36" s="72"/>
      <c r="N36" s="73"/>
      <c r="O36" s="72"/>
      <c r="P36" s="73"/>
      <c r="Q36" s="76">
        <f t="shared" si="8"/>
        <v>0</v>
      </c>
      <c r="R36" s="87">
        <f>ROUNDUP(SUMIFS(Учёт!$O:$O,Учёт!$L:$L,Табель!B36,Учёт!$I:$I,C$7)+SUMIFS(Учёт!$O:$O,Учёт!$L:$L,Табель!B36,Учёт!$J:$J,C$7)+SUMIFS(Учёт!$O:$O,Учёт!$L:$L,Табель!B36,Учёт!$I:$I,E$7)+SUMIFS(Учёт!$O:$O,Учёт!$L:$L,Табель!B36,Учёт!$J:$J,E$7)+SUMIFS(Учёт!$O:$O,Учёт!$L:$L,Табель!B36,Учёт!$I:$I,G$7)+SUMIFS(Учёт!$O:$O,Учёт!$L:$L,Табель!B36,Учёт!$J:$J,G$7)+SUMIFS(Учёт!$O:$O,Учёт!$L:$L,Табель!B36,Учёт!$I:$I,I$7)+SUMIFS(Учёт!$O:$O,Учёт!$L:$L,Табель!B36,Учёт!$J:$J,I$7)+SUMIFS(Учёт!$O:$O,Учёт!$L:$L,Табель!B36,Учёт!$I:$I,K$7)+SUMIFS(Учёт!$O:$O,Учёт!$L:$L,Табель!B36,Учёт!$J:$J,K$7)+SUMIFS(Учёт!$O:$O,Учёт!$L:$L,Табель!B36,Учёт!$I:$I,M$7)+SUMIFS(Учёт!$O:$O,Учёт!$L:$L,Табель!B36,Учёт!$J:$J,M$7)+SUMIFS(Учёт!$O:$O,Учёт!$L:$L,Табель!B36,Учёт!$I:$I,O$7)+SUMIFS(Учёт!$O:$O,Учёт!$L:$L,Табель!B36,Учёт!$J:$J,O$7),0)</f>
        <v>0</v>
      </c>
      <c r="S36" s="76"/>
      <c r="T36" s="76"/>
      <c r="U36" s="67">
        <v>27</v>
      </c>
      <c r="V36" s="78"/>
      <c r="W36" s="72"/>
      <c r="X36" s="73"/>
      <c r="Y36" s="72"/>
      <c r="Z36" s="73"/>
      <c r="AA36" s="72"/>
      <c r="AB36" s="73"/>
      <c r="AC36" s="72"/>
      <c r="AD36" s="73"/>
      <c r="AE36" s="72"/>
      <c r="AF36" s="73"/>
      <c r="AG36" s="72"/>
      <c r="AH36" s="73"/>
      <c r="AI36" s="72"/>
      <c r="AJ36" s="73"/>
      <c r="AK36" s="76">
        <f t="shared" si="9"/>
        <v>0</v>
      </c>
      <c r="AL36" s="87">
        <f>ROUNDUP(SUMIFS(Учёт!$O:$O,Учёт!$L:$L,Табель!V36,Учёт!$I:$I,W$7)+SUMIFS(Учёт!$O:$O,Учёт!$L:$L,Табель!V36,Учёт!$J:$J,W$7)+SUMIFS(Учёт!$O:$O,Учёт!$L:$L,Табель!V36,Учёт!$I:$I,Y$7)+SUMIFS(Учёт!$O:$O,Учёт!$L:$L,Табель!V36,Учёт!$J:$J,Y$7)+SUMIFS(Учёт!$O:$O,Учёт!$L:$L,Табель!V36,Учёт!$I:$I,AA$7)+SUMIFS(Учёт!$O:$O,Учёт!$L:$L,Табель!V36,Учёт!$J:$J,AA$7)+SUMIFS(Учёт!$O:$O,Учёт!$L:$L,Табель!V36,Учёт!$I:$I,AC$7)+SUMIFS(Учёт!$O:$O,Учёт!$L:$L,Табель!V36,Учёт!$J:$J,AC$7)+SUMIFS(Учёт!$O:$O,Учёт!$L:$L,Табель!V36,Учёт!$I:$I,AE$7)+SUMIFS(Учёт!$O:$O,Учёт!$L:$L,Табель!V36,Учёт!$J:$J,AE$7)+SUMIFS(Учёт!$O:$O,Учёт!$L:$L,Табель!V36,Учёт!$I:$I,AG$7)+SUMIFS(Учёт!$O:$O,Учёт!$L:$L,Табель!V36,Учёт!$J:$J,AG$7)+SUMIFS(Учёт!$O:$O,Учёт!$L:$L,Табель!V36,Учёт!$I:$I,AI$7)+SUMIFS(Учёт!$O:$O,Учёт!$L:$L,Табель!V36,Учёт!$J:$J,AI$7),0)</f>
        <v>0</v>
      </c>
      <c r="AM36" s="76"/>
      <c r="AN36" s="76"/>
    </row>
    <row r="37" spans="1:40" ht="47.45" customHeight="1">
      <c r="A37" s="67">
        <v>28</v>
      </c>
      <c r="B37" s="78"/>
      <c r="C37" s="72"/>
      <c r="D37" s="73"/>
      <c r="E37" s="72"/>
      <c r="F37" s="73"/>
      <c r="G37" s="72"/>
      <c r="H37" s="73"/>
      <c r="I37" s="72"/>
      <c r="J37" s="73"/>
      <c r="K37" s="72"/>
      <c r="L37" s="73"/>
      <c r="M37" s="72"/>
      <c r="N37" s="73"/>
      <c r="O37" s="72"/>
      <c r="P37" s="73"/>
      <c r="Q37" s="76">
        <f t="shared" si="8"/>
        <v>0</v>
      </c>
      <c r="R37" s="87">
        <f>ROUNDUP(SUMIFS(Учёт!$O:$O,Учёт!$L:$L,Табель!B37,Учёт!$I:$I,C$7)+SUMIFS(Учёт!$O:$O,Учёт!$L:$L,Табель!B37,Учёт!$J:$J,C$7)+SUMIFS(Учёт!$O:$O,Учёт!$L:$L,Табель!B37,Учёт!$I:$I,E$7)+SUMIFS(Учёт!$O:$O,Учёт!$L:$L,Табель!B37,Учёт!$J:$J,E$7)+SUMIFS(Учёт!$O:$O,Учёт!$L:$L,Табель!B37,Учёт!$I:$I,G$7)+SUMIFS(Учёт!$O:$O,Учёт!$L:$L,Табель!B37,Учёт!$J:$J,G$7)+SUMIFS(Учёт!$O:$O,Учёт!$L:$L,Табель!B37,Учёт!$I:$I,I$7)+SUMIFS(Учёт!$O:$O,Учёт!$L:$L,Табель!B37,Учёт!$J:$J,I$7)+SUMIFS(Учёт!$O:$O,Учёт!$L:$L,Табель!B37,Учёт!$I:$I,K$7)+SUMIFS(Учёт!$O:$O,Учёт!$L:$L,Табель!B37,Учёт!$J:$J,K$7)+SUMIFS(Учёт!$O:$O,Учёт!$L:$L,Табель!B37,Учёт!$I:$I,M$7)+SUMIFS(Учёт!$O:$O,Учёт!$L:$L,Табель!B37,Учёт!$J:$J,M$7)+SUMIFS(Учёт!$O:$O,Учёт!$L:$L,Табель!B37,Учёт!$I:$I,O$7)+SUMIFS(Учёт!$O:$O,Учёт!$L:$L,Табель!B37,Учёт!$J:$J,O$7),0)</f>
        <v>0</v>
      </c>
      <c r="S37" s="76"/>
      <c r="T37" s="76"/>
      <c r="U37" s="67">
        <v>28</v>
      </c>
      <c r="V37" s="78"/>
      <c r="W37" s="72"/>
      <c r="X37" s="73"/>
      <c r="Y37" s="72"/>
      <c r="Z37" s="73"/>
      <c r="AA37" s="72"/>
      <c r="AB37" s="73"/>
      <c r="AC37" s="72"/>
      <c r="AD37" s="73"/>
      <c r="AE37" s="72"/>
      <c r="AF37" s="73"/>
      <c r="AG37" s="72"/>
      <c r="AH37" s="73"/>
      <c r="AI37" s="72"/>
      <c r="AJ37" s="73"/>
      <c r="AK37" s="76">
        <f t="shared" si="9"/>
        <v>0</v>
      </c>
      <c r="AL37" s="87">
        <f>ROUNDUP(SUMIFS(Учёт!$O:$O,Учёт!$L:$L,Табель!V37,Учёт!$I:$I,W$7)+SUMIFS(Учёт!$O:$O,Учёт!$L:$L,Табель!V37,Учёт!$J:$J,W$7)+SUMIFS(Учёт!$O:$O,Учёт!$L:$L,Табель!V37,Учёт!$I:$I,Y$7)+SUMIFS(Учёт!$O:$O,Учёт!$L:$L,Табель!V37,Учёт!$J:$J,Y$7)+SUMIFS(Учёт!$O:$O,Учёт!$L:$L,Табель!V37,Учёт!$I:$I,AA$7)+SUMIFS(Учёт!$O:$O,Учёт!$L:$L,Табель!V37,Учёт!$J:$J,AA$7)+SUMIFS(Учёт!$O:$O,Учёт!$L:$L,Табель!V37,Учёт!$I:$I,AC$7)+SUMIFS(Учёт!$O:$O,Учёт!$L:$L,Табель!V37,Учёт!$J:$J,AC$7)+SUMIFS(Учёт!$O:$O,Учёт!$L:$L,Табель!V37,Учёт!$I:$I,AE$7)+SUMIFS(Учёт!$O:$O,Учёт!$L:$L,Табель!V37,Учёт!$J:$J,AE$7)+SUMIFS(Учёт!$O:$O,Учёт!$L:$L,Табель!V37,Учёт!$I:$I,AG$7)+SUMIFS(Учёт!$O:$O,Учёт!$L:$L,Табель!V37,Учёт!$J:$J,AG$7)+SUMIFS(Учёт!$O:$O,Учёт!$L:$L,Табель!V37,Учёт!$I:$I,AI$7)+SUMIFS(Учёт!$O:$O,Учёт!$L:$L,Табель!V37,Учёт!$J:$J,AI$7),0)</f>
        <v>0</v>
      </c>
      <c r="AM37" s="76"/>
      <c r="AN37" s="76"/>
    </row>
    <row r="38" spans="1:40" ht="47.45" customHeight="1">
      <c r="A38" s="67">
        <v>29</v>
      </c>
      <c r="B38" s="78"/>
      <c r="C38" s="72"/>
      <c r="D38" s="73"/>
      <c r="E38" s="72"/>
      <c r="F38" s="73"/>
      <c r="G38" s="72"/>
      <c r="H38" s="73"/>
      <c r="I38" s="72"/>
      <c r="J38" s="73"/>
      <c r="K38" s="72"/>
      <c r="L38" s="73"/>
      <c r="M38" s="72"/>
      <c r="N38" s="73"/>
      <c r="O38" s="72"/>
      <c r="P38" s="73"/>
      <c r="Q38" s="76">
        <f t="shared" si="8"/>
        <v>0</v>
      </c>
      <c r="R38" s="87">
        <f>ROUNDUP(SUMIFS(Учёт!$O:$O,Учёт!$L:$L,Табель!B38,Учёт!$I:$I,C$7)+SUMIFS(Учёт!$O:$O,Учёт!$L:$L,Табель!B38,Учёт!$J:$J,C$7)+SUMIFS(Учёт!$O:$O,Учёт!$L:$L,Табель!B38,Учёт!$I:$I,E$7)+SUMIFS(Учёт!$O:$O,Учёт!$L:$L,Табель!B38,Учёт!$J:$J,E$7)+SUMIFS(Учёт!$O:$O,Учёт!$L:$L,Табель!B38,Учёт!$I:$I,G$7)+SUMIFS(Учёт!$O:$O,Учёт!$L:$L,Табель!B38,Учёт!$J:$J,G$7)+SUMIFS(Учёт!$O:$O,Учёт!$L:$L,Табель!B38,Учёт!$I:$I,I$7)+SUMIFS(Учёт!$O:$O,Учёт!$L:$L,Табель!B38,Учёт!$J:$J,I$7)+SUMIFS(Учёт!$O:$O,Учёт!$L:$L,Табель!B38,Учёт!$I:$I,K$7)+SUMIFS(Учёт!$O:$O,Учёт!$L:$L,Табель!B38,Учёт!$J:$J,K$7)+SUMIFS(Учёт!$O:$O,Учёт!$L:$L,Табель!B38,Учёт!$I:$I,M$7)+SUMIFS(Учёт!$O:$O,Учёт!$L:$L,Табель!B38,Учёт!$J:$J,M$7)+SUMIFS(Учёт!$O:$O,Учёт!$L:$L,Табель!B38,Учёт!$I:$I,O$7)+SUMIFS(Учёт!$O:$O,Учёт!$L:$L,Табель!B38,Учёт!$J:$J,O$7),0)</f>
        <v>0</v>
      </c>
      <c r="S38" s="76"/>
      <c r="T38" s="76"/>
      <c r="U38" s="67">
        <v>29</v>
      </c>
      <c r="V38" s="78"/>
      <c r="W38" s="72"/>
      <c r="X38" s="73"/>
      <c r="Y38" s="72"/>
      <c r="Z38" s="73"/>
      <c r="AA38" s="72"/>
      <c r="AB38" s="73"/>
      <c r="AC38" s="72"/>
      <c r="AD38" s="73"/>
      <c r="AE38" s="72"/>
      <c r="AF38" s="73"/>
      <c r="AG38" s="72"/>
      <c r="AH38" s="73"/>
      <c r="AI38" s="72"/>
      <c r="AJ38" s="73"/>
      <c r="AK38" s="76">
        <f t="shared" si="9"/>
        <v>0</v>
      </c>
      <c r="AL38" s="87">
        <f>ROUNDUP(SUMIFS(Учёт!$O:$O,Учёт!$L:$L,Табель!V38,Учёт!$I:$I,W$7)+SUMIFS(Учёт!$O:$O,Учёт!$L:$L,Табель!V38,Учёт!$J:$J,W$7)+SUMIFS(Учёт!$O:$O,Учёт!$L:$L,Табель!V38,Учёт!$I:$I,Y$7)+SUMIFS(Учёт!$O:$O,Учёт!$L:$L,Табель!V38,Учёт!$J:$J,Y$7)+SUMIFS(Учёт!$O:$O,Учёт!$L:$L,Табель!V38,Учёт!$I:$I,AA$7)+SUMIFS(Учёт!$O:$O,Учёт!$L:$L,Табель!V38,Учёт!$J:$J,AA$7)+SUMIFS(Учёт!$O:$O,Учёт!$L:$L,Табель!V38,Учёт!$I:$I,AC$7)+SUMIFS(Учёт!$O:$O,Учёт!$L:$L,Табель!V38,Учёт!$J:$J,AC$7)+SUMIFS(Учёт!$O:$O,Учёт!$L:$L,Табель!V38,Учёт!$I:$I,AE$7)+SUMIFS(Учёт!$O:$O,Учёт!$L:$L,Табель!V38,Учёт!$J:$J,AE$7)+SUMIFS(Учёт!$O:$O,Учёт!$L:$L,Табель!V38,Учёт!$I:$I,AG$7)+SUMIFS(Учёт!$O:$O,Учёт!$L:$L,Табель!V38,Учёт!$J:$J,AG$7)+SUMIFS(Учёт!$O:$O,Учёт!$L:$L,Табель!V38,Учёт!$I:$I,AI$7)+SUMIFS(Учёт!$O:$O,Учёт!$L:$L,Табель!V38,Учёт!$J:$J,AI$7),0)</f>
        <v>0</v>
      </c>
      <c r="AM38" s="76"/>
      <c r="AN38" s="76"/>
    </row>
    <row r="39" spans="1:40" ht="47.45" customHeight="1">
      <c r="A39" s="67">
        <v>30</v>
      </c>
      <c r="B39" s="68"/>
      <c r="C39" s="72"/>
      <c r="D39" s="73"/>
      <c r="E39" s="72"/>
      <c r="F39" s="73"/>
      <c r="G39" s="72"/>
      <c r="H39" s="73"/>
      <c r="I39" s="72"/>
      <c r="J39" s="73"/>
      <c r="K39" s="72"/>
      <c r="L39" s="73"/>
      <c r="M39" s="72"/>
      <c r="N39" s="73"/>
      <c r="O39" s="72"/>
      <c r="P39" s="73"/>
      <c r="Q39" s="76">
        <f t="shared" si="8"/>
        <v>0</v>
      </c>
      <c r="R39" s="87">
        <f>ROUNDUP(SUMIFS(Учёт!$O:$O,Учёт!$L:$L,Табель!B39,Учёт!$I:$I,C$7)+SUMIFS(Учёт!$O:$O,Учёт!$L:$L,Табель!B39,Учёт!$J:$J,C$7)+SUMIFS(Учёт!$O:$O,Учёт!$L:$L,Табель!B39,Учёт!$I:$I,E$7)+SUMIFS(Учёт!$O:$O,Учёт!$L:$L,Табель!B39,Учёт!$J:$J,E$7)+SUMIFS(Учёт!$O:$O,Учёт!$L:$L,Табель!B39,Учёт!$I:$I,G$7)+SUMIFS(Учёт!$O:$O,Учёт!$L:$L,Табель!B39,Учёт!$J:$J,G$7)+SUMIFS(Учёт!$O:$O,Учёт!$L:$L,Табель!B39,Учёт!$I:$I,I$7)+SUMIFS(Учёт!$O:$O,Учёт!$L:$L,Табель!B39,Учёт!$J:$J,I$7)+SUMIFS(Учёт!$O:$O,Учёт!$L:$L,Табель!B39,Учёт!$I:$I,K$7)+SUMIFS(Учёт!$O:$O,Учёт!$L:$L,Табель!B39,Учёт!$J:$J,K$7)+SUMIFS(Учёт!$O:$O,Учёт!$L:$L,Табель!B39,Учёт!$I:$I,M$7)+SUMIFS(Учёт!$O:$O,Учёт!$L:$L,Табель!B39,Учёт!$J:$J,M$7)+SUMIFS(Учёт!$O:$O,Учёт!$L:$L,Табель!B39,Учёт!$I:$I,O$7)+SUMIFS(Учёт!$O:$O,Учёт!$L:$L,Табель!B39,Учёт!$J:$J,O$7),0)</f>
        <v>0</v>
      </c>
      <c r="S39" s="76"/>
      <c r="T39" s="76"/>
      <c r="U39" s="67">
        <v>30</v>
      </c>
      <c r="V39" s="68"/>
      <c r="W39" s="72"/>
      <c r="X39" s="73"/>
      <c r="Y39" s="72"/>
      <c r="Z39" s="73"/>
      <c r="AA39" s="72"/>
      <c r="AB39" s="73"/>
      <c r="AC39" s="72"/>
      <c r="AD39" s="73"/>
      <c r="AE39" s="72"/>
      <c r="AF39" s="73"/>
      <c r="AG39" s="72"/>
      <c r="AH39" s="73"/>
      <c r="AI39" s="72"/>
      <c r="AJ39" s="73"/>
      <c r="AK39" s="76">
        <f t="shared" si="9"/>
        <v>0</v>
      </c>
      <c r="AL39" s="87">
        <f>ROUNDUP(SUMIFS(Учёт!$O:$O,Учёт!$L:$L,Табель!V39,Учёт!$I:$I,W$7)+SUMIFS(Учёт!$O:$O,Учёт!$L:$L,Табель!V39,Учёт!$J:$J,W$7)+SUMIFS(Учёт!$O:$O,Учёт!$L:$L,Табель!V39,Учёт!$I:$I,Y$7)+SUMIFS(Учёт!$O:$O,Учёт!$L:$L,Табель!V39,Учёт!$J:$J,Y$7)+SUMIFS(Учёт!$O:$O,Учёт!$L:$L,Табель!V39,Учёт!$I:$I,AA$7)+SUMIFS(Учёт!$O:$O,Учёт!$L:$L,Табель!V39,Учёт!$J:$J,AA$7)+SUMIFS(Учёт!$O:$O,Учёт!$L:$L,Табель!V39,Учёт!$I:$I,AC$7)+SUMIFS(Учёт!$O:$O,Учёт!$L:$L,Табель!V39,Учёт!$J:$J,AC$7)+SUMIFS(Учёт!$O:$O,Учёт!$L:$L,Табель!V39,Учёт!$I:$I,AE$7)+SUMIFS(Учёт!$O:$O,Учёт!$L:$L,Табель!V39,Учёт!$J:$J,AE$7)+SUMIFS(Учёт!$O:$O,Учёт!$L:$L,Табель!V39,Учёт!$I:$I,AG$7)+SUMIFS(Учёт!$O:$O,Учёт!$L:$L,Табель!V39,Учёт!$J:$J,AG$7)+SUMIFS(Учёт!$O:$O,Учёт!$L:$L,Табель!V39,Учёт!$I:$I,AI$7)+SUMIFS(Учёт!$O:$O,Учёт!$L:$L,Табель!V39,Учёт!$J:$J,AI$7),0)</f>
        <v>0</v>
      </c>
      <c r="AM39" s="76"/>
      <c r="AN39" s="76"/>
    </row>
    <row r="40" spans="1:40" ht="47.45" customHeight="1">
      <c r="A40" s="67">
        <v>31</v>
      </c>
      <c r="B40" s="68"/>
      <c r="C40" s="72"/>
      <c r="D40" s="73"/>
      <c r="E40" s="72"/>
      <c r="F40" s="73"/>
      <c r="G40" s="72"/>
      <c r="H40" s="73"/>
      <c r="I40" s="72"/>
      <c r="J40" s="73"/>
      <c r="K40" s="72"/>
      <c r="L40" s="73"/>
      <c r="M40" s="72"/>
      <c r="N40" s="73"/>
      <c r="O40" s="72"/>
      <c r="P40" s="73"/>
      <c r="Q40" s="76">
        <f t="shared" si="8"/>
        <v>0</v>
      </c>
      <c r="R40" s="87">
        <f>ROUNDUP(SUMIFS(Учёт!$O:$O,Учёт!$L:$L,Табель!B40,Учёт!$I:$I,C$7)+SUMIFS(Учёт!$O:$O,Учёт!$L:$L,Табель!B40,Учёт!$J:$J,C$7)+SUMIFS(Учёт!$O:$O,Учёт!$L:$L,Табель!B40,Учёт!$I:$I,E$7)+SUMIFS(Учёт!$O:$O,Учёт!$L:$L,Табель!B40,Учёт!$J:$J,E$7)+SUMIFS(Учёт!$O:$O,Учёт!$L:$L,Табель!B40,Учёт!$I:$I,G$7)+SUMIFS(Учёт!$O:$O,Учёт!$L:$L,Табель!B40,Учёт!$J:$J,G$7)+SUMIFS(Учёт!$O:$O,Учёт!$L:$L,Табель!B40,Учёт!$I:$I,I$7)+SUMIFS(Учёт!$O:$O,Учёт!$L:$L,Табель!B40,Учёт!$J:$J,I$7)+SUMIFS(Учёт!$O:$O,Учёт!$L:$L,Табель!B40,Учёт!$I:$I,K$7)+SUMIFS(Учёт!$O:$O,Учёт!$L:$L,Табель!B40,Учёт!$J:$J,K$7)+SUMIFS(Учёт!$O:$O,Учёт!$L:$L,Табель!B40,Учёт!$I:$I,M$7)+SUMIFS(Учёт!$O:$O,Учёт!$L:$L,Табель!B40,Учёт!$J:$J,M$7)+SUMIFS(Учёт!$O:$O,Учёт!$L:$L,Табель!B40,Учёт!$I:$I,O$7)+SUMIFS(Учёт!$O:$O,Учёт!$L:$L,Табель!B40,Учёт!$J:$J,O$7),0)</f>
        <v>0</v>
      </c>
      <c r="S40" s="76"/>
      <c r="T40" s="76"/>
      <c r="U40" s="67">
        <v>31</v>
      </c>
      <c r="V40" s="68"/>
      <c r="W40" s="72"/>
      <c r="X40" s="73"/>
      <c r="Y40" s="72"/>
      <c r="Z40" s="73"/>
      <c r="AA40" s="72"/>
      <c r="AB40" s="73"/>
      <c r="AC40" s="72"/>
      <c r="AD40" s="73"/>
      <c r="AE40" s="72"/>
      <c r="AF40" s="73"/>
      <c r="AG40" s="72"/>
      <c r="AH40" s="73"/>
      <c r="AI40" s="72"/>
      <c r="AJ40" s="73"/>
      <c r="AK40" s="76">
        <f t="shared" si="9"/>
        <v>0</v>
      </c>
      <c r="AL40" s="87">
        <f>ROUNDUP(SUMIFS(Учёт!$O:$O,Учёт!$L:$L,Табель!V40,Учёт!$I:$I,W$7)+SUMIFS(Учёт!$O:$O,Учёт!$L:$L,Табель!V40,Учёт!$J:$J,W$7)+SUMIFS(Учёт!$O:$O,Учёт!$L:$L,Табель!V40,Учёт!$I:$I,Y$7)+SUMIFS(Учёт!$O:$O,Учёт!$L:$L,Табель!V40,Учёт!$J:$J,Y$7)+SUMIFS(Учёт!$O:$O,Учёт!$L:$L,Табель!V40,Учёт!$I:$I,AA$7)+SUMIFS(Учёт!$O:$O,Учёт!$L:$L,Табель!V40,Учёт!$J:$J,AA$7)+SUMIFS(Учёт!$O:$O,Учёт!$L:$L,Табель!V40,Учёт!$I:$I,AC$7)+SUMIFS(Учёт!$O:$O,Учёт!$L:$L,Табель!V40,Учёт!$J:$J,AC$7)+SUMIFS(Учёт!$O:$O,Учёт!$L:$L,Табель!V40,Учёт!$I:$I,AE$7)+SUMIFS(Учёт!$O:$O,Учёт!$L:$L,Табель!V40,Учёт!$J:$J,AE$7)+SUMIFS(Учёт!$O:$O,Учёт!$L:$L,Табель!V40,Учёт!$I:$I,AG$7)+SUMIFS(Учёт!$O:$O,Учёт!$L:$L,Табель!V40,Учёт!$J:$J,AG$7)+SUMIFS(Учёт!$O:$O,Учёт!$L:$L,Табель!V40,Учёт!$I:$I,AI$7)+SUMIFS(Учёт!$O:$O,Учёт!$L:$L,Табель!V40,Учёт!$J:$J,AI$7),0)</f>
        <v>0</v>
      </c>
      <c r="AM40" s="76"/>
      <c r="AN40" s="76"/>
    </row>
    <row r="41" spans="1:40" ht="47.45" customHeight="1">
      <c r="A41" s="67">
        <v>32</v>
      </c>
      <c r="B41" s="68"/>
      <c r="C41" s="72"/>
      <c r="D41" s="73"/>
      <c r="E41" s="72"/>
      <c r="F41" s="73"/>
      <c r="G41" s="72"/>
      <c r="H41" s="73"/>
      <c r="I41" s="72"/>
      <c r="J41" s="73"/>
      <c r="K41" s="72"/>
      <c r="L41" s="73"/>
      <c r="M41" s="72"/>
      <c r="N41" s="73"/>
      <c r="O41" s="72"/>
      <c r="P41" s="73"/>
      <c r="Q41" s="76">
        <f t="shared" si="8"/>
        <v>0</v>
      </c>
      <c r="R41" s="87">
        <f>ROUNDUP(SUMIFS(Учёт!$O:$O,Учёт!$L:$L,Табель!B41,Учёт!$I:$I,C$7)+SUMIFS(Учёт!$O:$O,Учёт!$L:$L,Табель!B41,Учёт!$J:$J,C$7)+SUMIFS(Учёт!$O:$O,Учёт!$L:$L,Табель!B41,Учёт!$I:$I,E$7)+SUMIFS(Учёт!$O:$O,Учёт!$L:$L,Табель!B41,Учёт!$J:$J,E$7)+SUMIFS(Учёт!$O:$O,Учёт!$L:$L,Табель!B41,Учёт!$I:$I,G$7)+SUMIFS(Учёт!$O:$O,Учёт!$L:$L,Табель!B41,Учёт!$J:$J,G$7)+SUMIFS(Учёт!$O:$O,Учёт!$L:$L,Табель!B41,Учёт!$I:$I,I$7)+SUMIFS(Учёт!$O:$O,Учёт!$L:$L,Табель!B41,Учёт!$J:$J,I$7)+SUMIFS(Учёт!$O:$O,Учёт!$L:$L,Табель!B41,Учёт!$I:$I,K$7)+SUMIFS(Учёт!$O:$O,Учёт!$L:$L,Табель!B41,Учёт!$J:$J,K$7)+SUMIFS(Учёт!$O:$O,Учёт!$L:$L,Табель!B41,Учёт!$I:$I,M$7)+SUMIFS(Учёт!$O:$O,Учёт!$L:$L,Табель!B41,Учёт!$J:$J,M$7)+SUMIFS(Учёт!$O:$O,Учёт!$L:$L,Табель!B41,Учёт!$I:$I,O$7)+SUMIFS(Учёт!$O:$O,Учёт!$L:$L,Табель!B41,Учёт!$J:$J,O$7),0)</f>
        <v>0</v>
      </c>
      <c r="S41" s="76"/>
      <c r="T41" s="76"/>
      <c r="U41" s="67">
        <v>32</v>
      </c>
      <c r="V41" s="68"/>
      <c r="W41" s="72"/>
      <c r="X41" s="73"/>
      <c r="Y41" s="72"/>
      <c r="Z41" s="73"/>
      <c r="AA41" s="72"/>
      <c r="AB41" s="73"/>
      <c r="AC41" s="72"/>
      <c r="AD41" s="73"/>
      <c r="AE41" s="72"/>
      <c r="AF41" s="73"/>
      <c r="AG41" s="72"/>
      <c r="AH41" s="73"/>
      <c r="AI41" s="72"/>
      <c r="AJ41" s="73"/>
      <c r="AK41" s="76">
        <f t="shared" si="9"/>
        <v>0</v>
      </c>
      <c r="AL41" s="87">
        <f>ROUNDUP(SUMIFS(Учёт!$O:$O,Учёт!$L:$L,Табель!V41,Учёт!$I:$I,W$7)+SUMIFS(Учёт!$O:$O,Учёт!$L:$L,Табель!V41,Учёт!$J:$J,W$7)+SUMIFS(Учёт!$O:$O,Учёт!$L:$L,Табель!V41,Учёт!$I:$I,Y$7)+SUMIFS(Учёт!$O:$O,Учёт!$L:$L,Табель!V41,Учёт!$J:$J,Y$7)+SUMIFS(Учёт!$O:$O,Учёт!$L:$L,Табель!V41,Учёт!$I:$I,AA$7)+SUMIFS(Учёт!$O:$O,Учёт!$L:$L,Табель!V41,Учёт!$J:$J,AA$7)+SUMIFS(Учёт!$O:$O,Учёт!$L:$L,Табель!V41,Учёт!$I:$I,AC$7)+SUMIFS(Учёт!$O:$O,Учёт!$L:$L,Табель!V41,Учёт!$J:$J,AC$7)+SUMIFS(Учёт!$O:$O,Учёт!$L:$L,Табель!V41,Учёт!$I:$I,AE$7)+SUMIFS(Учёт!$O:$O,Учёт!$L:$L,Табель!V41,Учёт!$J:$J,AE$7)+SUMIFS(Учёт!$O:$O,Учёт!$L:$L,Табель!V41,Учёт!$I:$I,AG$7)+SUMIFS(Учёт!$O:$O,Учёт!$L:$L,Табель!V41,Учёт!$J:$J,AG$7)+SUMIFS(Учёт!$O:$O,Учёт!$L:$L,Табель!V41,Учёт!$I:$I,AI$7)+SUMIFS(Учёт!$O:$O,Учёт!$L:$L,Табель!V41,Учёт!$J:$J,AI$7),0)</f>
        <v>0</v>
      </c>
      <c r="AM41" s="76"/>
      <c r="AN41" s="76"/>
    </row>
    <row r="42" spans="1:40" ht="47.45" customHeight="1">
      <c r="A42" s="67">
        <v>33</v>
      </c>
      <c r="B42" s="68"/>
      <c r="C42" s="72"/>
      <c r="D42" s="73"/>
      <c r="E42" s="72"/>
      <c r="F42" s="73"/>
      <c r="G42" s="72"/>
      <c r="H42" s="73"/>
      <c r="I42" s="72"/>
      <c r="J42" s="73"/>
      <c r="K42" s="72"/>
      <c r="L42" s="73"/>
      <c r="M42" s="72"/>
      <c r="N42" s="73"/>
      <c r="O42" s="72"/>
      <c r="P42" s="73"/>
      <c r="Q42" s="76">
        <f t="shared" si="8"/>
        <v>0</v>
      </c>
      <c r="R42" s="87">
        <f>ROUNDUP(SUMIFS(Учёт!$O:$O,Учёт!$L:$L,Табель!B42,Учёт!$I:$I,C$7)+SUMIFS(Учёт!$O:$O,Учёт!$L:$L,Табель!B42,Учёт!$J:$J,C$7)+SUMIFS(Учёт!$O:$O,Учёт!$L:$L,Табель!B42,Учёт!$I:$I,E$7)+SUMIFS(Учёт!$O:$O,Учёт!$L:$L,Табель!B42,Учёт!$J:$J,E$7)+SUMIFS(Учёт!$O:$O,Учёт!$L:$L,Табель!B42,Учёт!$I:$I,G$7)+SUMIFS(Учёт!$O:$O,Учёт!$L:$L,Табель!B42,Учёт!$J:$J,G$7)+SUMIFS(Учёт!$O:$O,Учёт!$L:$L,Табель!B42,Учёт!$I:$I,I$7)+SUMIFS(Учёт!$O:$O,Учёт!$L:$L,Табель!B42,Учёт!$J:$J,I$7)+SUMIFS(Учёт!$O:$O,Учёт!$L:$L,Табель!B42,Учёт!$I:$I,K$7)+SUMIFS(Учёт!$O:$O,Учёт!$L:$L,Табель!B42,Учёт!$J:$J,K$7)+SUMIFS(Учёт!$O:$O,Учёт!$L:$L,Табель!B42,Учёт!$I:$I,M$7)+SUMIFS(Учёт!$O:$O,Учёт!$L:$L,Табель!B42,Учёт!$J:$J,M$7)+SUMIFS(Учёт!$O:$O,Учёт!$L:$L,Табель!B42,Учёт!$I:$I,O$7)+SUMIFS(Учёт!$O:$O,Учёт!$L:$L,Табель!B42,Учёт!$J:$J,O$7),0)</f>
        <v>0</v>
      </c>
      <c r="S42" s="76"/>
      <c r="T42" s="76"/>
      <c r="U42" s="67">
        <v>33</v>
      </c>
      <c r="V42" s="68"/>
      <c r="W42" s="72"/>
      <c r="X42" s="73"/>
      <c r="Y42" s="72"/>
      <c r="Z42" s="73"/>
      <c r="AA42" s="72"/>
      <c r="AB42" s="73"/>
      <c r="AC42" s="72"/>
      <c r="AD42" s="73"/>
      <c r="AE42" s="72"/>
      <c r="AF42" s="73"/>
      <c r="AG42" s="72"/>
      <c r="AH42" s="73"/>
      <c r="AI42" s="72"/>
      <c r="AJ42" s="73"/>
      <c r="AK42" s="76">
        <f t="shared" si="9"/>
        <v>0</v>
      </c>
      <c r="AL42" s="87">
        <f>ROUNDUP(SUMIFS(Учёт!$O:$O,Учёт!$L:$L,Табель!V42,Учёт!$I:$I,W$7)+SUMIFS(Учёт!$O:$O,Учёт!$L:$L,Табель!V42,Учёт!$J:$J,W$7)+SUMIFS(Учёт!$O:$O,Учёт!$L:$L,Табель!V42,Учёт!$I:$I,Y$7)+SUMIFS(Учёт!$O:$O,Учёт!$L:$L,Табель!V42,Учёт!$J:$J,Y$7)+SUMIFS(Учёт!$O:$O,Учёт!$L:$L,Табель!V42,Учёт!$I:$I,AA$7)+SUMIFS(Учёт!$O:$O,Учёт!$L:$L,Табель!V42,Учёт!$J:$J,AA$7)+SUMIFS(Учёт!$O:$O,Учёт!$L:$L,Табель!V42,Учёт!$I:$I,AC$7)+SUMIFS(Учёт!$O:$O,Учёт!$L:$L,Табель!V42,Учёт!$J:$J,AC$7)+SUMIFS(Учёт!$O:$O,Учёт!$L:$L,Табель!V42,Учёт!$I:$I,AE$7)+SUMIFS(Учёт!$O:$O,Учёт!$L:$L,Табель!V42,Учёт!$J:$J,AE$7)+SUMIFS(Учёт!$O:$O,Учёт!$L:$L,Табель!V42,Учёт!$I:$I,AG$7)+SUMIFS(Учёт!$O:$O,Учёт!$L:$L,Табель!V42,Учёт!$J:$J,AG$7)+SUMIFS(Учёт!$O:$O,Учёт!$L:$L,Табель!V42,Учёт!$I:$I,AI$7)+SUMIFS(Учёт!$O:$O,Учёт!$L:$L,Табель!V42,Учёт!$J:$J,AI$7),0)</f>
        <v>0</v>
      </c>
      <c r="AM42" s="76"/>
      <c r="AN42" s="76"/>
    </row>
    <row r="43" spans="1:40" ht="47.45" customHeight="1">
      <c r="A43" s="67">
        <v>34</v>
      </c>
      <c r="B43" s="68"/>
      <c r="C43" s="72"/>
      <c r="D43" s="73"/>
      <c r="E43" s="72"/>
      <c r="F43" s="73"/>
      <c r="G43" s="72"/>
      <c r="H43" s="73"/>
      <c r="I43" s="72"/>
      <c r="J43" s="73"/>
      <c r="K43" s="72"/>
      <c r="L43" s="73"/>
      <c r="M43" s="72"/>
      <c r="N43" s="73"/>
      <c r="O43" s="72"/>
      <c r="P43" s="73"/>
      <c r="Q43" s="76">
        <f t="shared" si="8"/>
        <v>0</v>
      </c>
      <c r="R43" s="87">
        <f>ROUNDUP(SUMIFS(Учёт!$O:$O,Учёт!$L:$L,Табель!B43,Учёт!$I:$I,C$7)+SUMIFS(Учёт!$O:$O,Учёт!$L:$L,Табель!B43,Учёт!$J:$J,C$7)+SUMIFS(Учёт!$O:$O,Учёт!$L:$L,Табель!B43,Учёт!$I:$I,E$7)+SUMIFS(Учёт!$O:$O,Учёт!$L:$L,Табель!B43,Учёт!$J:$J,E$7)+SUMIFS(Учёт!$O:$O,Учёт!$L:$L,Табель!B43,Учёт!$I:$I,G$7)+SUMIFS(Учёт!$O:$O,Учёт!$L:$L,Табель!B43,Учёт!$J:$J,G$7)+SUMIFS(Учёт!$O:$O,Учёт!$L:$L,Табель!B43,Учёт!$I:$I,I$7)+SUMIFS(Учёт!$O:$O,Учёт!$L:$L,Табель!B43,Учёт!$J:$J,I$7)+SUMIFS(Учёт!$O:$O,Учёт!$L:$L,Табель!B43,Учёт!$I:$I,K$7)+SUMIFS(Учёт!$O:$O,Учёт!$L:$L,Табель!B43,Учёт!$J:$J,K$7)+SUMIFS(Учёт!$O:$O,Учёт!$L:$L,Табель!B43,Учёт!$I:$I,M$7)+SUMIFS(Учёт!$O:$O,Учёт!$L:$L,Табель!B43,Учёт!$J:$J,M$7)+SUMIFS(Учёт!$O:$O,Учёт!$L:$L,Табель!B43,Учёт!$I:$I,O$7)+SUMIFS(Учёт!$O:$O,Учёт!$L:$L,Табель!B43,Учёт!$J:$J,O$7),0)</f>
        <v>0</v>
      </c>
      <c r="S43" s="76"/>
      <c r="T43" s="76"/>
      <c r="U43" s="67">
        <v>34</v>
      </c>
      <c r="V43" s="68"/>
      <c r="W43" s="72"/>
      <c r="X43" s="73"/>
      <c r="Y43" s="72"/>
      <c r="Z43" s="73"/>
      <c r="AA43" s="72"/>
      <c r="AB43" s="73"/>
      <c r="AC43" s="72"/>
      <c r="AD43" s="73"/>
      <c r="AE43" s="72"/>
      <c r="AF43" s="73"/>
      <c r="AG43" s="72"/>
      <c r="AH43" s="73"/>
      <c r="AI43" s="72"/>
      <c r="AJ43" s="73"/>
      <c r="AK43" s="76">
        <f t="shared" si="9"/>
        <v>0</v>
      </c>
      <c r="AL43" s="87">
        <f>ROUNDUP(SUMIFS(Учёт!$O:$O,Учёт!$L:$L,Табель!V43,Учёт!$I:$I,W$7)+SUMIFS(Учёт!$O:$O,Учёт!$L:$L,Табель!V43,Учёт!$J:$J,W$7)+SUMIFS(Учёт!$O:$O,Учёт!$L:$L,Табель!V43,Учёт!$I:$I,Y$7)+SUMIFS(Учёт!$O:$O,Учёт!$L:$L,Табель!V43,Учёт!$J:$J,Y$7)+SUMIFS(Учёт!$O:$O,Учёт!$L:$L,Табель!V43,Учёт!$I:$I,AA$7)+SUMIFS(Учёт!$O:$O,Учёт!$L:$L,Табель!V43,Учёт!$J:$J,AA$7)+SUMIFS(Учёт!$O:$O,Учёт!$L:$L,Табель!V43,Учёт!$I:$I,AC$7)+SUMIFS(Учёт!$O:$O,Учёт!$L:$L,Табель!V43,Учёт!$J:$J,AC$7)+SUMIFS(Учёт!$O:$O,Учёт!$L:$L,Табель!V43,Учёт!$I:$I,AE$7)+SUMIFS(Учёт!$O:$O,Учёт!$L:$L,Табель!V43,Учёт!$J:$J,AE$7)+SUMIFS(Учёт!$O:$O,Учёт!$L:$L,Табель!V43,Учёт!$I:$I,AG$7)+SUMIFS(Учёт!$O:$O,Учёт!$L:$L,Табель!V43,Учёт!$J:$J,AG$7)+SUMIFS(Учёт!$O:$O,Учёт!$L:$L,Табель!V43,Учёт!$I:$I,AI$7)+SUMIFS(Учёт!$O:$O,Учёт!$L:$L,Табель!V43,Учёт!$J:$J,AI$7),0)</f>
        <v>0</v>
      </c>
      <c r="AM43" s="76"/>
      <c r="AN43" s="76"/>
    </row>
    <row r="44" spans="1:40" ht="47.45" customHeight="1">
      <c r="A44" s="67">
        <v>35</v>
      </c>
      <c r="B44" s="68"/>
      <c r="C44" s="72"/>
      <c r="D44" s="73"/>
      <c r="E44" s="72"/>
      <c r="F44" s="73"/>
      <c r="G44" s="72"/>
      <c r="H44" s="73"/>
      <c r="I44" s="72"/>
      <c r="J44" s="73"/>
      <c r="K44" s="72"/>
      <c r="L44" s="73"/>
      <c r="M44" s="72"/>
      <c r="N44" s="73"/>
      <c r="O44" s="72"/>
      <c r="P44" s="73"/>
      <c r="Q44" s="76">
        <f t="shared" si="8"/>
        <v>0</v>
      </c>
      <c r="R44" s="87">
        <f>ROUNDUP(SUMIFS(Учёт!$O:$O,Учёт!$L:$L,Табель!B44,Учёт!$I:$I,C$7)+SUMIFS(Учёт!$O:$O,Учёт!$L:$L,Табель!B44,Учёт!$J:$J,C$7)+SUMIFS(Учёт!$O:$O,Учёт!$L:$L,Табель!B44,Учёт!$I:$I,E$7)+SUMIFS(Учёт!$O:$O,Учёт!$L:$L,Табель!B44,Учёт!$J:$J,E$7)+SUMIFS(Учёт!$O:$O,Учёт!$L:$L,Табель!B44,Учёт!$I:$I,G$7)+SUMIFS(Учёт!$O:$O,Учёт!$L:$L,Табель!B44,Учёт!$J:$J,G$7)+SUMIFS(Учёт!$O:$O,Учёт!$L:$L,Табель!B44,Учёт!$I:$I,I$7)+SUMIFS(Учёт!$O:$O,Учёт!$L:$L,Табель!B44,Учёт!$J:$J,I$7)+SUMIFS(Учёт!$O:$O,Учёт!$L:$L,Табель!B44,Учёт!$I:$I,K$7)+SUMIFS(Учёт!$O:$O,Учёт!$L:$L,Табель!B44,Учёт!$J:$J,K$7)+SUMIFS(Учёт!$O:$O,Учёт!$L:$L,Табель!B44,Учёт!$I:$I,M$7)+SUMIFS(Учёт!$O:$O,Учёт!$L:$L,Табель!B44,Учёт!$J:$J,M$7)+SUMIFS(Учёт!$O:$O,Учёт!$L:$L,Табель!B44,Учёт!$I:$I,O$7)+SUMIFS(Учёт!$O:$O,Учёт!$L:$L,Табель!B44,Учёт!$J:$J,O$7),0)</f>
        <v>0</v>
      </c>
      <c r="S44" s="76"/>
      <c r="T44" s="76"/>
      <c r="U44" s="67">
        <v>35</v>
      </c>
      <c r="V44" s="68"/>
      <c r="W44" s="72"/>
      <c r="X44" s="73"/>
      <c r="Y44" s="72"/>
      <c r="Z44" s="73"/>
      <c r="AA44" s="72"/>
      <c r="AB44" s="73"/>
      <c r="AC44" s="72"/>
      <c r="AD44" s="73"/>
      <c r="AE44" s="72"/>
      <c r="AF44" s="73"/>
      <c r="AG44" s="72"/>
      <c r="AH44" s="73"/>
      <c r="AI44" s="72"/>
      <c r="AJ44" s="73"/>
      <c r="AK44" s="76">
        <f t="shared" si="9"/>
        <v>0</v>
      </c>
      <c r="AL44" s="87">
        <f>ROUNDUP(SUMIFS(Учёт!$O:$O,Учёт!$L:$L,Табель!V44,Учёт!$I:$I,W$7)+SUMIFS(Учёт!$O:$O,Учёт!$L:$L,Табель!V44,Учёт!$J:$J,W$7)+SUMIFS(Учёт!$O:$O,Учёт!$L:$L,Табель!V44,Учёт!$I:$I,Y$7)+SUMIFS(Учёт!$O:$O,Учёт!$L:$L,Табель!V44,Учёт!$J:$J,Y$7)+SUMIFS(Учёт!$O:$O,Учёт!$L:$L,Табель!V44,Учёт!$I:$I,AA$7)+SUMIFS(Учёт!$O:$O,Учёт!$L:$L,Табель!V44,Учёт!$J:$J,AA$7)+SUMIFS(Учёт!$O:$O,Учёт!$L:$L,Табель!V44,Учёт!$I:$I,AC$7)+SUMIFS(Учёт!$O:$O,Учёт!$L:$L,Табель!V44,Учёт!$J:$J,AC$7)+SUMIFS(Учёт!$O:$O,Учёт!$L:$L,Табель!V44,Учёт!$I:$I,AE$7)+SUMIFS(Учёт!$O:$O,Учёт!$L:$L,Табель!V44,Учёт!$J:$J,AE$7)+SUMIFS(Учёт!$O:$O,Учёт!$L:$L,Табель!V44,Учёт!$I:$I,AG$7)+SUMIFS(Учёт!$O:$O,Учёт!$L:$L,Табель!V44,Учёт!$J:$J,AG$7)+SUMIFS(Учёт!$O:$O,Учёт!$L:$L,Табель!V44,Учёт!$I:$I,AI$7)+SUMIFS(Учёт!$O:$O,Учёт!$L:$L,Табель!V44,Учёт!$J:$J,AI$7),0)</f>
        <v>0</v>
      </c>
      <c r="AM44" s="76"/>
      <c r="AN44" s="76"/>
    </row>
    <row r="45" spans="1:40" ht="47.45" customHeight="1">
      <c r="A45" s="67">
        <v>36</v>
      </c>
      <c r="B45" s="68"/>
      <c r="C45" s="72"/>
      <c r="D45" s="73"/>
      <c r="E45" s="72"/>
      <c r="F45" s="73"/>
      <c r="G45" s="72"/>
      <c r="H45" s="73"/>
      <c r="I45" s="72"/>
      <c r="J45" s="73"/>
      <c r="K45" s="72"/>
      <c r="L45" s="73"/>
      <c r="M45" s="72"/>
      <c r="N45" s="73"/>
      <c r="O45" s="72"/>
      <c r="P45" s="73"/>
      <c r="Q45" s="76">
        <f t="shared" si="8"/>
        <v>0</v>
      </c>
      <c r="R45" s="87">
        <f>ROUNDUP(SUMIFS(Учёт!$O:$O,Учёт!$L:$L,Табель!B45,Учёт!$I:$I,C$7)+SUMIFS(Учёт!$O:$O,Учёт!$L:$L,Табель!B45,Учёт!$J:$J,C$7)+SUMIFS(Учёт!$O:$O,Учёт!$L:$L,Табель!B45,Учёт!$I:$I,E$7)+SUMIFS(Учёт!$O:$O,Учёт!$L:$L,Табель!B45,Учёт!$J:$J,E$7)+SUMIFS(Учёт!$O:$O,Учёт!$L:$L,Табель!B45,Учёт!$I:$I,G$7)+SUMIFS(Учёт!$O:$O,Учёт!$L:$L,Табель!B45,Учёт!$J:$J,G$7)+SUMIFS(Учёт!$O:$O,Учёт!$L:$L,Табель!B45,Учёт!$I:$I,I$7)+SUMIFS(Учёт!$O:$O,Учёт!$L:$L,Табель!B45,Учёт!$J:$J,I$7)+SUMIFS(Учёт!$O:$O,Учёт!$L:$L,Табель!B45,Учёт!$I:$I,K$7)+SUMIFS(Учёт!$O:$O,Учёт!$L:$L,Табель!B45,Учёт!$J:$J,K$7)+SUMIFS(Учёт!$O:$O,Учёт!$L:$L,Табель!B45,Учёт!$I:$I,M$7)+SUMIFS(Учёт!$O:$O,Учёт!$L:$L,Табель!B45,Учёт!$J:$J,M$7)+SUMIFS(Учёт!$O:$O,Учёт!$L:$L,Табель!B45,Учёт!$I:$I,O$7)+SUMIFS(Учёт!$O:$O,Учёт!$L:$L,Табель!B45,Учёт!$J:$J,O$7),0)</f>
        <v>0</v>
      </c>
      <c r="S45" s="76"/>
      <c r="T45" s="76"/>
      <c r="U45" s="67">
        <v>36</v>
      </c>
      <c r="V45" s="68"/>
      <c r="W45" s="72"/>
      <c r="X45" s="73"/>
      <c r="Y45" s="72"/>
      <c r="Z45" s="73"/>
      <c r="AA45" s="72"/>
      <c r="AB45" s="73"/>
      <c r="AC45" s="72"/>
      <c r="AD45" s="73"/>
      <c r="AE45" s="72"/>
      <c r="AF45" s="73"/>
      <c r="AG45" s="72"/>
      <c r="AH45" s="73"/>
      <c r="AI45" s="72"/>
      <c r="AJ45" s="73"/>
      <c r="AK45" s="76">
        <f t="shared" si="9"/>
        <v>0</v>
      </c>
      <c r="AL45" s="87">
        <f>ROUNDUP(SUMIFS(Учёт!$O:$O,Учёт!$L:$L,Табель!V45,Учёт!$I:$I,W$7)+SUMIFS(Учёт!$O:$O,Учёт!$L:$L,Табель!V45,Учёт!$J:$J,W$7)+SUMIFS(Учёт!$O:$O,Учёт!$L:$L,Табель!V45,Учёт!$I:$I,Y$7)+SUMIFS(Учёт!$O:$O,Учёт!$L:$L,Табель!V45,Учёт!$J:$J,Y$7)+SUMIFS(Учёт!$O:$O,Учёт!$L:$L,Табель!V45,Учёт!$I:$I,AA$7)+SUMIFS(Учёт!$O:$O,Учёт!$L:$L,Табель!V45,Учёт!$J:$J,AA$7)+SUMIFS(Учёт!$O:$O,Учёт!$L:$L,Табель!V45,Учёт!$I:$I,AC$7)+SUMIFS(Учёт!$O:$O,Учёт!$L:$L,Табель!V45,Учёт!$J:$J,AC$7)+SUMIFS(Учёт!$O:$O,Учёт!$L:$L,Табель!V45,Учёт!$I:$I,AE$7)+SUMIFS(Учёт!$O:$O,Учёт!$L:$L,Табель!V45,Учёт!$J:$J,AE$7)+SUMIFS(Учёт!$O:$O,Учёт!$L:$L,Табель!V45,Учёт!$I:$I,AG$7)+SUMIFS(Учёт!$O:$O,Учёт!$L:$L,Табель!V45,Учёт!$J:$J,AG$7)+SUMIFS(Учёт!$O:$O,Учёт!$L:$L,Табель!V45,Учёт!$I:$I,AI$7)+SUMIFS(Учёт!$O:$O,Учёт!$L:$L,Табель!V45,Учёт!$J:$J,AI$7),0)</f>
        <v>0</v>
      </c>
      <c r="AM45" s="76"/>
      <c r="AN45" s="76"/>
    </row>
    <row r="46" spans="1:40" ht="47.45" customHeight="1">
      <c r="A46" s="67">
        <v>37</v>
      </c>
      <c r="B46" s="68"/>
      <c r="C46" s="72"/>
      <c r="D46" s="73"/>
      <c r="E46" s="72"/>
      <c r="F46" s="73"/>
      <c r="G46" s="72"/>
      <c r="H46" s="73"/>
      <c r="I46" s="72"/>
      <c r="J46" s="73"/>
      <c r="K46" s="72"/>
      <c r="L46" s="73"/>
      <c r="M46" s="72"/>
      <c r="N46" s="73"/>
      <c r="O46" s="72"/>
      <c r="P46" s="73"/>
      <c r="Q46" s="76">
        <f t="shared" si="8"/>
        <v>0</v>
      </c>
      <c r="R46" s="87">
        <f>ROUNDUP(SUMIFS(Учёт!$O:$O,Учёт!$L:$L,Табель!B46,Учёт!$I:$I,C$7)+SUMIFS(Учёт!$O:$O,Учёт!$L:$L,Табель!B46,Учёт!$J:$J,C$7)+SUMIFS(Учёт!$O:$O,Учёт!$L:$L,Табель!B46,Учёт!$I:$I,E$7)+SUMIFS(Учёт!$O:$O,Учёт!$L:$L,Табель!B46,Учёт!$J:$J,E$7)+SUMIFS(Учёт!$O:$O,Учёт!$L:$L,Табель!B46,Учёт!$I:$I,G$7)+SUMIFS(Учёт!$O:$O,Учёт!$L:$L,Табель!B46,Учёт!$J:$J,G$7)+SUMIFS(Учёт!$O:$O,Учёт!$L:$L,Табель!B46,Учёт!$I:$I,I$7)+SUMIFS(Учёт!$O:$O,Учёт!$L:$L,Табель!B46,Учёт!$J:$J,I$7)+SUMIFS(Учёт!$O:$O,Учёт!$L:$L,Табель!B46,Учёт!$I:$I,K$7)+SUMIFS(Учёт!$O:$O,Учёт!$L:$L,Табель!B46,Учёт!$J:$J,K$7)+SUMIFS(Учёт!$O:$O,Учёт!$L:$L,Табель!B46,Учёт!$I:$I,M$7)+SUMIFS(Учёт!$O:$O,Учёт!$L:$L,Табель!B46,Учёт!$J:$J,M$7)+SUMIFS(Учёт!$O:$O,Учёт!$L:$L,Табель!B46,Учёт!$I:$I,O$7)+SUMIFS(Учёт!$O:$O,Учёт!$L:$L,Табель!B46,Учёт!$J:$J,O$7),0)</f>
        <v>0</v>
      </c>
      <c r="S46" s="76"/>
      <c r="T46" s="76"/>
      <c r="U46" s="67">
        <v>37</v>
      </c>
      <c r="V46" s="68"/>
      <c r="W46" s="72"/>
      <c r="X46" s="73"/>
      <c r="Y46" s="72"/>
      <c r="Z46" s="73"/>
      <c r="AA46" s="72"/>
      <c r="AB46" s="73"/>
      <c r="AC46" s="72"/>
      <c r="AD46" s="73"/>
      <c r="AE46" s="72"/>
      <c r="AF46" s="73"/>
      <c r="AG46" s="72"/>
      <c r="AH46" s="73"/>
      <c r="AI46" s="72"/>
      <c r="AJ46" s="73"/>
      <c r="AK46" s="76">
        <f t="shared" si="9"/>
        <v>0</v>
      </c>
      <c r="AL46" s="87">
        <f>ROUNDUP(SUMIFS(Учёт!$O:$O,Учёт!$L:$L,Табель!V46,Учёт!$I:$I,W$7)+SUMIFS(Учёт!$O:$O,Учёт!$L:$L,Табель!V46,Учёт!$J:$J,W$7)+SUMIFS(Учёт!$O:$O,Учёт!$L:$L,Табель!V46,Учёт!$I:$I,Y$7)+SUMIFS(Учёт!$O:$O,Учёт!$L:$L,Табель!V46,Учёт!$J:$J,Y$7)+SUMIFS(Учёт!$O:$O,Учёт!$L:$L,Табель!V46,Учёт!$I:$I,AA$7)+SUMIFS(Учёт!$O:$O,Учёт!$L:$L,Табель!V46,Учёт!$J:$J,AA$7)+SUMIFS(Учёт!$O:$O,Учёт!$L:$L,Табель!V46,Учёт!$I:$I,AC$7)+SUMIFS(Учёт!$O:$O,Учёт!$L:$L,Табель!V46,Учёт!$J:$J,AC$7)+SUMIFS(Учёт!$O:$O,Учёт!$L:$L,Табель!V46,Учёт!$I:$I,AE$7)+SUMIFS(Учёт!$O:$O,Учёт!$L:$L,Табель!V46,Учёт!$J:$J,AE$7)+SUMIFS(Учёт!$O:$O,Учёт!$L:$L,Табель!V46,Учёт!$I:$I,AG$7)+SUMIFS(Учёт!$O:$O,Учёт!$L:$L,Табель!V46,Учёт!$J:$J,AG$7)+SUMIFS(Учёт!$O:$O,Учёт!$L:$L,Табель!V46,Учёт!$I:$I,AI$7)+SUMIFS(Учёт!$O:$O,Учёт!$L:$L,Табель!V46,Учёт!$J:$J,AI$7),0)</f>
        <v>0</v>
      </c>
      <c r="AM46" s="76"/>
      <c r="AN46" s="76"/>
    </row>
  </sheetData>
  <dataConsolidate/>
  <mergeCells count="54">
    <mergeCell ref="AM7:AM9"/>
    <mergeCell ref="AN7:AN9"/>
    <mergeCell ref="W8:X8"/>
    <mergeCell ref="Y8:Z8"/>
    <mergeCell ref="AA8:AB8"/>
    <mergeCell ref="AC8:AD8"/>
    <mergeCell ref="AE8:AF8"/>
    <mergeCell ref="AG8:AH8"/>
    <mergeCell ref="AI8:AJ8"/>
    <mergeCell ref="AL5:AL6"/>
    <mergeCell ref="U6:V6"/>
    <mergeCell ref="U7:U9"/>
    <mergeCell ref="V7:V9"/>
    <mergeCell ref="W7:X7"/>
    <mergeCell ref="Y7:Z7"/>
    <mergeCell ref="AA7:AB7"/>
    <mergeCell ref="AC7:AD7"/>
    <mergeCell ref="AE7:AF7"/>
    <mergeCell ref="AG7:AH7"/>
    <mergeCell ref="AI7:AJ7"/>
    <mergeCell ref="AK7:AK9"/>
    <mergeCell ref="AL7:AL9"/>
    <mergeCell ref="U2:V2"/>
    <mergeCell ref="U3:V3"/>
    <mergeCell ref="U4:V4"/>
    <mergeCell ref="U5:V5"/>
    <mergeCell ref="AK5:AK6"/>
    <mergeCell ref="S7:S9"/>
    <mergeCell ref="T7:T9"/>
    <mergeCell ref="C8:D8"/>
    <mergeCell ref="E8:F8"/>
    <mergeCell ref="G8:H8"/>
    <mergeCell ref="I8:J8"/>
    <mergeCell ref="K8:L8"/>
    <mergeCell ref="M8:N8"/>
    <mergeCell ref="O8:P8"/>
    <mergeCell ref="R5:R6"/>
    <mergeCell ref="A6:B6"/>
    <mergeCell ref="A7:A9"/>
    <mergeCell ref="B7:B9"/>
    <mergeCell ref="C7:D7"/>
    <mergeCell ref="E7:F7"/>
    <mergeCell ref="G7:H7"/>
    <mergeCell ref="I7:J7"/>
    <mergeCell ref="K7:L7"/>
    <mergeCell ref="M7:N7"/>
    <mergeCell ref="O7:P7"/>
    <mergeCell ref="Q7:Q9"/>
    <mergeCell ref="R7:R9"/>
    <mergeCell ref="A2:B2"/>
    <mergeCell ref="A3:B3"/>
    <mergeCell ref="A4:B4"/>
    <mergeCell ref="A5:B5"/>
    <mergeCell ref="Q5:Q6"/>
  </mergeCells>
  <conditionalFormatting sqref="C3:P3 W3:AJ3">
    <cfRule type="cellIs" dxfId="130" priority="457" operator="greaterThan">
      <formula>0</formula>
    </cfRule>
  </conditionalFormatting>
  <conditionalFormatting sqref="C10:P46 W10:AJ46">
    <cfRule type="cellIs" dxfId="129" priority="455" operator="equal">
      <formula>2</formula>
    </cfRule>
    <cfRule type="cellIs" dxfId="128" priority="456" operator="equal">
      <formula>1</formula>
    </cfRule>
  </conditionalFormatting>
  <conditionalFormatting sqref="C4:P4 W4:AJ4">
    <cfRule type="cellIs" dxfId="127" priority="454" operator="greaterThan">
      <formula>0</formula>
    </cfRule>
  </conditionalFormatting>
  <conditionalFormatting sqref="C10:P46 W10:AJ46">
    <cfRule type="cellIs" dxfId="126" priority="453" operator="equal">
      <formula>3</formula>
    </cfRule>
  </conditionalFormatting>
  <conditionalFormatting sqref="C7:D8 E7:P7 W7:X8 Y7:AJ7">
    <cfRule type="expression" dxfId="125" priority="452">
      <formula>IF(C7=TODAY(),1,0)</formula>
    </cfRule>
  </conditionalFormatting>
  <conditionalFormatting sqref="C6:P6 W6:AJ6">
    <cfRule type="cellIs" dxfId="124" priority="451" operator="greaterThan">
      <formula>0</formula>
    </cfRule>
  </conditionalFormatting>
  <conditionalFormatting sqref="C10:C46 W10:W46">
    <cfRule type="expression" dxfId="123" priority="450">
      <formula>IF(#REF!=1,1,0)</formula>
    </cfRule>
  </conditionalFormatting>
  <conditionalFormatting sqref="D10:P46">
    <cfRule type="expression" dxfId="122" priority="449">
      <formula>IF(C10=1,1,0)</formula>
    </cfRule>
  </conditionalFormatting>
  <conditionalFormatting sqref="C2:P2">
    <cfRule type="expression" dxfId="121" priority="447">
      <formula>IF(C3=C2,1,0)</formula>
    </cfRule>
    <cfRule type="expression" dxfId="120" priority="448">
      <formula>IF(C3&lt;C2,1,0)</formula>
    </cfRule>
  </conditionalFormatting>
  <conditionalFormatting sqref="W10:W46">
    <cfRule type="expression" dxfId="119" priority="439">
      <formula>IF(P10=1,1,0)</formula>
    </cfRule>
  </conditionalFormatting>
  <conditionalFormatting sqref="X10:AJ46">
    <cfRule type="expression" dxfId="118" priority="438">
      <formula>IF(W10=1,1,0)</formula>
    </cfRule>
  </conditionalFormatting>
  <conditionalFormatting sqref="W2:AJ2">
    <cfRule type="expression" dxfId="117" priority="436">
      <formula>IF(W3=W2,1,0)</formula>
    </cfRule>
    <cfRule type="expression" dxfId="116" priority="437">
      <formula>IF(W3&lt;W2,1,0)</formula>
    </cfRule>
  </conditionalFormatting>
  <conditionalFormatting sqref="D10:P46">
    <cfRule type="expression" dxfId="115" priority="406">
      <formula>IF(C10=1,1,0)</formula>
    </cfRule>
  </conditionalFormatting>
  <conditionalFormatting sqref="D10:P46">
    <cfRule type="expression" dxfId="114" priority="401">
      <formula>IF(C10=1,1,0)</formula>
    </cfRule>
  </conditionalFormatting>
  <conditionalFormatting sqref="D10:P46">
    <cfRule type="expression" dxfId="113" priority="396">
      <formula>IF(C10=1,1,0)</formula>
    </cfRule>
  </conditionalFormatting>
  <conditionalFormatting sqref="C10:P46 W10:AJ46">
    <cfRule type="cellIs" dxfId="112" priority="395" operator="equal">
      <formula>4</formula>
    </cfRule>
  </conditionalFormatting>
  <conditionalFormatting sqref="W10:W46">
    <cfRule type="expression" dxfId="111" priority="391">
      <formula>IF(P10=1,1,0)</formula>
    </cfRule>
  </conditionalFormatting>
  <conditionalFormatting sqref="X10:AJ46">
    <cfRule type="expression" dxfId="110" priority="390">
      <formula>IF(W10=1,1,0)</formula>
    </cfRule>
  </conditionalFormatting>
  <conditionalFormatting sqref="W10:W46">
    <cfRule type="expression" dxfId="109" priority="386">
      <formula>IF(P10=1,1,0)</formula>
    </cfRule>
  </conditionalFormatting>
  <conditionalFormatting sqref="X10:AJ46">
    <cfRule type="expression" dxfId="108" priority="385">
      <formula>IF(W10=1,1,0)</formula>
    </cfRule>
  </conditionalFormatting>
  <conditionalFormatting sqref="W10:W46">
    <cfRule type="expression" dxfId="107" priority="381">
      <formula>IF(P10=1,1,0)</formula>
    </cfRule>
  </conditionalFormatting>
  <conditionalFormatting sqref="X10:AJ46">
    <cfRule type="expression" dxfId="106" priority="380">
      <formula>IF(W10=1,1,0)</formula>
    </cfRule>
  </conditionalFormatting>
  <conditionalFormatting sqref="W10:W46">
    <cfRule type="expression" dxfId="105" priority="376">
      <formula>IF(P10=1,1,0)</formula>
    </cfRule>
  </conditionalFormatting>
  <conditionalFormatting sqref="X10:AJ46">
    <cfRule type="expression" dxfId="104" priority="375">
      <formula>IF(W10=1,1,0)</formula>
    </cfRule>
  </conditionalFormatting>
  <conditionalFormatting sqref="D10:P46">
    <cfRule type="expression" dxfId="103" priority="333">
      <formula>IF(C10=1,1,0)</formula>
    </cfRule>
  </conditionalFormatting>
  <conditionalFormatting sqref="C10:P46 W10:AJ46">
    <cfRule type="cellIs" dxfId="102" priority="332" operator="equal">
      <formula>4</formula>
    </cfRule>
  </conditionalFormatting>
  <conditionalFormatting sqref="W10:W46">
    <cfRule type="expression" dxfId="101" priority="328">
      <formula>IF(P10=1,1,0)</formula>
    </cfRule>
  </conditionalFormatting>
  <conditionalFormatting sqref="X10:AJ46">
    <cfRule type="expression" dxfId="100" priority="327">
      <formula>IF(W10=1,1,0)</formula>
    </cfRule>
  </conditionalFormatting>
  <conditionalFormatting sqref="W10:W46">
    <cfRule type="expression" dxfId="99" priority="323">
      <formula>IF(P10=1,1,0)</formula>
    </cfRule>
  </conditionalFormatting>
  <conditionalFormatting sqref="X10:AJ46">
    <cfRule type="expression" dxfId="98" priority="322">
      <formula>IF(W10=1,1,0)</formula>
    </cfRule>
  </conditionalFormatting>
  <conditionalFormatting sqref="W10:W46">
    <cfRule type="expression" dxfId="97" priority="318">
      <formula>IF(P10=1,1,0)</formula>
    </cfRule>
  </conditionalFormatting>
  <conditionalFormatting sqref="X10:AJ46">
    <cfRule type="expression" dxfId="96" priority="317">
      <formula>IF(W10=1,1,0)</formula>
    </cfRule>
  </conditionalFormatting>
  <conditionalFormatting sqref="W10:W46">
    <cfRule type="expression" dxfId="95" priority="313">
      <formula>IF(P10=1,1,0)</formula>
    </cfRule>
  </conditionalFormatting>
  <conditionalFormatting sqref="X10:AJ46">
    <cfRule type="expression" dxfId="94" priority="312">
      <formula>IF(W10=1,1,0)</formula>
    </cfRule>
  </conditionalFormatting>
  <conditionalFormatting sqref="W10:W46">
    <cfRule type="expression" dxfId="93" priority="307">
      <formula>IF(P10=1,1,0)</formula>
    </cfRule>
  </conditionalFormatting>
  <conditionalFormatting sqref="X10:AJ46">
    <cfRule type="expression" dxfId="92" priority="306">
      <formula>IF(W10=1,1,0)</formula>
    </cfRule>
  </conditionalFormatting>
  <conditionalFormatting sqref="C27:N27">
    <cfRule type="expression" dxfId="91" priority="248">
      <formula>IF(B27=1,1,0)</formula>
    </cfRule>
  </conditionalFormatting>
  <conditionalFormatting sqref="C27:N27">
    <cfRule type="expression" dxfId="90" priority="244">
      <formula>IF(B27=1,1,0)</formula>
    </cfRule>
  </conditionalFormatting>
  <conditionalFormatting sqref="C27:N27">
    <cfRule type="expression" dxfId="89" priority="240">
      <formula>IF(B27=1,1,0)</formula>
    </cfRule>
  </conditionalFormatting>
  <conditionalFormatting sqref="C27:H27">
    <cfRule type="expression" dxfId="88" priority="235">
      <formula>IF(B27=1,1,0)</formula>
    </cfRule>
  </conditionalFormatting>
  <conditionalFormatting sqref="I27:N27">
    <cfRule type="expression" dxfId="87" priority="230">
      <formula>IF(H27=1,1,0)</formula>
    </cfRule>
  </conditionalFormatting>
  <conditionalFormatting sqref="O27:P27">
    <cfRule type="expression" dxfId="86" priority="225">
      <formula>IF(N27=1,1,0)</formula>
    </cfRule>
  </conditionalFormatting>
  <conditionalFormatting sqref="O27:P27">
    <cfRule type="expression" dxfId="85" priority="221">
      <formula>IF(N27=1,1,0)</formula>
    </cfRule>
  </conditionalFormatting>
  <conditionalFormatting sqref="O27:P27">
    <cfRule type="expression" dxfId="84" priority="217">
      <formula>IF(N27=1,1,0)</formula>
    </cfRule>
  </conditionalFormatting>
  <conditionalFormatting sqref="O27:P27">
    <cfRule type="expression" dxfId="83" priority="212">
      <formula>IF(N27=1,1,0)</formula>
    </cfRule>
  </conditionalFormatting>
  <conditionalFormatting sqref="D27:P29">
    <cfRule type="expression" dxfId="82" priority="206">
      <formula>IF(C27=1,1,0)</formula>
    </cfRule>
  </conditionalFormatting>
  <conditionalFormatting sqref="D27:P29">
    <cfRule type="expression" dxfId="81" priority="201">
      <formula>IF(C27=1,1,0)</formula>
    </cfRule>
  </conditionalFormatting>
  <conditionalFormatting sqref="D27:P29">
    <cfRule type="expression" dxfId="80" priority="196">
      <formula>IF(C27=1,1,0)</formula>
    </cfRule>
  </conditionalFormatting>
  <conditionalFormatting sqref="D27:P29">
    <cfRule type="expression" dxfId="79" priority="191">
      <formula>IF(C27=1,1,0)</formula>
    </cfRule>
  </conditionalFormatting>
  <conditionalFormatting sqref="D27:P29">
    <cfRule type="expression" dxfId="78" priority="185">
      <formula>IF(C27=1,1,0)</formula>
    </cfRule>
  </conditionalFormatting>
  <conditionalFormatting sqref="C27:N27">
    <cfRule type="expression" dxfId="77" priority="180">
      <formula>IF(B27=1,1,0)</formula>
    </cfRule>
  </conditionalFormatting>
  <conditionalFormatting sqref="C27:N27">
    <cfRule type="expression" dxfId="76" priority="176">
      <formula>IF(B27=1,1,0)</formula>
    </cfRule>
  </conditionalFormatting>
  <conditionalFormatting sqref="C27:N27">
    <cfRule type="expression" dxfId="75" priority="172">
      <formula>IF(B27=1,1,0)</formula>
    </cfRule>
  </conditionalFormatting>
  <conditionalFormatting sqref="C27:H27">
    <cfRule type="expression" dxfId="74" priority="167">
      <formula>IF(B27=1,1,0)</formula>
    </cfRule>
  </conditionalFormatting>
  <conditionalFormatting sqref="I27:N27">
    <cfRule type="expression" dxfId="73" priority="162">
      <formula>IF(H27=1,1,0)</formula>
    </cfRule>
  </conditionalFormatting>
  <conditionalFormatting sqref="O27:P27">
    <cfRule type="expression" dxfId="72" priority="157">
      <formula>IF(N27=1,1,0)</formula>
    </cfRule>
  </conditionalFormatting>
  <conditionalFormatting sqref="O27:P27">
    <cfRule type="expression" dxfId="71" priority="153">
      <formula>IF(N27=1,1,0)</formula>
    </cfRule>
  </conditionalFormatting>
  <conditionalFormatting sqref="O27:P27">
    <cfRule type="expression" dxfId="70" priority="149">
      <formula>IF(N27=1,1,0)</formula>
    </cfRule>
  </conditionalFormatting>
  <conditionalFormatting sqref="O27:P27">
    <cfRule type="expression" dxfId="69" priority="144">
      <formula>IF(N27=1,1,0)</formula>
    </cfRule>
  </conditionalFormatting>
  <conditionalFormatting sqref="Q10:Q46 AK10:AK46">
    <cfRule type="cellIs" dxfId="68" priority="140" operator="equal">
      <formula>4</formula>
    </cfRule>
    <cfRule type="cellIs" dxfId="67" priority="141" operator="equal">
      <formula>2</formula>
    </cfRule>
    <cfRule type="cellIs" dxfId="66" priority="142" operator="equal">
      <formula>3</formula>
    </cfRule>
  </conditionalFormatting>
  <conditionalFormatting sqref="X10:AJ46">
    <cfRule type="expression" dxfId="65" priority="135">
      <formula>IF(W10=1,1,0)</formula>
    </cfRule>
  </conditionalFormatting>
  <conditionalFormatting sqref="X10:AJ46">
    <cfRule type="expression" dxfId="64" priority="130">
      <formula>IF(W10=1,1,0)</formula>
    </cfRule>
  </conditionalFormatting>
  <conditionalFormatting sqref="X10:AJ46">
    <cfRule type="expression" dxfId="63" priority="125">
      <formula>IF(W10=1,1,0)</formula>
    </cfRule>
  </conditionalFormatting>
  <conditionalFormatting sqref="X10:AJ46">
    <cfRule type="expression" dxfId="62" priority="120">
      <formula>IF(W10=1,1,0)</formula>
    </cfRule>
  </conditionalFormatting>
  <conditionalFormatting sqref="X10:AJ46">
    <cfRule type="expression" dxfId="61" priority="114">
      <formula>IF(W10=1,1,0)</formula>
    </cfRule>
  </conditionalFormatting>
  <conditionalFormatting sqref="W27:AH27">
    <cfRule type="expression" dxfId="60" priority="109">
      <formula>IF(V27=1,1,0)</formula>
    </cfRule>
  </conditionalFormatting>
  <conditionalFormatting sqref="W27:AH27">
    <cfRule type="expression" dxfId="59" priority="105">
      <formula>IF(V27=1,1,0)</formula>
    </cfRule>
  </conditionalFormatting>
  <conditionalFormatting sqref="W27:AH27">
    <cfRule type="expression" dxfId="58" priority="101">
      <formula>IF(V27=1,1,0)</formula>
    </cfRule>
  </conditionalFormatting>
  <conditionalFormatting sqref="W27:AB27">
    <cfRule type="expression" dxfId="57" priority="96">
      <formula>IF(V27=1,1,0)</formula>
    </cfRule>
  </conditionalFormatting>
  <conditionalFormatting sqref="AC27:AH27">
    <cfRule type="expression" dxfId="56" priority="91">
      <formula>IF(AB27=1,1,0)</formula>
    </cfRule>
  </conditionalFormatting>
  <conditionalFormatting sqref="AI27:AJ27">
    <cfRule type="expression" dxfId="55" priority="86">
      <formula>IF(AH27=1,1,0)</formula>
    </cfRule>
  </conditionalFormatting>
  <conditionalFormatting sqref="AI27:AJ27">
    <cfRule type="expression" dxfId="54" priority="82">
      <formula>IF(AH27=1,1,0)</formula>
    </cfRule>
  </conditionalFormatting>
  <conditionalFormatting sqref="AI27:AJ27">
    <cfRule type="expression" dxfId="53" priority="78">
      <formula>IF(AH27=1,1,0)</formula>
    </cfRule>
  </conditionalFormatting>
  <conditionalFormatting sqref="AI27:AJ27">
    <cfRule type="expression" dxfId="52" priority="73">
      <formula>IF(AH27=1,1,0)</formula>
    </cfRule>
  </conditionalFormatting>
  <conditionalFormatting sqref="X27:AJ29">
    <cfRule type="expression" dxfId="51" priority="67">
      <formula>IF(W27=1,1,0)</formula>
    </cfRule>
  </conditionalFormatting>
  <conditionalFormatting sqref="X27:AJ29">
    <cfRule type="expression" dxfId="50" priority="62">
      <formula>IF(W27=1,1,0)</formula>
    </cfRule>
  </conditionalFormatting>
  <conditionalFormatting sqref="X27:AJ29">
    <cfRule type="expression" dxfId="49" priority="57">
      <formula>IF(W27=1,1,0)</formula>
    </cfRule>
  </conditionalFormatting>
  <conditionalFormatting sqref="X27:AJ29">
    <cfRule type="expression" dxfId="48" priority="52">
      <formula>IF(W27=1,1,0)</formula>
    </cfRule>
  </conditionalFormatting>
  <conditionalFormatting sqref="X27:AJ29">
    <cfRule type="expression" dxfId="47" priority="46">
      <formula>IF(W27=1,1,0)</formula>
    </cfRule>
  </conditionalFormatting>
  <conditionalFormatting sqref="W27:AH27">
    <cfRule type="expression" dxfId="46" priority="41">
      <formula>IF(V27=1,1,0)</formula>
    </cfRule>
  </conditionalFormatting>
  <conditionalFormatting sqref="W27:AH27">
    <cfRule type="expression" dxfId="45" priority="37">
      <formula>IF(V27=1,1,0)</formula>
    </cfRule>
  </conditionalFormatting>
  <conditionalFormatting sqref="W27:AH27">
    <cfRule type="expression" dxfId="44" priority="33">
      <formula>IF(V27=1,1,0)</formula>
    </cfRule>
  </conditionalFormatting>
  <conditionalFormatting sqref="W27:AB27">
    <cfRule type="expression" dxfId="43" priority="28">
      <formula>IF(V27=1,1,0)</formula>
    </cfRule>
  </conditionalFormatting>
  <conditionalFormatting sqref="AC27:AH27">
    <cfRule type="expression" dxfId="42" priority="23">
      <formula>IF(AB27=1,1,0)</formula>
    </cfRule>
  </conditionalFormatting>
  <conditionalFormatting sqref="AI27:AJ27">
    <cfRule type="expression" dxfId="41" priority="18">
      <formula>IF(AH27=1,1,0)</formula>
    </cfRule>
  </conditionalFormatting>
  <conditionalFormatting sqref="AI27:AJ27">
    <cfRule type="expression" dxfId="40" priority="14">
      <formula>IF(AH27=1,1,0)</formula>
    </cfRule>
  </conditionalFormatting>
  <conditionalFormatting sqref="AI27:AJ27">
    <cfRule type="expression" dxfId="39" priority="10">
      <formula>IF(AH27=1,1,0)</formula>
    </cfRule>
  </conditionalFormatting>
  <conditionalFormatting sqref="AI27:AJ27">
    <cfRule type="expression" dxfId="38" priority="5">
      <formula>IF(AH27=1,1,0)</formula>
    </cfRule>
  </conditionalFormatting>
  <pageMargins left="1.22" right="0.31496062992125984" top="0.3" bottom="0.27" header="0.31496062992125984" footer="0.31496062992125984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Данные!U:U</xm:f>
          </x14:formula1>
          <xm:sqref>V11:V46</xm:sqref>
        </x14:dataValidation>
        <x14:dataValidation type="list" allowBlank="1" showInputMessage="1" showErrorMessage="1">
          <x14:formula1>
            <xm:f>Данные!A:A</xm:f>
          </x14:formula1>
          <xm:sqref>B10:B46</xm:sqref>
        </x14:dataValidation>
        <x14:dataValidation type="list" allowBlank="1" showInputMessage="1" showErrorMessage="1">
          <x14:formula1>
            <xm:f>Данные!U:U</xm:f>
          </x14:formula1>
          <xm:sqref>V10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4" sqref="D44"/>
    </sheetView>
  </sheetViews>
  <sheetFormatPr defaultRowHeight="15"/>
  <cols>
    <col min="1" max="1" width="39" bestFit="1" customWidth="1"/>
    <col min="2" max="2" width="9.28515625" bestFit="1" customWidth="1"/>
    <col min="3" max="3" width="14.42578125" customWidth="1"/>
    <col min="4" max="4" width="14" customWidth="1"/>
    <col min="5" max="5" width="10.7109375" bestFit="1" customWidth="1"/>
    <col min="6" max="6" width="11.85546875" customWidth="1"/>
    <col min="7" max="7" width="10.7109375" customWidth="1"/>
    <col min="8" max="8" width="17.42578125" bestFit="1" customWidth="1"/>
    <col min="9" max="9" width="11.7109375" customWidth="1"/>
    <col min="10" max="10" width="12.28515625" customWidth="1"/>
    <col min="11" max="11" width="15.5703125" bestFit="1" customWidth="1"/>
    <col min="12" max="13" width="11.7109375" customWidth="1"/>
    <col min="14" max="16" width="18.7109375" customWidth="1"/>
    <col min="18" max="18" width="15.5703125" style="64" bestFit="1" customWidth="1"/>
  </cols>
  <sheetData>
    <row r="1" spans="1:18" ht="30">
      <c r="A1" s="66" t="s">
        <v>46</v>
      </c>
      <c r="B1" s="66" t="s">
        <v>59</v>
      </c>
      <c r="C1" s="66" t="s">
        <v>61</v>
      </c>
      <c r="D1" s="66" t="s">
        <v>60</v>
      </c>
      <c r="E1" s="66" t="s">
        <v>22</v>
      </c>
      <c r="F1" s="66" t="s">
        <v>62</v>
      </c>
      <c r="G1" s="66" t="s">
        <v>63</v>
      </c>
      <c r="H1" s="66" t="s">
        <v>69</v>
      </c>
      <c r="I1" s="66" t="s">
        <v>70</v>
      </c>
      <c r="J1" s="66" t="s">
        <v>6</v>
      </c>
      <c r="K1" s="66" t="s">
        <v>131</v>
      </c>
      <c r="L1" s="66" t="s">
        <v>92</v>
      </c>
      <c r="M1" s="66" t="s">
        <v>130</v>
      </c>
      <c r="N1" s="66" t="s">
        <v>129</v>
      </c>
      <c r="O1" s="66" t="s">
        <v>128</v>
      </c>
      <c r="P1" s="66" t="s">
        <v>4</v>
      </c>
      <c r="Q1" s="66" t="s">
        <v>58</v>
      </c>
      <c r="R1" s="143" t="s">
        <v>158</v>
      </c>
    </row>
    <row r="2" spans="1:18">
      <c r="A2" s="91" t="s">
        <v>51</v>
      </c>
      <c r="B2" s="92">
        <v>720</v>
      </c>
      <c r="C2" s="92">
        <f>1800-600</f>
        <v>1200</v>
      </c>
      <c r="D2" s="92" t="s">
        <v>114</v>
      </c>
      <c r="E2" s="92">
        <f t="shared" ref="E2:E45" si="0">SUM(B2:C2)</f>
        <v>1920</v>
      </c>
      <c r="F2" s="92"/>
      <c r="G2" s="92">
        <f>Данные!$E2+Данные!$F2</f>
        <v>1920</v>
      </c>
      <c r="H2" s="93">
        <f>COUNTIFS(Учёт!L:L,Данные!$A2,Учёт!N:N,"&gt;0")</f>
        <v>0</v>
      </c>
      <c r="I2" s="93">
        <f>IF(Данные!$H2&lt;=20,1,IF(Данные!$H2&lt;=40,2,IF(Данные!$H2&gt;40,3,0)))</f>
        <v>1</v>
      </c>
      <c r="J2" s="94"/>
      <c r="K2" s="93">
        <f>COUNTIFS(Учёт!L:L,Таблица1[[#This Row],[ФИО]],Учёт!N:N,"=0")</f>
        <v>0</v>
      </c>
      <c r="L2" s="94">
        <v>400</v>
      </c>
      <c r="M2" s="92">
        <f ca="1">SUMIF(Учёт!L:O,Данные!A2,Учёт!O:O)-Таблица1[[#This Row],[Выплачено]]</f>
        <v>-400</v>
      </c>
      <c r="N2" s="94">
        <f ca="1">Таблица1[[#This Row],[К выплате на сегодня]]-Таблица1[[#This Row],[Долг]]</f>
        <v>-2320</v>
      </c>
      <c r="O2" s="94">
        <f ca="1">SUMIF(Учёт!L:AA,Таблица1[[#This Row],[ФИО]],Учёт!AA:AA)</f>
        <v>0</v>
      </c>
      <c r="P2" s="105">
        <f ca="1">SUMIF(Учёт!L:AB,Таблица1[[#This Row],[ФИО]],Учёт!AB:AB)</f>
        <v>0</v>
      </c>
      <c r="Q2" s="106">
        <f ca="1">IFERROR(Таблица1[[#This Row],[Доход]]/SUMIF(Учёт!L:T,Таблица1[[#This Row],[ФИО]],Учёт!T:T),0)</f>
        <v>0</v>
      </c>
    </row>
    <row r="3" spans="1:18">
      <c r="A3" s="95" t="s">
        <v>52</v>
      </c>
      <c r="B3" s="96"/>
      <c r="C3" s="96"/>
      <c r="D3" s="96" t="s">
        <v>114</v>
      </c>
      <c r="E3" s="96">
        <f t="shared" si="0"/>
        <v>0</v>
      </c>
      <c r="F3" s="96"/>
      <c r="G3" s="96">
        <f>Данные!$E3+Данные!$F3</f>
        <v>0</v>
      </c>
      <c r="H3" s="97">
        <f>COUNTIFS(Учёт!L:L,Данные!$A3,Учёт!N:N,"&gt;0")</f>
        <v>0</v>
      </c>
      <c r="I3" s="97">
        <f>IF(Данные!$H3&lt;=20,1,IF(Данные!$H3&lt;=40,2,IF(Данные!$H3&gt;40,3,0)))</f>
        <v>1</v>
      </c>
      <c r="J3" s="98"/>
      <c r="K3" s="97">
        <f>COUNTIFS(Учёт!L:L,Таблица1[[#This Row],[ФИО]],Учёт!N:N,"=0")</f>
        <v>0</v>
      </c>
      <c r="L3" s="98">
        <v>2000</v>
      </c>
      <c r="M3" s="96">
        <f ca="1">SUMIF(Учёт!L:O,Данные!A3,Учёт!O:O)-Таблица1[[#This Row],[Выплачено]]</f>
        <v>-2000</v>
      </c>
      <c r="N3" s="98">
        <f ca="1">Таблица1[[#This Row],[К выплате на сегодня]]-Таблица1[[#This Row],[Долг]]</f>
        <v>-2000</v>
      </c>
      <c r="O3" s="98">
        <f ca="1">SUMIF(Учёт!L:AA,Таблица1[[#This Row],[ФИО]],Учёт!AA:AA)</f>
        <v>0</v>
      </c>
      <c r="P3" s="105">
        <f ca="1">SUMIF(Учёт!L:AB,Таблица1[[#This Row],[ФИО]],Учёт!AB:AB)</f>
        <v>0</v>
      </c>
      <c r="Q3" s="106">
        <f ca="1">IFERROR(Таблица1[[#This Row],[Доход]]/SUMIF(Учёт!L:T,Таблица1[[#This Row],[ФИО]],Учёт!T:T),0)</f>
        <v>0</v>
      </c>
    </row>
    <row r="4" spans="1:18">
      <c r="A4" s="91" t="s">
        <v>53</v>
      </c>
      <c r="B4" s="92"/>
      <c r="C4" s="92"/>
      <c r="D4" s="96" t="s">
        <v>114</v>
      </c>
      <c r="E4" s="92">
        <f t="shared" si="0"/>
        <v>0</v>
      </c>
      <c r="F4" s="92"/>
      <c r="G4" s="92">
        <f>Данные!$E4+Данные!$F4</f>
        <v>0</v>
      </c>
      <c r="H4" s="93">
        <f>COUNTIFS(Учёт!L:L,Данные!$A4,Учёт!N:N,"&gt;0")</f>
        <v>0</v>
      </c>
      <c r="I4" s="93">
        <f>IF(Данные!$H4&lt;=20,1,IF(Данные!$H4&lt;=40,2,IF(Данные!$H4&gt;40,3,0)))</f>
        <v>1</v>
      </c>
      <c r="J4" s="99"/>
      <c r="K4" s="93">
        <f>COUNTIFS(Учёт!L:L,Таблица1[[#This Row],[ФИО]],Учёт!N:N,"=0")</f>
        <v>0</v>
      </c>
      <c r="L4" s="99">
        <v>3000</v>
      </c>
      <c r="M4" s="92">
        <f ca="1">SUMIF(Учёт!L:O,Данные!A4,Учёт!O:O)-Таблица1[[#This Row],[Выплачено]]</f>
        <v>-3000</v>
      </c>
      <c r="N4" s="94">
        <f ca="1">Таблица1[[#This Row],[К выплате на сегодня]]-Таблица1[[#This Row],[Долг]]</f>
        <v>-3000</v>
      </c>
      <c r="O4" s="94">
        <f ca="1">SUMIF(Учёт!L:AA,Таблица1[[#This Row],[ФИО]],Учёт!AA:AA)</f>
        <v>0</v>
      </c>
      <c r="P4" s="105">
        <f ca="1">SUMIF(Учёт!L:AB,Таблица1[[#This Row],[ФИО]],Учёт!AB:AB)</f>
        <v>0</v>
      </c>
      <c r="Q4" s="106">
        <f ca="1">IFERROR(Таблица1[[#This Row],[Доход]]/SUMIF(Учёт!L:T,Таблица1[[#This Row],[ФИО]],Учёт!T:T),0)</f>
        <v>0</v>
      </c>
    </row>
    <row r="5" spans="1:18">
      <c r="A5" s="100" t="s">
        <v>113</v>
      </c>
      <c r="B5" s="46">
        <f>520-520</f>
        <v>0</v>
      </c>
      <c r="C5" s="46">
        <f>1800-600-600-400-200</f>
        <v>0</v>
      </c>
      <c r="D5" s="46">
        <v>800</v>
      </c>
      <c r="E5" s="46">
        <f t="shared" si="0"/>
        <v>0</v>
      </c>
      <c r="F5" s="46"/>
      <c r="G5" s="46">
        <f>Данные!$E5+Данные!$F5</f>
        <v>0</v>
      </c>
      <c r="H5" s="52">
        <f>COUNTIFS(Учёт!L:L,Данные!$A5,Учёт!N:N,"&gt;0")</f>
        <v>1</v>
      </c>
      <c r="I5" s="52">
        <v>1</v>
      </c>
      <c r="J5" s="52"/>
      <c r="K5" s="52">
        <f>COUNTIFS(Учёт!L:L,Таблица1[[#This Row],[ФИО]],Учёт!N:N,"=0")</f>
        <v>0</v>
      </c>
      <c r="L5" s="61">
        <f>2400+2400+1600+3700</f>
        <v>10100</v>
      </c>
      <c r="M5" s="46">
        <f ca="1">SUMIF(Учёт!L:O,Данные!A5,Учёт!O:O)-Таблица1[[#This Row],[Выплачено]]</f>
        <v>-9000.0007999999998</v>
      </c>
      <c r="N5" s="61">
        <f ca="1">Таблица1[[#This Row],[К выплате на сегодня]]-Таблица1[[#This Row],[Долг]]</f>
        <v>-9000.0007999999998</v>
      </c>
      <c r="O5" s="61">
        <f ca="1">SUMIF(Учёт!L:AA,Таблица1[[#This Row],[ФИО]],Учёт!AA:AA)</f>
        <v>0</v>
      </c>
      <c r="P5" s="105">
        <f ca="1">SUMIF(Учёт!L:AB,Таблица1[[#This Row],[ФИО]],Учёт!AB:AB)</f>
        <v>422.80079999999998</v>
      </c>
      <c r="Q5" s="106">
        <f ca="1">IFERROR(Таблица1[[#This Row],[Доход]]/SUMIF(Учёт!L:T,Таблица1[[#This Row],[ФИО]],Учёт!T:T),0)</f>
        <v>0.27764696611505124</v>
      </c>
    </row>
    <row r="6" spans="1:18">
      <c r="A6" s="91" t="s">
        <v>54</v>
      </c>
      <c r="B6" s="92"/>
      <c r="C6" s="92"/>
      <c r="D6" s="92" t="s">
        <v>114</v>
      </c>
      <c r="E6" s="92">
        <f t="shared" si="0"/>
        <v>0</v>
      </c>
      <c r="F6" s="92"/>
      <c r="G6" s="92">
        <f>Данные!$E6+Данные!$F6</f>
        <v>0</v>
      </c>
      <c r="H6" s="93">
        <f>COUNTIFS(Учёт!L:L,Данные!$A6,Учёт!N:N,"&gt;0")</f>
        <v>0</v>
      </c>
      <c r="I6" s="93">
        <f>IF(Данные!$H6&lt;=20,1,IF(Данные!$H6&lt;=40,2,IF(Данные!$H6&gt;40,3,0)))</f>
        <v>1</v>
      </c>
      <c r="J6" s="93"/>
      <c r="K6" s="93">
        <f>COUNTIFS(Учёт!L:L,Таблица1[[#This Row],[ФИО]],Учёт!N:N,"=0")</f>
        <v>0</v>
      </c>
      <c r="L6" s="94"/>
      <c r="M6" s="92">
        <f ca="1">SUMIF(Учёт!L:O,Данные!A6,Учёт!O:O)-Таблица1[[#This Row],[Выплачено]]</f>
        <v>0</v>
      </c>
      <c r="N6" s="94">
        <f ca="1">Таблица1[[#This Row],[К выплате на сегодня]]-Таблица1[[#This Row],[Долг]]</f>
        <v>0</v>
      </c>
      <c r="O6" s="94">
        <f ca="1">SUMIF(Учёт!L:AA,Таблица1[[#This Row],[ФИО]],Учёт!AA:AA)</f>
        <v>0</v>
      </c>
      <c r="P6" s="105">
        <f ca="1">SUMIF(Учёт!L:AB,Таблица1[[#This Row],[ФИО]],Учёт!AB:AB)</f>
        <v>0</v>
      </c>
      <c r="Q6" s="106">
        <f ca="1">IFERROR(Таблица1[[#This Row],[Доход]]/SUMIF(Учёт!L:T,Таблица1[[#This Row],[ФИО]],Учёт!T:T),0)</f>
        <v>0</v>
      </c>
    </row>
    <row r="7" spans="1:18">
      <c r="A7" s="47" t="s">
        <v>109</v>
      </c>
      <c r="B7" s="46"/>
      <c r="C7" s="46">
        <f>1800-400-200-800-400</f>
        <v>0</v>
      </c>
      <c r="D7" s="46">
        <v>800</v>
      </c>
      <c r="E7" s="46">
        <f t="shared" si="0"/>
        <v>0</v>
      </c>
      <c r="F7" s="46"/>
      <c r="G7" s="46">
        <f>Данные!$E7+Данные!$F7</f>
        <v>0</v>
      </c>
      <c r="H7" s="52">
        <f>COUNTIFS(Учёт!L:L,Данные!$A7,Учёт!N:N,"&gt;0")</f>
        <v>0</v>
      </c>
      <c r="I7" s="52">
        <v>1</v>
      </c>
      <c r="J7" s="52"/>
      <c r="K7" s="52">
        <f>COUNTIFS(Учёт!L:L,Таблица1[[#This Row],[ФИО]],Учёт!N:N,"=0")</f>
        <v>0</v>
      </c>
      <c r="L7" s="61">
        <f>1600+800+3600</f>
        <v>6000</v>
      </c>
      <c r="M7" s="46">
        <f ca="1">SUMIF(Учёт!L:O,Данные!A7,Учёт!O:O)-Таблица1[[#This Row],[Выплачено]]</f>
        <v>-6000</v>
      </c>
      <c r="N7" s="61">
        <f ca="1">Таблица1[[#This Row],[К выплате на сегодня]]-Таблица1[[#This Row],[Долг]]</f>
        <v>-6000</v>
      </c>
      <c r="O7" s="61">
        <f ca="1">SUMIF(Учёт!L:AA,Таблица1[[#This Row],[ФИО]],Учёт!AA:AA)</f>
        <v>0</v>
      </c>
      <c r="P7" s="105">
        <f ca="1">SUMIF(Учёт!L:AB,Таблица1[[#This Row],[ФИО]],Учёт!AB:AB)</f>
        <v>0</v>
      </c>
      <c r="Q7" s="106">
        <f ca="1">IFERROR(Таблица1[[#This Row],[Доход]]/SUMIF(Учёт!L:T,Таблица1[[#This Row],[ФИО]],Учёт!T:T),0)</f>
        <v>0</v>
      </c>
      <c r="R7" s="64">
        <v>583513579129</v>
      </c>
    </row>
    <row r="8" spans="1:18">
      <c r="A8" s="91" t="s">
        <v>64</v>
      </c>
      <c r="B8" s="92">
        <v>720</v>
      </c>
      <c r="C8" s="92">
        <v>1800</v>
      </c>
      <c r="D8" s="92" t="s">
        <v>114</v>
      </c>
      <c r="E8" s="92">
        <f t="shared" si="0"/>
        <v>2520</v>
      </c>
      <c r="F8" s="92">
        <v>60</v>
      </c>
      <c r="G8" s="92">
        <f>Данные!$E8+Данные!$F8</f>
        <v>2580</v>
      </c>
      <c r="H8" s="93">
        <f>COUNTIFS(Учёт!L:L,Данные!$A8,Учёт!N:N,"&gt;0")</f>
        <v>0</v>
      </c>
      <c r="I8" s="93">
        <f>IF(Данные!$H8&lt;=20,1,IF(Данные!$H8&lt;=40,2,IF(Данные!$H8&gt;40,3,0)))</f>
        <v>1</v>
      </c>
      <c r="J8" s="93"/>
      <c r="K8" s="93">
        <f>COUNTIFS(Учёт!L:L,Таблица1[[#This Row],[ФИО]],Учёт!N:N,"=0")</f>
        <v>0</v>
      </c>
      <c r="L8" s="94"/>
      <c r="M8" s="92">
        <f ca="1">SUMIF(Учёт!L:O,Данные!A8,Учёт!O:O)-Таблица1[[#This Row],[Выплачено]]</f>
        <v>0</v>
      </c>
      <c r="N8" s="94">
        <f ca="1">Таблица1[[#This Row],[К выплате на сегодня]]-Таблица1[[#This Row],[Долг]]</f>
        <v>-2580</v>
      </c>
      <c r="O8" s="94">
        <f ca="1">SUMIF(Учёт!L:AA,Таблица1[[#This Row],[ФИО]],Учёт!AA:AA)</f>
        <v>0</v>
      </c>
      <c r="P8" s="105">
        <f ca="1">SUMIF(Учёт!L:AB,Таблица1[[#This Row],[ФИО]],Учёт!AB:AB)</f>
        <v>0</v>
      </c>
      <c r="Q8" s="106">
        <f ca="1">IFERROR(Таблица1[[#This Row],[Доход]]/SUMIF(Учёт!L:T,Таблица1[[#This Row],[ФИО]],Учёт!T:T),0)</f>
        <v>0</v>
      </c>
    </row>
    <row r="9" spans="1:18">
      <c r="A9" s="95" t="s">
        <v>65</v>
      </c>
      <c r="B9" s="96">
        <v>520</v>
      </c>
      <c r="C9" s="96">
        <v>1800</v>
      </c>
      <c r="D9" s="96" t="s">
        <v>117</v>
      </c>
      <c r="E9" s="96">
        <f t="shared" si="0"/>
        <v>2320</v>
      </c>
      <c r="F9" s="96">
        <v>60</v>
      </c>
      <c r="G9" s="96">
        <f>Данные!$E9+Данные!$F9</f>
        <v>2380</v>
      </c>
      <c r="H9" s="97">
        <f>COUNTIFS(Учёт!L:L,Данные!$A9,Учёт!N:N,"&gt;0")</f>
        <v>0</v>
      </c>
      <c r="I9" s="97">
        <f>IF(Данные!$H9&lt;=20,1,IF(Данные!$H9&lt;=40,2,IF(Данные!$H9&gt;40,3,0)))</f>
        <v>1</v>
      </c>
      <c r="J9" s="97"/>
      <c r="K9" s="97">
        <f>COUNTIFS(Учёт!L:L,Таблица1[[#This Row],[ФИО]],Учёт!N:N,"=0")</f>
        <v>0</v>
      </c>
      <c r="L9" s="98"/>
      <c r="M9" s="96">
        <f ca="1">SUMIF(Учёт!L:O,Данные!A9,Учёт!O:O)-Таблица1[[#This Row],[Выплачено]]</f>
        <v>0</v>
      </c>
      <c r="N9" s="98">
        <f ca="1">Таблица1[[#This Row],[К выплате на сегодня]]-Таблица1[[#This Row],[Долг]]</f>
        <v>-2380</v>
      </c>
      <c r="O9" s="98">
        <f ca="1">SUMIF(Учёт!L:AA,Таблица1[[#This Row],[ФИО]],Учёт!AA:AA)</f>
        <v>0</v>
      </c>
      <c r="P9" s="105">
        <f ca="1">SUMIF(Учёт!L:AB,Таблица1[[#This Row],[ФИО]],Учёт!AB:AB)</f>
        <v>0</v>
      </c>
      <c r="Q9" s="106">
        <f ca="1">IFERROR(Таблица1[[#This Row],[Доход]]/SUMIF(Учёт!L:T,Таблица1[[#This Row],[ФИО]],Учёт!T:T),0)</f>
        <v>0</v>
      </c>
    </row>
    <row r="10" spans="1:18">
      <c r="A10" s="55" t="s">
        <v>112</v>
      </c>
      <c r="B10" s="45">
        <f>520-520</f>
        <v>0</v>
      </c>
      <c r="C10" s="45">
        <f>1800-600-400-800</f>
        <v>0</v>
      </c>
      <c r="D10" s="45">
        <v>800</v>
      </c>
      <c r="E10" s="48">
        <f t="shared" si="0"/>
        <v>0</v>
      </c>
      <c r="F10" s="48">
        <v>60</v>
      </c>
      <c r="G10" s="48">
        <f>Данные!$E10+Данные!$F10</f>
        <v>60</v>
      </c>
      <c r="H10" s="54">
        <f>COUNTIFS(Учёт!L:L,Данные!$A10,Учёт!N:N,"&gt;0")</f>
        <v>0</v>
      </c>
      <c r="I10" s="54">
        <v>1</v>
      </c>
      <c r="J10" s="54">
        <v>1</v>
      </c>
      <c r="K10" s="54">
        <f>COUNTIFS(Учёт!L:L,Таблица1[[#This Row],[ФИО]],Учёт!N:N,"=0")</f>
        <v>0</v>
      </c>
      <c r="L10" s="60"/>
      <c r="M10" s="48">
        <f ca="1">SUMIF(Учёт!L:O,Данные!A10,Учёт!O:O)-Таблица1[[#This Row],[Выплачено]]</f>
        <v>0</v>
      </c>
      <c r="N10" s="80">
        <f ca="1">Таблица1[[#This Row],[К выплате на сегодня]]-Таблица1[[#This Row],[Долг]]</f>
        <v>-60</v>
      </c>
      <c r="O10" s="80">
        <f ca="1">SUMIF(Учёт!L:AA,Таблица1[[#This Row],[ФИО]],Учёт!AA:AA)</f>
        <v>0</v>
      </c>
      <c r="P10" s="105">
        <f ca="1">SUMIF(Учёт!L:AB,Таблица1[[#This Row],[ФИО]],Учёт!AB:AB)</f>
        <v>0</v>
      </c>
      <c r="Q10" s="106">
        <f ca="1">IFERROR(Таблица1[[#This Row],[Доход]]/SUMIF(Учёт!L:T,Таблица1[[#This Row],[ФИО]],Учёт!T:T),0)</f>
        <v>0</v>
      </c>
      <c r="R10" s="64">
        <v>644401960399</v>
      </c>
    </row>
    <row r="11" spans="1:18">
      <c r="A11" s="56" t="s">
        <v>111</v>
      </c>
      <c r="B11" s="46">
        <f>520-520</f>
        <v>0</v>
      </c>
      <c r="C11" s="46">
        <f>1800-600-400-800</f>
        <v>0</v>
      </c>
      <c r="D11" s="46">
        <v>800</v>
      </c>
      <c r="E11" s="46">
        <f t="shared" si="0"/>
        <v>0</v>
      </c>
      <c r="F11" s="46">
        <v>60</v>
      </c>
      <c r="G11" s="46">
        <f>Данные!$E11+Данные!$F11</f>
        <v>60</v>
      </c>
      <c r="H11" s="52">
        <f>COUNTIFS(Учёт!L:L,Данные!$A11,Учёт!N:N,"&gt;0")</f>
        <v>0</v>
      </c>
      <c r="I11" s="52">
        <v>1</v>
      </c>
      <c r="J11" s="52">
        <v>1</v>
      </c>
      <c r="K11" s="52">
        <f>COUNTIFS(Учёт!L:L,Таблица1[[#This Row],[ФИО]],Учёт!N:N,"=0")</f>
        <v>0</v>
      </c>
      <c r="L11" s="61"/>
      <c r="M11" s="46">
        <f ca="1">SUMIF(Учёт!L:O,Данные!A11,Учёт!O:O)-Таблица1[[#This Row],[Выплачено]]</f>
        <v>0</v>
      </c>
      <c r="N11" s="61">
        <f ca="1">Таблица1[[#This Row],[К выплате на сегодня]]-Таблица1[[#This Row],[Долг]]</f>
        <v>-60</v>
      </c>
      <c r="O11" s="61">
        <f ca="1">SUMIF(Учёт!L:AA,Таблица1[[#This Row],[ФИО]],Учёт!AA:AA)</f>
        <v>0</v>
      </c>
      <c r="P11" s="105">
        <f ca="1">SUMIF(Учёт!L:AB,Таблица1[[#This Row],[ФИО]],Учёт!AB:AB)</f>
        <v>0</v>
      </c>
      <c r="Q11" s="106">
        <f ca="1">IFERROR(Таблица1[[#This Row],[Доход]]/SUMIF(Учёт!L:T,Таблица1[[#This Row],[ФИО]],Учёт!T:T),0)</f>
        <v>0</v>
      </c>
      <c r="R11" s="64">
        <v>644402170700</v>
      </c>
    </row>
    <row r="12" spans="1:18">
      <c r="A12" s="55" t="s">
        <v>110</v>
      </c>
      <c r="B12" s="46"/>
      <c r="C12" s="46"/>
      <c r="D12" s="46">
        <v>800</v>
      </c>
      <c r="E12" s="46">
        <f t="shared" si="0"/>
        <v>0</v>
      </c>
      <c r="F12" s="46"/>
      <c r="G12" s="46">
        <f>Данные!$E12+Данные!$F12</f>
        <v>0</v>
      </c>
      <c r="H12" s="52">
        <f>COUNTIFS(Учёт!L:L,Данные!$A12,Учёт!N:N,"&gt;0")</f>
        <v>0</v>
      </c>
      <c r="I12" s="52">
        <v>1</v>
      </c>
      <c r="J12" s="52">
        <v>1</v>
      </c>
      <c r="K12" s="52">
        <f>COUNTIFS(Учёт!L:L,Таблица1[[#This Row],[ФИО]],Учёт!N:N,"=0")</f>
        <v>0</v>
      </c>
      <c r="L12" s="61"/>
      <c r="M12" s="61">
        <f ca="1">SUMIF(Учёт!L:O,Данные!A12,Учёт!O:O)-Таблица1[[#This Row],[Выплачено]]</f>
        <v>0</v>
      </c>
      <c r="N12" s="61">
        <f ca="1">Таблица1[[#This Row],[К выплате на сегодня]]-Таблица1[[#This Row],[Долг]]</f>
        <v>0</v>
      </c>
      <c r="O12" s="61">
        <f ca="1">SUMIF(Учёт!L:AA,Таблица1[[#This Row],[ФИО]],Учёт!AA:AA)</f>
        <v>0</v>
      </c>
      <c r="P12" s="105">
        <f ca="1">SUMIF(Учёт!L:AB,Таблица1[[#This Row],[ФИО]],Учёт!AB:AB)</f>
        <v>0</v>
      </c>
      <c r="Q12" s="106">
        <f ca="1">IFERROR(Таблица1[[#This Row],[Доход]]/SUMIF(Учёт!L:T,Таблица1[[#This Row],[ФИО]],Учёт!T:T),0)</f>
        <v>0</v>
      </c>
      <c r="R12" s="64">
        <v>583506612505</v>
      </c>
    </row>
    <row r="13" spans="1:18">
      <c r="A13" s="65" t="s">
        <v>118</v>
      </c>
      <c r="B13" s="88"/>
      <c r="C13" s="88"/>
      <c r="D13" s="88">
        <v>800</v>
      </c>
      <c r="E13" s="88">
        <f t="shared" si="0"/>
        <v>0</v>
      </c>
      <c r="F13" s="88"/>
      <c r="G13" s="88">
        <f>Данные!$E13+Данные!$F13</f>
        <v>0</v>
      </c>
      <c r="H13" s="89">
        <f>COUNTIFS(Учёт!L:L,Данные!$A13,Учёт!N:N,"&gt;0")</f>
        <v>0</v>
      </c>
      <c r="I13" s="52">
        <v>1</v>
      </c>
      <c r="J13" s="52">
        <v>1</v>
      </c>
      <c r="K13" s="52">
        <f>COUNTIFS(Учёт!L:L,Таблица1[[#This Row],[ФИО]],Учёт!N:N,"=0")</f>
        <v>0</v>
      </c>
      <c r="L13" s="90"/>
      <c r="M13" s="90">
        <f ca="1">SUMIF(Учёт!L:O,Данные!A13,Учёт!O:O)-Таблица1[[#This Row],[Выплачено]]</f>
        <v>0</v>
      </c>
      <c r="N13" s="90">
        <f ca="1">Таблица1[[#This Row],[К выплате на сегодня]]-Таблица1[[#This Row],[Долг]]</f>
        <v>0</v>
      </c>
      <c r="O13" s="90">
        <f ca="1">SUMIF(Учёт!L:AA,Таблица1[[#This Row],[ФИО]],Учёт!AA:AA)</f>
        <v>0</v>
      </c>
      <c r="P13" s="105">
        <f ca="1">SUMIF(Учёт!L:AB,Таблица1[[#This Row],[ФИО]],Учёт!AB:AB)</f>
        <v>0</v>
      </c>
      <c r="Q13" s="106">
        <f ca="1">IFERROR(Таблица1[[#This Row],[Доход]]/SUMIF(Учёт!L:T,Таблица1[[#This Row],[ФИО]],Учёт!T:T),0)</f>
        <v>0</v>
      </c>
      <c r="R13" s="64">
        <v>583607899406</v>
      </c>
    </row>
    <row r="14" spans="1:18">
      <c r="A14" s="65" t="s">
        <v>108</v>
      </c>
      <c r="B14" s="46"/>
      <c r="C14" s="46"/>
      <c r="D14" s="46">
        <v>800</v>
      </c>
      <c r="E14" s="46">
        <f t="shared" si="0"/>
        <v>0</v>
      </c>
      <c r="F14" s="46"/>
      <c r="G14" s="46">
        <f>Данные!$E14+Данные!$F14</f>
        <v>0</v>
      </c>
      <c r="H14" s="52">
        <f>COUNTIFS(Учёт!L:L,Данные!$A14,Учёт!N:N,"&gt;0")</f>
        <v>0</v>
      </c>
      <c r="I14" s="52">
        <v>1</v>
      </c>
      <c r="J14" s="52"/>
      <c r="K14" s="52">
        <f>COUNTIFS(Учёт!L:L,Таблица1[[#This Row],[ФИО]],Учёт!N:N,"=0")</f>
        <v>0</v>
      </c>
      <c r="L14" s="61"/>
      <c r="M14" s="61">
        <f ca="1">SUMIF(Учёт!L:O,Данные!A14,Учёт!O:O)-Таблица1[[#This Row],[Выплачено]]</f>
        <v>0</v>
      </c>
      <c r="N14" s="61">
        <f ca="1">Таблица1[[#This Row],[К выплате на сегодня]]-Таблица1[[#This Row],[Долг]]</f>
        <v>0</v>
      </c>
      <c r="O14" s="61">
        <f ca="1">SUMIF(Учёт!L:AA,Таблица1[[#This Row],[ФИО]],Учёт!AA:AA)</f>
        <v>0</v>
      </c>
      <c r="P14" s="105">
        <f ca="1">SUMIF(Учёт!L:AB,Таблица1[[#This Row],[ФИО]],Учёт!AB:AB)</f>
        <v>0</v>
      </c>
      <c r="Q14" s="106">
        <f ca="1">IFERROR(Таблица1[[#This Row],[Доход]]/SUMIF(Учёт!L:T,Таблица1[[#This Row],[ФИО]],Учёт!T:T),0)</f>
        <v>0</v>
      </c>
    </row>
    <row r="15" spans="1:18">
      <c r="A15" s="65" t="s">
        <v>107</v>
      </c>
      <c r="B15" s="88"/>
      <c r="C15" s="88"/>
      <c r="D15" s="88">
        <v>800</v>
      </c>
      <c r="E15" s="88">
        <f t="shared" si="0"/>
        <v>0</v>
      </c>
      <c r="F15" s="88"/>
      <c r="G15" s="88">
        <f>Данные!$E15+Данные!$F15</f>
        <v>0</v>
      </c>
      <c r="H15" s="89">
        <f>COUNTIFS(Учёт!L:L,Данные!$A15,Учёт!N:N,"&gt;0")</f>
        <v>0</v>
      </c>
      <c r="I15" s="52">
        <v>1</v>
      </c>
      <c r="J15" s="52">
        <v>1</v>
      </c>
      <c r="K15" s="52">
        <f>COUNTIFS(Учёт!L:L,Таблица1[[#This Row],[ФИО]],Учёт!N:N,"=0")</f>
        <v>0</v>
      </c>
      <c r="L15" s="90"/>
      <c r="M15" s="90">
        <f ca="1">SUMIF(Учёт!L:O,Данные!A15,Учёт!O:O)-Таблица1[[#This Row],[Выплачено]]</f>
        <v>0</v>
      </c>
      <c r="N15" s="90">
        <f ca="1">Таблица1[[#This Row],[К выплате на сегодня]]-Таблица1[[#This Row],[Долг]]</f>
        <v>0</v>
      </c>
      <c r="O15" s="90">
        <f ca="1">SUMIF(Учёт!L:AA,Таблица1[[#This Row],[ФИО]],Учёт!AA:AA)</f>
        <v>0</v>
      </c>
      <c r="P15" s="105">
        <f ca="1">SUMIF(Учёт!L:AB,Таблица1[[#This Row],[ФИО]],Учёт!AB:AB)</f>
        <v>0</v>
      </c>
      <c r="Q15" s="106">
        <f ca="1">IFERROR(Таблица1[[#This Row],[Доход]]/SUMIF(Учёт!L:T,Таблица1[[#This Row],[ФИО]],Учёт!T:T),0)</f>
        <v>0</v>
      </c>
      <c r="R15" s="64">
        <v>581703181893</v>
      </c>
    </row>
    <row r="16" spans="1:18">
      <c r="A16" s="65" t="s">
        <v>106</v>
      </c>
      <c r="B16" s="46"/>
      <c r="C16" s="46"/>
      <c r="D16" s="46"/>
      <c r="E16" s="46">
        <f t="shared" si="0"/>
        <v>0</v>
      </c>
      <c r="F16" s="46"/>
      <c r="G16" s="46">
        <f>Данные!$E16+Данные!$F16</f>
        <v>0</v>
      </c>
      <c r="H16" s="52">
        <f>COUNTIFS(Учёт!L:L,Данные!$A16,Учёт!N:N,"&gt;0")</f>
        <v>0</v>
      </c>
      <c r="I16" s="52">
        <v>1</v>
      </c>
      <c r="J16" s="52"/>
      <c r="K16" s="52">
        <f>COUNTIFS(Учёт!L:L,Таблица1[[#This Row],[ФИО]],Учёт!N:N,"=0")</f>
        <v>0</v>
      </c>
      <c r="L16" s="61"/>
      <c r="M16" s="61">
        <f ca="1">SUMIF(Учёт!L:O,Данные!A16,Учёт!O:O)-Таблица1[[#This Row],[Выплачено]]</f>
        <v>0</v>
      </c>
      <c r="N16" s="61">
        <f ca="1">Таблица1[[#This Row],[К выплате на сегодня]]-Таблица1[[#This Row],[Долг]]</f>
        <v>0</v>
      </c>
      <c r="O16" s="61">
        <f ca="1">SUMIF(Учёт!L:AA,Таблица1[[#This Row],[ФИО]],Учёт!AA:AA)</f>
        <v>0</v>
      </c>
      <c r="P16" s="105">
        <f ca="1">SUMIF(Учёт!L:AB,Таблица1[[#This Row],[ФИО]],Учёт!AB:AB)</f>
        <v>0</v>
      </c>
      <c r="Q16" s="106">
        <f ca="1">IFERROR(Таблица1[[#This Row],[Доход]]/SUMIF(Учёт!L:T,Таблица1[[#This Row],[ФИО]],Учёт!T:T),0)</f>
        <v>0</v>
      </c>
    </row>
    <row r="17" spans="1:18">
      <c r="A17" s="65" t="s">
        <v>105</v>
      </c>
      <c r="B17" s="88"/>
      <c r="C17" s="88"/>
      <c r="D17" s="88"/>
      <c r="E17" s="88">
        <f t="shared" si="0"/>
        <v>0</v>
      </c>
      <c r="F17" s="88"/>
      <c r="G17" s="88">
        <f>Данные!$E17+Данные!$F17</f>
        <v>0</v>
      </c>
      <c r="H17" s="89">
        <f>COUNTIFS(Учёт!L:L,Данные!$A17,Учёт!N:N,"&gt;0")</f>
        <v>0</v>
      </c>
      <c r="I17" s="52">
        <v>1</v>
      </c>
      <c r="J17" s="52"/>
      <c r="K17" s="52">
        <f>COUNTIFS(Учёт!L:L,Таблица1[[#This Row],[ФИО]],Учёт!N:N,"=0")</f>
        <v>0</v>
      </c>
      <c r="L17" s="90"/>
      <c r="M17" s="90">
        <f ca="1">SUMIF(Учёт!L:O,Данные!A17,Учёт!O:O)-Таблица1[[#This Row],[Выплачено]]</f>
        <v>0</v>
      </c>
      <c r="N17" s="90">
        <f ca="1">Таблица1[[#This Row],[К выплате на сегодня]]-Таблица1[[#This Row],[Долг]]</f>
        <v>0</v>
      </c>
      <c r="O17" s="90">
        <f ca="1">SUMIF(Учёт!L:AA,Таблица1[[#This Row],[ФИО]],Учёт!AA:AA)</f>
        <v>0</v>
      </c>
      <c r="P17" s="105">
        <f ca="1">SUMIF(Учёт!L:AB,Таблица1[[#This Row],[ФИО]],Учёт!AB:AB)</f>
        <v>0</v>
      </c>
      <c r="Q17" s="106">
        <f ca="1">IFERROR(Таблица1[[#This Row],[Доход]]/SUMIF(Учёт!L:T,Таблица1[[#This Row],[ФИО]],Учёт!T:T),0)</f>
        <v>0</v>
      </c>
    </row>
    <row r="18" spans="1:18">
      <c r="A18" s="65" t="s">
        <v>104</v>
      </c>
      <c r="B18" s="46"/>
      <c r="C18" s="46"/>
      <c r="D18" s="46">
        <v>800</v>
      </c>
      <c r="E18" s="46">
        <f t="shared" si="0"/>
        <v>0</v>
      </c>
      <c r="F18" s="46"/>
      <c r="G18" s="46">
        <f>Данные!$E18+Данные!$F18</f>
        <v>0</v>
      </c>
      <c r="H18" s="52">
        <f>COUNTIFS(Учёт!L:L,Данные!$A18,Учёт!N:N,"&gt;0")</f>
        <v>1</v>
      </c>
      <c r="I18" s="52">
        <v>1</v>
      </c>
      <c r="J18" s="52">
        <v>1</v>
      </c>
      <c r="K18" s="52">
        <f>COUNTIFS(Учёт!L:L,Таблица1[[#This Row],[ФИО]],Учёт!N:N,"=0")</f>
        <v>0</v>
      </c>
      <c r="L18" s="61"/>
      <c r="M18" s="61">
        <f ca="1">SUMIF(Учёт!L:O,Данные!A18,Учёт!O:O)-Таблица1[[#This Row],[Выплачено]]</f>
        <v>999.9999600000001</v>
      </c>
      <c r="N18" s="61">
        <f ca="1">Таблица1[[#This Row],[К выплате на сегодня]]-Таблица1[[#This Row],[Долг]]</f>
        <v>999.9999600000001</v>
      </c>
      <c r="O18" s="61">
        <f ca="1">SUMIF(Учёт!L:AA,Таблица1[[#This Row],[ФИО]],Учёт!AA:AA)</f>
        <v>48.120000000000005</v>
      </c>
      <c r="P18" s="105">
        <f ca="1">SUMIF(Учёт!L:AB,Таблица1[[#This Row],[ФИО]],Учёт!AB:AB)</f>
        <v>474.68003999999985</v>
      </c>
      <c r="Q18" s="106">
        <f ca="1">IFERROR(Таблица1[[#This Row],[Доход]]/SUMIF(Учёт!L:T,Таблица1[[#This Row],[ФИО]],Учёт!T:T),0)</f>
        <v>0.31171528762805351</v>
      </c>
      <c r="R18" s="64">
        <v>581703485073</v>
      </c>
    </row>
    <row r="19" spans="1:18">
      <c r="A19" s="65" t="s">
        <v>103</v>
      </c>
      <c r="B19" s="46"/>
      <c r="C19" s="46"/>
      <c r="D19" s="46">
        <v>800</v>
      </c>
      <c r="E19" s="46">
        <f t="shared" si="0"/>
        <v>0</v>
      </c>
      <c r="F19" s="46"/>
      <c r="G19" s="46">
        <f>Данные!$E19+Данные!$F19</f>
        <v>0</v>
      </c>
      <c r="H19" s="52">
        <f>COUNTIFS(Учёт!L:L,Данные!$A19,Учёт!N:N,"&gt;0")</f>
        <v>0</v>
      </c>
      <c r="I19" s="52">
        <v>1</v>
      </c>
      <c r="J19" s="52">
        <v>1</v>
      </c>
      <c r="K19" s="52">
        <f>COUNTIFS(Учёт!L:L,Таблица1[[#This Row],[ФИО]],Учёт!N:N,"=0")</f>
        <v>0</v>
      </c>
      <c r="L19" s="61"/>
      <c r="M19" s="61">
        <f ca="1">SUMIF(Учёт!L:O,Данные!A19,Учёт!O:O)-Таблица1[[#This Row],[Выплачено]]</f>
        <v>0</v>
      </c>
      <c r="N19" s="61">
        <f ca="1">Таблица1[[#This Row],[К выплате на сегодня]]-Таблица1[[#This Row],[Долг]]</f>
        <v>0</v>
      </c>
      <c r="O19" s="61">
        <f ca="1">SUMIF(Учёт!L:AA,Таблица1[[#This Row],[ФИО]],Учёт!AA:AA)</f>
        <v>0</v>
      </c>
      <c r="P19" s="105">
        <f ca="1">SUMIF(Учёт!L:AB,Таблица1[[#This Row],[ФИО]],Учёт!AB:AB)</f>
        <v>0</v>
      </c>
      <c r="Q19" s="106">
        <f ca="1">IFERROR(Таблица1[[#This Row],[Доход]]/SUMIF(Учёт!L:T,Таблица1[[#This Row],[ФИО]],Учёт!T:T),0)</f>
        <v>0</v>
      </c>
      <c r="R19" s="64">
        <v>580206453312</v>
      </c>
    </row>
    <row r="20" spans="1:18">
      <c r="A20" s="65" t="s">
        <v>102</v>
      </c>
      <c r="B20" s="48">
        <v>520</v>
      </c>
      <c r="C20" s="48">
        <f>1800-200-600</f>
        <v>1000</v>
      </c>
      <c r="D20" s="48">
        <v>800</v>
      </c>
      <c r="E20" s="48">
        <f t="shared" si="0"/>
        <v>1520</v>
      </c>
      <c r="F20" s="48"/>
      <c r="G20" s="48">
        <f>Данные!$E20+Данные!$F20</f>
        <v>1520</v>
      </c>
      <c r="H20" s="54">
        <f>COUNTIFS(Учёт!L:L,Данные!$A20,Учёт!N:N,"&gt;0")</f>
        <v>0</v>
      </c>
      <c r="I20" s="52">
        <v>1</v>
      </c>
      <c r="J20" s="52">
        <v>1</v>
      </c>
      <c r="K20" s="52">
        <f>COUNTIFS(Учёт!L:L,Таблица1[[#This Row],[ФИО]],Учёт!N:N,"=0")</f>
        <v>0</v>
      </c>
      <c r="L20" s="60"/>
      <c r="M20" s="60">
        <f ca="1">SUMIF(Учёт!L:O,Данные!A20,Учёт!O:O)-Таблица1[[#This Row],[Выплачено]]</f>
        <v>0</v>
      </c>
      <c r="N20" s="60">
        <f ca="1">Таблица1[[#This Row],[К выплате на сегодня]]-Таблица1[[#This Row],[Долг]]</f>
        <v>-1520</v>
      </c>
      <c r="O20" s="60">
        <f ca="1">SUMIF(Учёт!L:AA,Таблица1[[#This Row],[ФИО]],Учёт!AA:AA)</f>
        <v>0</v>
      </c>
      <c r="P20" s="105">
        <f ca="1">SUMIF(Учёт!L:AB,Таблица1[[#This Row],[ФИО]],Учёт!AB:AB)</f>
        <v>0</v>
      </c>
      <c r="Q20" s="106">
        <f ca="1">IFERROR(Таблица1[[#This Row],[Доход]]/SUMIF(Учёт!L:T,Таблица1[[#This Row],[ФИО]],Учёт!T:T),0)</f>
        <v>0</v>
      </c>
      <c r="R20" s="64">
        <v>582939245282</v>
      </c>
    </row>
    <row r="21" spans="1:18">
      <c r="A21" s="65" t="s">
        <v>101</v>
      </c>
      <c r="B21" s="46">
        <f>520-200</f>
        <v>320</v>
      </c>
      <c r="C21" s="46">
        <f>1800-400-600-800</f>
        <v>0</v>
      </c>
      <c r="D21" s="46">
        <v>800</v>
      </c>
      <c r="E21" s="46">
        <f t="shared" si="0"/>
        <v>320</v>
      </c>
      <c r="F21" s="46"/>
      <c r="G21" s="46">
        <f>Данные!$E21+Данные!$F21</f>
        <v>320</v>
      </c>
      <c r="H21" s="52">
        <f>COUNTIFS(Учёт!L:L,Данные!$A21,Учёт!N:N,"&gt;0")</f>
        <v>0</v>
      </c>
      <c r="I21" s="52">
        <v>1</v>
      </c>
      <c r="J21" s="52"/>
      <c r="K21" s="52">
        <f>COUNTIFS(Учёт!L:L,Таблица1[[#This Row],[ФИО]],Учёт!N:N,"=0")</f>
        <v>0</v>
      </c>
      <c r="L21" s="61"/>
      <c r="M21" s="61">
        <f ca="1">SUMIF(Учёт!L:O,Данные!A21,Учёт!O:O)-Таблица1[[#This Row],[Выплачено]]</f>
        <v>0</v>
      </c>
      <c r="N21" s="61">
        <f ca="1">Таблица1[[#This Row],[К выплате на сегодня]]-Таблица1[[#This Row],[Долг]]</f>
        <v>-320</v>
      </c>
      <c r="O21" s="61">
        <f ca="1">SUMIF(Учёт!L:AA,Таблица1[[#This Row],[ФИО]],Учёт!AA:AA)</f>
        <v>0</v>
      </c>
      <c r="P21" s="105">
        <f ca="1">SUMIF(Учёт!L:AB,Таблица1[[#This Row],[ФИО]],Учёт!AB:AB)</f>
        <v>0</v>
      </c>
      <c r="Q21" s="106">
        <f ca="1">IFERROR(Таблица1[[#This Row],[Доход]]/SUMIF(Учёт!L:T,Таблица1[[#This Row],[ФИО]],Учёт!T:T),0)</f>
        <v>0</v>
      </c>
    </row>
    <row r="22" spans="1:18">
      <c r="A22" s="65" t="s">
        <v>100</v>
      </c>
      <c r="B22" s="48"/>
      <c r="C22" s="48"/>
      <c r="D22" s="48"/>
      <c r="E22" s="48">
        <f t="shared" si="0"/>
        <v>0</v>
      </c>
      <c r="F22" s="48"/>
      <c r="G22" s="48">
        <f>Данные!$E22+Данные!$F22</f>
        <v>0</v>
      </c>
      <c r="H22" s="54">
        <f>COUNTIFS(Учёт!L:L,Данные!$A22,Учёт!N:N,"&gt;0")</f>
        <v>0</v>
      </c>
      <c r="I22" s="52">
        <v>1</v>
      </c>
      <c r="J22" s="52">
        <v>1</v>
      </c>
      <c r="K22" s="52">
        <f>COUNTIFS(Учёт!L:L,Таблица1[[#This Row],[ФИО]],Учёт!N:N,"=0")</f>
        <v>0</v>
      </c>
      <c r="L22" s="60"/>
      <c r="M22" s="60">
        <f ca="1">SUMIF(Учёт!L:O,Данные!A22,Учёт!O:O)-Таблица1[[#This Row],[Выплачено]]</f>
        <v>0</v>
      </c>
      <c r="N22" s="60">
        <f ca="1">Таблица1[[#This Row],[К выплате на сегодня]]-Таблица1[[#This Row],[Долг]]</f>
        <v>0</v>
      </c>
      <c r="O22" s="60">
        <f ca="1">SUMIF(Учёт!L:AA,Таблица1[[#This Row],[ФИО]],Учёт!AA:AA)</f>
        <v>0</v>
      </c>
      <c r="P22" s="105">
        <f ca="1">SUMIF(Учёт!L:AB,Таблица1[[#This Row],[ФИО]],Учёт!AB:AB)</f>
        <v>0</v>
      </c>
      <c r="Q22" s="106">
        <f ca="1">IFERROR(Таблица1[[#This Row],[Доход]]/SUMIF(Учёт!L:T,Таблица1[[#This Row],[ФИО]],Учёт!T:T),0)</f>
        <v>0</v>
      </c>
      <c r="R22" s="64">
        <v>583601836209</v>
      </c>
    </row>
    <row r="23" spans="1:18">
      <c r="A23" s="65" t="s">
        <v>98</v>
      </c>
      <c r="B23" s="46"/>
      <c r="C23" s="46"/>
      <c r="D23" s="46">
        <v>800</v>
      </c>
      <c r="E23" s="46">
        <f t="shared" si="0"/>
        <v>0</v>
      </c>
      <c r="F23" s="46"/>
      <c r="G23" s="46">
        <f>Данные!$E23+Данные!$F23</f>
        <v>0</v>
      </c>
      <c r="H23" s="52">
        <f>COUNTIFS(Учёт!L:L,Данные!$A23,Учёт!N:N,"&gt;0")</f>
        <v>0</v>
      </c>
      <c r="I23" s="52">
        <v>1</v>
      </c>
      <c r="J23" s="52">
        <v>1</v>
      </c>
      <c r="K23" s="52">
        <f>COUNTIFS(Учёт!L:L,Таблица1[[#This Row],[ФИО]],Учёт!N:N,"=0")</f>
        <v>0</v>
      </c>
      <c r="L23" s="61"/>
      <c r="M23" s="61">
        <f ca="1">SUMIF(Учёт!L:O,Данные!A23,Учёт!O:O)-Таблица1[[#This Row],[Выплачено]]</f>
        <v>0</v>
      </c>
      <c r="N23" s="61">
        <f ca="1">Таблица1[[#This Row],[К выплате на сегодня]]-Таблица1[[#This Row],[Долг]]</f>
        <v>0</v>
      </c>
      <c r="O23" s="61">
        <f ca="1">SUMIF(Учёт!L:AA,Таблица1[[#This Row],[ФИО]],Учёт!AA:AA)</f>
        <v>0</v>
      </c>
      <c r="P23" s="105">
        <f ca="1">SUMIF(Учёт!L:AB,Таблица1[[#This Row],[ФИО]],Учёт!AB:AB)</f>
        <v>0</v>
      </c>
      <c r="Q23" s="106">
        <f ca="1">IFERROR(Таблица1[[#This Row],[Доход]]/SUMIF(Учёт!L:T,Таблица1[[#This Row],[ФИО]],Учёт!T:T),0)</f>
        <v>0</v>
      </c>
      <c r="R23" s="64">
        <v>583512050357</v>
      </c>
    </row>
    <row r="24" spans="1:18">
      <c r="A24" s="65" t="s">
        <v>99</v>
      </c>
      <c r="B24" s="48"/>
      <c r="C24" s="48"/>
      <c r="D24" s="48"/>
      <c r="E24" s="48">
        <f t="shared" si="0"/>
        <v>0</v>
      </c>
      <c r="F24" s="48"/>
      <c r="G24" s="48">
        <f>Данные!$E24+Данные!$F24</f>
        <v>0</v>
      </c>
      <c r="H24" s="54">
        <f>COUNTIFS(Учёт!L:L,Данные!$A24,Учёт!N:N,"&gt;0")</f>
        <v>0</v>
      </c>
      <c r="I24" s="52">
        <v>1</v>
      </c>
      <c r="J24" s="52"/>
      <c r="K24" s="52">
        <f>COUNTIFS(Учёт!L:L,Таблица1[[#This Row],[ФИО]],Учёт!N:N,"=0")</f>
        <v>0</v>
      </c>
      <c r="L24" s="60"/>
      <c r="M24" s="60">
        <f ca="1">SUMIF(Учёт!L:O,Данные!A24,Учёт!O:O)-Таблица1[[#This Row],[Выплачено]]</f>
        <v>0</v>
      </c>
      <c r="N24" s="60">
        <f ca="1">Таблица1[[#This Row],[К выплате на сегодня]]-Таблица1[[#This Row],[Долг]]</f>
        <v>0</v>
      </c>
      <c r="O24" s="60">
        <f ca="1">SUMIF(Учёт!L:AA,Таблица1[[#This Row],[ФИО]],Учёт!AA:AA)</f>
        <v>0</v>
      </c>
      <c r="P24" s="105">
        <f ca="1">SUMIF(Учёт!L:AB,Таблица1[[#This Row],[ФИО]],Учёт!AB:AB)</f>
        <v>0</v>
      </c>
      <c r="Q24" s="106">
        <f ca="1">IFERROR(Таблица1[[#This Row],[Доход]]/SUMIF(Учёт!L:T,Таблица1[[#This Row],[ФИО]],Учёт!T:T),0)</f>
        <v>0</v>
      </c>
    </row>
    <row r="25" spans="1:18">
      <c r="A25" s="65" t="s">
        <v>120</v>
      </c>
      <c r="B25" s="46"/>
      <c r="C25" s="46"/>
      <c r="D25" s="46"/>
      <c r="E25" s="46">
        <f t="shared" si="0"/>
        <v>0</v>
      </c>
      <c r="F25" s="46"/>
      <c r="G25" s="46">
        <f>Данные!$E25+Данные!$F25</f>
        <v>0</v>
      </c>
      <c r="H25" s="52">
        <f>COUNTIFS(Учёт!L:L,Данные!$A25,Учёт!N:N,"&gt;0")</f>
        <v>0</v>
      </c>
      <c r="I25" s="52">
        <v>1</v>
      </c>
      <c r="J25" s="52"/>
      <c r="K25" s="52">
        <f>COUNTIFS(Учёт!L:L,Таблица1[[#This Row],[ФИО]],Учёт!N:N,"=0")</f>
        <v>0</v>
      </c>
      <c r="L25" s="61"/>
      <c r="M25" s="61">
        <f ca="1">SUMIF(Учёт!L:O,Данные!A25,Учёт!O:O)-Таблица1[[#This Row],[Выплачено]]</f>
        <v>0</v>
      </c>
      <c r="N25" s="61">
        <f ca="1">Таблица1[[#This Row],[К выплате на сегодня]]-Таблица1[[#This Row],[Долг]]</f>
        <v>0</v>
      </c>
      <c r="O25" s="61">
        <f ca="1">SUMIF(Учёт!L:AA,Таблица1[[#This Row],[ФИО]],Учёт!AA:AA)</f>
        <v>0</v>
      </c>
      <c r="P25" s="105">
        <f ca="1">SUMIF(Учёт!L:AB,Таблица1[[#This Row],[ФИО]],Учёт!AB:AB)</f>
        <v>0</v>
      </c>
      <c r="Q25" s="106">
        <f ca="1">IFERROR(Таблица1[[#This Row],[Доход]]/SUMIF(Учёт!L:T,Таблица1[[#This Row],[ФИО]],Учёт!T:T),0)</f>
        <v>0</v>
      </c>
    </row>
    <row r="26" spans="1:18">
      <c r="A26" s="65" t="s">
        <v>121</v>
      </c>
      <c r="B26" s="48"/>
      <c r="C26" s="48"/>
      <c r="D26" s="48"/>
      <c r="E26" s="48">
        <f t="shared" si="0"/>
        <v>0</v>
      </c>
      <c r="F26" s="48"/>
      <c r="G26" s="48">
        <f>Данные!$E26+Данные!$F26</f>
        <v>0</v>
      </c>
      <c r="H26" s="54">
        <f>COUNTIFS(Учёт!L:L,Данные!$A26,Учёт!N:N,"&gt;0")</f>
        <v>0</v>
      </c>
      <c r="I26" s="52">
        <v>1</v>
      </c>
      <c r="J26" s="52"/>
      <c r="K26" s="52">
        <f>COUNTIFS(Учёт!L:L,Таблица1[[#This Row],[ФИО]],Учёт!N:N,"=0")</f>
        <v>0</v>
      </c>
      <c r="L26" s="60"/>
      <c r="M26" s="60">
        <f ca="1">SUMIF(Учёт!L:O,Данные!A26,Учёт!O:O)-Таблица1[[#This Row],[Выплачено]]</f>
        <v>0</v>
      </c>
      <c r="N26" s="60">
        <f ca="1">Таблица1[[#This Row],[К выплате на сегодня]]-Таблица1[[#This Row],[Долг]]</f>
        <v>0</v>
      </c>
      <c r="O26" s="60">
        <f ca="1">SUMIF(Учёт!L:AA,Таблица1[[#This Row],[ФИО]],Учёт!AA:AA)</f>
        <v>0</v>
      </c>
      <c r="P26" s="105">
        <f ca="1">SUMIF(Учёт!L:AB,Таблица1[[#This Row],[ФИО]],Учёт!AB:AB)</f>
        <v>0</v>
      </c>
      <c r="Q26" s="106">
        <f ca="1">IFERROR(Таблица1[[#This Row],[Доход]]/SUMIF(Учёт!L:T,Таблица1[[#This Row],[ФИО]],Учёт!T:T),0)</f>
        <v>0</v>
      </c>
    </row>
    <row r="27" spans="1:18">
      <c r="A27" s="65" t="s">
        <v>122</v>
      </c>
      <c r="B27" s="46"/>
      <c r="C27" s="46"/>
      <c r="D27" s="46"/>
      <c r="E27" s="46">
        <f t="shared" si="0"/>
        <v>0</v>
      </c>
      <c r="F27" s="46"/>
      <c r="G27" s="46">
        <f>Данные!$E27+Данные!$F27</f>
        <v>0</v>
      </c>
      <c r="H27" s="52">
        <f>COUNTIFS(Учёт!L:L,Данные!$A27,Учёт!N:N,"&gt;0")</f>
        <v>0</v>
      </c>
      <c r="I27" s="52">
        <v>1</v>
      </c>
      <c r="J27" s="52"/>
      <c r="K27" s="52">
        <f>COUNTIFS(Учёт!L:L,Таблица1[[#This Row],[ФИО]],Учёт!N:N,"=0")</f>
        <v>0</v>
      </c>
      <c r="L27" s="61"/>
      <c r="M27" s="61">
        <f ca="1">SUMIF(Учёт!L:O,Данные!A27,Учёт!O:O)-Таблица1[[#This Row],[Выплачено]]</f>
        <v>0</v>
      </c>
      <c r="N27" s="61">
        <f ca="1">Таблица1[[#This Row],[К выплате на сегодня]]-Таблица1[[#This Row],[Долг]]</f>
        <v>0</v>
      </c>
      <c r="O27" s="61">
        <f ca="1">SUMIF(Учёт!L:AA,Таблица1[[#This Row],[ФИО]],Учёт!AA:AA)</f>
        <v>0</v>
      </c>
      <c r="P27" s="105">
        <f ca="1">SUMIF(Учёт!L:AB,Таблица1[[#This Row],[ФИО]],Учёт!AB:AB)</f>
        <v>0</v>
      </c>
      <c r="Q27" s="106">
        <f ca="1">IFERROR(Таблица1[[#This Row],[Доход]]/SUMIF(Учёт!L:T,Таблица1[[#This Row],[ФИО]],Учёт!T:T),0)</f>
        <v>0</v>
      </c>
    </row>
    <row r="28" spans="1:18">
      <c r="A28" s="65" t="s">
        <v>133</v>
      </c>
      <c r="B28" s="48"/>
      <c r="C28" s="48"/>
      <c r="D28" s="48"/>
      <c r="E28" s="48">
        <f t="shared" si="0"/>
        <v>0</v>
      </c>
      <c r="F28" s="48"/>
      <c r="G28" s="48">
        <f>Данные!$E28+Данные!$F28</f>
        <v>0</v>
      </c>
      <c r="H28" s="54">
        <f>COUNTIFS(Учёт!L:L,Данные!$A28,Учёт!N:N,"&gt;0")</f>
        <v>0</v>
      </c>
      <c r="I28" s="52">
        <v>1</v>
      </c>
      <c r="J28" s="52">
        <v>1</v>
      </c>
      <c r="K28" s="52">
        <f>COUNTIFS(Учёт!L:L,Таблица1[[#This Row],[ФИО]],Учёт!N:N,"=0")</f>
        <v>0</v>
      </c>
      <c r="L28" s="60"/>
      <c r="M28" s="60">
        <f ca="1">SUMIF(Учёт!L:O,Данные!A28,Учёт!O:O)-Таблица1[[#This Row],[Выплачено]]</f>
        <v>0</v>
      </c>
      <c r="N28" s="60">
        <f ca="1">Таблица1[[#This Row],[К выплате на сегодня]]-Таблица1[[#This Row],[Долг]]</f>
        <v>0</v>
      </c>
      <c r="O28" s="60">
        <f ca="1">SUMIF(Учёт!L:AA,Таблица1[[#This Row],[ФИО]],Учёт!AA:AA)</f>
        <v>0</v>
      </c>
      <c r="P28" s="105">
        <f ca="1">SUMIF(Учёт!L:AB,Таблица1[[#This Row],[ФИО]],Учёт!AB:AB)</f>
        <v>0</v>
      </c>
      <c r="Q28" s="106">
        <f ca="1">IFERROR(Таблица1[[#This Row],[Доход]]/SUMIF(Учёт!L:T,Таблица1[[#This Row],[ФИО]],Учёт!T:T),0)</f>
        <v>0</v>
      </c>
      <c r="R28" s="64">
        <v>583516029317</v>
      </c>
    </row>
    <row r="29" spans="1:18">
      <c r="A29" s="131" t="s">
        <v>134</v>
      </c>
      <c r="B29" s="132"/>
      <c r="C29" s="132"/>
      <c r="D29" s="132" t="s">
        <v>114</v>
      </c>
      <c r="E29" s="132">
        <f t="shared" si="0"/>
        <v>0</v>
      </c>
      <c r="F29" s="132"/>
      <c r="G29" s="132">
        <f>Данные!$E29+Данные!$F29</f>
        <v>0</v>
      </c>
      <c r="H29" s="133">
        <f>COUNTIFS(Учёт!L:L,Данные!$A29,Учёт!N:N,"&gt;0")</f>
        <v>0</v>
      </c>
      <c r="I29" s="133">
        <v>1</v>
      </c>
      <c r="J29" s="133"/>
      <c r="K29" s="133">
        <f>COUNTIFS(Учёт!L:L,Таблица1[[#This Row],[ФИО]],Учёт!N:N,"=0")</f>
        <v>0</v>
      </c>
      <c r="L29" s="134"/>
      <c r="M29" s="134">
        <f ca="1">SUMIF(Учёт!L:O,Данные!A29,Учёт!O:O)-Таблица1[[#This Row],[Выплачено]]</f>
        <v>0</v>
      </c>
      <c r="N29" s="134">
        <f ca="1">Таблица1[[#This Row],[К выплате на сегодня]]-Таблица1[[#This Row],[Долг]]</f>
        <v>0</v>
      </c>
      <c r="O29" s="134">
        <f ca="1">SUMIF(Учёт!L:AA,Таблица1[[#This Row],[ФИО]],Учёт!AA:AA)</f>
        <v>0</v>
      </c>
      <c r="P29" s="135">
        <f ca="1">SUMIF(Учёт!L:AB,Таблица1[[#This Row],[ФИО]],Учёт!AB:AB)</f>
        <v>0</v>
      </c>
      <c r="Q29" s="136">
        <f ca="1">IFERROR(Таблица1[[#This Row],[Доход]]/SUMIF(Учёт!L:T,Таблица1[[#This Row],[ФИО]],Учёт!T:T),0)</f>
        <v>0</v>
      </c>
    </row>
    <row r="30" spans="1:18">
      <c r="A30" s="65" t="s">
        <v>135</v>
      </c>
      <c r="B30" s="48"/>
      <c r="C30" s="48"/>
      <c r="D30" s="48">
        <v>800</v>
      </c>
      <c r="E30" s="48">
        <f t="shared" si="0"/>
        <v>0</v>
      </c>
      <c r="F30" s="48"/>
      <c r="G30" s="48">
        <f>Данные!$E30+Данные!$F30</f>
        <v>0</v>
      </c>
      <c r="H30" s="54">
        <f>COUNTIFS(Учёт!L:L,Данные!$A30,Учёт!N:N,"&gt;0")</f>
        <v>0</v>
      </c>
      <c r="I30" s="52">
        <v>1</v>
      </c>
      <c r="J30" s="52">
        <v>1</v>
      </c>
      <c r="K30" s="52">
        <f>COUNTIFS(Учёт!L:L,Таблица1[[#This Row],[ФИО]],Учёт!N:N,"=0")</f>
        <v>0</v>
      </c>
      <c r="L30" s="60"/>
      <c r="M30" s="60">
        <f ca="1">SUMIF(Учёт!L:O,Данные!A30,Учёт!O:O)-Таблица1[[#This Row],[Выплачено]]</f>
        <v>0</v>
      </c>
      <c r="N30" s="60">
        <f ca="1">Таблица1[[#This Row],[К выплате на сегодня]]-Таблица1[[#This Row],[Долг]]</f>
        <v>0</v>
      </c>
      <c r="O30" s="60">
        <f ca="1">SUMIF(Учёт!L:AA,Таблица1[[#This Row],[ФИО]],Учёт!AA:AA)</f>
        <v>0</v>
      </c>
      <c r="P30" s="105">
        <f ca="1">SUMIF(Учёт!L:AB,Таблица1[[#This Row],[ФИО]],Учёт!AB:AB)</f>
        <v>0</v>
      </c>
      <c r="Q30" s="106">
        <f ca="1">IFERROR(Таблица1[[#This Row],[Доход]]/SUMIF(Учёт!L:T,Таблица1[[#This Row],[ФИО]],Учёт!T:T),0)</f>
        <v>0</v>
      </c>
      <c r="R30" s="64">
        <v>583712567431</v>
      </c>
    </row>
    <row r="31" spans="1:18">
      <c r="A31" s="131" t="s">
        <v>136</v>
      </c>
      <c r="B31" s="132"/>
      <c r="C31" s="132"/>
      <c r="D31" s="132"/>
      <c r="E31" s="132">
        <f t="shared" si="0"/>
        <v>0</v>
      </c>
      <c r="F31" s="132"/>
      <c r="G31" s="132">
        <f>Данные!$E31+Данные!$F31</f>
        <v>0</v>
      </c>
      <c r="H31" s="133">
        <f>COUNTIFS(Учёт!L:L,Данные!$A31,Учёт!N:N,"&gt;0")</f>
        <v>0</v>
      </c>
      <c r="I31" s="133">
        <v>1</v>
      </c>
      <c r="J31" s="133"/>
      <c r="K31" s="133">
        <f>COUNTIFS(Учёт!L:L,Таблица1[[#This Row],[ФИО]],Учёт!N:N,"=0")</f>
        <v>0</v>
      </c>
      <c r="L31" s="134"/>
      <c r="M31" s="134">
        <f ca="1">SUMIF(Учёт!L:O,Данные!A31,Учёт!O:O)-Таблица1[[#This Row],[Выплачено]]</f>
        <v>0</v>
      </c>
      <c r="N31" s="134">
        <f ca="1">Таблица1[[#This Row],[К выплате на сегодня]]-Таблица1[[#This Row],[Долг]]</f>
        <v>0</v>
      </c>
      <c r="O31" s="134">
        <f ca="1">SUMIF(Учёт!L:AA,Таблица1[[#This Row],[ФИО]],Учёт!AA:AA)</f>
        <v>0</v>
      </c>
      <c r="P31" s="135">
        <f ca="1">SUMIF(Учёт!L:AB,Таблица1[[#This Row],[ФИО]],Учёт!AB:AB)</f>
        <v>0</v>
      </c>
      <c r="Q31" s="136">
        <f ca="1">IFERROR(Таблица1[[#This Row],[Доход]]/SUMIF(Учёт!L:T,Таблица1[[#This Row],[ФИО]],Учёт!T:T),0)</f>
        <v>0</v>
      </c>
    </row>
    <row r="32" spans="1:18">
      <c r="A32" s="65" t="s">
        <v>153</v>
      </c>
      <c r="B32" s="48"/>
      <c r="C32" s="48"/>
      <c r="D32" s="48"/>
      <c r="E32" s="48">
        <f t="shared" si="0"/>
        <v>0</v>
      </c>
      <c r="F32" s="48"/>
      <c r="G32" s="48">
        <f>Данные!$E32+Данные!$F32</f>
        <v>0</v>
      </c>
      <c r="H32" s="54">
        <f>COUNTIFS(Учёт!L:L,Данные!$A32,Учёт!N:N,"&gt;0")</f>
        <v>0</v>
      </c>
      <c r="I32" s="52">
        <v>1</v>
      </c>
      <c r="J32" s="52">
        <v>1</v>
      </c>
      <c r="K32" s="52">
        <f>COUNTIFS(Учёт!L:L,Таблица1[[#This Row],[ФИО]],Учёт!N:N,"=0")</f>
        <v>0</v>
      </c>
      <c r="L32" s="60"/>
      <c r="M32" s="60">
        <f ca="1">SUMIF(Учёт!L:O,Данные!A32,Учёт!O:O)-Таблица1[[#This Row],[Выплачено]]</f>
        <v>0</v>
      </c>
      <c r="N32" s="60">
        <f ca="1">Таблица1[[#This Row],[К выплате на сегодня]]-Таблица1[[#This Row],[Долг]]</f>
        <v>0</v>
      </c>
      <c r="O32" s="60">
        <f ca="1">SUMIF(Учёт!L:AA,Таблица1[[#This Row],[ФИО]],Учёт!AA:AA)</f>
        <v>0</v>
      </c>
      <c r="P32" s="105">
        <f ca="1">SUMIF(Учёт!L:AB,Таблица1[[#This Row],[ФИО]],Учёт!AB:AB)</f>
        <v>0</v>
      </c>
      <c r="Q32" s="106">
        <f ca="1">IFERROR(Таблица1[[#This Row],[Доход]]/SUMIF(Учёт!L:T,Таблица1[[#This Row],[ФИО]],Учёт!T:T),0)</f>
        <v>0</v>
      </c>
      <c r="R32" s="64">
        <v>583712656353</v>
      </c>
    </row>
    <row r="33" spans="1:18">
      <c r="A33" s="65" t="s">
        <v>137</v>
      </c>
      <c r="B33" s="46"/>
      <c r="C33" s="46"/>
      <c r="D33" s="46">
        <v>800</v>
      </c>
      <c r="E33" s="46">
        <f t="shared" si="0"/>
        <v>0</v>
      </c>
      <c r="F33" s="46"/>
      <c r="G33" s="46">
        <f>Данные!$E33+Данные!$F33</f>
        <v>0</v>
      </c>
      <c r="H33" s="52">
        <f>COUNTIFS(Учёт!L:L,Данные!$A33,Учёт!N:N,"&gt;0")</f>
        <v>0</v>
      </c>
      <c r="I33" s="52">
        <v>1</v>
      </c>
      <c r="J33" s="52"/>
      <c r="K33" s="52">
        <f>COUNTIFS(Учёт!L:L,Таблица1[[#This Row],[ФИО]],Учёт!N:N,"=0")</f>
        <v>0</v>
      </c>
      <c r="L33" s="61"/>
      <c r="M33" s="61">
        <f ca="1">SUMIF(Учёт!L:O,Данные!A33,Учёт!O:O)-Таблица1[[#This Row],[Выплачено]]</f>
        <v>0</v>
      </c>
      <c r="N33" s="61">
        <f ca="1">Таблица1[[#This Row],[К выплате на сегодня]]-Таблица1[[#This Row],[Долг]]</f>
        <v>0</v>
      </c>
      <c r="O33" s="61">
        <f ca="1">SUMIF(Учёт!L:AA,Таблица1[[#This Row],[ФИО]],Учёт!AA:AA)</f>
        <v>0</v>
      </c>
      <c r="P33" s="105">
        <f ca="1">SUMIF(Учёт!L:AB,Таблица1[[#This Row],[ФИО]],Учёт!AB:AB)</f>
        <v>0</v>
      </c>
      <c r="Q33" s="106">
        <f ca="1">IFERROR(Таблица1[[#This Row],[Доход]]/SUMIF(Учёт!L:T,Таблица1[[#This Row],[ФИО]],Учёт!T:T),0)</f>
        <v>0</v>
      </c>
    </row>
    <row r="34" spans="1:18">
      <c r="A34" s="131" t="s">
        <v>142</v>
      </c>
      <c r="B34" s="137"/>
      <c r="C34" s="137"/>
      <c r="D34" s="137"/>
      <c r="E34" s="137">
        <f t="shared" si="0"/>
        <v>0</v>
      </c>
      <c r="F34" s="137"/>
      <c r="G34" s="137">
        <f>Данные!$E34+Данные!$F34</f>
        <v>0</v>
      </c>
      <c r="H34" s="138">
        <f>COUNTIFS(Учёт!L:L,Данные!$A34,Учёт!N:N,"&gt;0")</f>
        <v>0</v>
      </c>
      <c r="I34" s="133">
        <v>1</v>
      </c>
      <c r="J34" s="133"/>
      <c r="K34" s="133">
        <f>COUNTIFS(Учёт!L:L,Таблица1[[#This Row],[ФИО]],Учёт!N:N,"=0")</f>
        <v>0</v>
      </c>
      <c r="L34" s="139"/>
      <c r="M34" s="139">
        <f ca="1">SUMIF(Учёт!L:O,Данные!A34,Учёт!O:O)-Таблица1[[#This Row],[Выплачено]]</f>
        <v>0</v>
      </c>
      <c r="N34" s="139">
        <f ca="1">Таблица1[[#This Row],[К выплате на сегодня]]-Таблица1[[#This Row],[Долг]]</f>
        <v>0</v>
      </c>
      <c r="O34" s="139">
        <f ca="1">SUMIF(Учёт!L:AA,Таблица1[[#This Row],[ФИО]],Учёт!AA:AA)</f>
        <v>0</v>
      </c>
      <c r="P34" s="135">
        <f ca="1">SUMIF(Учёт!L:AB,Таблица1[[#This Row],[ФИО]],Учёт!AB:AB)</f>
        <v>0</v>
      </c>
      <c r="Q34" s="136">
        <f ca="1">IFERROR(Таблица1[[#This Row],[Доход]]/SUMIF(Учёт!L:T,Таблица1[[#This Row],[ФИО]],Учёт!T:T),0)</f>
        <v>0</v>
      </c>
    </row>
    <row r="35" spans="1:18">
      <c r="A35" s="131" t="s">
        <v>143</v>
      </c>
      <c r="B35" s="132"/>
      <c r="C35" s="132"/>
      <c r="D35" s="132"/>
      <c r="E35" s="132">
        <f t="shared" si="0"/>
        <v>0</v>
      </c>
      <c r="F35" s="132"/>
      <c r="G35" s="132">
        <f>Данные!$E35+Данные!$F35</f>
        <v>0</v>
      </c>
      <c r="H35" s="133">
        <f>COUNTIFS(Учёт!L:L,Данные!$A35,Учёт!N:N,"&gt;0")</f>
        <v>0</v>
      </c>
      <c r="I35" s="133">
        <v>1</v>
      </c>
      <c r="J35" s="133"/>
      <c r="K35" s="133">
        <f>COUNTIFS(Учёт!L:L,Таблица1[[#This Row],[ФИО]],Учёт!N:N,"=0")</f>
        <v>0</v>
      </c>
      <c r="L35" s="134"/>
      <c r="M35" s="134">
        <f ca="1">SUMIF(Учёт!L:O,Данные!A35,Учёт!O:O)-Таблица1[[#This Row],[Выплачено]]</f>
        <v>0</v>
      </c>
      <c r="N35" s="134">
        <f ca="1">Таблица1[[#This Row],[К выплате на сегодня]]-Таблица1[[#This Row],[Долг]]</f>
        <v>0</v>
      </c>
      <c r="O35" s="134">
        <f ca="1">SUMIF(Учёт!L:AA,Таблица1[[#This Row],[ФИО]],Учёт!AA:AA)</f>
        <v>0</v>
      </c>
      <c r="P35" s="135">
        <f ca="1">SUMIF(Учёт!L:AB,Таблица1[[#This Row],[ФИО]],Учёт!AB:AB)</f>
        <v>0</v>
      </c>
      <c r="Q35" s="136">
        <f ca="1">IFERROR(Таблица1[[#This Row],[Доход]]/SUMIF(Учёт!L:T,Таблица1[[#This Row],[ФИО]],Учёт!T:T),0)</f>
        <v>0</v>
      </c>
    </row>
    <row r="36" spans="1:18">
      <c r="A36" s="65" t="s">
        <v>144</v>
      </c>
      <c r="B36" s="48"/>
      <c r="C36" s="48"/>
      <c r="D36" s="48">
        <v>800</v>
      </c>
      <c r="E36" s="48">
        <f t="shared" si="0"/>
        <v>0</v>
      </c>
      <c r="F36" s="48"/>
      <c r="G36" s="48">
        <f>Данные!$E36+Данные!$F36</f>
        <v>0</v>
      </c>
      <c r="H36" s="54">
        <f>COUNTIFS(Учёт!L:L,Данные!$A36,Учёт!N:N,"&gt;0")</f>
        <v>0</v>
      </c>
      <c r="I36" s="52">
        <v>1</v>
      </c>
      <c r="J36" s="52">
        <v>1</v>
      </c>
      <c r="K36" s="52">
        <f>COUNTIFS(Учёт!L:L,Таблица1[[#This Row],[ФИО]],Учёт!N:N,"=0")</f>
        <v>0</v>
      </c>
      <c r="L36" s="60"/>
      <c r="M36" s="60">
        <f ca="1">SUMIF(Учёт!L:O,Данные!A36,Учёт!O:O)-Таблица1[[#This Row],[Выплачено]]</f>
        <v>0</v>
      </c>
      <c r="N36" s="60">
        <f ca="1">Таблица1[[#This Row],[К выплате на сегодня]]-Таблица1[[#This Row],[Долг]]</f>
        <v>0</v>
      </c>
      <c r="O36" s="60">
        <f ca="1">SUMIF(Учёт!L:AA,Таблица1[[#This Row],[ФИО]],Учёт!AA:AA)</f>
        <v>0</v>
      </c>
      <c r="P36" s="105">
        <f ca="1">SUMIF(Учёт!L:AB,Таблица1[[#This Row],[ФИО]],Учёт!AB:AB)</f>
        <v>0</v>
      </c>
      <c r="Q36" s="106">
        <f ca="1">IFERROR(Таблица1[[#This Row],[Доход]]/SUMIF(Учёт!L:T,Таблица1[[#This Row],[ФИО]],Учёт!T:T),0)</f>
        <v>0</v>
      </c>
      <c r="R36" s="64">
        <v>583700495503</v>
      </c>
    </row>
    <row r="37" spans="1:18">
      <c r="A37" s="65" t="s">
        <v>152</v>
      </c>
      <c r="B37" s="46"/>
      <c r="C37" s="46"/>
      <c r="D37" s="46">
        <v>800</v>
      </c>
      <c r="E37" s="46">
        <f t="shared" si="0"/>
        <v>0</v>
      </c>
      <c r="F37" s="46">
        <v>314</v>
      </c>
      <c r="G37" s="46">
        <f>Данные!$E37+Данные!$F37</f>
        <v>314</v>
      </c>
      <c r="H37" s="52">
        <f>COUNTIFS(Учёт!L:L,Данные!$A37,Учёт!N:N,"&gt;0")</f>
        <v>0</v>
      </c>
      <c r="I37" s="52">
        <v>1</v>
      </c>
      <c r="J37" s="52">
        <v>1</v>
      </c>
      <c r="K37" s="52">
        <f>COUNTIFS(Учёт!L:L,Таблица1[[#This Row],[ФИО]],Учёт!N:N,"=0")</f>
        <v>0</v>
      </c>
      <c r="L37" s="61"/>
      <c r="M37" s="61">
        <f ca="1">SUMIF(Учёт!L:O,Данные!A37,Учёт!O:O)-Таблица1[[#This Row],[Выплачено]]</f>
        <v>0</v>
      </c>
      <c r="N37" s="61">
        <f ca="1">Таблица1[[#This Row],[К выплате на сегодня]]-Таблица1[[#This Row],[Долг]]</f>
        <v>-314</v>
      </c>
      <c r="O37" s="61">
        <f ca="1">SUMIF(Учёт!L:AA,Таблица1[[#This Row],[ФИО]],Учёт!AA:AA)</f>
        <v>0</v>
      </c>
      <c r="P37" s="105">
        <f ca="1">SUMIF(Учёт!L:AB,Таблица1[[#This Row],[ФИО]],Учёт!AB:AB)</f>
        <v>0</v>
      </c>
      <c r="Q37" s="106">
        <f ca="1">IFERROR(Таблица1[[#This Row],[Доход]]/SUMIF(Учёт!L:T,Таблица1[[#This Row],[ФИО]],Учёт!T:T),0)</f>
        <v>0</v>
      </c>
      <c r="R37" s="64">
        <v>582308656153</v>
      </c>
    </row>
    <row r="38" spans="1:18">
      <c r="A38" s="65" t="s">
        <v>145</v>
      </c>
      <c r="B38" s="48"/>
      <c r="C38" s="48"/>
      <c r="D38" s="48">
        <v>800</v>
      </c>
      <c r="E38" s="48">
        <f t="shared" si="0"/>
        <v>0</v>
      </c>
      <c r="F38" s="48"/>
      <c r="G38" s="48">
        <f>Данные!$E38+Данные!$F38</f>
        <v>0</v>
      </c>
      <c r="H38" s="54">
        <f>COUNTIFS(Учёт!L:L,Данные!$A38,Учёт!N:N,"&gt;0")</f>
        <v>0</v>
      </c>
      <c r="I38" s="52">
        <v>1</v>
      </c>
      <c r="J38" s="52">
        <v>1</v>
      </c>
      <c r="K38" s="52">
        <f>COUNTIFS(Учёт!L:L,Таблица1[[#This Row],[ФИО]],Учёт!N:N,"=0")</f>
        <v>0</v>
      </c>
      <c r="L38" s="60"/>
      <c r="M38" s="60">
        <f ca="1">SUMIF(Учёт!L:O,Данные!A38,Учёт!O:O)-Таблица1[[#This Row],[Выплачено]]</f>
        <v>0</v>
      </c>
      <c r="N38" s="60">
        <f ca="1">Таблица1[[#This Row],[К выплате на сегодня]]-Таблица1[[#This Row],[Долг]]</f>
        <v>0</v>
      </c>
      <c r="O38" s="60">
        <f ca="1">SUMIF(Учёт!L:AA,Таблица1[[#This Row],[ФИО]],Учёт!AA:AA)</f>
        <v>0</v>
      </c>
      <c r="P38" s="105">
        <f ca="1">SUMIF(Учёт!L:AB,Таблица1[[#This Row],[ФИО]],Учёт!AB:AB)</f>
        <v>0</v>
      </c>
      <c r="Q38" s="106">
        <f ca="1">IFERROR(Таблица1[[#This Row],[Доход]]/SUMIF(Учёт!L:T,Таблица1[[#This Row],[ФИО]],Учёт!T:T),0)</f>
        <v>0</v>
      </c>
      <c r="R38" s="64">
        <v>581204430008</v>
      </c>
    </row>
    <row r="39" spans="1:18">
      <c r="A39" s="65" t="s">
        <v>146</v>
      </c>
      <c r="B39" s="46"/>
      <c r="C39" s="46"/>
      <c r="D39" s="46"/>
      <c r="E39" s="46">
        <f t="shared" si="0"/>
        <v>0</v>
      </c>
      <c r="F39" s="46"/>
      <c r="G39" s="46">
        <f>Данные!$E39+Данные!$F39</f>
        <v>0</v>
      </c>
      <c r="H39" s="52">
        <f>COUNTIFS(Учёт!L:L,Данные!$A39,Учёт!N:N,"&gt;0")</f>
        <v>0</v>
      </c>
      <c r="I39" s="52">
        <v>1</v>
      </c>
      <c r="J39" s="52">
        <v>1</v>
      </c>
      <c r="K39" s="52">
        <f>COUNTIFS(Учёт!L:L,Таблица1[[#This Row],[ФИО]],Учёт!N:N,"=0")</f>
        <v>0</v>
      </c>
      <c r="L39" s="61"/>
      <c r="M39" s="61">
        <f ca="1">SUMIF(Учёт!L:O,Данные!A39,Учёт!O:O)-Таблица1[[#This Row],[Выплачено]]</f>
        <v>0</v>
      </c>
      <c r="N39" s="61">
        <f ca="1">Таблица1[[#This Row],[К выплате на сегодня]]-Таблица1[[#This Row],[Долг]]</f>
        <v>0</v>
      </c>
      <c r="O39" s="61">
        <f ca="1">SUMIF(Учёт!L:AA,Таблица1[[#This Row],[ФИО]],Учёт!AA:AA)</f>
        <v>0</v>
      </c>
      <c r="P39" s="105">
        <f ca="1">SUMIF(Учёт!L:AB,Таблица1[[#This Row],[ФИО]],Учёт!AB:AB)</f>
        <v>0</v>
      </c>
      <c r="Q39" s="106">
        <f ca="1">IFERROR(Таблица1[[#This Row],[Доход]]/SUMIF(Учёт!L:T,Таблица1[[#This Row],[ФИО]],Учёт!T:T),0)</f>
        <v>0</v>
      </c>
      <c r="R39" s="64">
        <v>580207194004</v>
      </c>
    </row>
    <row r="40" spans="1:18">
      <c r="A40" s="65" t="s">
        <v>147</v>
      </c>
      <c r="B40" s="48"/>
      <c r="C40" s="48"/>
      <c r="D40" s="48"/>
      <c r="E40" s="48">
        <f t="shared" si="0"/>
        <v>0</v>
      </c>
      <c r="F40" s="48"/>
      <c r="G40" s="48">
        <f>Данные!$E40+Данные!$F40</f>
        <v>0</v>
      </c>
      <c r="H40" s="54">
        <f>COUNTIFS(Учёт!L:L,Данные!$A40,Учёт!N:N,"&gt;0")</f>
        <v>0</v>
      </c>
      <c r="I40" s="52">
        <v>1</v>
      </c>
      <c r="J40" s="52"/>
      <c r="K40" s="52">
        <f>COUNTIFS(Учёт!L:L,Таблица1[[#This Row],[ФИО]],Учёт!N:N,"=0")</f>
        <v>0</v>
      </c>
      <c r="L40" s="60"/>
      <c r="M40" s="60">
        <f ca="1">SUMIF(Учёт!L:O,Данные!A40,Учёт!O:O)-Таблица1[[#This Row],[Выплачено]]</f>
        <v>0</v>
      </c>
      <c r="N40" s="60">
        <f ca="1">Таблица1[[#This Row],[К выплате на сегодня]]-Таблица1[[#This Row],[Долг]]</f>
        <v>0</v>
      </c>
      <c r="O40" s="60">
        <f ca="1">SUMIF(Учёт!L:AA,Таблица1[[#This Row],[ФИО]],Учёт!AA:AA)</f>
        <v>0</v>
      </c>
      <c r="P40" s="105">
        <f ca="1">SUMIF(Учёт!L:AB,Таблица1[[#This Row],[ФИО]],Учёт!AB:AB)</f>
        <v>0</v>
      </c>
      <c r="Q40" s="106">
        <f ca="1">IFERROR(Таблица1[[#This Row],[Доход]]/SUMIF(Учёт!L:T,Таблица1[[#This Row],[ФИО]],Учёт!T:T),0)</f>
        <v>0</v>
      </c>
    </row>
    <row r="41" spans="1:18">
      <c r="A41" s="65" t="s">
        <v>149</v>
      </c>
      <c r="B41" s="46"/>
      <c r="C41" s="46"/>
      <c r="D41" s="46"/>
      <c r="E41" s="46">
        <f t="shared" si="0"/>
        <v>0</v>
      </c>
      <c r="F41" s="46"/>
      <c r="G41" s="46">
        <f>Данные!$E41+Данные!$F41</f>
        <v>0</v>
      </c>
      <c r="H41" s="52">
        <f>COUNTIFS(Учёт!L:L,Данные!$A41,Учёт!N:N,"&gt;0")</f>
        <v>0</v>
      </c>
      <c r="I41" s="52">
        <v>1</v>
      </c>
      <c r="J41" s="52"/>
      <c r="K41" s="52">
        <f>COUNTIFS(Учёт!L:L,Таблица1[[#This Row],[ФИО]],Учёт!N:N,"=0")</f>
        <v>0</v>
      </c>
      <c r="L41" s="61"/>
      <c r="M41" s="61">
        <f ca="1">SUMIF(Учёт!L:O,Данные!A41,Учёт!O:O)-Таблица1[[#This Row],[Выплачено]]</f>
        <v>0</v>
      </c>
      <c r="N41" s="61">
        <f ca="1">Таблица1[[#This Row],[К выплате на сегодня]]-Таблица1[[#This Row],[Долг]]</f>
        <v>0</v>
      </c>
      <c r="O41" s="61">
        <f ca="1">SUMIF(Учёт!L:AA,Таблица1[[#This Row],[ФИО]],Учёт!AA:AA)</f>
        <v>0</v>
      </c>
      <c r="P41" s="105">
        <f ca="1">SUMIF(Учёт!L:AB,Таблица1[[#This Row],[ФИО]],Учёт!AB:AB)</f>
        <v>0</v>
      </c>
      <c r="Q41" s="106">
        <f ca="1">IFERROR(Таблица1[[#This Row],[Доход]]/SUMIF(Учёт!L:T,Таблица1[[#This Row],[ФИО]],Учёт!T:T),0)</f>
        <v>0</v>
      </c>
    </row>
    <row r="42" spans="1:18">
      <c r="A42" s="65" t="s">
        <v>151</v>
      </c>
      <c r="B42" s="48"/>
      <c r="C42" s="48"/>
      <c r="D42" s="48"/>
      <c r="E42" s="48">
        <f t="shared" si="0"/>
        <v>0</v>
      </c>
      <c r="F42" s="48"/>
      <c r="G42" s="48">
        <f>Данные!$E42+Данные!$F42</f>
        <v>0</v>
      </c>
      <c r="H42" s="54">
        <f>COUNTIFS(Учёт!L:L,Данные!$A42,Учёт!N:N,"&gt;0")</f>
        <v>0</v>
      </c>
      <c r="I42" s="52">
        <v>1</v>
      </c>
      <c r="J42" s="52"/>
      <c r="K42" s="52">
        <f>COUNTIFS(Учёт!L:L,Таблица1[[#This Row],[ФИО]],Учёт!N:N,"=0")</f>
        <v>0</v>
      </c>
      <c r="L42" s="60"/>
      <c r="M42" s="60">
        <f ca="1">SUMIF(Учёт!L:O,Данные!A42,Учёт!O:O)-Таблица1[[#This Row],[Выплачено]]</f>
        <v>0</v>
      </c>
      <c r="N42" s="60">
        <f ca="1">Таблица1[[#This Row],[К выплате на сегодня]]-Таблица1[[#This Row],[Долг]]</f>
        <v>0</v>
      </c>
      <c r="O42" s="60">
        <f ca="1">SUMIF(Учёт!L:AA,Таблица1[[#This Row],[ФИО]],Учёт!AA:AA)</f>
        <v>0</v>
      </c>
      <c r="P42" s="105">
        <f ca="1">SUMIF(Учёт!L:AB,Таблица1[[#This Row],[ФИО]],Учёт!AB:AB)</f>
        <v>0</v>
      </c>
      <c r="Q42" s="106">
        <f ca="1">IFERROR(Таблица1[[#This Row],[Доход]]/SUMIF(Учёт!L:T,Таблица1[[#This Row],[ФИО]],Учёт!T:T),0)</f>
        <v>0</v>
      </c>
    </row>
    <row r="43" spans="1:18">
      <c r="A43" s="65" t="s">
        <v>150</v>
      </c>
      <c r="B43" s="46"/>
      <c r="C43" s="46"/>
      <c r="D43" s="46"/>
      <c r="E43" s="46">
        <f t="shared" si="0"/>
        <v>0</v>
      </c>
      <c r="F43" s="46"/>
      <c r="G43" s="46">
        <f>Данные!$E43+Данные!$F43</f>
        <v>0</v>
      </c>
      <c r="H43" s="52">
        <f>COUNTIFS(Учёт!L:L,Данные!$A43,Учёт!N:N,"&gt;0")</f>
        <v>0</v>
      </c>
      <c r="I43" s="52">
        <v>1</v>
      </c>
      <c r="J43" s="52"/>
      <c r="K43" s="52">
        <f>COUNTIFS(Учёт!L:L,Таблица1[[#This Row],[ФИО]],Учёт!N:N,"=0")</f>
        <v>0</v>
      </c>
      <c r="L43" s="61"/>
      <c r="M43" s="61">
        <f ca="1">SUMIF(Учёт!L:O,Данные!A43,Учёт!O:O)-Таблица1[[#This Row],[Выплачено]]</f>
        <v>0</v>
      </c>
      <c r="N43" s="61">
        <f ca="1">Таблица1[[#This Row],[К выплате на сегодня]]-Таблица1[[#This Row],[Долг]]</f>
        <v>0</v>
      </c>
      <c r="O43" s="61">
        <f ca="1">SUMIF(Учёт!L:AA,Таблица1[[#This Row],[ФИО]],Учёт!AA:AA)</f>
        <v>0</v>
      </c>
      <c r="P43" s="105">
        <f ca="1">SUMIF(Учёт!L:AB,Таблица1[[#This Row],[ФИО]],Учёт!AB:AB)</f>
        <v>0</v>
      </c>
      <c r="Q43" s="106">
        <f ca="1">IFERROR(Таблица1[[#This Row],[Доход]]/SUMIF(Учёт!L:T,Таблица1[[#This Row],[ФИО]],Учёт!T:T),0)</f>
        <v>0</v>
      </c>
    </row>
    <row r="44" spans="1:18">
      <c r="A44" s="65" t="s">
        <v>154</v>
      </c>
      <c r="B44" s="48"/>
      <c r="C44" s="48"/>
      <c r="D44" s="48">
        <v>800</v>
      </c>
      <c r="E44" s="48">
        <f t="shared" si="0"/>
        <v>0</v>
      </c>
      <c r="F44" s="48"/>
      <c r="G44" s="48">
        <f>Данные!$E44+Данные!$F44</f>
        <v>0</v>
      </c>
      <c r="H44" s="54">
        <f>COUNTIFS(Учёт!L:L,Данные!$A44,Учёт!N:N,"&gt;0")</f>
        <v>1</v>
      </c>
      <c r="I44" s="52">
        <v>1</v>
      </c>
      <c r="J44" s="52"/>
      <c r="K44" s="52">
        <f>COUNTIFS(Учёт!L:L,Таблица1[[#This Row],[ФИО]],Учёт!N:N,"=0")</f>
        <v>0</v>
      </c>
      <c r="L44" s="60"/>
      <c r="M44" s="60">
        <f ca="1">SUMIF(Учёт!L:O,Данные!A44,Учёт!O:O)-Таблица1[[#This Row],[Выплачено]]</f>
        <v>999.9999600000001</v>
      </c>
      <c r="N44" s="60">
        <f ca="1">Таблица1[[#This Row],[К выплате на сегодня]]-Таблица1[[#This Row],[Долг]]</f>
        <v>999.9999600000001</v>
      </c>
      <c r="O44" s="60">
        <f ca="1">SUMIF(Учёт!L:AA,Таблица1[[#This Row],[ФИО]],Учёт!AA:AA)</f>
        <v>0</v>
      </c>
      <c r="P44" s="105">
        <f ca="1">SUMIF(Учёт!L:AB,Таблица1[[#This Row],[ФИО]],Учёт!AB:AB)</f>
        <v>522.80003999999985</v>
      </c>
      <c r="Q44" s="106">
        <f ca="1">IFERROR(Таблица1[[#This Row],[Доход]]/SUMIF(Учёт!L:T,Таблица1[[#This Row],[ФИО]],Учёт!T:T),0)</f>
        <v>0.34331497241922765</v>
      </c>
    </row>
    <row r="45" spans="1:18">
      <c r="A45" s="65" t="s">
        <v>155</v>
      </c>
      <c r="B45" s="57"/>
      <c r="C45" s="57"/>
      <c r="D45" s="57"/>
      <c r="E45" s="57">
        <f t="shared" si="0"/>
        <v>0</v>
      </c>
      <c r="F45" s="57"/>
      <c r="G45" s="57">
        <f>Данные!$E45+Данные!$F45</f>
        <v>0</v>
      </c>
      <c r="H45" s="58">
        <f>COUNTIFS(Учёт!L:L,Данные!$A45,Учёт!N:N,"&gt;0")</f>
        <v>0</v>
      </c>
      <c r="I45" s="52">
        <v>1</v>
      </c>
      <c r="J45" s="52">
        <v>1</v>
      </c>
      <c r="K45" s="52">
        <f>COUNTIFS(Учёт!L:L,Таблица1[[#This Row],[ФИО]],Учёт!N:N,"=0")</f>
        <v>0</v>
      </c>
      <c r="L45" s="62"/>
      <c r="M45" s="62">
        <f ca="1">SUMIF(Учёт!L:O,Данные!A45,Учёт!O:O)-Таблица1[[#This Row],[Выплачено]]</f>
        <v>0</v>
      </c>
      <c r="N45" s="62">
        <f ca="1">Таблица1[[#This Row],[К выплате на сегодня]]-Таблица1[[#This Row],[Долг]]</f>
        <v>0</v>
      </c>
      <c r="O45" s="62">
        <f ca="1">SUMIF(Учёт!L:AA,Таблица1[[#This Row],[ФИО]],Учёт!AA:AA)</f>
        <v>0</v>
      </c>
      <c r="P45" s="105">
        <f ca="1">SUMIF(Учёт!L:AB,Таблица1[[#This Row],[ФИО]],Учёт!AB:AB)</f>
        <v>0</v>
      </c>
      <c r="Q45" s="106">
        <f ca="1">IFERROR(Таблица1[[#This Row],[Доход]]/SUMIF(Учёт!L:T,Таблица1[[#This Row],[ФИО]],Учёт!T:T),0)</f>
        <v>0</v>
      </c>
      <c r="R45" s="64">
        <v>583409145830</v>
      </c>
    </row>
    <row r="46" spans="1:18">
      <c r="A46" s="65" t="s">
        <v>156</v>
      </c>
      <c r="B46" s="59"/>
      <c r="C46" s="59"/>
      <c r="D46" s="59">
        <v>800</v>
      </c>
      <c r="E46" s="59">
        <f t="shared" ref="E46:E51" si="1">SUM(B46:C46)</f>
        <v>0</v>
      </c>
      <c r="F46" s="59"/>
      <c r="G46" s="59">
        <f>Данные!$E46+Данные!$F46</f>
        <v>0</v>
      </c>
      <c r="H46" s="82">
        <f>COUNTIFS(Учёт!L:L,Данные!$A46,Учёт!N:N,"&gt;0")</f>
        <v>1</v>
      </c>
      <c r="I46" s="82">
        <v>1</v>
      </c>
      <c r="J46" s="82"/>
      <c r="K46" s="82">
        <f>COUNTIFS(Учёт!L:L,Таблица1[[#This Row],[ФИО]],Учёт!N:N,"=0")</f>
        <v>0</v>
      </c>
      <c r="L46" s="62"/>
      <c r="M46" s="59">
        <f ca="1">SUMIF(Учёт!L:O,Данные!A46,Учёт!O:O)-Таблица1[[#This Row],[Выплачено]]</f>
        <v>1099.9992</v>
      </c>
      <c r="N46" s="62">
        <f ca="1">Таблица1[[#This Row],[К выплате на сегодня]]-Таблица1[[#This Row],[Долг]]</f>
        <v>1099.9992</v>
      </c>
      <c r="O46" s="59">
        <f ca="1">SUMIF(Учёт!L:AA,Таблица1[[#This Row],[ФИО]],Учёт!AA:AA)</f>
        <v>0</v>
      </c>
      <c r="P46" s="140">
        <f ca="1">SUMIF(Учёт!L:AB,Таблица1[[#This Row],[ФИО]],Учёт!AB:AB)</f>
        <v>422.80079999999998</v>
      </c>
      <c r="Q46" s="141">
        <f ca="1">IFERROR(Таблица1[[#This Row],[Доход]]/SUMIF(Учёт!L:T,Таблица1[[#This Row],[ФИО]],Учёт!T:T),0)</f>
        <v>0.27764696611505124</v>
      </c>
    </row>
    <row r="47" spans="1:18">
      <c r="A47" s="65" t="s">
        <v>157</v>
      </c>
      <c r="B47" s="59"/>
      <c r="C47" s="59"/>
      <c r="D47" s="59">
        <v>800</v>
      </c>
      <c r="E47" s="59">
        <f t="shared" si="1"/>
        <v>0</v>
      </c>
      <c r="F47" s="59"/>
      <c r="G47" s="59">
        <f>Данные!$E47+Данные!$F47</f>
        <v>0</v>
      </c>
      <c r="H47" s="82">
        <f>COUNTIFS(Учёт!L:L,Данные!$A47,Учёт!N:N,"&gt;0")</f>
        <v>0</v>
      </c>
      <c r="I47" s="82">
        <v>1</v>
      </c>
      <c r="J47" s="82">
        <v>1</v>
      </c>
      <c r="K47" s="82">
        <f>COUNTIFS(Учёт!L:L,Таблица1[[#This Row],[ФИО]],Учёт!N:N,"=0")</f>
        <v>0</v>
      </c>
      <c r="L47" s="62"/>
      <c r="M47" s="59">
        <f ca="1">SUMIF(Учёт!L:O,Данные!A47,Учёт!O:O)-Таблица1[[#This Row],[Выплачено]]</f>
        <v>0</v>
      </c>
      <c r="N47" s="62">
        <f ca="1">Таблица1[[#This Row],[К выплате на сегодня]]-Таблица1[[#This Row],[Долг]]</f>
        <v>0</v>
      </c>
      <c r="O47" s="59">
        <f ca="1">SUMIF(Учёт!L:AA,Таблица1[[#This Row],[ФИО]],Учёт!AA:AA)</f>
        <v>0</v>
      </c>
      <c r="P47" s="140">
        <f ca="1">SUMIF(Учёт!L:AB,Таблица1[[#This Row],[ФИО]],Учёт!AB:AB)</f>
        <v>0</v>
      </c>
      <c r="Q47" s="141">
        <f ca="1">IFERROR(Таблица1[[#This Row],[Доход]]/SUMIF(Учёт!L:T,Таблица1[[#This Row],[ФИО]],Учёт!T:T),0)</f>
        <v>0</v>
      </c>
      <c r="R47" s="64">
        <v>580902928666</v>
      </c>
    </row>
    <row r="48" spans="1:18">
      <c r="A48" s="47"/>
      <c r="B48" s="59"/>
      <c r="C48" s="59"/>
      <c r="D48" s="59"/>
      <c r="E48" s="59">
        <f t="shared" si="1"/>
        <v>0</v>
      </c>
      <c r="F48" s="59"/>
      <c r="G48" s="59">
        <f>Данные!$E48+Данные!$F48</f>
        <v>0</v>
      </c>
      <c r="H48" s="82">
        <f>COUNTIFS(Учёт!L:L,Данные!$A48,Учёт!N:N,"&gt;0")</f>
        <v>0</v>
      </c>
      <c r="I48" s="82">
        <v>1</v>
      </c>
      <c r="J48" s="82"/>
      <c r="K48" s="82">
        <f>COUNTIFS(Учёт!L:L,Таблица1[[#This Row],[ФИО]],Учёт!N:N,"=0")</f>
        <v>0</v>
      </c>
      <c r="L48" s="62"/>
      <c r="M48" s="59">
        <f ca="1">SUMIF(Учёт!L:O,Данные!A48,Учёт!O:O)-Таблица1[[#This Row],[Выплачено]]</f>
        <v>0</v>
      </c>
      <c r="N48" s="62">
        <f ca="1">Таблица1[[#This Row],[К выплате на сегодня]]-Таблица1[[#This Row],[Долг]]</f>
        <v>0</v>
      </c>
      <c r="O48" s="59">
        <f ca="1">SUMIF(Учёт!L:AA,Таблица1[[#This Row],[ФИО]],Учёт!AA:AA)</f>
        <v>0</v>
      </c>
      <c r="P48" s="140">
        <f ca="1">SUMIF(Учёт!L:AB,Таблица1[[#This Row],[ФИО]],Учёт!AB:AB)</f>
        <v>0</v>
      </c>
      <c r="Q48" s="141">
        <f ca="1">IFERROR(Таблица1[[#This Row],[Доход]]/SUMIF(Учёт!L:T,Таблица1[[#This Row],[ФИО]],Учёт!T:T),0)</f>
        <v>0</v>
      </c>
    </row>
    <row r="49" spans="1:17">
      <c r="A49" s="47"/>
      <c r="B49" s="59"/>
      <c r="C49" s="59"/>
      <c r="D49" s="59"/>
      <c r="E49" s="59">
        <f t="shared" si="1"/>
        <v>0</v>
      </c>
      <c r="F49" s="59"/>
      <c r="G49" s="59">
        <f>Данные!$E49+Данные!$F49</f>
        <v>0</v>
      </c>
      <c r="H49" s="82">
        <f>COUNTIFS(Учёт!L:L,Данные!$A49,Учёт!N:N,"&gt;0")</f>
        <v>0</v>
      </c>
      <c r="I49" s="82">
        <v>1</v>
      </c>
      <c r="J49" s="82"/>
      <c r="K49" s="82">
        <f>COUNTIFS(Учёт!L:L,Таблица1[[#This Row],[ФИО]],Учёт!N:N,"=0")</f>
        <v>0</v>
      </c>
      <c r="L49" s="62"/>
      <c r="M49" s="59">
        <f ca="1">SUMIF(Учёт!L:O,Данные!A49,Учёт!O:O)-Таблица1[[#This Row],[Выплачено]]</f>
        <v>0</v>
      </c>
      <c r="N49" s="62">
        <f ca="1">Таблица1[[#This Row],[К выплате на сегодня]]-Таблица1[[#This Row],[Долг]]</f>
        <v>0</v>
      </c>
      <c r="O49" s="59">
        <f ca="1">SUMIF(Учёт!L:AA,Таблица1[[#This Row],[ФИО]],Учёт!AA:AA)</f>
        <v>0</v>
      </c>
      <c r="P49" s="140">
        <f ca="1">SUMIF(Учёт!L:AB,Таблица1[[#This Row],[ФИО]],Учёт!AB:AB)</f>
        <v>0</v>
      </c>
      <c r="Q49" s="141">
        <f ca="1">IFERROR(Таблица1[[#This Row],[Доход]]/SUMIF(Учёт!L:T,Таблица1[[#This Row],[ФИО]],Учёт!T:T),0)</f>
        <v>0</v>
      </c>
    </row>
    <row r="50" spans="1:17">
      <c r="A50" s="47"/>
      <c r="B50" s="59"/>
      <c r="C50" s="59"/>
      <c r="D50" s="59"/>
      <c r="E50" s="59">
        <f t="shared" si="1"/>
        <v>0</v>
      </c>
      <c r="F50" s="59"/>
      <c r="G50" s="59">
        <f>Данные!$E50+Данные!$F50</f>
        <v>0</v>
      </c>
      <c r="H50" s="82">
        <f>COUNTIFS(Учёт!L:L,Данные!$A50,Учёт!N:N,"&gt;0")</f>
        <v>0</v>
      </c>
      <c r="I50" s="82">
        <v>1</v>
      </c>
      <c r="J50" s="82"/>
      <c r="K50" s="82">
        <f>COUNTIFS(Учёт!L:L,Таблица1[[#This Row],[ФИО]],Учёт!N:N,"=0")</f>
        <v>0</v>
      </c>
      <c r="L50" s="62"/>
      <c r="M50" s="59">
        <f ca="1">SUMIF(Учёт!L:O,Данные!A50,Учёт!O:O)-Таблица1[[#This Row],[Выплачено]]</f>
        <v>0</v>
      </c>
      <c r="N50" s="62">
        <f ca="1">Таблица1[[#This Row],[К выплате на сегодня]]-Таблица1[[#This Row],[Долг]]</f>
        <v>0</v>
      </c>
      <c r="O50" s="59">
        <f ca="1">SUMIF(Учёт!L:AA,Таблица1[[#This Row],[ФИО]],Учёт!AA:AA)</f>
        <v>0</v>
      </c>
      <c r="P50" s="140">
        <f ca="1">SUMIF(Учёт!L:AB,Таблица1[[#This Row],[ФИО]],Учёт!AB:AB)</f>
        <v>0</v>
      </c>
      <c r="Q50" s="141">
        <f ca="1">IFERROR(Таблица1[[#This Row],[Доход]]/SUMIF(Учёт!L:T,Таблица1[[#This Row],[ФИО]],Учёт!T:T),0)</f>
        <v>0</v>
      </c>
    </row>
    <row r="51" spans="1:17">
      <c r="A51" s="47"/>
      <c r="B51" s="59"/>
      <c r="C51" s="59"/>
      <c r="D51" s="59"/>
      <c r="E51" s="59">
        <f t="shared" si="1"/>
        <v>0</v>
      </c>
      <c r="F51" s="59"/>
      <c r="G51" s="59">
        <f>Данные!$E51+Данные!$F51</f>
        <v>0</v>
      </c>
      <c r="H51" s="82">
        <f>COUNTIFS(Учёт!L:L,Данные!$A51,Учёт!N:N,"&gt;0")</f>
        <v>0</v>
      </c>
      <c r="I51" s="82">
        <v>1</v>
      </c>
      <c r="J51" s="82"/>
      <c r="K51" s="82">
        <f>COUNTIFS(Учёт!L:L,Таблица1[[#This Row],[ФИО]],Учёт!N:N,"=0")</f>
        <v>0</v>
      </c>
      <c r="L51" s="62"/>
      <c r="M51" s="59">
        <f ca="1">SUMIF(Учёт!L:O,Данные!A51,Учёт!O:O)-Таблица1[[#This Row],[Выплачено]]</f>
        <v>0</v>
      </c>
      <c r="N51" s="62">
        <f ca="1">Таблица1[[#This Row],[К выплате на сегодня]]-Таблица1[[#This Row],[Долг]]</f>
        <v>0</v>
      </c>
      <c r="O51" s="59">
        <f ca="1">SUMIF(Учёт!L:AA,Таблица1[[#This Row],[ФИО]],Учёт!AA:AA)</f>
        <v>0</v>
      </c>
      <c r="P51" s="140">
        <f ca="1">SUMIF(Учёт!L:AB,Таблица1[[#This Row],[ФИО]],Учёт!AB:AB)</f>
        <v>0</v>
      </c>
      <c r="Q51" s="141">
        <f ca="1">IFERROR(Таблица1[[#This Row],[Доход]]/SUMIF(Учёт!L:T,Таблица1[[#This Row],[ФИО]],Учёт!T:T),0)</f>
        <v>0</v>
      </c>
    </row>
  </sheetData>
  <conditionalFormatting sqref="N2:O2 N4:O45">
    <cfRule type="cellIs" dxfId="37" priority="2" operator="lessThan">
      <formula>0</formula>
    </cfRule>
  </conditionalFormatting>
  <conditionalFormatting sqref="K2:K51">
    <cfRule type="cellIs" dxfId="36" priority="1" operator="greaterThan">
      <formula>0</formula>
    </cfRule>
  </conditionalFormatting>
  <hyperlinks>
    <hyperlink ref="A2" r:id="rId1" display="https://hrm-pr.ru/employees/14672/view"/>
    <hyperlink ref="A3" r:id="rId2" display="https://hrm-pr.ru/employees/17617/view"/>
    <hyperlink ref="A4" r:id="rId3" display="https://hrm-pr.ru/employees/17593/view"/>
    <hyperlink ref="A5" r:id="rId4" display="https://hrm-pr.ru/employees/17626/view"/>
    <hyperlink ref="A6" r:id="rId5" display="https://hrm-pr.ru/employees/17483/view"/>
    <hyperlink ref="A7" r:id="rId6" display="https://hrm-pr.ru/employees/17817/view"/>
    <hyperlink ref="A8" r:id="rId7" display="https://hrm-pr.ru/employees/17541/view"/>
    <hyperlink ref="A9" r:id="rId8" display="https://hrm-pr.ru/employees/17542/view"/>
    <hyperlink ref="A10" r:id="rId9" display="https://hrm-pr.ru/employees/17739/view"/>
    <hyperlink ref="A11" r:id="rId10" display="https://hrm-pr.ru/employees/17690/view"/>
    <hyperlink ref="A12" r:id="rId11" display="https://hrm-pr.ru/employees/17658/view"/>
    <hyperlink ref="A16" r:id="rId12" display="https://hrm-pr.ru/employees/17635/view"/>
    <hyperlink ref="A17" r:id="rId13" display="https://hrm-pr.ru/employees/17631/view"/>
    <hyperlink ref="A18" r:id="rId14" display="https://hrm-pr.ru/employees/18136/view"/>
    <hyperlink ref="A20" r:id="rId15" display="https://hrm-pr.ru/employees/18251/view"/>
    <hyperlink ref="A21" r:id="rId16" display="https://hrm-pr.ru/employees/17911/view"/>
    <hyperlink ref="A22" r:id="rId17" display="https://hrm-pr.ru/employees/17986/view"/>
    <hyperlink ref="A23" r:id="rId18" display="https://hrm-pr.ru/employees/17987/view"/>
    <hyperlink ref="A24" r:id="rId19" display="https://hrm-pr.ru/employees/17716/view"/>
    <hyperlink ref="A25" r:id="rId20" display="https://hrm-pr.ru/employees/18694/view"/>
    <hyperlink ref="A34" r:id="rId21" display="https://hrm-pr.ru/employees/19161/view"/>
    <hyperlink ref="A35" r:id="rId22" display="https://hrm-pr.ru/employees/19164/view"/>
    <hyperlink ref="A36" r:id="rId23" display="https://hrm-pr.ru/employees/17821/view"/>
    <hyperlink ref="A37" r:id="rId24" display="https://hrm-pr.ru/employees/19249/view"/>
    <hyperlink ref="A38" r:id="rId25" display="https://hrm-pr.ru/employees/19389/view"/>
    <hyperlink ref="A39" r:id="rId26" display="https://hrm-pr.ru/employees/19428/view"/>
    <hyperlink ref="A40" r:id="rId27" display="https://hrm-pr.ru/employees/19414/view"/>
    <hyperlink ref="A41" r:id="rId28" display="https://hrm-pr.ru/employees/19251/view"/>
    <hyperlink ref="A42" r:id="rId29" display="https://hrm-pr.ru/employees/19254/view"/>
    <hyperlink ref="A43" r:id="rId30" display="https://hrm-pr.ru/employees/19233/view"/>
    <hyperlink ref="A44" r:id="rId31" display="https://hrm-pr.ru/employees/19613/view"/>
    <hyperlink ref="A45" r:id="rId32" display="https://hrm-pr.ru/employees/19610/view"/>
    <hyperlink ref="A46" r:id="rId33" display="https://hrm-pr.ru/employees/19710/view"/>
    <hyperlink ref="A47" r:id="rId34" display="https://hrm-pr.ru/employees/19711/view"/>
  </hyperlinks>
  <pageMargins left="0.7" right="0.7" top="0.75" bottom="0.75" header="0.3" footer="0.3"/>
  <pageSetup paperSize="9" orientation="portrait" r:id="rId35"/>
  <legacyDrawing r:id="rId36"/>
  <tableParts count="1">
    <tablePart r:id="rId3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B1:P53"/>
  <sheetViews>
    <sheetView topLeftCell="A5" zoomScaleNormal="100" workbookViewId="0">
      <selection activeCell="G30" sqref="G30"/>
    </sheetView>
  </sheetViews>
  <sheetFormatPr defaultColWidth="9.140625" defaultRowHeight="15"/>
  <cols>
    <col min="1" max="1" width="3" style="1" customWidth="1"/>
    <col min="2" max="5" width="9.140625" style="1"/>
    <col min="6" max="9" width="13.7109375" style="1" bestFit="1" customWidth="1"/>
    <col min="10" max="10" width="10.7109375" style="1" bestFit="1" customWidth="1"/>
    <col min="11" max="11" width="12.7109375" style="1" bestFit="1" customWidth="1"/>
    <col min="12" max="16384" width="9.140625" style="1"/>
  </cols>
  <sheetData>
    <row r="1" spans="2:16" ht="14.45" customHeight="1">
      <c r="B1" s="169" t="s">
        <v>4</v>
      </c>
      <c r="C1" s="169"/>
      <c r="D1" s="169"/>
      <c r="E1" s="169"/>
      <c r="F1" s="169"/>
      <c r="G1" s="169"/>
      <c r="H1" s="169"/>
      <c r="I1" s="169"/>
    </row>
    <row r="2" spans="2:16" ht="14.45" customHeight="1">
      <c r="B2" s="169"/>
      <c r="C2" s="169"/>
      <c r="D2" s="169"/>
      <c r="E2" s="169"/>
      <c r="F2" s="169"/>
      <c r="G2" s="169"/>
      <c r="H2" s="169"/>
      <c r="I2" s="169"/>
    </row>
    <row r="3" spans="2:16" ht="9.75" customHeight="1">
      <c r="B3" s="169"/>
      <c r="C3" s="169"/>
      <c r="D3" s="169"/>
      <c r="E3" s="169"/>
      <c r="F3" s="169"/>
      <c r="G3" s="169"/>
      <c r="H3" s="169"/>
      <c r="I3" s="169"/>
    </row>
    <row r="5" spans="2:16">
      <c r="B5" s="171" t="s">
        <v>5</v>
      </c>
      <c r="C5" s="171"/>
      <c r="D5" s="171"/>
      <c r="E5" s="171"/>
      <c r="F5" s="170" t="s">
        <v>40</v>
      </c>
      <c r="G5" s="170"/>
      <c r="H5" s="170" t="s">
        <v>41</v>
      </c>
      <c r="I5" s="170"/>
    </row>
    <row r="6" spans="2:16" ht="32.25" customHeight="1">
      <c r="B6" s="171"/>
      <c r="C6" s="171"/>
      <c r="D6" s="171"/>
      <c r="E6" s="171"/>
      <c r="F6" s="170">
        <v>324000</v>
      </c>
      <c r="G6" s="170"/>
      <c r="H6" s="170">
        <v>304560</v>
      </c>
      <c r="I6" s="170"/>
    </row>
    <row r="7" spans="2:16">
      <c r="B7" s="168" t="s">
        <v>2</v>
      </c>
      <c r="C7" s="168"/>
      <c r="D7" s="168"/>
      <c r="E7" s="168"/>
      <c r="F7" s="166">
        <v>135</v>
      </c>
      <c r="G7" s="166"/>
      <c r="H7" s="166"/>
      <c r="I7" s="166"/>
      <c r="P7" s="6"/>
    </row>
    <row r="8" spans="2:16" ht="14.45" customHeight="1">
      <c r="B8" s="168" t="s">
        <v>3</v>
      </c>
      <c r="C8" s="168"/>
      <c r="D8" s="168"/>
      <c r="E8" s="168"/>
      <c r="F8" s="165">
        <v>10</v>
      </c>
      <c r="G8" s="165"/>
      <c r="H8" s="165"/>
      <c r="I8" s="165"/>
    </row>
    <row r="9" spans="2:16" ht="14.45" customHeight="1">
      <c r="B9" s="168" t="s">
        <v>33</v>
      </c>
      <c r="C9" s="168"/>
      <c r="D9" s="168"/>
      <c r="E9" s="168"/>
      <c r="F9" s="165">
        <v>12</v>
      </c>
      <c r="G9" s="165"/>
      <c r="H9" s="165"/>
      <c r="I9" s="165"/>
    </row>
    <row r="10" spans="2:16" ht="14.45" hidden="1" customHeight="1">
      <c r="B10" s="168" t="s">
        <v>34</v>
      </c>
      <c r="C10" s="168"/>
      <c r="D10" s="168"/>
      <c r="E10" s="168"/>
      <c r="F10" s="41">
        <v>11</v>
      </c>
      <c r="G10" s="41">
        <v>11</v>
      </c>
      <c r="H10" s="42">
        <v>11</v>
      </c>
      <c r="I10" s="42">
        <v>11</v>
      </c>
    </row>
    <row r="11" spans="2:16" ht="14.45" customHeight="1">
      <c r="B11" s="168" t="s">
        <v>6</v>
      </c>
      <c r="C11" s="168"/>
      <c r="D11" s="168"/>
      <c r="E11" s="168"/>
      <c r="F11" s="165" t="s">
        <v>1</v>
      </c>
      <c r="G11" s="165"/>
      <c r="H11" s="165"/>
      <c r="I11" s="165"/>
    </row>
    <row r="12" spans="2:16" ht="14.45" customHeight="1">
      <c r="B12" s="168" t="s">
        <v>7</v>
      </c>
      <c r="C12" s="168"/>
      <c r="D12" s="168"/>
      <c r="E12" s="168"/>
      <c r="F12" s="166">
        <v>126.89999999999999</v>
      </c>
      <c r="G12" s="166"/>
      <c r="H12" s="166"/>
      <c r="I12" s="166"/>
      <c r="J12" s="6"/>
    </row>
    <row r="13" spans="2:16" ht="14.45" customHeight="1">
      <c r="B13" s="168" t="s">
        <v>31</v>
      </c>
      <c r="C13" s="168"/>
      <c r="D13" s="168"/>
      <c r="E13" s="168"/>
      <c r="F13" s="167">
        <v>20</v>
      </c>
      <c r="G13" s="167"/>
      <c r="H13" s="167"/>
      <c r="I13" s="167"/>
    </row>
    <row r="14" spans="2:16" ht="14.45" customHeight="1" thickBot="1">
      <c r="G14" s="1">
        <v>1</v>
      </c>
      <c r="H14" s="1">
        <v>2</v>
      </c>
      <c r="I14" s="1">
        <v>3</v>
      </c>
    </row>
    <row r="15" spans="2:16" hidden="1">
      <c r="F15" s="1" t="s">
        <v>1</v>
      </c>
      <c r="G15" s="1" t="s">
        <v>1</v>
      </c>
      <c r="H15" s="1" t="s">
        <v>1</v>
      </c>
      <c r="I15" s="1" t="s">
        <v>1</v>
      </c>
    </row>
    <row r="16" spans="2:16" ht="15.75" hidden="1" thickBot="1">
      <c r="F16" s="1" t="s">
        <v>8</v>
      </c>
      <c r="G16" s="1" t="s">
        <v>8</v>
      </c>
      <c r="H16" s="1" t="s">
        <v>8</v>
      </c>
      <c r="I16" s="1" t="s">
        <v>8</v>
      </c>
    </row>
    <row r="17" spans="2:13" ht="14.45" customHeight="1" thickBot="1">
      <c r="B17" s="180" t="s">
        <v>11</v>
      </c>
      <c r="C17" s="181"/>
      <c r="D17" s="181"/>
      <c r="E17" s="182"/>
      <c r="F17" s="174" t="s">
        <v>37</v>
      </c>
      <c r="G17" s="175"/>
      <c r="H17" s="39" t="s">
        <v>38</v>
      </c>
      <c r="I17" s="39" t="s">
        <v>39</v>
      </c>
      <c r="M17" s="10"/>
    </row>
    <row r="18" spans="2:13" ht="14.45" customHeight="1">
      <c r="B18" s="178" t="s">
        <v>9</v>
      </c>
      <c r="C18" s="168"/>
      <c r="D18" s="168"/>
      <c r="E18" s="179"/>
      <c r="F18" s="31">
        <v>83.333330000000004</v>
      </c>
      <c r="G18" s="38">
        <v>83.333330000000004</v>
      </c>
      <c r="H18" s="34">
        <v>91.666600000000003</v>
      </c>
      <c r="I18" s="34">
        <v>100</v>
      </c>
      <c r="J18" s="6"/>
      <c r="K18" s="6"/>
    </row>
    <row r="19" spans="2:13" ht="14.45" customHeight="1">
      <c r="B19" s="178" t="s">
        <v>6</v>
      </c>
      <c r="C19" s="168"/>
      <c r="D19" s="168"/>
      <c r="E19" s="179"/>
      <c r="F19" s="32" t="s">
        <v>8</v>
      </c>
      <c r="G19" s="35" t="s">
        <v>8</v>
      </c>
      <c r="H19" s="35" t="s">
        <v>8</v>
      </c>
      <c r="I19" s="35" t="s">
        <v>8</v>
      </c>
      <c r="J19" s="6" t="s">
        <v>72</v>
      </c>
    </row>
    <row r="20" spans="2:13" ht="14.45" customHeight="1">
      <c r="B20" s="178" t="s">
        <v>42</v>
      </c>
      <c r="C20" s="168"/>
      <c r="D20" s="168"/>
      <c r="E20" s="179"/>
      <c r="F20" s="32" t="s">
        <v>8</v>
      </c>
      <c r="G20" s="35" t="s">
        <v>8</v>
      </c>
      <c r="H20" s="35" t="s">
        <v>8</v>
      </c>
      <c r="I20" s="35" t="s">
        <v>8</v>
      </c>
      <c r="J20" s="6"/>
    </row>
    <row r="21" spans="2:13" ht="14.45" customHeight="1">
      <c r="B21" s="178" t="s">
        <v>10</v>
      </c>
      <c r="C21" s="168"/>
      <c r="D21" s="168"/>
      <c r="E21" s="179"/>
      <c r="F21" s="33">
        <v>0</v>
      </c>
      <c r="G21" s="36">
        <v>0.1</v>
      </c>
      <c r="H21" s="36">
        <v>0.1</v>
      </c>
      <c r="I21" s="36">
        <v>0.1</v>
      </c>
    </row>
    <row r="22" spans="2:13" ht="14.45" customHeight="1">
      <c r="B22" s="178" t="s">
        <v>9</v>
      </c>
      <c r="C22" s="168"/>
      <c r="D22" s="168"/>
      <c r="E22" s="179"/>
      <c r="F22" s="26">
        <v>83.333330000000004</v>
      </c>
      <c r="G22" s="34">
        <v>83.333330000000004</v>
      </c>
      <c r="H22" s="34">
        <v>91.666600000000003</v>
      </c>
      <c r="I22" s="34">
        <v>100</v>
      </c>
    </row>
    <row r="23" spans="2:13" ht="14.45" customHeight="1" thickBot="1">
      <c r="B23" s="185" t="s">
        <v>32</v>
      </c>
      <c r="C23" s="186"/>
      <c r="D23" s="186"/>
      <c r="E23" s="187"/>
      <c r="F23" s="26">
        <v>999.9999600000001</v>
      </c>
      <c r="G23" s="37">
        <v>999.9999600000001</v>
      </c>
      <c r="H23" s="37">
        <v>1099.9992</v>
      </c>
      <c r="I23" s="37">
        <v>1200</v>
      </c>
    </row>
    <row r="24" spans="2:13" ht="15.75" hidden="1" thickBot="1">
      <c r="B24" s="183" t="s">
        <v>12</v>
      </c>
      <c r="C24" s="184"/>
      <c r="D24" s="184"/>
      <c r="E24" s="184"/>
      <c r="F24" s="177">
        <v>0</v>
      </c>
      <c r="G24" s="173"/>
      <c r="H24" s="172">
        <v>0</v>
      </c>
      <c r="I24" s="173"/>
    </row>
    <row r="25" spans="2:13" ht="15.75" hidden="1" thickBot="1">
      <c r="B25" s="193" t="s">
        <v>9</v>
      </c>
      <c r="C25" s="194"/>
      <c r="D25" s="194"/>
      <c r="E25" s="194"/>
      <c r="F25" s="23">
        <v>83.333330000000004</v>
      </c>
      <c r="G25" s="21">
        <v>83.333330000000004</v>
      </c>
      <c r="H25" s="20">
        <v>91.666600000000003</v>
      </c>
      <c r="I25" s="21">
        <v>100</v>
      </c>
    </row>
    <row r="26" spans="2:13" ht="15.75" hidden="1" thickBot="1">
      <c r="B26" s="178" t="s">
        <v>32</v>
      </c>
      <c r="C26" s="168"/>
      <c r="D26" s="168"/>
      <c r="E26" s="168"/>
      <c r="F26" s="24">
        <v>999.9999600000001</v>
      </c>
      <c r="G26" s="22">
        <v>0</v>
      </c>
      <c r="H26" s="9">
        <v>0</v>
      </c>
      <c r="I26" s="22">
        <v>0</v>
      </c>
    </row>
    <row r="27" spans="2:13" ht="15.75" thickBot="1">
      <c r="B27" s="183" t="s">
        <v>29</v>
      </c>
      <c r="C27" s="184"/>
      <c r="D27" s="184"/>
      <c r="E27" s="184"/>
      <c r="F27" s="30">
        <v>19999.999200000002</v>
      </c>
      <c r="G27" s="40">
        <v>19999.999200000002</v>
      </c>
      <c r="H27" s="40">
        <v>21999.984</v>
      </c>
      <c r="I27" s="29">
        <v>24000</v>
      </c>
    </row>
    <row r="29" spans="2:13">
      <c r="B29" s="189" t="s">
        <v>19</v>
      </c>
      <c r="C29" s="189"/>
      <c r="D29" s="189"/>
      <c r="E29" s="189"/>
      <c r="F29" s="2"/>
      <c r="G29" s="2"/>
      <c r="H29" s="2"/>
      <c r="I29" s="2"/>
    </row>
    <row r="30" spans="2:13">
      <c r="B30" s="168" t="s">
        <v>13</v>
      </c>
      <c r="C30" s="168"/>
      <c r="D30" s="168"/>
      <c r="E30" s="168"/>
      <c r="F30" s="3">
        <v>8.1</v>
      </c>
      <c r="G30" s="3">
        <v>8.1</v>
      </c>
      <c r="H30" s="3">
        <v>8.1</v>
      </c>
      <c r="I30" s="3">
        <v>8.1</v>
      </c>
    </row>
    <row r="31" spans="2:13">
      <c r="B31" s="168" t="s">
        <v>14</v>
      </c>
      <c r="C31" s="168"/>
      <c r="D31" s="168"/>
      <c r="E31" s="168"/>
      <c r="F31" s="3">
        <v>0</v>
      </c>
      <c r="G31" s="3">
        <v>0</v>
      </c>
      <c r="H31" s="3">
        <v>0</v>
      </c>
      <c r="I31" s="3">
        <v>0</v>
      </c>
    </row>
    <row r="32" spans="2:13">
      <c r="B32" s="168" t="s">
        <v>15</v>
      </c>
      <c r="C32" s="168"/>
      <c r="D32" s="168"/>
      <c r="E32" s="168"/>
      <c r="F32" s="3">
        <v>0</v>
      </c>
      <c r="G32" s="3">
        <v>0</v>
      </c>
      <c r="H32" s="3">
        <v>0</v>
      </c>
      <c r="I32" s="3">
        <v>0</v>
      </c>
    </row>
    <row r="33" spans="2:12">
      <c r="B33" s="168" t="s">
        <v>36</v>
      </c>
      <c r="C33" s="168"/>
      <c r="D33" s="168"/>
      <c r="E33" s="168"/>
      <c r="F33" s="3">
        <v>2.4999999000000002</v>
      </c>
      <c r="G33" s="3">
        <v>2.4999999000000002</v>
      </c>
      <c r="H33" s="3">
        <v>2.7499980000000002</v>
      </c>
      <c r="I33" s="3">
        <v>3</v>
      </c>
      <c r="J33" s="6"/>
      <c r="K33" s="6"/>
      <c r="L33" s="6"/>
    </row>
    <row r="34" spans="2:12">
      <c r="B34" s="188" t="s">
        <v>16</v>
      </c>
      <c r="C34" s="188"/>
      <c r="D34" s="188"/>
      <c r="E34" s="188"/>
      <c r="F34" s="5">
        <v>8.1</v>
      </c>
      <c r="G34" s="5">
        <v>10.5999999</v>
      </c>
      <c r="H34" s="5">
        <v>10.849997999999999</v>
      </c>
      <c r="I34" s="5">
        <v>11.1</v>
      </c>
    </row>
    <row r="36" spans="2:12">
      <c r="B36" s="189" t="s">
        <v>25</v>
      </c>
      <c r="C36" s="189"/>
      <c r="D36" s="189"/>
      <c r="E36" s="189"/>
      <c r="F36" s="2"/>
      <c r="G36" s="2"/>
      <c r="H36" s="2"/>
      <c r="I36" s="2"/>
    </row>
    <row r="37" spans="2:12">
      <c r="B37" s="168" t="s">
        <v>26</v>
      </c>
      <c r="C37" s="168"/>
      <c r="D37" s="168"/>
      <c r="E37" s="168"/>
      <c r="F37" s="4"/>
      <c r="G37" s="176">
        <v>0</v>
      </c>
      <c r="H37" s="176"/>
      <c r="I37" s="176"/>
    </row>
    <row r="38" spans="2:12">
      <c r="B38" s="168" t="s">
        <v>27</v>
      </c>
      <c r="C38" s="168"/>
      <c r="D38" s="168"/>
      <c r="E38" s="168"/>
      <c r="F38" s="4"/>
      <c r="G38" s="176">
        <v>0</v>
      </c>
      <c r="H38" s="176"/>
      <c r="I38" s="176"/>
    </row>
    <row r="39" spans="2:12" ht="14.45" customHeight="1">
      <c r="B39" s="168" t="s">
        <v>23</v>
      </c>
      <c r="C39" s="168"/>
      <c r="D39" s="168"/>
      <c r="E39" s="168"/>
      <c r="F39" s="4"/>
      <c r="G39" s="176">
        <v>0</v>
      </c>
      <c r="H39" s="176"/>
      <c r="I39" s="176"/>
    </row>
    <row r="40" spans="2:12">
      <c r="B40" s="168" t="s">
        <v>28</v>
      </c>
      <c r="C40" s="168"/>
      <c r="D40" s="168"/>
      <c r="E40" s="168"/>
      <c r="F40" s="4"/>
      <c r="G40" s="176">
        <v>0</v>
      </c>
      <c r="H40" s="176"/>
      <c r="I40" s="176"/>
    </row>
    <row r="41" spans="2:12">
      <c r="F41" s="8">
        <v>0</v>
      </c>
      <c r="G41" s="190">
        <v>0</v>
      </c>
      <c r="H41" s="190"/>
      <c r="I41" s="190"/>
    </row>
    <row r="43" spans="2:12">
      <c r="B43" s="189" t="s">
        <v>24</v>
      </c>
      <c r="C43" s="189"/>
      <c r="D43" s="189"/>
      <c r="E43" s="189"/>
      <c r="F43" s="2"/>
      <c r="G43" s="2"/>
      <c r="H43" s="2"/>
      <c r="I43" s="2"/>
    </row>
    <row r="44" spans="2:12">
      <c r="B44" s="168" t="s">
        <v>17</v>
      </c>
      <c r="C44" s="168"/>
      <c r="D44" s="168"/>
      <c r="E44" s="168"/>
      <c r="F44" s="3">
        <v>41.066670099999989</v>
      </c>
      <c r="G44" s="3">
        <v>41.066670099999989</v>
      </c>
      <c r="H44" s="3">
        <v>32.483401999999991</v>
      </c>
      <c r="I44" s="43">
        <v>23.899999999999991</v>
      </c>
    </row>
    <row r="45" spans="2:12">
      <c r="B45" s="168" t="s">
        <v>18</v>
      </c>
      <c r="C45" s="168"/>
      <c r="D45" s="168"/>
      <c r="E45" s="168"/>
      <c r="F45" s="3">
        <v>492.8000411999999</v>
      </c>
      <c r="G45" s="3">
        <v>492.8000411999999</v>
      </c>
      <c r="H45" s="3">
        <v>389.80082399999992</v>
      </c>
      <c r="I45" s="3">
        <v>286.7999999999999</v>
      </c>
    </row>
    <row r="46" spans="2:12">
      <c r="B46" s="168" t="s">
        <v>30</v>
      </c>
      <c r="C46" s="168"/>
      <c r="D46" s="168"/>
      <c r="E46" s="168"/>
      <c r="F46" s="3">
        <v>9856.0008239999988</v>
      </c>
      <c r="G46" s="3">
        <v>9856.0008239999988</v>
      </c>
      <c r="H46" s="3">
        <v>7796.0164799999984</v>
      </c>
      <c r="I46" s="3">
        <v>5735.9999999999982</v>
      </c>
    </row>
    <row r="47" spans="2:12">
      <c r="B47" s="168" t="s">
        <v>35</v>
      </c>
      <c r="C47" s="168"/>
      <c r="D47" s="168"/>
      <c r="E47" s="168"/>
      <c r="F47" s="13">
        <v>0.32361442159180448</v>
      </c>
      <c r="G47" s="13">
        <v>0.32361442159180448</v>
      </c>
      <c r="H47" s="13">
        <v>0.25597637509850268</v>
      </c>
      <c r="I47" s="13">
        <v>0.18833727344365636</v>
      </c>
    </row>
    <row r="48" spans="2:12">
      <c r="B48" s="188" t="s">
        <v>22</v>
      </c>
      <c r="C48" s="188"/>
      <c r="D48" s="188"/>
      <c r="E48" s="188"/>
      <c r="F48" s="11">
        <v>98560.008239999996</v>
      </c>
      <c r="G48" s="11">
        <v>98560.008239999996</v>
      </c>
      <c r="H48" s="11">
        <v>77960.164799999984</v>
      </c>
      <c r="I48" s="11">
        <v>57359.999999999985</v>
      </c>
    </row>
    <row r="49" spans="2:9">
      <c r="B49" s="7"/>
      <c r="C49" s="7"/>
      <c r="D49" s="7"/>
      <c r="E49" s="7"/>
      <c r="F49" s="12"/>
      <c r="G49" s="12"/>
    </row>
    <row r="50" spans="2:9" hidden="1">
      <c r="B50" s="193" t="s">
        <v>20</v>
      </c>
      <c r="C50" s="194"/>
      <c r="D50" s="194"/>
      <c r="E50" s="194"/>
      <c r="F50" s="14">
        <v>0</v>
      </c>
      <c r="G50" s="15">
        <v>0</v>
      </c>
      <c r="H50" s="25">
        <v>0</v>
      </c>
      <c r="I50" s="15">
        <v>0</v>
      </c>
    </row>
    <row r="51" spans="2:9" hidden="1">
      <c r="B51" s="178" t="s">
        <v>30</v>
      </c>
      <c r="C51" s="168"/>
      <c r="D51" s="168"/>
      <c r="E51" s="168"/>
      <c r="F51" s="3">
        <v>9856.0008239999988</v>
      </c>
      <c r="G51" s="16">
        <v>9856.0008239999988</v>
      </c>
      <c r="H51" s="26">
        <v>7796.0164799999984</v>
      </c>
      <c r="I51" s="16">
        <v>5735.9999999999982</v>
      </c>
    </row>
    <row r="52" spans="2:9" hidden="1">
      <c r="B52" s="178" t="s">
        <v>21</v>
      </c>
      <c r="C52" s="168"/>
      <c r="D52" s="168"/>
      <c r="E52" s="168"/>
      <c r="F52" s="13">
        <v>0.32361442159180454</v>
      </c>
      <c r="G52" s="17" t="e">
        <v>#DIV/0!</v>
      </c>
      <c r="H52" s="27" t="e">
        <v>#DIV/0!</v>
      </c>
      <c r="I52" s="17" t="e">
        <v>#DIV/0!</v>
      </c>
    </row>
    <row r="53" spans="2:9" ht="15.75" hidden="1" thickBot="1">
      <c r="B53" s="191" t="s">
        <v>22</v>
      </c>
      <c r="C53" s="192"/>
      <c r="D53" s="192"/>
      <c r="E53" s="192"/>
      <c r="F53" s="18">
        <v>98560.008239999996</v>
      </c>
      <c r="G53" s="19">
        <v>0</v>
      </c>
      <c r="H53" s="28">
        <v>0</v>
      </c>
      <c r="I53" s="19">
        <v>0</v>
      </c>
    </row>
  </sheetData>
  <sheetProtection insertColumns="0" insertRows="0" deleteColumns="0" deleteRows="0"/>
  <mergeCells count="59">
    <mergeCell ref="G41:I41"/>
    <mergeCell ref="B53:E53"/>
    <mergeCell ref="B25:E25"/>
    <mergeCell ref="B26:E26"/>
    <mergeCell ref="B33:E33"/>
    <mergeCell ref="B51:E51"/>
    <mergeCell ref="B52:E52"/>
    <mergeCell ref="B50:E50"/>
    <mergeCell ref="B43:E43"/>
    <mergeCell ref="B32:E32"/>
    <mergeCell ref="B34:E34"/>
    <mergeCell ref="G39:I39"/>
    <mergeCell ref="G40:I40"/>
    <mergeCell ref="B36:E36"/>
    <mergeCell ref="B37:E37"/>
    <mergeCell ref="B38:E38"/>
    <mergeCell ref="B29:E29"/>
    <mergeCell ref="B30:E30"/>
    <mergeCell ref="B12:E12"/>
    <mergeCell ref="B13:E13"/>
    <mergeCell ref="B31:E31"/>
    <mergeCell ref="B48:E48"/>
    <mergeCell ref="B44:E44"/>
    <mergeCell ref="B47:E47"/>
    <mergeCell ref="B46:E46"/>
    <mergeCell ref="B45:E45"/>
    <mergeCell ref="B39:E39"/>
    <mergeCell ref="B40:E40"/>
    <mergeCell ref="H24:I24"/>
    <mergeCell ref="F17:G17"/>
    <mergeCell ref="G37:I37"/>
    <mergeCell ref="G38:I38"/>
    <mergeCell ref="F24:G24"/>
    <mergeCell ref="B20:E20"/>
    <mergeCell ref="B17:E17"/>
    <mergeCell ref="B18:E18"/>
    <mergeCell ref="B22:E22"/>
    <mergeCell ref="B19:E19"/>
    <mergeCell ref="B27:E27"/>
    <mergeCell ref="B23:E23"/>
    <mergeCell ref="B21:E21"/>
    <mergeCell ref="B24:E24"/>
    <mergeCell ref="B1:I3"/>
    <mergeCell ref="F6:G6"/>
    <mergeCell ref="H6:I6"/>
    <mergeCell ref="B9:E9"/>
    <mergeCell ref="F9:I9"/>
    <mergeCell ref="F7:I7"/>
    <mergeCell ref="F8:I8"/>
    <mergeCell ref="B5:E6"/>
    <mergeCell ref="B7:E7"/>
    <mergeCell ref="B8:E8"/>
    <mergeCell ref="F5:G5"/>
    <mergeCell ref="H5:I5"/>
    <mergeCell ref="F11:I11"/>
    <mergeCell ref="F12:I12"/>
    <mergeCell ref="F13:I13"/>
    <mergeCell ref="B10:E10"/>
    <mergeCell ref="B11:E11"/>
  </mergeCells>
  <conditionalFormatting sqref="G19:I19">
    <cfRule type="containsText" dxfId="35" priority="3" operator="containsText" text="нет">
      <formula>NOT(ISERROR(SEARCH("нет",G19)))</formula>
    </cfRule>
    <cfRule type="containsText" dxfId="34" priority="4" operator="containsText" text="да">
      <formula>NOT(ISERROR(SEARCH("да",G19)))</formula>
    </cfRule>
  </conditionalFormatting>
  <conditionalFormatting sqref="G20:I20">
    <cfRule type="containsText" dxfId="33" priority="1" operator="containsText" text="да">
      <formula>NOT(ISERROR(SEARCH("да",G20)))</formula>
    </cfRule>
    <cfRule type="containsText" dxfId="32" priority="2" operator="containsText" text="нет">
      <formula>NOT(ISERROR(SEARCH("нет",G20)))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Учёт</vt:lpstr>
      <vt:lpstr>Табель</vt:lpstr>
      <vt:lpstr>Данные</vt:lpstr>
      <vt:lpstr>Доход</vt:lpstr>
      <vt:lpstr>Доход!Print_Area</vt:lpstr>
      <vt:lpstr>ФИО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cp:lastPrinted>2019-03-14T14:38:54Z</cp:lastPrinted>
  <dcterms:created xsi:type="dcterms:W3CDTF">2015-03-29T10:09:10Z</dcterms:created>
  <dcterms:modified xsi:type="dcterms:W3CDTF">2019-03-18T08:28:19Z</dcterms:modified>
</cp:coreProperties>
</file>