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9200" windowHeight="7050" tabRatio="564" activeTab="1"/>
  </bookViews>
  <sheets>
    <sheet name="Загальний ввод" sheetId="11" r:id="rId1"/>
    <sheet name="Березень" sheetId="9" r:id="rId2"/>
  </sheets>
  <definedNames>
    <definedName name="_xlnm._FilterDatabase" localSheetId="0" hidden="1">'Загальний ввод'!$A$22:$DK$22</definedName>
    <definedName name="n_1" localSheetId="0">{"","одинz","двіz","триz","чотириz","пyятьz","шістьz","сімz","вісімz","девyятьz"}</definedName>
    <definedName name="n_1">{"","одинz","двіz","триz","чотириz","пyятьz","шістьz","сімz","вісімz","девyятьz"}</definedName>
    <definedName name="n_2" localSheetId="0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 localSheetId="0">{"";1;"двадцятьz";"тридцятьz";"сорокz";"пyятдесятz";"шістдесятz";"сімдесятz";"вісімдесятz";"девyяностоz";"девyяностоz"}</definedName>
    <definedName name="n_3">{"";1;"двадцятьz";"тридцятьz";"сорокz";"пyятдесятz";"шістдесятz";"сімдесятz";"вісімдесятz";"девyяностоz";"девyяностоz"}</definedName>
    <definedName name="n_4" localSheetId="0">{"","стоz","двістіz","тристаz","чотиристаz","пyятсотz","шістсотz","сімсотz","вісімсотz","девyятсотz"}</definedName>
    <definedName name="n_4">{"","стоz","двістіz","тристаz","чотиристаz","пyятсотz","шістсотz","сімсотz","вісімсотz","девyятсотz"}</definedName>
    <definedName name="n_5" localSheetId="0">{"","однаz","двіz","триz","чотириz","пyятьz","шістьz","сімz","вісімz","девyятьz"}</definedName>
    <definedName name="n_5">{"","однаz","двіz","триz","чотириz","пyятьz","шістьz","сімz","вісімz","девyятьz"}</definedName>
    <definedName name="n0">"000000000000"&amp;MID(1/2,2,1)</definedName>
    <definedName name="n0x" localSheetId="0">IF('Загальний ввод'!n_3=1,'Загальний ввод'!n_2,'Загальний ввод'!n_3&amp;'Загальний ввод'!n_1)</definedName>
    <definedName name="n0x">IF(n_3=1,n_2,n_3&amp;n_1)</definedName>
    <definedName name="n1x" localSheetId="0">IF('Загальний ввод'!n_3=1,'Загальний ввод'!n_2,'Загальний ввод'!n_3&amp;'Загальний ввод'!n_5)</definedName>
    <definedName name="n1x">IF(n_3=1,n_2,n_3&amp;n_5)</definedName>
    <definedName name="мил" localSheetId="0">{0,"івz";1,"z";2,"аz";5,"івz"}</definedName>
    <definedName name="мил">{0,"івz";1,"z";2,"аz";5,"івz"}</definedName>
    <definedName name="_xlnm.Print_Area" localSheetId="1">Березень!$E$1:$T$39</definedName>
    <definedName name="_xlnm.Print_Area" localSheetId="0">'Загальний ввод'!$A$1:$JU$41</definedName>
    <definedName name="тыс" localSheetId="0">{0,"тисячz";1,"тисячаz";2,"тисячіz";5,"тисячz"}</definedName>
    <definedName name="тыс">{0,"тисячz";1,"тисячаz";2,"тисячіz";5,"тисячz"}</definedName>
  </definedNames>
  <calcPr calcId="162913"/>
</workbook>
</file>

<file path=xl/calcChain.xml><?xml version="1.0" encoding="utf-8"?>
<calcChain xmlns="http://schemas.openxmlformats.org/spreadsheetml/2006/main">
  <c r="H5" i="9" l="1"/>
  <c r="L3" i="9" a="1"/>
  <c r="L3" i="9" s="1"/>
  <c r="G27" i="9" l="1"/>
  <c r="G23" i="9"/>
  <c r="Q13" i="9"/>
  <c r="P13" i="9"/>
  <c r="J13" i="9"/>
  <c r="T13" i="9" l="1"/>
  <c r="S13" i="9"/>
  <c r="O13" i="9"/>
  <c r="N13" i="9"/>
  <c r="R13" i="9"/>
  <c r="K13" i="9"/>
  <c r="AH15" i="9"/>
  <c r="AD4" i="9"/>
  <c r="AC5" i="9"/>
  <c r="AD5" i="9"/>
  <c r="AE4" i="9" s="1"/>
  <c r="AE5" i="9" s="1"/>
  <c r="AF4" i="9" s="1"/>
  <c r="AF5" i="9" s="1"/>
  <c r="AG4" i="9" s="1"/>
  <c r="AG5" i="9" s="1"/>
  <c r="AH4" i="9" s="1"/>
  <c r="AH5" i="9" s="1"/>
  <c r="AI4" i="9" l="1"/>
  <c r="AI5" i="9" s="1"/>
  <c r="AJ4" i="9" s="1"/>
  <c r="AJ5" i="9" s="1"/>
  <c r="AK4" i="9" s="1"/>
  <c r="AK5" i="9" s="1"/>
  <c r="AL4" i="9" s="1"/>
  <c r="AL5" i="9" s="1"/>
  <c r="AM4" i="9" s="1"/>
  <c r="AM5" i="9" s="1"/>
  <c r="AN4" i="9" s="1"/>
  <c r="AN5" i="9" s="1"/>
  <c r="AO4" i="9" s="1"/>
  <c r="AO5" i="9" s="1"/>
  <c r="AP4" i="9" s="1"/>
  <c r="AP5" i="9" s="1"/>
  <c r="AH17" i="9" l="1"/>
  <c r="AI17" i="9" s="1"/>
  <c r="AJ17" i="9" s="1"/>
  <c r="AK17" i="9" s="1"/>
  <c r="AJ16" i="9"/>
  <c r="AK16" i="9" s="1"/>
  <c r="AH16" i="9"/>
  <c r="AJ15" i="9"/>
  <c r="AK15" i="9" s="1"/>
  <c r="I13" i="9"/>
  <c r="H13" i="9"/>
  <c r="G13" i="9"/>
  <c r="L22" i="11"/>
  <c r="Q22" i="11"/>
  <c r="A23" i="11" l="1"/>
  <c r="JU41" i="11"/>
  <c r="JT41" i="11"/>
  <c r="JS41" i="11"/>
  <c r="JR41" i="11"/>
  <c r="JQ41" i="11"/>
  <c r="JP41" i="11"/>
  <c r="JO41" i="11"/>
  <c r="JN41" i="11"/>
  <c r="JM41" i="11"/>
  <c r="P41" i="11"/>
  <c r="M41" i="11"/>
  <c r="JU40" i="11"/>
  <c r="JT40" i="11"/>
  <c r="JS40" i="11"/>
  <c r="JR40" i="11"/>
  <c r="JQ40" i="11"/>
  <c r="JP40" i="11"/>
  <c r="JO40" i="11"/>
  <c r="JN40" i="11"/>
  <c r="JM40" i="11"/>
  <c r="P40" i="11"/>
  <c r="M40" i="11"/>
  <c r="K40" i="11"/>
  <c r="JU39" i="11"/>
  <c r="JT39" i="11"/>
  <c r="JS39" i="11"/>
  <c r="JR39" i="11"/>
  <c r="JQ39" i="11"/>
  <c r="JP39" i="11"/>
  <c r="JO39" i="11"/>
  <c r="JN39" i="11"/>
  <c r="JM39" i="11"/>
  <c r="P39" i="11"/>
  <c r="M39" i="11"/>
  <c r="K39" i="11"/>
  <c r="JU38" i="11"/>
  <c r="JT38" i="11"/>
  <c r="JS38" i="11"/>
  <c r="JR38" i="11"/>
  <c r="JQ38" i="11"/>
  <c r="JP38" i="11"/>
  <c r="JO38" i="11"/>
  <c r="JN38" i="11"/>
  <c r="JM38" i="11"/>
  <c r="P38" i="11"/>
  <c r="M38" i="11"/>
  <c r="K38" i="11"/>
  <c r="JU37" i="11"/>
  <c r="JT37" i="11"/>
  <c r="JS37" i="11"/>
  <c r="JR37" i="11"/>
  <c r="JQ37" i="11"/>
  <c r="JP37" i="11"/>
  <c r="JO37" i="11"/>
  <c r="JN37" i="11"/>
  <c r="JM37" i="11"/>
  <c r="P37" i="11"/>
  <c r="M37" i="11"/>
  <c r="K37" i="11"/>
  <c r="JU36" i="11"/>
  <c r="JT36" i="11"/>
  <c r="JS36" i="11"/>
  <c r="JR36" i="11"/>
  <c r="JQ36" i="11"/>
  <c r="JP36" i="11"/>
  <c r="JO36" i="11"/>
  <c r="JN36" i="11"/>
  <c r="JM36" i="11"/>
  <c r="P36" i="11"/>
  <c r="M36" i="11"/>
  <c r="K36" i="11"/>
  <c r="JU35" i="11"/>
  <c r="JT35" i="11"/>
  <c r="JS35" i="11"/>
  <c r="JR35" i="11"/>
  <c r="JQ35" i="11"/>
  <c r="JP35" i="11"/>
  <c r="JO35" i="11"/>
  <c r="JN35" i="11"/>
  <c r="JM35" i="11"/>
  <c r="P35" i="11"/>
  <c r="M35" i="11"/>
  <c r="K35" i="11"/>
  <c r="JU34" i="11"/>
  <c r="JT34" i="11"/>
  <c r="JS34" i="11"/>
  <c r="JR34" i="11"/>
  <c r="JQ34" i="11"/>
  <c r="JP34" i="11"/>
  <c r="JO34" i="11"/>
  <c r="JN34" i="11"/>
  <c r="JM34" i="11"/>
  <c r="P34" i="11"/>
  <c r="K34" i="11"/>
  <c r="JU33" i="11"/>
  <c r="JT33" i="11"/>
  <c r="JS33" i="11"/>
  <c r="JR33" i="11"/>
  <c r="JQ33" i="11"/>
  <c r="JP33" i="11"/>
  <c r="JO33" i="11"/>
  <c r="JN33" i="11"/>
  <c r="JM33" i="11"/>
  <c r="P33" i="11"/>
  <c r="M33" i="11"/>
  <c r="K33" i="11"/>
  <c r="JU32" i="11"/>
  <c r="JT32" i="11"/>
  <c r="JS32" i="11"/>
  <c r="JR32" i="11"/>
  <c r="JQ32" i="11"/>
  <c r="JP32" i="11"/>
  <c r="JO32" i="11"/>
  <c r="JN32" i="11"/>
  <c r="JM32" i="11"/>
  <c r="P32" i="11"/>
  <c r="M32" i="11"/>
  <c r="K32" i="11"/>
  <c r="JU31" i="11"/>
  <c r="JT31" i="11"/>
  <c r="JS31" i="11"/>
  <c r="JR31" i="11"/>
  <c r="JQ31" i="11"/>
  <c r="JP31" i="11"/>
  <c r="JO31" i="11"/>
  <c r="JN31" i="11"/>
  <c r="JM31" i="11"/>
  <c r="P31" i="11"/>
  <c r="M31" i="11"/>
  <c r="K31" i="11"/>
  <c r="JU30" i="11"/>
  <c r="JT30" i="11"/>
  <c r="JS30" i="11"/>
  <c r="JR30" i="11"/>
  <c r="JQ30" i="11"/>
  <c r="JP30" i="11"/>
  <c r="JO30" i="11"/>
  <c r="JN30" i="11"/>
  <c r="JM30" i="11"/>
  <c r="P30" i="11"/>
  <c r="M30" i="11"/>
  <c r="K30" i="11"/>
  <c r="JU29" i="11"/>
  <c r="JT29" i="11"/>
  <c r="JS29" i="11"/>
  <c r="JR29" i="11"/>
  <c r="JQ29" i="11"/>
  <c r="JP29" i="11"/>
  <c r="JO29" i="11"/>
  <c r="JN29" i="11"/>
  <c r="JM29" i="11"/>
  <c r="P29" i="11"/>
  <c r="M29" i="11"/>
  <c r="K29" i="11"/>
  <c r="JU28" i="11"/>
  <c r="JT28" i="11"/>
  <c r="JS28" i="11"/>
  <c r="JR28" i="11"/>
  <c r="JQ28" i="11"/>
  <c r="JP28" i="11"/>
  <c r="JO28" i="11"/>
  <c r="JN28" i="11"/>
  <c r="JM28" i="11"/>
  <c r="P28" i="11"/>
  <c r="M28" i="11"/>
  <c r="K28" i="11"/>
  <c r="JU27" i="11"/>
  <c r="JT27" i="11"/>
  <c r="JS27" i="11"/>
  <c r="JR27" i="11"/>
  <c r="JQ27" i="11"/>
  <c r="JP27" i="11"/>
  <c r="JO27" i="11"/>
  <c r="JN27" i="11"/>
  <c r="JM27" i="11"/>
  <c r="P27" i="11"/>
  <c r="M27" i="11"/>
  <c r="K27" i="11"/>
  <c r="JU26" i="11"/>
  <c r="JT26" i="11"/>
  <c r="JS26" i="11"/>
  <c r="JR26" i="11"/>
  <c r="JQ26" i="11"/>
  <c r="JP26" i="11"/>
  <c r="JO26" i="11"/>
  <c r="JN26" i="11"/>
  <c r="JM26" i="11"/>
  <c r="P26" i="11"/>
  <c r="M26" i="11"/>
  <c r="K26" i="11"/>
  <c r="JU25" i="11"/>
  <c r="JT25" i="11"/>
  <c r="JS25" i="11"/>
  <c r="JR25" i="11"/>
  <c r="JQ25" i="11"/>
  <c r="JP25" i="11"/>
  <c r="JO25" i="11"/>
  <c r="JN25" i="11"/>
  <c r="JM25" i="11"/>
  <c r="M25" i="11"/>
  <c r="K25" i="11"/>
  <c r="JU24" i="11"/>
  <c r="JT24" i="11"/>
  <c r="JS24" i="11"/>
  <c r="JR24" i="11"/>
  <c r="JQ24" i="11"/>
  <c r="JP24" i="11"/>
  <c r="JO24" i="11"/>
  <c r="JN24" i="11"/>
  <c r="JM24" i="11"/>
  <c r="M24" i="11"/>
  <c r="K24" i="11"/>
  <c r="JU23" i="11"/>
  <c r="JT23" i="11"/>
  <c r="JS23" i="11"/>
  <c r="JR23" i="11"/>
  <c r="JQ23" i="11"/>
  <c r="JP23" i="11"/>
  <c r="JO23" i="11"/>
  <c r="JN23" i="11"/>
  <c r="JM23" i="11"/>
  <c r="M23" i="11"/>
  <c r="K23" i="11"/>
  <c r="K22" i="11" s="1"/>
  <c r="M22" i="11" l="1"/>
  <c r="P22" i="11"/>
  <c r="A24" i="11"/>
  <c r="A25" i="11" s="1"/>
  <c r="A26" i="11" l="1"/>
  <c r="A27" i="11" s="1"/>
  <c r="A28" i="11" l="1"/>
  <c r="A29" i="11" l="1"/>
  <c r="A30" i="11" s="1"/>
  <c r="C6" i="9" l="1" a="1"/>
  <c r="C6" i="9" s="1"/>
  <c r="C9" i="9" a="1"/>
  <c r="C9" i="9" s="1"/>
  <c r="C13" i="9" a="1"/>
  <c r="C13" i="9" s="1"/>
  <c r="C5" i="9" a="1"/>
  <c r="C5" i="9" s="1"/>
  <c r="A31" i="11"/>
  <c r="A32" i="11" s="1"/>
  <c r="A33" i="11" s="1"/>
  <c r="A34" i="11" s="1"/>
  <c r="F5" i="9" l="1"/>
  <c r="D5" i="9" s="1"/>
  <c r="E5" i="9"/>
  <c r="F9" i="9"/>
  <c r="D9" i="9" s="1"/>
  <c r="E9" i="9"/>
  <c r="F13" i="9"/>
  <c r="E13" i="9"/>
  <c r="F6" i="9"/>
  <c r="D6" i="9" s="1"/>
  <c r="E6" i="9"/>
  <c r="C12" i="9" a="1"/>
  <c r="C12" i="9" s="1"/>
  <c r="C10" i="9" a="1"/>
  <c r="C10" i="9" s="1"/>
  <c r="C7" i="9" a="1"/>
  <c r="C7" i="9" s="1"/>
  <c r="A35" i="11"/>
  <c r="J6" i="9" l="1"/>
  <c r="Q6" i="9"/>
  <c r="P6" i="9"/>
  <c r="J9" i="9"/>
  <c r="P9" i="9"/>
  <c r="Q9" i="9"/>
  <c r="J5" i="9"/>
  <c r="Q5" i="9"/>
  <c r="P5" i="9"/>
  <c r="S9" i="9"/>
  <c r="N9" i="9"/>
  <c r="K9" i="9"/>
  <c r="T9" i="9"/>
  <c r="O9" i="9"/>
  <c r="R9" i="9"/>
  <c r="G9" i="9"/>
  <c r="C1" i="9"/>
  <c r="I9" i="9"/>
  <c r="H9" i="9"/>
  <c r="F7" i="9"/>
  <c r="D7" i="9" s="1"/>
  <c r="G7" i="9" s="1"/>
  <c r="E7" i="9"/>
  <c r="F12" i="9"/>
  <c r="D12" i="9" s="1"/>
  <c r="E12" i="9"/>
  <c r="F10" i="9"/>
  <c r="D10" i="9" s="1"/>
  <c r="E10" i="9"/>
  <c r="I6" i="9"/>
  <c r="H6" i="9"/>
  <c r="G6" i="9"/>
  <c r="G5" i="9"/>
  <c r="I5" i="9"/>
  <c r="A36" i="11"/>
  <c r="A37" i="11" s="1"/>
  <c r="O6" i="9" l="1"/>
  <c r="J10" i="9"/>
  <c r="Q10" i="9"/>
  <c r="P10" i="9"/>
  <c r="J12" i="9"/>
  <c r="Q12" i="9"/>
  <c r="P12" i="9"/>
  <c r="J7" i="9"/>
  <c r="P7" i="9"/>
  <c r="Q7" i="9"/>
  <c r="O5" i="9"/>
  <c r="K5" i="9"/>
  <c r="N5" i="9" s="1"/>
  <c r="S5" i="9" s="1"/>
  <c r="R5" i="9"/>
  <c r="R6" i="9"/>
  <c r="T10" i="9"/>
  <c r="O10" i="9"/>
  <c r="R10" i="9"/>
  <c r="S10" i="9"/>
  <c r="N10" i="9"/>
  <c r="K10" i="9"/>
  <c r="T12" i="9"/>
  <c r="O12" i="9"/>
  <c r="R12" i="9"/>
  <c r="S12" i="9"/>
  <c r="N12" i="9"/>
  <c r="K12" i="9"/>
  <c r="K6" i="9"/>
  <c r="N6" i="9" s="1"/>
  <c r="S6" i="9" s="1"/>
  <c r="H10" i="9"/>
  <c r="I12" i="9"/>
  <c r="I7" i="9"/>
  <c r="H12" i="9"/>
  <c r="G10" i="9"/>
  <c r="G12" i="9"/>
  <c r="H7" i="9"/>
  <c r="K7" i="9" s="1"/>
  <c r="N7" i="9" s="1"/>
  <c r="I10" i="9"/>
  <c r="A38" i="11"/>
  <c r="A39" i="11" s="1"/>
  <c r="A40" i="11" s="1"/>
  <c r="A41" i="11" s="1"/>
  <c r="R7" i="9" l="1"/>
  <c r="S7" i="9"/>
  <c r="T5" i="9"/>
  <c r="T6" i="9"/>
  <c r="O7" i="9"/>
  <c r="C8" i="9" a="1"/>
  <c r="C8" i="9" s="1"/>
  <c r="C11" i="9" a="1"/>
  <c r="C11" i="9" s="1"/>
  <c r="T7" i="9" l="1"/>
  <c r="F11" i="9"/>
  <c r="D11" i="9" s="1"/>
  <c r="E11" i="9"/>
  <c r="F8" i="9"/>
  <c r="D8" i="9" s="1"/>
  <c r="E8" i="9"/>
  <c r="I11" i="9"/>
  <c r="J8" i="9" l="1"/>
  <c r="Q8" i="9"/>
  <c r="P8" i="9"/>
  <c r="J11" i="9"/>
  <c r="P11" i="9"/>
  <c r="Q11" i="9"/>
  <c r="T8" i="9"/>
  <c r="O8" i="9"/>
  <c r="R8" i="9"/>
  <c r="S8" i="9"/>
  <c r="N8" i="9"/>
  <c r="K8" i="9"/>
  <c r="S11" i="9"/>
  <c r="N11" i="9"/>
  <c r="K11" i="9"/>
  <c r="T11" i="9"/>
  <c r="O11" i="9"/>
  <c r="R11" i="9"/>
  <c r="I8" i="9"/>
  <c r="H11" i="9"/>
  <c r="H8" i="9"/>
  <c r="G11" i="9"/>
  <c r="G8" i="9"/>
  <c r="T14" i="9" l="1"/>
  <c r="V4" i="9" l="1"/>
  <c r="G4" i="9" l="1"/>
</calcChain>
</file>

<file path=xl/sharedStrings.xml><?xml version="1.0" encoding="utf-8"?>
<sst xmlns="http://schemas.openxmlformats.org/spreadsheetml/2006/main" count="251" uniqueCount="150">
  <si>
    <t>інтервал</t>
  </si>
  <si>
    <t>від</t>
  </si>
  <si>
    <t>до</t>
  </si>
  <si>
    <t>бурiння турбiнне</t>
  </si>
  <si>
    <t>Експлуатацiйне</t>
  </si>
  <si>
    <t>Розвiдувальне</t>
  </si>
  <si>
    <t>бурiння роторне</t>
  </si>
  <si>
    <t>Коефіцієнти</t>
  </si>
  <si>
    <t>При похило-спрямованому бурінні</t>
  </si>
  <si>
    <t>При горизонтальному та розгалужено-горизонтальному бурінні</t>
  </si>
  <si>
    <t>Потужність інтервалу</t>
  </si>
  <si>
    <t>Всього:</t>
  </si>
  <si>
    <t xml:space="preserve"> </t>
  </si>
  <si>
    <t>Бригада № 1</t>
  </si>
  <si>
    <t>Довжина БТ, м</t>
  </si>
  <si>
    <t>Інтервал роботи, м</t>
  </si>
  <si>
    <t>Найменування БТ</t>
  </si>
  <si>
    <t>Номенклатурний номер труби</t>
  </si>
  <si>
    <t>всього вартість</t>
  </si>
  <si>
    <t>1шт/метрів</t>
  </si>
  <si>
    <t>вага,кг 1 труби</t>
  </si>
  <si>
    <t>вага 1метра труби, кг</t>
  </si>
  <si>
    <t>вартість 1 кг</t>
  </si>
  <si>
    <t>153705</t>
  </si>
  <si>
    <t>15-3</t>
  </si>
  <si>
    <t>м</t>
  </si>
  <si>
    <t>153706</t>
  </si>
  <si>
    <t>2634</t>
  </si>
  <si>
    <t>11-7-1</t>
  </si>
  <si>
    <t>всього довж труб</t>
  </si>
  <si>
    <t>Спосіб буріння/
призначення свердловини</t>
  </si>
  <si>
    <t>Вага 1м труби</t>
  </si>
  <si>
    <t>Вартість 1м труби</t>
  </si>
  <si>
    <t>Норма зносу бур труби</t>
  </si>
  <si>
    <t>Коефіцієнт при похило-скерованому бурінні</t>
  </si>
  <si>
    <t>питома вага 1 труби в інтервалі</t>
  </si>
  <si>
    <t>Загальна маса зносу інтервалу, кг</t>
  </si>
  <si>
    <t>Начальник сектору кошторисної роботи</t>
  </si>
  <si>
    <t>Консультант з обслуговування телеметричних систем</t>
  </si>
  <si>
    <t xml:space="preserve">О. М. Ковтун </t>
  </si>
  <si>
    <t>Н. Г. Заліська</t>
  </si>
  <si>
    <t>Вартість 1кг труби(ст.13/  ст.12 )</t>
  </si>
  <si>
    <t>Маса зносу труби в бурильній колоні, кг (ст.10 х ст.11 )</t>
  </si>
  <si>
    <t>вартість однієї труби</t>
  </si>
  <si>
    <t>Вартість зносу БТ по інтервалах, грн. (ст.14 х ст.15 )</t>
  </si>
  <si>
    <t>Циркуляція</t>
  </si>
  <si>
    <t>Свердловина</t>
  </si>
  <si>
    <t>Дата</t>
  </si>
  <si>
    <t>Час, год</t>
  </si>
  <si>
    <t>Глибина, м</t>
  </si>
  <si>
    <t>МЕХАНІКА</t>
  </si>
  <si>
    <t>ІНКЛІНОМЕТРИ</t>
  </si>
  <si>
    <t>НЕМАГНІТКИ 203</t>
  </si>
  <si>
    <t>НЕМАГНІТКИ 171,5</t>
  </si>
  <si>
    <t>НЕМАГНІТКИ 127</t>
  </si>
  <si>
    <t>UBHO 171,5</t>
  </si>
  <si>
    <t>UBHO 203</t>
  </si>
  <si>
    <t>UBHO 127</t>
  </si>
  <si>
    <t>ДАТЧИКИ ТИСКУ</t>
  </si>
  <si>
    <t>ЕЛЕМЕНТИ ЖИВЛЕННЯ</t>
  </si>
  <si>
    <t>На буровій</t>
  </si>
  <si>
    <t>№</t>
  </si>
  <si>
    <t>Початок експлуатації приладу</t>
  </si>
  <si>
    <t>Кінець експлуатації приладу</t>
  </si>
  <si>
    <t>Час експлуатації, год</t>
  </si>
  <si>
    <t>Час циркуляції, год</t>
  </si>
  <si>
    <t>Відмітка про проведення ремонту</t>
  </si>
  <si>
    <t>Примітки(дата, вид роботи)</t>
  </si>
  <si>
    <t>Час нижче ротора</t>
  </si>
  <si>
    <t>НОБТ 203мм</t>
  </si>
  <si>
    <t>НОБТ 171,5 мм</t>
  </si>
  <si>
    <t>НОБТ 127 мм</t>
  </si>
  <si>
    <t>Сервіс</t>
  </si>
  <si>
    <t>Порушення цілісності мембрани сервоклапана, выкревлений вал сервоклапана</t>
  </si>
  <si>
    <t>Проводили сервіс, замінили полипак смолл, ризинки в незадовільному стані, а саме, якісь дубові, тим самим вони пропустили невелику кількість бруду, на роботу пульсатора це ніяким чином не вплинуло. Сервіс провили при напрацюванні 450:52 годни циркуляції</t>
  </si>
  <si>
    <t>Вид свердловини</t>
  </si>
  <si>
    <t>ін.№ 117000009404</t>
  </si>
  <si>
    <t>ін.№ 117000009493</t>
  </si>
  <si>
    <t>НОБТ NMDC 203004</t>
  </si>
  <si>
    <t>НОБТ NMDC 203005</t>
  </si>
  <si>
    <t>НОБТ NMDC 203006</t>
  </si>
  <si>
    <t>НОБТ NMDC 203007</t>
  </si>
  <si>
    <t>НОБТ NMDC 203008</t>
  </si>
  <si>
    <t>НОБТ NMDC 203009</t>
  </si>
  <si>
    <t>НОБТ NMDC 203010</t>
  </si>
  <si>
    <t>НОБТ NMDC 203011</t>
  </si>
  <si>
    <t>НОБТ NMDC 203012</t>
  </si>
  <si>
    <t>НОБТ NMDC 203013</t>
  </si>
  <si>
    <t>НОБТ NMDC 203014</t>
  </si>
  <si>
    <t>НОБТ NMDC 203015</t>
  </si>
  <si>
    <t>НОБТ NMDC 1342</t>
  </si>
  <si>
    <t>НОБТ NMDC 1343</t>
  </si>
  <si>
    <t>НОБТ NMDC 1344</t>
  </si>
  <si>
    <t>НОБТ NMDC 1345</t>
  </si>
  <si>
    <t>НОБТ NMDC 1346</t>
  </si>
  <si>
    <t>НОБТ NMDC 1347</t>
  </si>
  <si>
    <t>НОБТ NMDC 1348</t>
  </si>
  <si>
    <t>НОБТ NMDC 1349</t>
  </si>
  <si>
    <t>НОБТ NMDC 1350</t>
  </si>
  <si>
    <t>НОБТ NMDC 1351</t>
  </si>
  <si>
    <t>НОБТ NMDC 1352</t>
  </si>
  <si>
    <t>НОБТ NMDC 1353</t>
  </si>
  <si>
    <t>НОБТ NMDC 127004</t>
  </si>
  <si>
    <t>НОБТ NMDC 127005</t>
  </si>
  <si>
    <t>НОБТ NMDC 127006</t>
  </si>
  <si>
    <t>НОБТ NMDC 127007</t>
  </si>
  <si>
    <t>НОБТ NMDC 127008</t>
  </si>
  <si>
    <t>НОБТ NMDC 127009</t>
  </si>
  <si>
    <t>НОБТ NMDC 127010</t>
  </si>
  <si>
    <t>НОБТ NMDC 127011</t>
  </si>
  <si>
    <t>НОБТ NMDC 127012</t>
  </si>
  <si>
    <t>НОБТ NMDC 127013</t>
  </si>
  <si>
    <t>НОБТ NMDC 127014</t>
  </si>
  <si>
    <t>Вихідні данні</t>
  </si>
  <si>
    <t>НОБТ NMDC 203</t>
  </si>
  <si>
    <t>НОБТ NMDC  171,5</t>
  </si>
  <si>
    <t>НОБТ 203 NMDC 203001</t>
  </si>
  <si>
    <t>НОБТ 203 NMDC 203002</t>
  </si>
  <si>
    <t>НОБТ 203 NMDC 203003</t>
  </si>
  <si>
    <t>НОБТ 171,5 NMDC 1338</t>
  </si>
  <si>
    <t>НОБТ 171,5 NMDC 1339</t>
  </si>
  <si>
    <t>НОБТ 171,5 NMDC 1341</t>
  </si>
  <si>
    <t>НОБТ 127 NMDC 127001</t>
  </si>
  <si>
    <t>НОБТ 127 NMDC 127002</t>
  </si>
  <si>
    <t>НОБТ 127 NMDC 127003</t>
  </si>
  <si>
    <t>НОБТ NMDC 127</t>
  </si>
  <si>
    <t>Расчет износа</t>
  </si>
  <si>
    <t>Ноpми износа</t>
  </si>
  <si>
    <t>ін.№ 117000004608</t>
  </si>
  <si>
    <t>Выходит так по формулам</t>
  </si>
  <si>
    <t>Надо так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</si>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</sst>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[h]:mm"/>
    <numFmt numFmtId="167" formatCode="dd/mm/yy;@"/>
    <numFmt numFmtId="168" formatCode="h:mm;@"/>
    <numFmt numFmtId="169" formatCode="0.0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sz val="12"/>
      <name val="Arial"/>
      <family val="2"/>
      <charset val="204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b/>
      <i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0"/>
  </cellStyleXfs>
  <cellXfs count="79">
    <xf numFmtId="0" fontId="0" fillId="0" borderId="0" xfId="0"/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166" fontId="1" fillId="0" borderId="0" xfId="1" applyNumberFormat="1" applyFont="1" applyFill="1" applyBorder="1" applyAlignment="1">
      <alignment horizontal="center" vertical="center"/>
    </xf>
    <xf numFmtId="169" fontId="1" fillId="0" borderId="0" xfId="1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1" fontId="15" fillId="0" borderId="0" xfId="2" applyNumberFormat="1" applyFont="1" applyFill="1" applyBorder="1" applyAlignment="1">
      <alignment horizontal="center" wrapText="1"/>
    </xf>
    <xf numFmtId="1" fontId="1" fillId="0" borderId="0" xfId="1" applyNumberFormat="1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 wrapText="1"/>
    </xf>
    <xf numFmtId="167" fontId="1" fillId="0" borderId="0" xfId="1" applyNumberFormat="1" applyFont="1" applyFill="1" applyBorder="1" applyAlignment="1">
      <alignment horizontal="center" vertical="center"/>
    </xf>
    <xf numFmtId="168" fontId="1" fillId="0" borderId="0" xfId="1" applyNumberFormat="1" applyFont="1" applyFill="1" applyBorder="1" applyAlignment="1">
      <alignment horizontal="center" vertical="center"/>
    </xf>
    <xf numFmtId="20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vertical="center" wrapText="1"/>
    </xf>
    <xf numFmtId="20" fontId="1" fillId="0" borderId="0" xfId="1" applyNumberFormat="1" applyFont="1" applyFill="1" applyBorder="1"/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2" fillId="0" borderId="0" xfId="0" applyFont="1" applyFill="1" applyBorder="1"/>
    <xf numFmtId="0" fontId="23" fillId="0" borderId="0" xfId="0" applyFont="1" applyFill="1" applyBorder="1"/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5" fillId="0" borderId="0" xfId="0" applyFont="1" applyFill="1" applyBorder="1"/>
    <xf numFmtId="1" fontId="11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49" fontId="0" fillId="0" borderId="0" xfId="0" applyNumberFormat="1" applyFont="1" applyFill="1" applyBorder="1"/>
    <xf numFmtId="2" fontId="0" fillId="0" borderId="0" xfId="0" applyNumberFormat="1" applyFont="1" applyFill="1" applyBorder="1"/>
    <xf numFmtId="4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164" fontId="0" fillId="0" borderId="0" xfId="0" applyNumberFormat="1" applyFont="1" applyFill="1" applyBorder="1"/>
    <xf numFmtId="0" fontId="22" fillId="0" borderId="0" xfId="2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11"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1F3FF"/>
      <color rgb="FF4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54;&#1041;&#1051;&#1040;&#1044;&#1053;&#1040;&#1053;&#1053;&#1071; &#1055;&#1054; &#1110;&#1085;.&#1085;&#1086;&#1084;.'!A1"/><Relationship Id="rId1" Type="http://schemas.openxmlformats.org/officeDocument/2006/relationships/hyperlink" Target="#'&#1047;&#1072;&#1075;&#1072;&#1083;&#1100;&#1085;&#1080;&#1081; &#1079;&#1074;&#1110;&#109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0</xdr:rowOff>
    </xdr:from>
    <xdr:to>
      <xdr:col>5</xdr:col>
      <xdr:colOff>415636</xdr:colOff>
      <xdr:row>17</xdr:row>
      <xdr:rowOff>207819</xdr:rowOff>
    </xdr:to>
    <xdr:sp macro="" textlink="">
      <xdr:nvSpPr>
        <xdr:cNvPr id="2" name="Стрелка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38525" y="0"/>
          <a:ext cx="1787236" cy="445944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600" b="1">
              <a:solidFill>
                <a:schemeClr val="tx2">
                  <a:lumMod val="50000"/>
                </a:schemeClr>
              </a:solidFill>
            </a:rPr>
            <a:t>Заг</a:t>
          </a:r>
          <a:r>
            <a:rPr lang="uk-UA" sz="1600" b="1" baseline="0">
              <a:solidFill>
                <a:schemeClr val="tx2">
                  <a:lumMod val="50000"/>
                </a:schemeClr>
              </a:solidFill>
            </a:rPr>
            <a:t>.Звіт</a:t>
          </a:r>
          <a:r>
            <a:rPr lang="uk-UA" sz="1100" b="1" baseline="0">
              <a:solidFill>
                <a:schemeClr val="tx2">
                  <a:lumMod val="50000"/>
                </a:schemeClr>
              </a:solidFill>
            </a:rPr>
            <a:t>.</a:t>
          </a:r>
          <a:endParaRPr lang="uk-UA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17290</xdr:colOff>
      <xdr:row>0</xdr:row>
      <xdr:rowOff>0</xdr:rowOff>
    </xdr:from>
    <xdr:to>
      <xdr:col>9</xdr:col>
      <xdr:colOff>190500</xdr:colOff>
      <xdr:row>17</xdr:row>
      <xdr:rowOff>190500</xdr:rowOff>
    </xdr:to>
    <xdr:sp macro="" textlink="">
      <xdr:nvSpPr>
        <xdr:cNvPr id="3" name="Стрелка вле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flipH="1">
          <a:off x="6046615" y="0"/>
          <a:ext cx="1478135" cy="428625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 b="1">
              <a:solidFill>
                <a:schemeClr val="tx2">
                  <a:lumMod val="50000"/>
                </a:schemeClr>
              </a:solidFill>
            </a:rPr>
            <a:t>ОБЛ. НА ОБ</a:t>
          </a:r>
          <a:r>
            <a:rPr lang="en-US" sz="1100" b="1">
              <a:solidFill>
                <a:schemeClr val="tx2">
                  <a:lumMod val="50000"/>
                </a:schemeClr>
              </a:solidFill>
            </a:rPr>
            <a:t>'</a:t>
          </a:r>
          <a:r>
            <a:rPr lang="uk-UA" sz="1100" b="1">
              <a:solidFill>
                <a:schemeClr val="tx2">
                  <a:lumMod val="50000"/>
                </a:schemeClr>
              </a:solidFill>
            </a:rPr>
            <a:t>ЄКТАХ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JU41"/>
  <sheetViews>
    <sheetView topLeftCell="A17" zoomScaleNormal="100" zoomScaleSheetLayoutView="85" workbookViewId="0">
      <pane xSplit="10" ySplit="6" topLeftCell="K38" activePane="bottomRight" state="frozen"/>
      <selection activeCell="A17" sqref="A17"/>
      <selection pane="topRight" activeCell="K17" sqref="K17"/>
      <selection pane="bottomLeft" activeCell="A23" sqref="A23"/>
      <selection pane="bottomRight" activeCell="K40" sqref="K40"/>
    </sheetView>
  </sheetViews>
  <sheetFormatPr defaultColWidth="9.1796875" defaultRowHeight="14.5" outlineLevelCol="1" x14ac:dyDescent="0.35"/>
  <cols>
    <col min="1" max="1" width="4.26953125" style="6" customWidth="1"/>
    <col min="2" max="2" width="17" style="6" customWidth="1"/>
    <col min="3" max="3" width="7.81640625" style="6" hidden="1" customWidth="1"/>
    <col min="4" max="4" width="15.6328125" style="6" customWidth="1"/>
    <col min="5" max="5" width="9.6328125" style="6" customWidth="1"/>
    <col min="6" max="7" width="9.1796875" style="7"/>
    <col min="8" max="8" width="10.453125" style="6" customWidth="1"/>
    <col min="9" max="10" width="9.1796875" style="6"/>
    <col min="11" max="11" width="13.26953125" style="6" customWidth="1"/>
    <col min="12" max="12" width="9.1796875" style="6"/>
    <col min="13" max="13" width="9.1796875" style="6" customWidth="1"/>
    <col min="14" max="14" width="8.7265625" style="6" hidden="1" customWidth="1"/>
    <col min="15" max="15" width="13.7265625" style="6" hidden="1" customWidth="1"/>
    <col min="16" max="16" width="11" style="6" customWidth="1"/>
    <col min="17" max="17" width="11.81640625" style="6" customWidth="1"/>
    <col min="18" max="31" width="17.81640625" style="7" customWidth="1" outlineLevel="1"/>
    <col min="32" max="40" width="20.1796875" style="7" customWidth="1"/>
    <col min="41" max="54" width="17.81640625" style="7" customWidth="1" outlineLevel="1"/>
    <col min="55" max="55" width="17.81640625" style="7" customWidth="1"/>
    <col min="56" max="99" width="17.81640625" style="7" customWidth="1" outlineLevel="1"/>
    <col min="100" max="147" width="17.81640625" style="7" customWidth="1"/>
    <col min="148" max="164" width="17.81640625" style="7" customWidth="1" outlineLevel="1"/>
    <col min="165" max="165" width="17.81640625" style="7" customWidth="1"/>
    <col min="166" max="194" width="9.81640625" style="7" customWidth="1" outlineLevel="1"/>
    <col min="195" max="195" width="23.26953125" style="7" bestFit="1" customWidth="1"/>
    <col min="196" max="246" width="23.26953125" style="7" customWidth="1" outlineLevel="1"/>
    <col min="247" max="247" width="10.54296875" style="7" customWidth="1" outlineLevel="1"/>
    <col min="248" max="248" width="10.1796875" style="7" customWidth="1" outlineLevel="1"/>
    <col min="249" max="261" width="23.26953125" style="7" customWidth="1"/>
    <col min="262" max="271" width="23.453125" style="7" customWidth="1" outlineLevel="1"/>
    <col min="272" max="272" width="23.453125" style="7" customWidth="1"/>
    <col min="273" max="278" width="9.1796875" style="6"/>
    <col min="279" max="279" width="7.26953125" style="6" customWidth="1"/>
    <col min="280" max="16384" width="9.1796875" style="6"/>
  </cols>
  <sheetData>
    <row r="1" hidden="1" x14ac:dyDescent="0.35"/>
    <row r="2" hidden="1" x14ac:dyDescent="0.35"/>
    <row r="3" hidden="1" x14ac:dyDescent="0.35"/>
    <row r="4" hidden="1" x14ac:dyDescent="0.35"/>
    <row r="5" hidden="1" x14ac:dyDescent="0.35"/>
    <row r="6" hidden="1" x14ac:dyDescent="0.35"/>
    <row r="7" hidden="1" x14ac:dyDescent="0.35"/>
    <row r="8" hidden="1" x14ac:dyDescent="0.35"/>
    <row r="9" hidden="1" x14ac:dyDescent="0.35"/>
    <row r="10" hidden="1" x14ac:dyDescent="0.35"/>
    <row r="11" hidden="1" x14ac:dyDescent="0.35"/>
    <row r="12" hidden="1" x14ac:dyDescent="0.35"/>
    <row r="13" hidden="1" x14ac:dyDescent="0.35"/>
    <row r="14" hidden="1" x14ac:dyDescent="0.35"/>
    <row r="15" hidden="1" x14ac:dyDescent="0.35"/>
    <row r="16" hidden="1" x14ac:dyDescent="0.35"/>
    <row r="17" spans="1:281" x14ac:dyDescent="0.35">
      <c r="J17" s="8"/>
      <c r="K17" s="8"/>
      <c r="L17" s="9"/>
      <c r="M17" s="8"/>
      <c r="N17" s="8"/>
      <c r="O17" s="10"/>
      <c r="P17" s="10"/>
      <c r="Q17" s="10"/>
      <c r="AF17" s="7" t="s">
        <v>50</v>
      </c>
      <c r="BC17" s="7" t="s">
        <v>51</v>
      </c>
      <c r="BF17" s="7" t="s">
        <v>52</v>
      </c>
      <c r="BU17" s="7" t="s">
        <v>53</v>
      </c>
      <c r="CJ17" s="7" t="s">
        <v>54</v>
      </c>
      <c r="CZ17" s="7" t="s">
        <v>55</v>
      </c>
      <c r="DP17" s="7" t="s">
        <v>56</v>
      </c>
      <c r="EE17" s="7" t="s">
        <v>57</v>
      </c>
      <c r="EW17" s="7" t="s">
        <v>58</v>
      </c>
      <c r="GM17" s="7" t="s">
        <v>59</v>
      </c>
    </row>
    <row r="18" spans="1:281" x14ac:dyDescent="0.35">
      <c r="I18" s="9"/>
      <c r="J18" s="8"/>
      <c r="K18" s="8"/>
      <c r="L18" s="9"/>
      <c r="M18" s="11"/>
      <c r="N18" s="11"/>
      <c r="O18" s="11"/>
      <c r="P18" s="12"/>
      <c r="Q18" s="12"/>
      <c r="BD18" s="1" t="s">
        <v>60</v>
      </c>
      <c r="BE18" s="1" t="s">
        <v>60</v>
      </c>
      <c r="BF18" s="1" t="s">
        <v>60</v>
      </c>
      <c r="BG18" s="1" t="s">
        <v>60</v>
      </c>
      <c r="BH18" s="1" t="s">
        <v>60</v>
      </c>
      <c r="BI18" s="1" t="s">
        <v>60</v>
      </c>
      <c r="BJ18" s="1" t="s">
        <v>60</v>
      </c>
      <c r="BK18" s="1" t="s">
        <v>60</v>
      </c>
      <c r="BL18" s="1" t="s">
        <v>60</v>
      </c>
      <c r="BM18" s="1" t="s">
        <v>60</v>
      </c>
      <c r="BN18" s="1" t="s">
        <v>60</v>
      </c>
      <c r="BO18" s="1" t="s">
        <v>60</v>
      </c>
      <c r="BP18" s="1" t="s">
        <v>60</v>
      </c>
      <c r="BQ18" s="1" t="s">
        <v>60</v>
      </c>
      <c r="BR18" s="1" t="s">
        <v>60</v>
      </c>
      <c r="BS18" s="1" t="s">
        <v>60</v>
      </c>
      <c r="BT18" s="1" t="s">
        <v>60</v>
      </c>
      <c r="BU18" s="1" t="s">
        <v>60</v>
      </c>
      <c r="BV18" s="1" t="s">
        <v>60</v>
      </c>
      <c r="BW18" s="1" t="s">
        <v>60</v>
      </c>
      <c r="BX18" s="1" t="s">
        <v>60</v>
      </c>
      <c r="BY18" s="1" t="s">
        <v>60</v>
      </c>
      <c r="BZ18" s="1" t="s">
        <v>60</v>
      </c>
      <c r="CA18" s="1" t="s">
        <v>60</v>
      </c>
      <c r="CB18" s="1" t="s">
        <v>60</v>
      </c>
      <c r="CC18" s="1" t="s">
        <v>60</v>
      </c>
      <c r="CD18" s="1" t="s">
        <v>60</v>
      </c>
      <c r="CE18" s="1" t="s">
        <v>60</v>
      </c>
      <c r="CF18" s="1" t="s">
        <v>60</v>
      </c>
      <c r="CG18" s="1" t="s">
        <v>60</v>
      </c>
      <c r="CH18" s="1" t="s">
        <v>60</v>
      </c>
      <c r="CI18" s="1" t="s">
        <v>60</v>
      </c>
      <c r="CJ18" s="1" t="s">
        <v>60</v>
      </c>
      <c r="CK18" s="1" t="s">
        <v>60</v>
      </c>
      <c r="CL18" s="1" t="s">
        <v>60</v>
      </c>
      <c r="CM18" s="1" t="s">
        <v>60</v>
      </c>
      <c r="CN18" s="1" t="s">
        <v>60</v>
      </c>
      <c r="CO18" s="1" t="s">
        <v>60</v>
      </c>
      <c r="CP18" s="1" t="s">
        <v>60</v>
      </c>
      <c r="CQ18" s="1" t="s">
        <v>60</v>
      </c>
      <c r="CR18" s="1" t="s">
        <v>60</v>
      </c>
      <c r="CS18" s="1" t="s">
        <v>60</v>
      </c>
      <c r="CT18" s="1" t="s">
        <v>60</v>
      </c>
      <c r="CU18" s="1" t="s">
        <v>60</v>
      </c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</row>
    <row r="19" spans="1:281" ht="60.75" customHeight="1" x14ac:dyDescent="0.35">
      <c r="A19" s="13" t="s">
        <v>61</v>
      </c>
      <c r="E19" s="7" t="s">
        <v>62</v>
      </c>
      <c r="H19" s="7" t="s">
        <v>63</v>
      </c>
      <c r="I19" s="7"/>
      <c r="J19" s="7"/>
      <c r="K19" s="14" t="s">
        <v>64</v>
      </c>
      <c r="L19" s="14" t="s">
        <v>65</v>
      </c>
      <c r="M19" s="14" t="s">
        <v>15</v>
      </c>
      <c r="N19" s="14" t="s">
        <v>66</v>
      </c>
      <c r="O19" s="7" t="s">
        <v>67</v>
      </c>
      <c r="P19" s="14" t="s">
        <v>45</v>
      </c>
      <c r="Q19" s="14" t="s">
        <v>68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 t="s">
        <v>69</v>
      </c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 t="s">
        <v>70</v>
      </c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 t="s">
        <v>71</v>
      </c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14"/>
      <c r="JN19" s="14"/>
      <c r="JS19" s="14"/>
    </row>
    <row r="20" spans="1:281" s="33" customFormat="1" ht="45.75" hidden="1" customHeight="1" x14ac:dyDescent="0.35">
      <c r="A20" s="15"/>
      <c r="B20" s="16"/>
      <c r="C20" s="16"/>
      <c r="D20" s="7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>
        <v>421922.22</v>
      </c>
      <c r="BE20" s="3">
        <v>421922.22</v>
      </c>
      <c r="BF20" s="3">
        <v>421922.22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>
        <v>31689.473333333332</v>
      </c>
      <c r="BT20" s="3">
        <v>31689.473333333332</v>
      </c>
      <c r="BU20" s="3">
        <v>31689.473333333332</v>
      </c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>
        <v>230855.55</v>
      </c>
      <c r="CI20" s="3">
        <v>230855.55</v>
      </c>
      <c r="CJ20" s="3">
        <v>230855.55</v>
      </c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</row>
    <row r="21" spans="1:281" s="33" customFormat="1" ht="45.75" hidden="1" customHeight="1" x14ac:dyDescent="0.35">
      <c r="A21" s="15"/>
      <c r="B21" s="16"/>
      <c r="C21" s="16"/>
      <c r="D21" s="7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 t="s">
        <v>76</v>
      </c>
      <c r="BE21" s="4" t="s">
        <v>76</v>
      </c>
      <c r="BF21" s="4" t="s">
        <v>76</v>
      </c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 t="s">
        <v>128</v>
      </c>
      <c r="BT21" s="4" t="s">
        <v>128</v>
      </c>
      <c r="BU21" s="4" t="s">
        <v>128</v>
      </c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 t="s">
        <v>77</v>
      </c>
      <c r="CI21" s="4" t="s">
        <v>77</v>
      </c>
      <c r="CJ21" s="4" t="s">
        <v>77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</row>
    <row r="22" spans="1:281" ht="15.75" customHeight="1" x14ac:dyDescent="0.35">
      <c r="A22" s="13"/>
      <c r="B22" s="13" t="s">
        <v>46</v>
      </c>
      <c r="C22" s="13"/>
      <c r="D22" s="13" t="s">
        <v>75</v>
      </c>
      <c r="E22" s="17" t="s">
        <v>47</v>
      </c>
      <c r="F22" s="7" t="s">
        <v>48</v>
      </c>
      <c r="G22" s="7" t="s">
        <v>49</v>
      </c>
      <c r="H22" s="17" t="s">
        <v>47</v>
      </c>
      <c r="I22" s="17" t="s">
        <v>48</v>
      </c>
      <c r="J22" s="17" t="s">
        <v>49</v>
      </c>
      <c r="K22" s="18">
        <f>SUM(K23:K41)</f>
        <v>173.75486111111968</v>
      </c>
      <c r="L22" s="18">
        <f>IF(SUM(L23:L41)&gt;0,SUM(L23:L41),0)</f>
        <v>100.3138888888889</v>
      </c>
      <c r="M22" s="19">
        <f>SUM(M23:M41)</f>
        <v>3325.5000000000005</v>
      </c>
      <c r="N22" s="14"/>
      <c r="O22" s="7"/>
      <c r="P22" s="18">
        <f>SUM(P23:P41)</f>
        <v>100.3138888888889</v>
      </c>
      <c r="Q22" s="18">
        <f>SUM(Q23:Q41)</f>
        <v>159.0972222222222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1" t="s">
        <v>116</v>
      </c>
      <c r="BE22" s="21" t="s">
        <v>117</v>
      </c>
      <c r="BF22" s="21" t="s">
        <v>118</v>
      </c>
      <c r="BG22" s="5" t="s">
        <v>78</v>
      </c>
      <c r="BH22" s="5" t="s">
        <v>79</v>
      </c>
      <c r="BI22" s="5" t="s">
        <v>80</v>
      </c>
      <c r="BJ22" s="5" t="s">
        <v>81</v>
      </c>
      <c r="BK22" s="5" t="s">
        <v>82</v>
      </c>
      <c r="BL22" s="5" t="s">
        <v>83</v>
      </c>
      <c r="BM22" s="5" t="s">
        <v>84</v>
      </c>
      <c r="BN22" s="5" t="s">
        <v>85</v>
      </c>
      <c r="BO22" s="5" t="s">
        <v>86</v>
      </c>
      <c r="BP22" s="5" t="s">
        <v>87</v>
      </c>
      <c r="BQ22" s="5" t="s">
        <v>88</v>
      </c>
      <c r="BR22" s="5" t="s">
        <v>89</v>
      </c>
      <c r="BS22" s="5" t="s">
        <v>119</v>
      </c>
      <c r="BT22" s="5" t="s">
        <v>120</v>
      </c>
      <c r="BU22" s="5" t="s">
        <v>121</v>
      </c>
      <c r="BV22" s="5" t="s">
        <v>90</v>
      </c>
      <c r="BW22" s="5" t="s">
        <v>91</v>
      </c>
      <c r="BX22" s="5" t="s">
        <v>92</v>
      </c>
      <c r="BY22" s="5" t="s">
        <v>93</v>
      </c>
      <c r="BZ22" s="5" t="s">
        <v>94</v>
      </c>
      <c r="CA22" s="5" t="s">
        <v>95</v>
      </c>
      <c r="CB22" s="5" t="s">
        <v>96</v>
      </c>
      <c r="CC22" s="5" t="s">
        <v>97</v>
      </c>
      <c r="CD22" s="5" t="s">
        <v>98</v>
      </c>
      <c r="CE22" s="5" t="s">
        <v>99</v>
      </c>
      <c r="CF22" s="5" t="s">
        <v>100</v>
      </c>
      <c r="CG22" s="5" t="s">
        <v>101</v>
      </c>
      <c r="CH22" s="21" t="s">
        <v>122</v>
      </c>
      <c r="CI22" s="21" t="s">
        <v>123</v>
      </c>
      <c r="CJ22" s="21" t="s">
        <v>124</v>
      </c>
      <c r="CK22" s="5" t="s">
        <v>102</v>
      </c>
      <c r="CL22" s="5" t="s">
        <v>103</v>
      </c>
      <c r="CM22" s="5" t="s">
        <v>104</v>
      </c>
      <c r="CN22" s="5" t="s">
        <v>105</v>
      </c>
      <c r="CO22" s="5" t="s">
        <v>106</v>
      </c>
      <c r="CP22" s="5" t="s">
        <v>107</v>
      </c>
      <c r="CQ22" s="5" t="s">
        <v>108</v>
      </c>
      <c r="CR22" s="5" t="s">
        <v>109</v>
      </c>
      <c r="CS22" s="5" t="s">
        <v>110</v>
      </c>
      <c r="CT22" s="5" t="s">
        <v>111</v>
      </c>
      <c r="CU22" s="5" t="s">
        <v>112</v>
      </c>
      <c r="CV22" s="5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2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</row>
    <row r="23" spans="1:281" x14ac:dyDescent="0.35">
      <c r="A23" s="34">
        <f>IF(B23="","",IF(MOD(ROW(A19),1),"",COUNT(A$4:A22)+1))</f>
        <v>1</v>
      </c>
      <c r="B23" s="35" t="s">
        <v>131</v>
      </c>
      <c r="C23" s="31"/>
      <c r="D23" s="76" t="s">
        <v>4</v>
      </c>
      <c r="E23" s="25">
        <v>43267</v>
      </c>
      <c r="F23" s="26">
        <v>0.125</v>
      </c>
      <c r="G23" s="7">
        <v>1080</v>
      </c>
      <c r="H23" s="25">
        <v>43273</v>
      </c>
      <c r="I23" s="26">
        <v>0.41666666666666669</v>
      </c>
      <c r="J23" s="7">
        <v>1333.8</v>
      </c>
      <c r="K23" s="18">
        <f>IF(H23&gt;0,(H23+I23)-(E23+F23)," ")</f>
        <v>6.2916666666642413</v>
      </c>
      <c r="L23" s="18">
        <v>4.625</v>
      </c>
      <c r="M23" s="19">
        <f t="shared" ref="M23:M33" si="0">IF(J23&gt;0,J23-G23," ")</f>
        <v>253.79999999999995</v>
      </c>
      <c r="N23" s="7"/>
      <c r="O23" s="7"/>
      <c r="P23" s="9">
        <v>4.625</v>
      </c>
      <c r="Q23" s="9">
        <v>6.291666666666667</v>
      </c>
      <c r="V23" s="7">
        <v>1</v>
      </c>
      <c r="AS23" s="7">
        <v>1</v>
      </c>
      <c r="BD23" s="7">
        <v>1</v>
      </c>
      <c r="BE23" s="7">
        <v>1</v>
      </c>
      <c r="BF23" s="7">
        <v>1</v>
      </c>
      <c r="DM23" s="7">
        <v>1</v>
      </c>
      <c r="FO23" s="7">
        <v>1</v>
      </c>
      <c r="FP23" s="7">
        <v>1</v>
      </c>
      <c r="JM23" s="6">
        <f>IF(SUM(R23:AN23)&gt;0,ROW(),"")</f>
        <v>23</v>
      </c>
      <c r="JN23" s="6">
        <f t="shared" ref="JN23:JN41" si="1">IF(SUM(AO23:BC23)&gt;0,ROW(),"")</f>
        <v>23</v>
      </c>
      <c r="JO23" s="6">
        <f>IF(SUM(BD23:CV23)&gt;0,ROW(),"")</f>
        <v>23</v>
      </c>
      <c r="JP23" s="6">
        <f>IF(SUM(CW23:EQ23)&gt;0,ROW(),"")</f>
        <v>23</v>
      </c>
      <c r="JQ23" s="6">
        <f>IF(SUM(FJ23:IO23)&gt;0,ROW(),"")</f>
        <v>23</v>
      </c>
      <c r="JR23" s="6" t="str">
        <f>IF(SUM(ER23:FI23)&gt;0,ROW(),"")</f>
        <v/>
      </c>
      <c r="JS23" s="6" t="str">
        <f>IF(SUM(JB23:JL23)&gt;0,ROW(),"")</f>
        <v/>
      </c>
      <c r="JT23" s="6" t="str">
        <f>IF(SUM(IP23:IU23)&gt;0,ROW(),"")</f>
        <v/>
      </c>
      <c r="JU23" s="6" t="str">
        <f>IF(SUM(IV23:JA23)&gt;0,ROW(),"")</f>
        <v/>
      </c>
    </row>
    <row r="24" spans="1:281" x14ac:dyDescent="0.35">
      <c r="A24" s="34">
        <f>IF(B24="","",IF(MOD(ROW(A22),1),"",COUNT(A$4:A23)+1))</f>
        <v>2</v>
      </c>
      <c r="B24" s="35" t="s">
        <v>132</v>
      </c>
      <c r="C24" s="31"/>
      <c r="D24" s="76" t="s">
        <v>5</v>
      </c>
      <c r="E24" s="25">
        <v>43280</v>
      </c>
      <c r="F24" s="26">
        <v>0.52083333333333337</v>
      </c>
      <c r="G24" s="7">
        <v>1120.5999999999999</v>
      </c>
      <c r="H24" s="25">
        <v>43288</v>
      </c>
      <c r="I24" s="26">
        <v>0.20833333333333334</v>
      </c>
      <c r="J24" s="7">
        <v>1458.5</v>
      </c>
      <c r="K24" s="18">
        <f>IF(H24&gt;0,(H24+I24)-(E24+F24)," ")</f>
        <v>7.6875</v>
      </c>
      <c r="L24" s="18">
        <v>3.6388888888888888</v>
      </c>
      <c r="M24" s="19">
        <f t="shared" si="0"/>
        <v>337.90000000000009</v>
      </c>
      <c r="N24" s="7" t="s">
        <v>72</v>
      </c>
      <c r="O24" s="7" t="s">
        <v>73</v>
      </c>
      <c r="P24" s="9">
        <v>3.6388888888888888</v>
      </c>
      <c r="Q24" s="9">
        <v>7.6875</v>
      </c>
      <c r="V24" s="7">
        <v>1</v>
      </c>
      <c r="AS24" s="7">
        <v>1</v>
      </c>
      <c r="BE24" s="7">
        <v>1</v>
      </c>
      <c r="BF24" s="7">
        <v>1</v>
      </c>
      <c r="DM24" s="7">
        <v>1</v>
      </c>
      <c r="FJ24" s="7">
        <v>1</v>
      </c>
      <c r="FM24" s="7">
        <v>1</v>
      </c>
      <c r="JM24" s="6">
        <f t="shared" ref="JM24:JM41" si="2">IF(SUM(R24:AN24)&gt;0,ROW(),"")</f>
        <v>24</v>
      </c>
      <c r="JN24" s="6">
        <f t="shared" si="1"/>
        <v>24</v>
      </c>
      <c r="JO24" s="6">
        <f t="shared" ref="JO24:JO41" si="3">IF(SUM(BD24:CV24)&gt;0,ROW(),"")</f>
        <v>24</v>
      </c>
      <c r="JP24" s="6">
        <f t="shared" ref="JP24:JP41" si="4">IF(SUM(CW24:EQ24)&gt;0,ROW(),"")</f>
        <v>24</v>
      </c>
      <c r="JQ24" s="6">
        <f t="shared" ref="JQ24:JQ41" si="5">IF(SUM(FJ24:IO24)&gt;0,ROW(),"")</f>
        <v>24</v>
      </c>
      <c r="JR24" s="6" t="str">
        <f t="shared" ref="JR24:JR41" si="6">IF(SUM(ER24:FI24)&gt;0,ROW(),"")</f>
        <v/>
      </c>
      <c r="JS24" s="6" t="str">
        <f t="shared" ref="JS24:JS41" si="7">IF(SUM(JB24:JL24)&gt;0,ROW(),"")</f>
        <v/>
      </c>
      <c r="JT24" s="6" t="str">
        <f t="shared" ref="JT24:JT41" si="8">IF(SUM(IP24:IU24)&gt;0,ROW(),"")</f>
        <v/>
      </c>
      <c r="JU24" s="6" t="str">
        <f t="shared" ref="JU24:JU41" si="9">IF(SUM(IV24:JA24)&gt;0,ROW(),"")</f>
        <v/>
      </c>
    </row>
    <row r="25" spans="1:281" x14ac:dyDescent="0.35">
      <c r="A25" s="34">
        <f>IF(B25="","",IF(MOD(ROW(A23),1),"",COUNT(A$4:A24)+1))</f>
        <v>3</v>
      </c>
      <c r="B25" s="35" t="s">
        <v>133</v>
      </c>
      <c r="C25" s="31"/>
      <c r="D25" s="76" t="s">
        <v>5</v>
      </c>
      <c r="E25" s="25">
        <v>43299</v>
      </c>
      <c r="F25" s="26">
        <v>0.18055555555555555</v>
      </c>
      <c r="G25" s="7">
        <v>2080</v>
      </c>
      <c r="H25" s="25">
        <v>43303</v>
      </c>
      <c r="I25" s="26">
        <v>0.52083333333333337</v>
      </c>
      <c r="J25" s="7">
        <v>2247</v>
      </c>
      <c r="K25" s="18">
        <f>IF(H25&gt;0,(H25+I25)-(E25+F25)," ")</f>
        <v>4.3402777777810115</v>
      </c>
      <c r="L25" s="18">
        <v>1.84375</v>
      </c>
      <c r="M25" s="19">
        <f t="shared" si="0"/>
        <v>167</v>
      </c>
      <c r="N25" s="7"/>
      <c r="O25" s="7"/>
      <c r="P25" s="9">
        <v>1.84375</v>
      </c>
      <c r="Q25" s="9">
        <v>3.1805555555555554</v>
      </c>
      <c r="W25" s="7">
        <v>1</v>
      </c>
      <c r="AS25" s="7">
        <v>1</v>
      </c>
      <c r="BE25" s="7">
        <v>1</v>
      </c>
      <c r="BF25" s="7">
        <v>1</v>
      </c>
      <c r="DM25" s="7">
        <v>1</v>
      </c>
      <c r="FJ25" s="7">
        <v>1</v>
      </c>
      <c r="FK25" s="7">
        <v>1</v>
      </c>
      <c r="FM25" s="7">
        <v>1</v>
      </c>
      <c r="JM25" s="6">
        <f t="shared" si="2"/>
        <v>25</v>
      </c>
      <c r="JN25" s="6">
        <f t="shared" si="1"/>
        <v>25</v>
      </c>
      <c r="JO25" s="6">
        <f t="shared" si="3"/>
        <v>25</v>
      </c>
      <c r="JP25" s="6">
        <f t="shared" si="4"/>
        <v>25</v>
      </c>
      <c r="JQ25" s="6">
        <f t="shared" si="5"/>
        <v>25</v>
      </c>
      <c r="JR25" s="6" t="str">
        <f t="shared" si="6"/>
        <v/>
      </c>
      <c r="JS25" s="6" t="str">
        <f t="shared" si="7"/>
        <v/>
      </c>
      <c r="JT25" s="6" t="str">
        <f t="shared" si="8"/>
        <v/>
      </c>
      <c r="JU25" s="6" t="str">
        <f t="shared" si="9"/>
        <v/>
      </c>
    </row>
    <row r="26" spans="1:281" x14ac:dyDescent="0.35">
      <c r="A26" s="34">
        <f>IF(B26="","",IF(MOD(ROW(A24),1),"",COUNT(A$4:A25)+1))</f>
        <v>4</v>
      </c>
      <c r="B26" s="35" t="s">
        <v>134</v>
      </c>
      <c r="C26" s="31"/>
      <c r="D26" s="76" t="s">
        <v>5</v>
      </c>
      <c r="E26" s="25">
        <v>43311</v>
      </c>
      <c r="F26" s="26">
        <v>0.4826388888888889</v>
      </c>
      <c r="G26" s="7">
        <v>1774</v>
      </c>
      <c r="H26" s="25">
        <v>43317</v>
      </c>
      <c r="I26" s="26">
        <v>0.5</v>
      </c>
      <c r="J26" s="6">
        <v>2008.7</v>
      </c>
      <c r="K26" s="18">
        <f>IF(H26&gt;0,(H26+I26)-(E26+F26)," ")</f>
        <v>6.0173611111094942</v>
      </c>
      <c r="L26" s="18">
        <v>3.1041666666666665</v>
      </c>
      <c r="M26" s="19">
        <f t="shared" si="0"/>
        <v>234.70000000000005</v>
      </c>
      <c r="N26" s="7"/>
      <c r="O26" s="7"/>
      <c r="P26" s="18">
        <f t="shared" ref="P26:P32" si="10">L26</f>
        <v>3.1041666666666665</v>
      </c>
      <c r="Q26" s="9">
        <v>5.395833333333333</v>
      </c>
      <c r="W26" s="7">
        <v>1</v>
      </c>
      <c r="AS26" s="7">
        <v>1</v>
      </c>
      <c r="BE26" s="7">
        <v>1</v>
      </c>
      <c r="BF26" s="7">
        <v>1</v>
      </c>
      <c r="DM26" s="7">
        <v>1</v>
      </c>
      <c r="FJ26" s="7">
        <v>1</v>
      </c>
      <c r="FK26" s="7">
        <v>1</v>
      </c>
      <c r="JM26" s="6">
        <f t="shared" si="2"/>
        <v>26</v>
      </c>
      <c r="JN26" s="6">
        <f t="shared" si="1"/>
        <v>26</v>
      </c>
      <c r="JO26" s="6">
        <f t="shared" si="3"/>
        <v>26</v>
      </c>
      <c r="JP26" s="6">
        <f t="shared" si="4"/>
        <v>26</v>
      </c>
      <c r="JQ26" s="6">
        <f t="shared" si="5"/>
        <v>26</v>
      </c>
      <c r="JR26" s="6" t="str">
        <f t="shared" si="6"/>
        <v/>
      </c>
      <c r="JS26" s="6" t="str">
        <f t="shared" si="7"/>
        <v/>
      </c>
      <c r="JT26" s="6" t="str">
        <f t="shared" si="8"/>
        <v/>
      </c>
      <c r="JU26" s="6" t="str">
        <f t="shared" si="9"/>
        <v/>
      </c>
    </row>
    <row r="27" spans="1:281" x14ac:dyDescent="0.35">
      <c r="A27" s="34">
        <f>IF(B27="","",IF(MOD(ROW(A25),1),"",COUNT(A$4:A26)+1))</f>
        <v>5</v>
      </c>
      <c r="B27" s="35" t="s">
        <v>135</v>
      </c>
      <c r="C27" s="31"/>
      <c r="D27" s="76" t="s">
        <v>5</v>
      </c>
      <c r="E27" s="25">
        <v>43325</v>
      </c>
      <c r="F27" s="26">
        <v>0.6875</v>
      </c>
      <c r="G27" s="7">
        <v>3430</v>
      </c>
      <c r="H27" s="25">
        <v>43344</v>
      </c>
      <c r="I27" s="27">
        <v>0.33333333333333331</v>
      </c>
      <c r="J27" s="7">
        <v>3660</v>
      </c>
      <c r="K27" s="18">
        <f>IF(H27&gt;0,(H27+I27)-(E27+F27)," ")</f>
        <v>18.645833333335759</v>
      </c>
      <c r="L27" s="18">
        <v>10.897916666666667</v>
      </c>
      <c r="M27" s="19">
        <f t="shared" si="0"/>
        <v>230</v>
      </c>
      <c r="N27" s="7"/>
      <c r="O27" s="7"/>
      <c r="P27" s="18">
        <f t="shared" si="10"/>
        <v>10.897916666666667</v>
      </c>
      <c r="Q27" s="18">
        <v>17.229166666666668</v>
      </c>
      <c r="R27" s="7">
        <v>1</v>
      </c>
      <c r="AO27" s="7">
        <v>1</v>
      </c>
      <c r="BS27" s="7">
        <v>1</v>
      </c>
      <c r="BT27" s="7">
        <v>1</v>
      </c>
      <c r="CW27" s="7">
        <v>1</v>
      </c>
      <c r="FK27" s="7">
        <v>1</v>
      </c>
      <c r="FN27" s="7">
        <v>1</v>
      </c>
      <c r="JM27" s="6">
        <f t="shared" si="2"/>
        <v>27</v>
      </c>
      <c r="JN27" s="6">
        <f t="shared" si="1"/>
        <v>27</v>
      </c>
      <c r="JO27" s="6">
        <f t="shared" si="3"/>
        <v>27</v>
      </c>
      <c r="JP27" s="6">
        <f t="shared" si="4"/>
        <v>27</v>
      </c>
      <c r="JQ27" s="6">
        <f t="shared" si="5"/>
        <v>27</v>
      </c>
      <c r="JR27" s="6" t="str">
        <f t="shared" si="6"/>
        <v/>
      </c>
      <c r="JS27" s="6" t="str">
        <f t="shared" si="7"/>
        <v/>
      </c>
      <c r="JT27" s="6" t="str">
        <f t="shared" si="8"/>
        <v/>
      </c>
      <c r="JU27" s="6" t="str">
        <f t="shared" si="9"/>
        <v/>
      </c>
    </row>
    <row r="28" spans="1:281" x14ac:dyDescent="0.35">
      <c r="A28" s="34">
        <f>IF(B28="","",IF(MOD(ROW(A26),1),"",COUNT(A$4:A27)+1))</f>
        <v>6</v>
      </c>
      <c r="B28" s="35" t="s">
        <v>136</v>
      </c>
      <c r="C28" s="31"/>
      <c r="D28" s="76" t="s">
        <v>5</v>
      </c>
      <c r="E28" s="25">
        <v>43359</v>
      </c>
      <c r="F28" s="26">
        <v>0.39583333333333331</v>
      </c>
      <c r="G28" s="7">
        <v>3095</v>
      </c>
      <c r="H28" s="25">
        <v>43375</v>
      </c>
      <c r="I28" s="26">
        <v>0.44444444444444442</v>
      </c>
      <c r="J28" s="7">
        <v>3314.8</v>
      </c>
      <c r="K28" s="18">
        <f t="shared" ref="K28:K40" si="11">IF(H28&gt;0,(H28+I28)-(E28+F28)," ")</f>
        <v>16.048611111109494</v>
      </c>
      <c r="L28" s="18">
        <v>11.78125</v>
      </c>
      <c r="M28" s="19">
        <f t="shared" si="0"/>
        <v>219.80000000000018</v>
      </c>
      <c r="N28" s="7"/>
      <c r="O28" s="7"/>
      <c r="P28" s="18">
        <f t="shared" si="10"/>
        <v>11.78125</v>
      </c>
      <c r="Q28" s="18">
        <v>22.243055555555557</v>
      </c>
      <c r="R28" s="7">
        <v>1</v>
      </c>
      <c r="AO28" s="7">
        <v>1</v>
      </c>
      <c r="BE28" s="7">
        <v>1</v>
      </c>
      <c r="BF28" s="7">
        <v>1</v>
      </c>
      <c r="DM28" s="7">
        <v>1</v>
      </c>
      <c r="FN28" s="7">
        <v>1</v>
      </c>
      <c r="FX28" s="7">
        <v>1</v>
      </c>
      <c r="JM28" s="6">
        <f t="shared" si="2"/>
        <v>28</v>
      </c>
      <c r="JN28" s="6">
        <f t="shared" si="1"/>
        <v>28</v>
      </c>
      <c r="JO28" s="6">
        <f t="shared" si="3"/>
        <v>28</v>
      </c>
      <c r="JP28" s="6">
        <f t="shared" si="4"/>
        <v>28</v>
      </c>
      <c r="JQ28" s="6">
        <f t="shared" si="5"/>
        <v>28</v>
      </c>
      <c r="JR28" s="6" t="str">
        <f t="shared" si="6"/>
        <v/>
      </c>
      <c r="JS28" s="6" t="str">
        <f t="shared" si="7"/>
        <v/>
      </c>
      <c r="JT28" s="6" t="str">
        <f t="shared" si="8"/>
        <v/>
      </c>
      <c r="JU28" s="6" t="str">
        <f t="shared" si="9"/>
        <v/>
      </c>
    </row>
    <row r="29" spans="1:281" x14ac:dyDescent="0.35">
      <c r="A29" s="34">
        <f>IF(B29="","",IF(MOD(ROW(A27),1),"",COUNT(A$4:A28)+1))</f>
        <v>7</v>
      </c>
      <c r="B29" s="35" t="s">
        <v>137</v>
      </c>
      <c r="C29" s="31"/>
      <c r="D29" s="76" t="s">
        <v>5</v>
      </c>
      <c r="E29" s="25">
        <v>43376</v>
      </c>
      <c r="F29" s="26">
        <v>6.25E-2</v>
      </c>
      <c r="G29" s="7">
        <v>3188.9</v>
      </c>
      <c r="H29" s="25">
        <v>43386</v>
      </c>
      <c r="I29" s="26">
        <v>0.33333333333333331</v>
      </c>
      <c r="J29" s="28">
        <v>3314.8</v>
      </c>
      <c r="K29" s="18">
        <f t="shared" si="11"/>
        <v>10.270833333335759</v>
      </c>
      <c r="L29" s="18">
        <v>5.2791666666666668</v>
      </c>
      <c r="M29" s="19">
        <f t="shared" si="0"/>
        <v>125.90000000000009</v>
      </c>
      <c r="N29" s="7"/>
      <c r="O29" s="7"/>
      <c r="P29" s="18">
        <f t="shared" si="10"/>
        <v>5.2791666666666668</v>
      </c>
      <c r="Q29" s="18"/>
      <c r="S29" s="7">
        <v>1</v>
      </c>
      <c r="JM29" s="6">
        <f t="shared" si="2"/>
        <v>29</v>
      </c>
      <c r="JN29" s="6" t="str">
        <f t="shared" si="1"/>
        <v/>
      </c>
      <c r="JO29" s="6" t="str">
        <f t="shared" si="3"/>
        <v/>
      </c>
      <c r="JP29" s="6" t="str">
        <f t="shared" si="4"/>
        <v/>
      </c>
      <c r="JQ29" s="6" t="str">
        <f t="shared" si="5"/>
        <v/>
      </c>
      <c r="JR29" s="6" t="str">
        <f t="shared" si="6"/>
        <v/>
      </c>
      <c r="JS29" s="6" t="str">
        <f t="shared" si="7"/>
        <v/>
      </c>
      <c r="JT29" s="6" t="str">
        <f t="shared" si="8"/>
        <v/>
      </c>
      <c r="JU29" s="6" t="str">
        <f t="shared" si="9"/>
        <v/>
      </c>
    </row>
    <row r="30" spans="1:281" x14ac:dyDescent="0.35">
      <c r="A30" s="34">
        <f>IF(B30="","",IF(MOD(ROW(A28),1),"",COUNT(A$4:A29)+1))</f>
        <v>8</v>
      </c>
      <c r="B30" s="35" t="s">
        <v>138</v>
      </c>
      <c r="C30" s="31"/>
      <c r="D30" s="76" t="s">
        <v>5</v>
      </c>
      <c r="E30" s="25">
        <v>43389</v>
      </c>
      <c r="F30" s="26">
        <v>0.34583333333333338</v>
      </c>
      <c r="G30" s="7">
        <v>2055.4</v>
      </c>
      <c r="H30" s="25">
        <v>43398</v>
      </c>
      <c r="I30" s="26">
        <v>0.16666666666666666</v>
      </c>
      <c r="J30" s="7">
        <v>2163.5</v>
      </c>
      <c r="K30" s="18">
        <f t="shared" si="11"/>
        <v>8.8208333333313931</v>
      </c>
      <c r="L30" s="9">
        <v>4.7638888888888884</v>
      </c>
      <c r="M30" s="19">
        <f t="shared" si="0"/>
        <v>108.09999999999991</v>
      </c>
      <c r="N30" s="7"/>
      <c r="P30" s="18">
        <f t="shared" si="10"/>
        <v>4.7638888888888884</v>
      </c>
      <c r="Q30" s="9">
        <v>9.125</v>
      </c>
      <c r="S30" s="7">
        <v>1</v>
      </c>
      <c r="AO30" s="7">
        <v>1</v>
      </c>
      <c r="BE30" s="7">
        <v>1</v>
      </c>
      <c r="BF30" s="7">
        <v>1</v>
      </c>
      <c r="DM30" s="7">
        <v>1</v>
      </c>
      <c r="FV30" s="7">
        <v>1</v>
      </c>
      <c r="FX30" s="7">
        <v>1</v>
      </c>
      <c r="JM30" s="6">
        <f t="shared" si="2"/>
        <v>30</v>
      </c>
      <c r="JN30" s="6">
        <f t="shared" si="1"/>
        <v>30</v>
      </c>
      <c r="JO30" s="6">
        <f t="shared" si="3"/>
        <v>30</v>
      </c>
      <c r="JP30" s="6">
        <f t="shared" si="4"/>
        <v>30</v>
      </c>
      <c r="JQ30" s="6">
        <f t="shared" si="5"/>
        <v>30</v>
      </c>
      <c r="JR30" s="6" t="str">
        <f t="shared" si="6"/>
        <v/>
      </c>
      <c r="JS30" s="6" t="str">
        <f t="shared" si="7"/>
        <v/>
      </c>
      <c r="JT30" s="6" t="str">
        <f t="shared" si="8"/>
        <v/>
      </c>
      <c r="JU30" s="6" t="str">
        <f t="shared" si="9"/>
        <v/>
      </c>
    </row>
    <row r="31" spans="1:281" x14ac:dyDescent="0.35">
      <c r="A31" s="34">
        <f>IF(B31="","",IF(MOD(ROW(A29),1),"",COUNT(A$4:A30)+1))</f>
        <v>9</v>
      </c>
      <c r="B31" s="35" t="s">
        <v>139</v>
      </c>
      <c r="C31" s="31"/>
      <c r="D31" s="76" t="s">
        <v>5</v>
      </c>
      <c r="E31" s="25">
        <v>43393</v>
      </c>
      <c r="F31" s="26">
        <v>0.33333333333333331</v>
      </c>
      <c r="G31" s="7">
        <v>3380</v>
      </c>
      <c r="H31" s="25">
        <v>43402</v>
      </c>
      <c r="I31" s="26">
        <v>0.33333333333333331</v>
      </c>
      <c r="J31" s="7">
        <v>3521.7</v>
      </c>
      <c r="K31" s="18">
        <f t="shared" si="11"/>
        <v>9</v>
      </c>
      <c r="L31" s="18">
        <v>5.770833333333333</v>
      </c>
      <c r="M31" s="19">
        <f t="shared" si="0"/>
        <v>141.69999999999982</v>
      </c>
      <c r="O31" s="7"/>
      <c r="P31" s="18">
        <f t="shared" si="10"/>
        <v>5.770833333333333</v>
      </c>
      <c r="Q31" s="9">
        <v>8.0833333333333339</v>
      </c>
      <c r="R31" s="7">
        <v>1</v>
      </c>
      <c r="AP31" s="7">
        <v>1</v>
      </c>
      <c r="BS31" s="7">
        <v>1</v>
      </c>
      <c r="BT31" s="7">
        <v>1</v>
      </c>
      <c r="CW31" s="7">
        <v>1</v>
      </c>
      <c r="GA31" s="7">
        <v>1</v>
      </c>
      <c r="GB31" s="7">
        <v>1</v>
      </c>
      <c r="JM31" s="6">
        <f t="shared" si="2"/>
        <v>31</v>
      </c>
      <c r="JN31" s="6">
        <f t="shared" si="1"/>
        <v>31</v>
      </c>
      <c r="JO31" s="6">
        <f t="shared" si="3"/>
        <v>31</v>
      </c>
      <c r="JP31" s="6">
        <f t="shared" si="4"/>
        <v>31</v>
      </c>
      <c r="JQ31" s="6">
        <f t="shared" si="5"/>
        <v>31</v>
      </c>
      <c r="JR31" s="6" t="str">
        <f t="shared" si="6"/>
        <v/>
      </c>
      <c r="JS31" s="6" t="str">
        <f t="shared" si="7"/>
        <v/>
      </c>
      <c r="JT31" s="6" t="str">
        <f t="shared" si="8"/>
        <v/>
      </c>
      <c r="JU31" s="6" t="str">
        <f t="shared" si="9"/>
        <v/>
      </c>
    </row>
    <row r="32" spans="1:281" x14ac:dyDescent="0.35">
      <c r="A32" s="34">
        <f>IF(B32="","",IF(MOD(ROW(A30),1),"",COUNT(A$4:A31)+1))</f>
        <v>10</v>
      </c>
      <c r="B32" s="35" t="s">
        <v>140</v>
      </c>
      <c r="C32" s="31"/>
      <c r="D32" s="76" t="s">
        <v>5</v>
      </c>
      <c r="E32" s="25">
        <v>43407</v>
      </c>
      <c r="F32" s="26">
        <v>0.33333333333333331</v>
      </c>
      <c r="G32" s="7">
        <v>3073</v>
      </c>
      <c r="H32" s="25">
        <v>43418</v>
      </c>
      <c r="I32" s="26">
        <v>0</v>
      </c>
      <c r="J32" s="7">
        <v>3296</v>
      </c>
      <c r="K32" s="18">
        <f t="shared" si="11"/>
        <v>10.666666666664241</v>
      </c>
      <c r="L32" s="18">
        <v>6.6486111111111112</v>
      </c>
      <c r="M32" s="19">
        <f t="shared" si="0"/>
        <v>223</v>
      </c>
      <c r="N32" s="7"/>
      <c r="O32" s="7"/>
      <c r="P32" s="18">
        <f t="shared" si="10"/>
        <v>6.6486111111111112</v>
      </c>
      <c r="Q32" s="9">
        <v>9.8958333333333339</v>
      </c>
      <c r="R32" s="7">
        <v>1</v>
      </c>
      <c r="AP32" s="7">
        <v>1</v>
      </c>
      <c r="BT32" s="7">
        <v>1</v>
      </c>
      <c r="BU32" s="7">
        <v>1</v>
      </c>
      <c r="CW32" s="7">
        <v>1</v>
      </c>
      <c r="GA32" s="7">
        <v>1</v>
      </c>
      <c r="GB32" s="7">
        <v>1</v>
      </c>
      <c r="JM32" s="6">
        <f t="shared" si="2"/>
        <v>32</v>
      </c>
      <c r="JN32" s="6">
        <f t="shared" si="1"/>
        <v>32</v>
      </c>
      <c r="JO32" s="6">
        <f t="shared" si="3"/>
        <v>32</v>
      </c>
      <c r="JP32" s="6">
        <f t="shared" si="4"/>
        <v>32</v>
      </c>
      <c r="JQ32" s="6">
        <f t="shared" si="5"/>
        <v>32</v>
      </c>
      <c r="JR32" s="6" t="str">
        <f t="shared" si="6"/>
        <v/>
      </c>
      <c r="JS32" s="6" t="str">
        <f t="shared" si="7"/>
        <v/>
      </c>
      <c r="JT32" s="6" t="str">
        <f t="shared" si="8"/>
        <v/>
      </c>
      <c r="JU32" s="6" t="str">
        <f t="shared" si="9"/>
        <v/>
      </c>
    </row>
    <row r="33" spans="1:281" ht="24" customHeight="1" x14ac:dyDescent="0.35">
      <c r="A33" s="34">
        <f>IF(B33="","",IF(MOD(ROW(A31),1),"",COUNT(A$4:A32)+1))</f>
        <v>11</v>
      </c>
      <c r="B33" s="35" t="s">
        <v>141</v>
      </c>
      <c r="C33" s="31"/>
      <c r="D33" s="76" t="s">
        <v>5</v>
      </c>
      <c r="E33" s="25">
        <v>43432</v>
      </c>
      <c r="F33" s="26">
        <v>0.33333333333333331</v>
      </c>
      <c r="G33" s="7">
        <v>3545</v>
      </c>
      <c r="H33" s="25">
        <v>43447</v>
      </c>
      <c r="I33" s="26">
        <v>0.53125</v>
      </c>
      <c r="J33" s="7">
        <v>3623.1</v>
      </c>
      <c r="K33" s="18">
        <f t="shared" si="11"/>
        <v>15.197916666664241</v>
      </c>
      <c r="L33" s="18">
        <v>8.7430555555555554</v>
      </c>
      <c r="M33" s="19">
        <f t="shared" si="0"/>
        <v>78.099999999999909</v>
      </c>
      <c r="N33" s="7" t="s">
        <v>72</v>
      </c>
      <c r="O33" s="14" t="s">
        <v>74</v>
      </c>
      <c r="P33" s="18">
        <f>L33</f>
        <v>8.7430555555555554</v>
      </c>
      <c r="Q33" s="18">
        <v>15.076388888888888</v>
      </c>
      <c r="S33" s="7">
        <v>1</v>
      </c>
      <c r="AO33" s="7">
        <v>1</v>
      </c>
      <c r="BE33" s="7">
        <v>1</v>
      </c>
      <c r="BF33" s="7">
        <v>1</v>
      </c>
      <c r="DM33" s="7">
        <v>1</v>
      </c>
      <c r="FV33" s="7">
        <v>1</v>
      </c>
      <c r="FX33" s="7">
        <v>1</v>
      </c>
      <c r="JM33" s="6">
        <f t="shared" si="2"/>
        <v>33</v>
      </c>
      <c r="JN33" s="6">
        <f t="shared" si="1"/>
        <v>33</v>
      </c>
      <c r="JO33" s="6">
        <f t="shared" si="3"/>
        <v>33</v>
      </c>
      <c r="JP33" s="6">
        <f t="shared" si="4"/>
        <v>33</v>
      </c>
      <c r="JQ33" s="6">
        <f t="shared" si="5"/>
        <v>33</v>
      </c>
      <c r="JR33" s="6" t="str">
        <f t="shared" si="6"/>
        <v/>
      </c>
      <c r="JS33" s="6" t="str">
        <f t="shared" si="7"/>
        <v/>
      </c>
      <c r="JT33" s="6" t="str">
        <f t="shared" si="8"/>
        <v/>
      </c>
      <c r="JU33" s="6" t="str">
        <f t="shared" si="9"/>
        <v/>
      </c>
    </row>
    <row r="34" spans="1:281" ht="24" customHeight="1" x14ac:dyDescent="0.35">
      <c r="A34" s="34">
        <f>IF(B34="","",IF(MOD(ROW(A32),1),"",COUNT(A$4:A33)+1))</f>
        <v>12</v>
      </c>
      <c r="B34" s="35" t="s">
        <v>142</v>
      </c>
      <c r="C34" s="31"/>
      <c r="D34" s="76" t="s">
        <v>5</v>
      </c>
      <c r="E34" s="25">
        <v>43447</v>
      </c>
      <c r="F34" s="26">
        <v>0.53125</v>
      </c>
      <c r="G34" s="7">
        <v>3623.1</v>
      </c>
      <c r="H34" s="25">
        <v>43451</v>
      </c>
      <c r="I34" s="26">
        <v>0.75</v>
      </c>
      <c r="J34" s="7">
        <v>3679.3</v>
      </c>
      <c r="K34" s="18">
        <f t="shared" si="11"/>
        <v>4.21875</v>
      </c>
      <c r="L34" s="18">
        <v>2.3784722222222223</v>
      </c>
      <c r="M34" s="19"/>
      <c r="N34" s="7"/>
      <c r="O34" s="14"/>
      <c r="P34" s="18">
        <f t="shared" ref="P34:P35" si="12">L34</f>
        <v>2.3784722222222223</v>
      </c>
      <c r="Q34" s="18"/>
      <c r="W34" s="7">
        <v>1</v>
      </c>
      <c r="GE34" s="7">
        <v>1</v>
      </c>
      <c r="JM34" s="6">
        <f t="shared" si="2"/>
        <v>34</v>
      </c>
      <c r="JN34" s="6" t="str">
        <f t="shared" si="1"/>
        <v/>
      </c>
      <c r="JO34" s="6" t="str">
        <f t="shared" si="3"/>
        <v/>
      </c>
      <c r="JP34" s="6" t="str">
        <f t="shared" si="4"/>
        <v/>
      </c>
      <c r="JQ34" s="6">
        <f t="shared" si="5"/>
        <v>34</v>
      </c>
      <c r="JR34" s="6" t="str">
        <f t="shared" si="6"/>
        <v/>
      </c>
      <c r="JS34" s="6" t="str">
        <f t="shared" si="7"/>
        <v/>
      </c>
      <c r="JT34" s="6" t="str">
        <f t="shared" si="8"/>
        <v/>
      </c>
      <c r="JU34" s="6" t="str">
        <f t="shared" si="9"/>
        <v/>
      </c>
    </row>
    <row r="35" spans="1:281" ht="24" customHeight="1" x14ac:dyDescent="0.35">
      <c r="A35" s="34">
        <f>IF(B35="","",IF(MOD(ROW(A33),1),"",COUNT(A$4:A34)+1))</f>
        <v>13</v>
      </c>
      <c r="B35" s="35" t="s">
        <v>143</v>
      </c>
      <c r="C35" s="31"/>
      <c r="D35" s="76" t="s">
        <v>5</v>
      </c>
      <c r="E35" s="25">
        <v>43428</v>
      </c>
      <c r="F35" s="26">
        <v>0.33333333333333331</v>
      </c>
      <c r="G35" s="7">
        <v>4005.6</v>
      </c>
      <c r="H35" s="25">
        <v>43436</v>
      </c>
      <c r="I35" s="26">
        <v>0.33333333333333331</v>
      </c>
      <c r="J35" s="7">
        <v>4161.5</v>
      </c>
      <c r="K35" s="18">
        <f t="shared" si="11"/>
        <v>8</v>
      </c>
      <c r="L35" s="18">
        <v>3.223611111111111</v>
      </c>
      <c r="M35" s="19">
        <f>IF(J35&gt;0,J35-G35," ")</f>
        <v>155.90000000000009</v>
      </c>
      <c r="N35" s="7"/>
      <c r="O35" s="29"/>
      <c r="P35" s="18">
        <f t="shared" si="12"/>
        <v>3.223611111111111</v>
      </c>
      <c r="Q35" s="18">
        <v>10.1875</v>
      </c>
      <c r="R35" s="7">
        <v>1</v>
      </c>
      <c r="AP35" s="7">
        <v>1</v>
      </c>
      <c r="BT35" s="7">
        <v>1</v>
      </c>
      <c r="BU35" s="7">
        <v>1</v>
      </c>
      <c r="CW35" s="7">
        <v>1</v>
      </c>
      <c r="GA35" s="7">
        <v>1</v>
      </c>
      <c r="GB35" s="7">
        <v>1</v>
      </c>
      <c r="JM35" s="6">
        <f t="shared" si="2"/>
        <v>35</v>
      </c>
      <c r="JN35" s="6">
        <f t="shared" si="1"/>
        <v>35</v>
      </c>
      <c r="JO35" s="6">
        <f t="shared" si="3"/>
        <v>35</v>
      </c>
      <c r="JP35" s="6">
        <f t="shared" si="4"/>
        <v>35</v>
      </c>
      <c r="JQ35" s="6">
        <f t="shared" si="5"/>
        <v>35</v>
      </c>
      <c r="JR35" s="6" t="str">
        <f t="shared" si="6"/>
        <v/>
      </c>
      <c r="JS35" s="6" t="str">
        <f t="shared" si="7"/>
        <v/>
      </c>
      <c r="JT35" s="6" t="str">
        <f t="shared" si="8"/>
        <v/>
      </c>
      <c r="JU35" s="6" t="str">
        <f t="shared" si="9"/>
        <v/>
      </c>
    </row>
    <row r="36" spans="1:281" x14ac:dyDescent="0.35">
      <c r="A36" s="34">
        <f>IF(B36="","",IF(MOD(ROW(A34),1),"",COUNT(A$4:A35)+1))</f>
        <v>14</v>
      </c>
      <c r="B36" s="35" t="s">
        <v>144</v>
      </c>
      <c r="C36" s="31"/>
      <c r="D36" s="76" t="s">
        <v>5</v>
      </c>
      <c r="E36" s="25">
        <v>43471</v>
      </c>
      <c r="F36" s="26">
        <v>0.35416666666666669</v>
      </c>
      <c r="G36" s="7">
        <v>3400.7</v>
      </c>
      <c r="H36" s="25">
        <v>43490</v>
      </c>
      <c r="I36" s="26">
        <v>0.33333333333333331</v>
      </c>
      <c r="J36" s="7">
        <v>3663.8</v>
      </c>
      <c r="K36" s="18">
        <f t="shared" si="11"/>
        <v>18.979166666671517</v>
      </c>
      <c r="L36" s="18">
        <v>8.3125</v>
      </c>
      <c r="M36" s="19">
        <f t="shared" ref="M36:M38" si="13">IF(J36&gt;0,J36-G36," ")</f>
        <v>263.10000000000036</v>
      </c>
      <c r="N36" s="7"/>
      <c r="O36" s="7"/>
      <c r="P36" s="18">
        <f>L36</f>
        <v>8.3125</v>
      </c>
      <c r="Q36" s="18">
        <v>15.6875</v>
      </c>
      <c r="T36" s="7">
        <v>1</v>
      </c>
      <c r="AP36" s="7">
        <v>1</v>
      </c>
      <c r="BT36" s="7">
        <v>1</v>
      </c>
      <c r="BU36" s="7">
        <v>1</v>
      </c>
      <c r="CW36" s="7">
        <v>1</v>
      </c>
      <c r="EV36" s="7">
        <v>1</v>
      </c>
      <c r="GB36" s="7">
        <v>1</v>
      </c>
      <c r="GF36" s="7">
        <v>1</v>
      </c>
      <c r="JB36" s="7">
        <v>1</v>
      </c>
      <c r="JL36" s="7">
        <v>1</v>
      </c>
      <c r="JM36" s="6">
        <f t="shared" si="2"/>
        <v>36</v>
      </c>
      <c r="JN36" s="6">
        <f t="shared" si="1"/>
        <v>36</v>
      </c>
      <c r="JO36" s="6">
        <f t="shared" si="3"/>
        <v>36</v>
      </c>
      <c r="JP36" s="6">
        <f t="shared" si="4"/>
        <v>36</v>
      </c>
      <c r="JQ36" s="6">
        <f t="shared" si="5"/>
        <v>36</v>
      </c>
      <c r="JR36" s="6">
        <f t="shared" si="6"/>
        <v>36</v>
      </c>
      <c r="JS36" s="6">
        <f t="shared" si="7"/>
        <v>36</v>
      </c>
      <c r="JT36" s="6" t="str">
        <f t="shared" si="8"/>
        <v/>
      </c>
      <c r="JU36" s="6" t="str">
        <f t="shared" si="9"/>
        <v/>
      </c>
    </row>
    <row r="37" spans="1:281" x14ac:dyDescent="0.35">
      <c r="A37" s="34">
        <f>IF(B37="","",IF(MOD(ROW(A35),1),"",COUNT(A$4:A36)+1))</f>
        <v>15</v>
      </c>
      <c r="B37" s="35" t="s">
        <v>145</v>
      </c>
      <c r="C37" s="31"/>
      <c r="D37" s="76" t="s">
        <v>5</v>
      </c>
      <c r="E37" s="25">
        <v>43469</v>
      </c>
      <c r="F37" s="26">
        <v>0.66666666666666663</v>
      </c>
      <c r="G37" s="7">
        <v>926</v>
      </c>
      <c r="H37" s="25">
        <v>43478</v>
      </c>
      <c r="I37" s="26">
        <v>0.625</v>
      </c>
      <c r="J37" s="7">
        <v>1342.9</v>
      </c>
      <c r="K37" s="18">
        <f t="shared" si="11"/>
        <v>8.9583333333357587</v>
      </c>
      <c r="L37" s="18">
        <v>5.0659722222222223</v>
      </c>
      <c r="M37" s="19">
        <f t="shared" si="13"/>
        <v>416.90000000000009</v>
      </c>
      <c r="P37" s="18">
        <f t="shared" ref="P37:P41" si="14">L37</f>
        <v>5.0659722222222223</v>
      </c>
      <c r="Q37" s="18">
        <v>8.5416666666666661</v>
      </c>
      <c r="S37" s="7">
        <v>1</v>
      </c>
      <c r="AO37" s="7">
        <v>1</v>
      </c>
      <c r="BE37" s="7">
        <v>1</v>
      </c>
      <c r="BF37" s="7">
        <v>1</v>
      </c>
      <c r="DM37" s="7">
        <v>1</v>
      </c>
      <c r="ER37" s="7">
        <v>1</v>
      </c>
      <c r="ES37" s="7">
        <v>1</v>
      </c>
      <c r="FV37" s="7">
        <v>1</v>
      </c>
      <c r="GE37" s="7">
        <v>1</v>
      </c>
      <c r="JC37" s="7">
        <v>1</v>
      </c>
      <c r="JK37" s="7">
        <v>1</v>
      </c>
      <c r="JM37" s="6">
        <f t="shared" si="2"/>
        <v>37</v>
      </c>
      <c r="JN37" s="6">
        <f t="shared" si="1"/>
        <v>37</v>
      </c>
      <c r="JO37" s="6">
        <f t="shared" si="3"/>
        <v>37</v>
      </c>
      <c r="JP37" s="6">
        <f t="shared" si="4"/>
        <v>37</v>
      </c>
      <c r="JQ37" s="6">
        <f t="shared" si="5"/>
        <v>37</v>
      </c>
      <c r="JR37" s="6">
        <f t="shared" si="6"/>
        <v>37</v>
      </c>
      <c r="JS37" s="6">
        <f t="shared" si="7"/>
        <v>37</v>
      </c>
      <c r="JT37" s="6" t="str">
        <f t="shared" si="8"/>
        <v/>
      </c>
      <c r="JU37" s="6" t="str">
        <f t="shared" si="9"/>
        <v/>
      </c>
    </row>
    <row r="38" spans="1:281" x14ac:dyDescent="0.35">
      <c r="A38" s="34">
        <f>IF(B38="","",IF(MOD(ROW(A36),1),"",COUNT(A$4:A37)+1))</f>
        <v>16</v>
      </c>
      <c r="B38" s="35" t="s">
        <v>146</v>
      </c>
      <c r="C38" s="31"/>
      <c r="D38" s="76" t="s">
        <v>5</v>
      </c>
      <c r="E38" s="25">
        <v>43513</v>
      </c>
      <c r="F38" s="27">
        <v>0.5</v>
      </c>
      <c r="G38" s="7">
        <v>3522</v>
      </c>
      <c r="H38" s="25">
        <v>43518</v>
      </c>
      <c r="I38" s="30">
        <v>0.20833333333333334</v>
      </c>
      <c r="J38" s="6">
        <v>3561.1</v>
      </c>
      <c r="K38" s="18">
        <f t="shared" si="11"/>
        <v>4.7083333333357587</v>
      </c>
      <c r="L38" s="18">
        <v>2.7368055555555557</v>
      </c>
      <c r="M38" s="19">
        <f t="shared" si="13"/>
        <v>39.099999999999909</v>
      </c>
      <c r="P38" s="18">
        <f t="shared" si="14"/>
        <v>2.7368055555555557</v>
      </c>
      <c r="Q38" s="18">
        <v>4.791666666666667</v>
      </c>
      <c r="R38" s="7">
        <v>1</v>
      </c>
      <c r="AO38" s="7">
        <v>1</v>
      </c>
      <c r="CH38" s="7">
        <v>1</v>
      </c>
      <c r="CJ38" s="7">
        <v>1</v>
      </c>
      <c r="EE38" s="7">
        <v>1</v>
      </c>
      <c r="ES38" s="7">
        <v>1</v>
      </c>
      <c r="GC38" s="7">
        <v>1</v>
      </c>
      <c r="GE38" s="7">
        <v>1</v>
      </c>
      <c r="JC38" s="7">
        <v>1</v>
      </c>
      <c r="JK38" s="7">
        <v>1</v>
      </c>
      <c r="JM38" s="6">
        <f t="shared" si="2"/>
        <v>38</v>
      </c>
      <c r="JN38" s="6">
        <f t="shared" si="1"/>
        <v>38</v>
      </c>
      <c r="JO38" s="6">
        <f t="shared" si="3"/>
        <v>38</v>
      </c>
      <c r="JP38" s="6">
        <f t="shared" si="4"/>
        <v>38</v>
      </c>
      <c r="JQ38" s="6">
        <f t="shared" si="5"/>
        <v>38</v>
      </c>
      <c r="JR38" s="6">
        <f t="shared" si="6"/>
        <v>38</v>
      </c>
      <c r="JS38" s="6">
        <f t="shared" si="7"/>
        <v>38</v>
      </c>
      <c r="JT38" s="6" t="str">
        <f t="shared" si="8"/>
        <v/>
      </c>
      <c r="JU38" s="6" t="str">
        <f t="shared" si="9"/>
        <v/>
      </c>
    </row>
    <row r="39" spans="1:281" x14ac:dyDescent="0.35">
      <c r="A39" s="34">
        <f>IF(B39="","",IF(MOD(ROW(A37),1),"",COUNT(A$4:A38)+1))</f>
        <v>17</v>
      </c>
      <c r="B39" s="35" t="s">
        <v>147</v>
      </c>
      <c r="C39" s="31"/>
      <c r="D39" s="76" t="s">
        <v>5</v>
      </c>
      <c r="E39" s="25">
        <v>43522</v>
      </c>
      <c r="F39" s="27">
        <v>0.16666666666666666</v>
      </c>
      <c r="G39" s="7">
        <v>4143.5</v>
      </c>
      <c r="H39" s="25">
        <v>43533</v>
      </c>
      <c r="I39" s="30">
        <v>0.125</v>
      </c>
      <c r="J39" s="6">
        <v>4198</v>
      </c>
      <c r="K39" s="18">
        <f t="shared" si="11"/>
        <v>10.958333333335759</v>
      </c>
      <c r="L39" s="18">
        <v>7.541666666666667</v>
      </c>
      <c r="M39" s="19">
        <f>IF(J39&gt;0,J39-G39,"0")</f>
        <v>54.5</v>
      </c>
      <c r="P39" s="18">
        <f t="shared" si="14"/>
        <v>7.541666666666667</v>
      </c>
      <c r="Q39" s="18">
        <v>10.736111111111112</v>
      </c>
      <c r="R39" s="7">
        <v>1</v>
      </c>
      <c r="AO39" s="7">
        <v>1</v>
      </c>
      <c r="BT39" s="7">
        <v>1</v>
      </c>
      <c r="CW39" s="7">
        <v>1</v>
      </c>
      <c r="ER39" s="7">
        <v>1</v>
      </c>
      <c r="FV39" s="7">
        <v>1</v>
      </c>
      <c r="GC39" s="7">
        <v>1</v>
      </c>
      <c r="GE39" s="7">
        <v>1</v>
      </c>
      <c r="JB39" s="7">
        <v>1</v>
      </c>
      <c r="JK39" s="7">
        <v>1</v>
      </c>
      <c r="JM39" s="6">
        <f t="shared" si="2"/>
        <v>39</v>
      </c>
      <c r="JN39" s="6">
        <f t="shared" si="1"/>
        <v>39</v>
      </c>
      <c r="JO39" s="6">
        <f t="shared" si="3"/>
        <v>39</v>
      </c>
      <c r="JP39" s="6">
        <f t="shared" si="4"/>
        <v>39</v>
      </c>
      <c r="JQ39" s="6">
        <f t="shared" si="5"/>
        <v>39</v>
      </c>
      <c r="JR39" s="6">
        <f t="shared" si="6"/>
        <v>39</v>
      </c>
      <c r="JS39" s="6">
        <f t="shared" si="7"/>
        <v>39</v>
      </c>
      <c r="JT39" s="6" t="str">
        <f t="shared" si="8"/>
        <v/>
      </c>
      <c r="JU39" s="6" t="str">
        <f t="shared" si="9"/>
        <v/>
      </c>
    </row>
    <row r="40" spans="1:281" x14ac:dyDescent="0.35">
      <c r="A40" s="34">
        <f>IF(B40="","",IF(MOD(ROW(A38),1),"",COUNT(A$4:A39)+1))</f>
        <v>18</v>
      </c>
      <c r="B40" s="35" t="s">
        <v>148</v>
      </c>
      <c r="C40" s="31"/>
      <c r="D40" s="76" t="s">
        <v>5</v>
      </c>
      <c r="E40" s="25">
        <v>43531</v>
      </c>
      <c r="F40" s="27">
        <v>0.22222222222222221</v>
      </c>
      <c r="G40" s="7">
        <v>2828</v>
      </c>
      <c r="H40" s="25">
        <v>43536</v>
      </c>
      <c r="I40" s="30">
        <v>0.16666666666666666</v>
      </c>
      <c r="J40" s="6">
        <v>3104</v>
      </c>
      <c r="K40" s="18">
        <f t="shared" si="11"/>
        <v>4.9444444444452529</v>
      </c>
      <c r="L40" s="18">
        <v>3.9583333333333335</v>
      </c>
      <c r="M40" s="19">
        <f t="shared" ref="M40:M41" si="15">IF(J40&gt;0,J40-G40,"0")</f>
        <v>276</v>
      </c>
      <c r="P40" s="18">
        <f t="shared" si="14"/>
        <v>3.9583333333333335</v>
      </c>
      <c r="Q40" s="18">
        <v>4.9444444444444446</v>
      </c>
      <c r="T40" s="7">
        <v>1</v>
      </c>
      <c r="AP40" s="7">
        <v>1</v>
      </c>
      <c r="BS40" s="7">
        <v>1</v>
      </c>
      <c r="BU40" s="7">
        <v>1</v>
      </c>
      <c r="CZ40" s="7">
        <v>1</v>
      </c>
      <c r="EV40" s="7">
        <v>1</v>
      </c>
      <c r="EW40" s="7">
        <v>1</v>
      </c>
      <c r="FY40" s="7">
        <v>1</v>
      </c>
      <c r="GB40" s="7">
        <v>1</v>
      </c>
      <c r="JC40" s="7">
        <v>1</v>
      </c>
      <c r="JL40" s="7">
        <v>1</v>
      </c>
      <c r="JM40" s="6">
        <f t="shared" si="2"/>
        <v>40</v>
      </c>
      <c r="JN40" s="6">
        <f t="shared" si="1"/>
        <v>40</v>
      </c>
      <c r="JO40" s="6">
        <f t="shared" si="3"/>
        <v>40</v>
      </c>
      <c r="JP40" s="6">
        <f t="shared" si="4"/>
        <v>40</v>
      </c>
      <c r="JQ40" s="6">
        <f t="shared" si="5"/>
        <v>40</v>
      </c>
      <c r="JR40" s="6">
        <f t="shared" si="6"/>
        <v>40</v>
      </c>
      <c r="JS40" s="6">
        <f t="shared" si="7"/>
        <v>40</v>
      </c>
      <c r="JT40" s="6" t="str">
        <f t="shared" si="8"/>
        <v/>
      </c>
      <c r="JU40" s="6" t="str">
        <f t="shared" si="9"/>
        <v/>
      </c>
    </row>
    <row r="41" spans="1:281" x14ac:dyDescent="0.35">
      <c r="A41" s="34">
        <f>IF(B41="","",IF(MOD(ROW(A39),1),"",COUNT(A$4:A40)+1))</f>
        <v>19</v>
      </c>
      <c r="B41" s="35" t="s">
        <v>149</v>
      </c>
      <c r="C41" s="31"/>
      <c r="D41" s="76" t="s">
        <v>5</v>
      </c>
      <c r="K41" s="18"/>
      <c r="L41" s="18"/>
      <c r="M41" s="19" t="str">
        <f t="shared" si="15"/>
        <v>0</v>
      </c>
      <c r="P41" s="18">
        <f t="shared" si="14"/>
        <v>0</v>
      </c>
      <c r="Q41" s="18"/>
      <c r="CT41" s="7">
        <v>1</v>
      </c>
      <c r="JC41" s="7">
        <v>1</v>
      </c>
      <c r="JM41" s="6" t="str">
        <f t="shared" si="2"/>
        <v/>
      </c>
      <c r="JN41" s="6" t="str">
        <f t="shared" si="1"/>
        <v/>
      </c>
      <c r="JO41" s="6">
        <f t="shared" si="3"/>
        <v>41</v>
      </c>
      <c r="JP41" s="6" t="str">
        <f t="shared" si="4"/>
        <v/>
      </c>
      <c r="JQ41" s="6" t="str">
        <f t="shared" si="5"/>
        <v/>
      </c>
      <c r="JR41" s="6" t="str">
        <f t="shared" si="6"/>
        <v/>
      </c>
      <c r="JS41" s="6">
        <f t="shared" si="7"/>
        <v>41</v>
      </c>
      <c r="JT41" s="6" t="str">
        <f t="shared" si="8"/>
        <v/>
      </c>
      <c r="JU41" s="6" t="str">
        <f t="shared" si="9"/>
        <v/>
      </c>
    </row>
  </sheetData>
  <autoFilter ref="A22:DK22"/>
  <mergeCells count="4">
    <mergeCell ref="J17:K17"/>
    <mergeCell ref="M17:N17"/>
    <mergeCell ref="J18:K18"/>
    <mergeCell ref="M18:O18"/>
  </mergeCells>
  <conditionalFormatting sqref="ER22:FI22">
    <cfRule type="expression" dxfId="10" priority="7">
      <formula>$BC22="Тестувати"</formula>
    </cfRule>
    <cfRule type="expression" dxfId="9" priority="8">
      <formula>$BB22="Робочий"</formula>
    </cfRule>
    <cfRule type="expression" dxfId="8" priority="9">
      <formula>$BB22="Не робочий"</formula>
    </cfRule>
  </conditionalFormatting>
  <conditionalFormatting sqref="ET22">
    <cfRule type="expression" dxfId="7" priority="10">
      <formula>#REF!="тестувати"</formula>
    </cfRule>
  </conditionalFormatting>
  <conditionalFormatting sqref="B23:B41">
    <cfRule type="notContainsBlanks" dxfId="6" priority="2">
      <formula>LEN(TRIM(B23))&gt;0</formula>
    </cfRule>
  </conditionalFormatting>
  <conditionalFormatting sqref="BD22:BF22">
    <cfRule type="expression" dxfId="5" priority="6">
      <formula>#REF!="НА БАЗІ"</formula>
    </cfRule>
  </conditionalFormatting>
  <conditionalFormatting sqref="CH22:CJ22">
    <cfRule type="expression" dxfId="4" priority="11">
      <formula>#REF!="НА БАЗІ"</formula>
    </cfRule>
  </conditionalFormatting>
  <conditionalFormatting sqref="DM22:EB22">
    <cfRule type="expression" dxfId="3" priority="13">
      <formula>#REF!="НА БАЗІ"</formula>
    </cfRule>
  </conditionalFormatting>
  <conditionalFormatting sqref="CW22:DL22">
    <cfRule type="expression" dxfId="2" priority="14">
      <formula>#REF!="НА БАЗІ"</formula>
    </cfRule>
  </conditionalFormatting>
  <conditionalFormatting sqref="EC22:EQ22">
    <cfRule type="expression" dxfId="1" priority="15">
      <formula>#REF!="НА БАЗІ"</formula>
    </cfRule>
  </conditionalFormatting>
  <conditionalFormatting sqref="A23:A41">
    <cfRule type="expression" dxfId="0" priority="1">
      <formula>A23&gt;0</formula>
    </cfRule>
  </conditionalFormatting>
  <hyperlinks>
    <hyperlink ref="BD22" location="NMDC!A1" display="NMDC 203001"/>
    <hyperlink ref="BE22" location="NMDC!A1" display="NMDC 203002"/>
    <hyperlink ref="BF22" location="NMDC!A1" display="NMDC 203003"/>
    <hyperlink ref="BS22" location="NMDC!A1" display="NMDC 1338"/>
    <hyperlink ref="BT22" location="NMDC!A1" display="NMDC 1339"/>
    <hyperlink ref="BU22" location="NMDC!A1" display="NMDC 1341"/>
    <hyperlink ref="CH22" location="NMDC!A1" display="NMDC 127001"/>
    <hyperlink ref="CI22" location="NMDC!A1" display="NMDC 127002"/>
    <hyperlink ref="CJ22" location="NMDC!A1" display="NMDC 127003"/>
    <hyperlink ref="BD19:BF19" location="NMDC!A1" display="НОБТ 203мм"/>
    <hyperlink ref="BS19:BU19" location="NMDC!A1" display="НОБТ 171,5 мм"/>
    <hyperlink ref="CH19:CJ19" location="NMDC!A1" display="НОБТ 127 мм"/>
    <hyperlink ref="AO19:BC19" location="Інклінометри!A1" display="Електроніка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32"/>
  <sheetViews>
    <sheetView tabSelected="1" zoomScaleNormal="100" zoomScaleSheetLayoutView="70" workbookViewId="0">
      <pane ySplit="3" topLeftCell="A4" activePane="bottomLeft" state="frozen"/>
      <selection pane="bottomLeft" activeCell="L3" sqref="L3"/>
    </sheetView>
  </sheetViews>
  <sheetFormatPr defaultRowHeight="12.5" x14ac:dyDescent="0.25"/>
  <cols>
    <col min="1" max="1" width="0.1796875" style="38" customWidth="1"/>
    <col min="2" max="2" width="9.1796875" style="38" hidden="1" customWidth="1"/>
    <col min="3" max="3" width="10.6328125" style="38" bestFit="1" customWidth="1"/>
    <col min="4" max="4" width="3.54296875" style="38" customWidth="1"/>
    <col min="5" max="5" width="14.81640625" style="45" customWidth="1"/>
    <col min="6" max="6" width="30.26953125" style="38" customWidth="1"/>
    <col min="7" max="8" width="8.36328125" style="69" customWidth="1"/>
    <col min="9" max="9" width="20.453125" style="38" customWidth="1"/>
    <col min="10" max="10" width="12.90625" style="38" bestFit="1" customWidth="1"/>
    <col min="11" max="11" width="11.1796875" style="38" customWidth="1"/>
    <col min="12" max="12" width="9" style="38" customWidth="1"/>
    <col min="13" max="15" width="11.7265625" style="38" customWidth="1"/>
    <col min="16" max="16" width="12.7265625" style="38" customWidth="1"/>
    <col min="17" max="18" width="11.81640625" style="38" customWidth="1"/>
    <col min="19" max="19" width="15.453125" style="75" customWidth="1"/>
    <col min="20" max="20" width="16.81640625" style="38" customWidth="1"/>
    <col min="21" max="21" width="8.7265625" style="38"/>
    <col min="22" max="22" width="8.81640625" style="38" bestFit="1" customWidth="1"/>
    <col min="23" max="23" width="0.54296875" style="38" customWidth="1"/>
    <col min="24" max="25" width="9.1796875" style="38" hidden="1" customWidth="1"/>
    <col min="26" max="26" width="33" style="38" customWidth="1"/>
    <col min="27" max="27" width="44" style="38" customWidth="1"/>
    <col min="28" max="28" width="20.54296875" style="38" customWidth="1"/>
    <col min="29" max="32" width="8.81640625" style="38" bestFit="1" customWidth="1"/>
    <col min="33" max="33" width="11.453125" style="38" bestFit="1" customWidth="1"/>
    <col min="34" max="38" width="8.81640625" style="38" bestFit="1" customWidth="1"/>
    <col min="39" max="39" width="12.90625" style="38" bestFit="1" customWidth="1"/>
    <col min="40" max="44" width="8.81640625" style="38" bestFit="1" customWidth="1"/>
    <col min="45" max="16384" width="8.7265625" style="38"/>
  </cols>
  <sheetData>
    <row r="1" spans="3:44" ht="25.5" customHeight="1" x14ac:dyDescent="0.3">
      <c r="C1" s="66" t="str">
        <f>E5</f>
        <v>ін.№ 117000009404</v>
      </c>
      <c r="F1" s="46" t="s">
        <v>126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AB1" s="47"/>
    </row>
    <row r="2" spans="3:44" ht="72.75" customHeight="1" x14ac:dyDescent="0.25">
      <c r="E2" s="37" t="s">
        <v>17</v>
      </c>
      <c r="F2" s="36" t="s">
        <v>16</v>
      </c>
      <c r="G2" s="48" t="s">
        <v>15</v>
      </c>
      <c r="H2" s="48"/>
      <c r="I2" s="36" t="s">
        <v>30</v>
      </c>
      <c r="J2" s="36" t="s">
        <v>14</v>
      </c>
      <c r="K2" s="36" t="s">
        <v>10</v>
      </c>
      <c r="L2" s="36" t="s">
        <v>33</v>
      </c>
      <c r="M2" s="36" t="s">
        <v>34</v>
      </c>
      <c r="N2" s="36" t="s">
        <v>36</v>
      </c>
      <c r="O2" s="36" t="s">
        <v>35</v>
      </c>
      <c r="P2" s="36" t="s">
        <v>31</v>
      </c>
      <c r="Q2" s="49" t="s">
        <v>32</v>
      </c>
      <c r="R2" s="49" t="s">
        <v>41</v>
      </c>
      <c r="S2" s="50" t="s">
        <v>42</v>
      </c>
      <c r="T2" s="51" t="s">
        <v>44</v>
      </c>
      <c r="AA2" s="36" t="s">
        <v>127</v>
      </c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3:44" ht="15.5" x14ac:dyDescent="0.25">
      <c r="E3" s="37">
        <v>1</v>
      </c>
      <c r="F3" s="37">
        <v>2</v>
      </c>
      <c r="G3" s="37">
        <v>3</v>
      </c>
      <c r="H3" s="37">
        <v>4</v>
      </c>
      <c r="I3" s="37">
        <v>5</v>
      </c>
      <c r="J3" s="37">
        <v>6</v>
      </c>
      <c r="K3" s="37">
        <v>7</v>
      </c>
      <c r="L3" s="78">
        <f t="array" ref="L3">SUM(LOOKUP(ROW(INDEX(C:C,G5+1):INDEX(C:C,H5)),$AC$4:$AP$4,INDEX($AC$6:$AP$9,MATCH(I5,$AB$6:$AB$9,)+MATCH(AA6,$AA$6:$AA$9,)-1,))/(H5-G5))</f>
        <v>5.7119385342789286</v>
      </c>
      <c r="M3" s="37">
        <v>9</v>
      </c>
      <c r="N3" s="37">
        <v>10</v>
      </c>
      <c r="O3" s="37">
        <v>11</v>
      </c>
      <c r="P3" s="37">
        <v>12</v>
      </c>
      <c r="Q3" s="37">
        <v>13</v>
      </c>
      <c r="R3" s="37">
        <v>14</v>
      </c>
      <c r="S3" s="37">
        <v>15</v>
      </c>
      <c r="T3" s="37">
        <v>16</v>
      </c>
      <c r="V3" s="37">
        <v>1</v>
      </c>
      <c r="AA3" s="53"/>
      <c r="AB3" s="54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4"/>
      <c r="AR3" s="54"/>
    </row>
    <row r="4" spans="3:44" ht="13.5" customHeight="1" x14ac:dyDescent="0.35">
      <c r="E4" s="37"/>
      <c r="F4" s="55" t="s">
        <v>13</v>
      </c>
      <c r="G4" s="56" t="str">
        <f>V4</f>
        <v>а1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38" t="str">
        <f>VLOOKUP(V3,'Загальний ввод'!A23:B41,2,)</f>
        <v>а1</v>
      </c>
      <c r="X4" s="57" t="s">
        <v>12</v>
      </c>
      <c r="AA4" s="58" t="s">
        <v>0</v>
      </c>
      <c r="AB4" s="54" t="s">
        <v>1</v>
      </c>
      <c r="AC4" s="53">
        <v>0</v>
      </c>
      <c r="AD4" s="53">
        <f>AC5+1</f>
        <v>501</v>
      </c>
      <c r="AE4" s="53">
        <f t="shared" ref="AE4:AP4" si="0">AD5+1</f>
        <v>1001</v>
      </c>
      <c r="AF4" s="53">
        <f t="shared" si="0"/>
        <v>1501</v>
      </c>
      <c r="AG4" s="53">
        <f t="shared" si="0"/>
        <v>2001</v>
      </c>
      <c r="AH4" s="53">
        <f t="shared" si="0"/>
        <v>2501</v>
      </c>
      <c r="AI4" s="53">
        <f t="shared" si="0"/>
        <v>3001</v>
      </c>
      <c r="AJ4" s="53">
        <f t="shared" si="0"/>
        <v>3501</v>
      </c>
      <c r="AK4" s="53">
        <f t="shared" si="0"/>
        <v>4001</v>
      </c>
      <c r="AL4" s="53">
        <f t="shared" si="0"/>
        <v>4501</v>
      </c>
      <c r="AM4" s="53">
        <f t="shared" si="0"/>
        <v>5001</v>
      </c>
      <c r="AN4" s="53">
        <f t="shared" si="0"/>
        <v>5501</v>
      </c>
      <c r="AO4" s="53">
        <f t="shared" si="0"/>
        <v>6001</v>
      </c>
      <c r="AP4" s="53">
        <f t="shared" si="0"/>
        <v>6501</v>
      </c>
      <c r="AQ4" s="52" t="s">
        <v>7</v>
      </c>
      <c r="AR4" s="52"/>
    </row>
    <row r="5" spans="3:44" ht="13.5" customHeight="1" x14ac:dyDescent="0.35">
      <c r="C5" s="59">
        <f t="array" ref="C5">SMALL(IF(INDEX('Загальний ввод'!BD$23:CV$41,MATCH(V$3,'Загальний ввод'!$A$23:$A$41,),)&lt;&gt;"",COLUMN('Загальний ввод'!BD$1:CV$1)),ROW(A1))</f>
        <v>56</v>
      </c>
      <c r="D5" s="59">
        <f>IF(F5="","",COUNTA(F$5:F5))</f>
        <v>1</v>
      </c>
      <c r="E5" s="37" t="str">
        <f>IFERROR(INDEX('Загальний ввод'!$21:$21,'Загальний ввод'!$21:$21,C5),"")</f>
        <v>ін.№ 117000009404</v>
      </c>
      <c r="F5" s="39" t="str">
        <f>IFERROR(INDEX('Загальний ввод'!$22:$22,'Загальний ввод'!$23:$23,C5),"")</f>
        <v>НОБТ 203 NMDC 203001</v>
      </c>
      <c r="G5" s="39">
        <f>IF(D5&lt;&gt;"",VLOOKUP(V$3,'Загальний ввод'!A:G,7,),"")</f>
        <v>1080</v>
      </c>
      <c r="H5" s="39">
        <f>IF(D5&lt;&gt;"",VLOOKUP(V$3,'Загальний ввод'!A:J,10,),"")</f>
        <v>1333.8</v>
      </c>
      <c r="I5" s="39" t="str">
        <f>IF(D5&lt;&gt;"",VLOOKUP(V$3,'Загальний ввод'!A:D,4,),"")</f>
        <v>Експлуатацiйне</v>
      </c>
      <c r="J5" s="40">
        <f>IF(D5&lt;&gt;"",VLOOKUP(E$5,Z$15:AH$19,9),"")</f>
        <v>8.92</v>
      </c>
      <c r="K5" s="40">
        <f>IF(D5&lt;&gt;"",H5-G5,"")</f>
        <v>253.79999999999995</v>
      </c>
      <c r="L5" s="40">
        <v>5.73</v>
      </c>
      <c r="M5" s="40">
        <v>1.05</v>
      </c>
      <c r="N5" s="40">
        <f>IF(D5&lt;&gt;"",ROUND(K5*L5*M5,3),"")</f>
        <v>1526.9880000000001</v>
      </c>
      <c r="O5" s="40">
        <f>IF(D5&lt;&gt;"",ROUND(J5/H5,3),"")</f>
        <v>7.0000000000000001E-3</v>
      </c>
      <c r="P5" s="40">
        <f>IF(D5&lt;&gt;"",VLOOKUP(E$5,Z$15:AJ$19,11),"")</f>
        <v>133.5</v>
      </c>
      <c r="Q5" s="67">
        <f>IF(D5&lt;&gt;"",VLOOKUP(E$5,Z$15:AE$19,6),"")</f>
        <v>3552.6315399999999</v>
      </c>
      <c r="R5" s="40">
        <f>IF(D5&lt;&gt;"",ROUND(Q5/P5,3),"")</f>
        <v>26.611000000000001</v>
      </c>
      <c r="S5" s="41">
        <f>IF(D5&lt;&gt;"",ROUND(N5*J5/H5,2),0)</f>
        <v>10.210000000000001</v>
      </c>
      <c r="T5" s="42">
        <f>IF(D5&lt;&gt;"",ROUND(R5*S5,2),"")</f>
        <v>271.7</v>
      </c>
      <c r="AA5" s="58"/>
      <c r="AB5" s="54" t="s">
        <v>2</v>
      </c>
      <c r="AC5" s="53">
        <f>AC4+500</f>
        <v>500</v>
      </c>
      <c r="AD5" s="53">
        <f>AD4+499</f>
        <v>1000</v>
      </c>
      <c r="AE5" s="53">
        <f t="shared" ref="AE5:AP5" si="1">AE4+499</f>
        <v>1500</v>
      </c>
      <c r="AF5" s="53">
        <f t="shared" si="1"/>
        <v>2000</v>
      </c>
      <c r="AG5" s="53">
        <f t="shared" si="1"/>
        <v>2500</v>
      </c>
      <c r="AH5" s="53">
        <f t="shared" si="1"/>
        <v>3000</v>
      </c>
      <c r="AI5" s="53">
        <f t="shared" si="1"/>
        <v>3500</v>
      </c>
      <c r="AJ5" s="53">
        <f t="shared" si="1"/>
        <v>4000</v>
      </c>
      <c r="AK5" s="53">
        <f t="shared" si="1"/>
        <v>4500</v>
      </c>
      <c r="AL5" s="53">
        <f t="shared" si="1"/>
        <v>5000</v>
      </c>
      <c r="AM5" s="53">
        <f t="shared" si="1"/>
        <v>5500</v>
      </c>
      <c r="AN5" s="53">
        <f t="shared" si="1"/>
        <v>6000</v>
      </c>
      <c r="AO5" s="53">
        <f t="shared" si="1"/>
        <v>6500</v>
      </c>
      <c r="AP5" s="53">
        <f t="shared" si="1"/>
        <v>7000</v>
      </c>
      <c r="AQ5" s="54" t="s">
        <v>8</v>
      </c>
      <c r="AR5" s="54" t="s">
        <v>9</v>
      </c>
    </row>
    <row r="6" spans="3:44" ht="13.5" customHeight="1" x14ac:dyDescent="0.35">
      <c r="C6" s="59">
        <f t="array" ref="C6">SMALL(IF(INDEX('Загальний ввод'!BD$23:CV$41,MATCH(V$3,'Загальний ввод'!$A$23:$A$41,),)&lt;&gt;"",COLUMN('Загальний ввод'!BD$1:CV$1)),ROW(A2))</f>
        <v>57</v>
      </c>
      <c r="D6" s="59">
        <f>IF(F6="","",COUNTA(F$5:F6))</f>
        <v>2</v>
      </c>
      <c r="E6" s="37" t="str">
        <f>IFERROR(INDEX('Загальний ввод'!$21:$21,'Загальний ввод'!$21:$21,C6),"")</f>
        <v>ін.№ 117000009404</v>
      </c>
      <c r="F6" s="39" t="str">
        <f>IFERROR(INDEX('Загальний ввод'!$22:$22,'Загальний ввод'!$23:$23,C6),"")</f>
        <v>НОБТ 203 NMDC 203002</v>
      </c>
      <c r="G6" s="39">
        <f>IF(D6&lt;&gt;"",VLOOKUP(V$3,'Загальний ввод'!A:G,7,),"")</f>
        <v>1080</v>
      </c>
      <c r="H6" s="39">
        <f>IF(D6&lt;&gt;"",VLOOKUP(V$3,'Загальний ввод'!A:J,10,),"")</f>
        <v>1333.8</v>
      </c>
      <c r="I6" s="39" t="str">
        <f>IF(D6&lt;&gt;"",VLOOKUP(V$3,'Загальний ввод'!A:D,4,),"")</f>
        <v>Експлуатацiйне</v>
      </c>
      <c r="J6" s="40">
        <f t="shared" ref="J6:J13" si="2">IF(D6&lt;&gt;"",VLOOKUP(E$5,Z$15:AH$19,9),"")</f>
        <v>8.92</v>
      </c>
      <c r="K6" s="40">
        <f t="shared" ref="K6:K13" si="3">IF(D6&lt;&gt;"",H6-G6,"")</f>
        <v>253.79999999999995</v>
      </c>
      <c r="L6" s="40">
        <v>5.73</v>
      </c>
      <c r="M6" s="40">
        <v>1.05</v>
      </c>
      <c r="N6" s="40">
        <f t="shared" ref="N6:N13" si="4">IF(D6&lt;&gt;"",ROUND(K6*L6*M6,3),"")</f>
        <v>1526.9880000000001</v>
      </c>
      <c r="O6" s="40">
        <f t="shared" ref="O6:O13" si="5">IF(D6&lt;&gt;"",ROUND(J6/H6,3),"")</f>
        <v>7.0000000000000001E-3</v>
      </c>
      <c r="P6" s="40">
        <f t="shared" ref="P6:P13" si="6">IF(D6&lt;&gt;"",VLOOKUP(E$5,Z$15:AJ$19,11),"")</f>
        <v>133.5</v>
      </c>
      <c r="Q6" s="67">
        <f t="shared" ref="Q6:Q13" si="7">IF(D6&lt;&gt;"",VLOOKUP(E$5,Z$15:AE$19,6),"")</f>
        <v>3552.6315399999999</v>
      </c>
      <c r="R6" s="40">
        <f t="shared" ref="R6:R13" si="8">IF(D6&lt;&gt;"",ROUND(Q6/P6,3),"")</f>
        <v>26.611000000000001</v>
      </c>
      <c r="S6" s="41">
        <f t="shared" ref="S6:S13" si="9">IF(D6&lt;&gt;"",ROUND(N6*J6/H6,2),"")</f>
        <v>10.210000000000001</v>
      </c>
      <c r="T6" s="42">
        <f t="shared" ref="T6:T13" si="10">IF(D6&lt;&gt;"",ROUND(R6*S6,2),"")</f>
        <v>271.7</v>
      </c>
      <c r="AA6" s="77" t="s">
        <v>3</v>
      </c>
      <c r="AB6" s="54" t="s">
        <v>4</v>
      </c>
      <c r="AC6" s="60">
        <v>1.4</v>
      </c>
      <c r="AD6" s="60">
        <v>3.31</v>
      </c>
      <c r="AE6" s="60">
        <v>5.73</v>
      </c>
      <c r="AF6" s="60">
        <v>8.66</v>
      </c>
      <c r="AG6" s="60">
        <v>12.1</v>
      </c>
      <c r="AH6" s="60">
        <v>16.05</v>
      </c>
      <c r="AI6" s="60">
        <v>20.51</v>
      </c>
      <c r="AJ6" s="60">
        <v>25.48</v>
      </c>
      <c r="AK6" s="60">
        <v>30.96</v>
      </c>
      <c r="AL6" s="60">
        <v>36.950000000000003</v>
      </c>
      <c r="AM6" s="60">
        <v>43.45</v>
      </c>
      <c r="AN6" s="60">
        <v>50.46</v>
      </c>
      <c r="AO6" s="60">
        <v>57.97</v>
      </c>
      <c r="AP6" s="60">
        <v>66</v>
      </c>
      <c r="AQ6" s="54">
        <v>1.05</v>
      </c>
      <c r="AR6" s="54">
        <v>1.35</v>
      </c>
    </row>
    <row r="7" spans="3:44" ht="13.5" customHeight="1" x14ac:dyDescent="0.35">
      <c r="C7" s="59">
        <f t="array" ref="C7">SMALL(IF(INDEX('Загальний ввод'!BD$23:CV$41,MATCH(V$3,'Загальний ввод'!$A$23:$A$41,),)&lt;&gt;"",COLUMN('Загальний ввод'!BD$1:CV$1)),ROW(A3))</f>
        <v>58</v>
      </c>
      <c r="D7" s="59">
        <f>IF(F7="","",COUNTA(F$5:F7))</f>
        <v>3</v>
      </c>
      <c r="E7" s="37" t="str">
        <f>IFERROR(INDEX('Загальний ввод'!$21:$21,'Загальний ввод'!$21:$21,C7),"")</f>
        <v>ін.№ 117000009404</v>
      </c>
      <c r="F7" s="39" t="str">
        <f>IFERROR(INDEX('Загальний ввод'!$22:$22,'Загальний ввод'!$23:$23,C7),"")</f>
        <v>НОБТ 203 NMDC 203003</v>
      </c>
      <c r="G7" s="39">
        <f>IF(D7&lt;&gt;"",VLOOKUP(V$3,'Загальний ввод'!A:G,7,),"")</f>
        <v>1080</v>
      </c>
      <c r="H7" s="39">
        <f>IF(D7&lt;&gt;"",VLOOKUP(V$3,'Загальний ввод'!A:J,10,),"")</f>
        <v>1333.8</v>
      </c>
      <c r="I7" s="39" t="str">
        <f>IF(D7&lt;&gt;"",VLOOKUP(V$3,'Загальний ввод'!A:D,4,),"")</f>
        <v>Експлуатацiйне</v>
      </c>
      <c r="J7" s="40">
        <f t="shared" si="2"/>
        <v>8.92</v>
      </c>
      <c r="K7" s="40">
        <f t="shared" si="3"/>
        <v>253.79999999999995</v>
      </c>
      <c r="L7" s="40">
        <v>5.73</v>
      </c>
      <c r="M7" s="40">
        <v>1.05</v>
      </c>
      <c r="N7" s="40">
        <f t="shared" si="4"/>
        <v>1526.9880000000001</v>
      </c>
      <c r="O7" s="40">
        <f t="shared" si="5"/>
        <v>7.0000000000000001E-3</v>
      </c>
      <c r="P7" s="40">
        <f t="shared" si="6"/>
        <v>133.5</v>
      </c>
      <c r="Q7" s="67">
        <f t="shared" si="7"/>
        <v>3552.6315399999999</v>
      </c>
      <c r="R7" s="40">
        <f t="shared" si="8"/>
        <v>26.611000000000001</v>
      </c>
      <c r="S7" s="41">
        <f t="shared" si="9"/>
        <v>10.210000000000001</v>
      </c>
      <c r="T7" s="42">
        <f t="shared" si="10"/>
        <v>271.7</v>
      </c>
      <c r="AA7" s="77"/>
      <c r="AB7" s="54" t="s">
        <v>5</v>
      </c>
      <c r="AC7" s="60">
        <v>2.5299999999999998</v>
      </c>
      <c r="AD7" s="60">
        <v>5.98</v>
      </c>
      <c r="AE7" s="60">
        <v>10.35</v>
      </c>
      <c r="AF7" s="60">
        <v>15.64</v>
      </c>
      <c r="AG7" s="60">
        <v>21.85</v>
      </c>
      <c r="AH7" s="60">
        <v>28.98</v>
      </c>
      <c r="AI7" s="60">
        <v>37.03</v>
      </c>
      <c r="AJ7" s="60">
        <v>46</v>
      </c>
      <c r="AK7" s="60">
        <v>55.89</v>
      </c>
      <c r="AL7" s="60">
        <v>66.7</v>
      </c>
      <c r="AM7" s="60">
        <v>78.430000000000007</v>
      </c>
      <c r="AN7" s="60">
        <v>91.08</v>
      </c>
      <c r="AO7" s="60">
        <v>104.65</v>
      </c>
      <c r="AP7" s="60">
        <v>119.14</v>
      </c>
      <c r="AQ7" s="54">
        <v>1.05</v>
      </c>
      <c r="AR7" s="54">
        <v>1.35</v>
      </c>
    </row>
    <row r="8" spans="3:44" ht="13.5" customHeight="1" x14ac:dyDescent="0.35">
      <c r="C8" s="59" t="e">
        <f t="array" ref="C8">SMALL(IF(INDEX('Загальний ввод'!BD$23:CV$41,MATCH(V$3,'Загальний ввод'!$A$23:$A$41,),)&lt;&gt;"",COLUMN('Загальний ввод'!BD$1:CV$1)),ROW(A4))</f>
        <v>#NUM!</v>
      </c>
      <c r="D8" s="59" t="str">
        <f>IF(F8="","",COUNTA(F$5:F8))</f>
        <v/>
      </c>
      <c r="E8" s="37" t="str">
        <f>IFERROR(INDEX('Загальний ввод'!$21:$21,'Загальний ввод'!$21:$21,C8),"")</f>
        <v/>
      </c>
      <c r="F8" s="39" t="str">
        <f>IFERROR(INDEX('Загальний ввод'!$22:$22,'Загальний ввод'!$23:$23,C8),"")</f>
        <v/>
      </c>
      <c r="G8" s="39" t="str">
        <f>IF(D8&lt;&gt;"",VLOOKUP(V$3,'Загальний ввод'!A:G,7,),"")</f>
        <v/>
      </c>
      <c r="H8" s="39" t="str">
        <f>IF(D8&lt;&gt;"",VLOOKUP(V$3,'Загальний ввод'!A:J,10,),"")</f>
        <v/>
      </c>
      <c r="I8" s="39" t="str">
        <f>IF(D8&lt;&gt;"",VLOOKUP(V$3,'Загальний ввод'!A:D,4,),"")</f>
        <v/>
      </c>
      <c r="J8" s="40" t="str">
        <f t="shared" si="2"/>
        <v/>
      </c>
      <c r="K8" s="40" t="str">
        <f t="shared" si="3"/>
        <v/>
      </c>
      <c r="L8" s="40"/>
      <c r="M8" s="40">
        <v>1.05</v>
      </c>
      <c r="N8" s="40" t="str">
        <f t="shared" si="4"/>
        <v/>
      </c>
      <c r="O8" s="40" t="str">
        <f t="shared" si="5"/>
        <v/>
      </c>
      <c r="P8" s="40" t="str">
        <f t="shared" si="6"/>
        <v/>
      </c>
      <c r="Q8" s="67" t="str">
        <f t="shared" si="7"/>
        <v/>
      </c>
      <c r="R8" s="40" t="str">
        <f t="shared" si="8"/>
        <v/>
      </c>
      <c r="S8" s="41" t="str">
        <f t="shared" si="9"/>
        <v/>
      </c>
      <c r="T8" s="42" t="str">
        <f t="shared" si="10"/>
        <v/>
      </c>
      <c r="AA8" s="77" t="s">
        <v>6</v>
      </c>
      <c r="AB8" s="54" t="s">
        <v>4</v>
      </c>
      <c r="AC8" s="60">
        <v>1.4</v>
      </c>
      <c r="AD8" s="60">
        <v>3.31</v>
      </c>
      <c r="AE8" s="60">
        <v>5.73</v>
      </c>
      <c r="AF8" s="60">
        <v>10.39</v>
      </c>
      <c r="AG8" s="60">
        <v>14.52</v>
      </c>
      <c r="AH8" s="60">
        <v>19.260000000000002</v>
      </c>
      <c r="AI8" s="60">
        <v>24.61</v>
      </c>
      <c r="AJ8" s="60">
        <v>30.58</v>
      </c>
      <c r="AK8" s="60">
        <v>37.15</v>
      </c>
      <c r="AL8" s="60">
        <v>44.34</v>
      </c>
      <c r="AM8" s="60">
        <v>52.14</v>
      </c>
      <c r="AN8" s="60">
        <v>60.55</v>
      </c>
      <c r="AO8" s="60">
        <v>69.56</v>
      </c>
      <c r="AP8" s="60">
        <v>79.2</v>
      </c>
      <c r="AQ8" s="54">
        <v>1.35</v>
      </c>
      <c r="AR8" s="54">
        <v>1.35</v>
      </c>
    </row>
    <row r="9" spans="3:44" ht="13.5" customHeight="1" x14ac:dyDescent="0.35">
      <c r="C9" s="59" t="e">
        <f t="array" ref="C9">SMALL(IF(INDEX('Загальний ввод'!BD$23:CV$41,MATCH(V$3,'Загальний ввод'!$A$23:$A$41,),)&lt;&gt;"",COLUMN('Загальний ввод'!BD$1:CV$1)),ROW(A5))</f>
        <v>#NUM!</v>
      </c>
      <c r="D9" s="59" t="str">
        <f>IF(F9="","",COUNTA(F$5:F9))</f>
        <v/>
      </c>
      <c r="E9" s="37" t="str">
        <f>IFERROR(INDEX('Загальний ввод'!$21:$21,'Загальний ввод'!$21:$21,C9),"")</f>
        <v/>
      </c>
      <c r="F9" s="39" t="str">
        <f>IFERROR(INDEX('Загальний ввод'!$22:$22,'Загальний ввод'!$23:$23,C9),"")</f>
        <v/>
      </c>
      <c r="G9" s="39" t="str">
        <f>IF(D9&lt;&gt;"",VLOOKUP(V$3,'Загальний ввод'!A:G,7,),"")</f>
        <v/>
      </c>
      <c r="H9" s="39" t="str">
        <f>IF(D9&lt;&gt;"",VLOOKUP(V$3,'Загальний ввод'!A:J,10,),"")</f>
        <v/>
      </c>
      <c r="I9" s="39" t="str">
        <f>IF(D9&lt;&gt;"",VLOOKUP(V$3,'Загальний ввод'!A:D,4,),"")</f>
        <v/>
      </c>
      <c r="J9" s="40" t="str">
        <f t="shared" si="2"/>
        <v/>
      </c>
      <c r="K9" s="40" t="str">
        <f t="shared" si="3"/>
        <v/>
      </c>
      <c r="L9" s="40"/>
      <c r="M9" s="40">
        <v>1.05</v>
      </c>
      <c r="N9" s="40" t="str">
        <f t="shared" si="4"/>
        <v/>
      </c>
      <c r="O9" s="40" t="str">
        <f t="shared" si="5"/>
        <v/>
      </c>
      <c r="P9" s="40" t="str">
        <f t="shared" si="6"/>
        <v/>
      </c>
      <c r="Q9" s="67" t="str">
        <f t="shared" si="7"/>
        <v/>
      </c>
      <c r="R9" s="40" t="str">
        <f t="shared" si="8"/>
        <v/>
      </c>
      <c r="S9" s="41" t="str">
        <f t="shared" si="9"/>
        <v/>
      </c>
      <c r="T9" s="42" t="str">
        <f t="shared" si="10"/>
        <v/>
      </c>
      <c r="AA9" s="77"/>
      <c r="AB9" s="54" t="s">
        <v>5</v>
      </c>
      <c r="AC9" s="60">
        <v>2.5299999999999998</v>
      </c>
      <c r="AD9" s="60">
        <v>5.98</v>
      </c>
      <c r="AE9" s="60">
        <v>10.35</v>
      </c>
      <c r="AF9" s="60">
        <v>18.760000000000002</v>
      </c>
      <c r="AG9" s="60">
        <v>26.22</v>
      </c>
      <c r="AH9" s="60">
        <v>34.78</v>
      </c>
      <c r="AI9" s="60">
        <v>44.44</v>
      </c>
      <c r="AJ9" s="60">
        <v>55.2</v>
      </c>
      <c r="AK9" s="60">
        <v>67.069999999999993</v>
      </c>
      <c r="AL9" s="60">
        <v>80.040000000000006</v>
      </c>
      <c r="AM9" s="60">
        <v>94.12</v>
      </c>
      <c r="AN9" s="60">
        <v>109.3</v>
      </c>
      <c r="AO9" s="60">
        <v>125.58</v>
      </c>
      <c r="AP9" s="60">
        <v>142.97</v>
      </c>
      <c r="AQ9" s="54">
        <v>1.35</v>
      </c>
      <c r="AR9" s="54">
        <v>1.35</v>
      </c>
    </row>
    <row r="10" spans="3:44" ht="13.5" customHeight="1" x14ac:dyDescent="0.35">
      <c r="C10" s="59" t="e">
        <f t="array" ref="C10">SMALL(IF(INDEX('Загальний ввод'!BD$23:CV$41,MATCH(V$3,'Загальний ввод'!$A$23:$A$41,),)&lt;&gt;"",COLUMN('Загальний ввод'!BD$1:CV$1)),ROW(A6))</f>
        <v>#NUM!</v>
      </c>
      <c r="D10" s="59" t="str">
        <f>IF(F10="","",COUNTA(F$5:F10))</f>
        <v/>
      </c>
      <c r="E10" s="37" t="str">
        <f>IFERROR(INDEX('Загальний ввод'!$21:$21,'Загальний ввод'!$21:$21,C10),"")</f>
        <v/>
      </c>
      <c r="F10" s="39" t="str">
        <f>IFERROR(INDEX('Загальний ввод'!$22:$22,'Загальний ввод'!$23:$23,C10),"")</f>
        <v/>
      </c>
      <c r="G10" s="39" t="str">
        <f>IF(D10&lt;&gt;"",VLOOKUP(V$3,'Загальний ввод'!A:G,7,),"")</f>
        <v/>
      </c>
      <c r="H10" s="39" t="str">
        <f>IF(D10&lt;&gt;"",VLOOKUP(V$3,'Загальний ввод'!A:J,10,),"")</f>
        <v/>
      </c>
      <c r="I10" s="39" t="str">
        <f>IF(D10&lt;&gt;"",VLOOKUP(V$3,'Загальний ввод'!A:D,4,),"")</f>
        <v/>
      </c>
      <c r="J10" s="40" t="str">
        <f t="shared" si="2"/>
        <v/>
      </c>
      <c r="K10" s="40" t="str">
        <f t="shared" si="3"/>
        <v/>
      </c>
      <c r="L10" s="40"/>
      <c r="M10" s="40">
        <v>1.05</v>
      </c>
      <c r="N10" s="40" t="str">
        <f t="shared" si="4"/>
        <v/>
      </c>
      <c r="O10" s="40" t="str">
        <f t="shared" si="5"/>
        <v/>
      </c>
      <c r="P10" s="40" t="str">
        <f t="shared" si="6"/>
        <v/>
      </c>
      <c r="Q10" s="67" t="str">
        <f t="shared" si="7"/>
        <v/>
      </c>
      <c r="R10" s="40" t="str">
        <f t="shared" si="8"/>
        <v/>
      </c>
      <c r="S10" s="41" t="str">
        <f t="shared" si="9"/>
        <v/>
      </c>
      <c r="T10" s="42" t="str">
        <f t="shared" si="10"/>
        <v/>
      </c>
    </row>
    <row r="11" spans="3:44" ht="13.5" customHeight="1" x14ac:dyDescent="0.35">
      <c r="C11" s="59" t="e">
        <f t="array" ref="C11">SMALL(IF(INDEX('Загальний ввод'!BD$23:CV$41,MATCH(V$3,'Загальний ввод'!$A$23:$A$41,),)&lt;&gt;"",COLUMN('Загальний ввод'!BD$1:CV$1)),ROW(A7))</f>
        <v>#NUM!</v>
      </c>
      <c r="D11" s="59" t="str">
        <f>IF(F11="","",COUNTA(F$5:F11))</f>
        <v/>
      </c>
      <c r="E11" s="37" t="str">
        <f>IFERROR(INDEX('Загальний ввод'!$21:$21,'Загальний ввод'!$21:$21,C11),"")</f>
        <v/>
      </c>
      <c r="F11" s="39" t="str">
        <f>IFERROR(INDEX('Загальний ввод'!$22:$22,'Загальний ввод'!$23:$23,C11),"")</f>
        <v/>
      </c>
      <c r="G11" s="39" t="str">
        <f>IF(D11&lt;&gt;"",VLOOKUP(V$3,'Загальний ввод'!A:G,7,),"")</f>
        <v/>
      </c>
      <c r="H11" s="39" t="str">
        <f>IF(D11&lt;&gt;"",VLOOKUP(V$3,'Загальний ввод'!A:J,10,),"")</f>
        <v/>
      </c>
      <c r="I11" s="39" t="str">
        <f>IF(D11&lt;&gt;"",VLOOKUP(V$3,'Загальний ввод'!A:D,4,),"")</f>
        <v/>
      </c>
      <c r="J11" s="40" t="str">
        <f t="shared" si="2"/>
        <v/>
      </c>
      <c r="K11" s="40" t="str">
        <f t="shared" si="3"/>
        <v/>
      </c>
      <c r="L11" s="40"/>
      <c r="M11" s="40">
        <v>1.05</v>
      </c>
      <c r="N11" s="40" t="str">
        <f t="shared" si="4"/>
        <v/>
      </c>
      <c r="O11" s="40" t="str">
        <f t="shared" si="5"/>
        <v/>
      </c>
      <c r="P11" s="40" t="str">
        <f t="shared" si="6"/>
        <v/>
      </c>
      <c r="Q11" s="67" t="str">
        <f t="shared" si="7"/>
        <v/>
      </c>
      <c r="R11" s="40" t="str">
        <f t="shared" si="8"/>
        <v/>
      </c>
      <c r="S11" s="41" t="str">
        <f t="shared" si="9"/>
        <v/>
      </c>
      <c r="T11" s="42" t="str">
        <f t="shared" si="10"/>
        <v/>
      </c>
    </row>
    <row r="12" spans="3:44" ht="13.5" customHeight="1" x14ac:dyDescent="0.35">
      <c r="C12" s="59" t="e">
        <f t="array" ref="C12">SMALL(IF(INDEX('Загальний ввод'!BD$23:CV$41,MATCH(V$3,'Загальний ввод'!$A$23:$A$41,),)&lt;&gt;"",COLUMN('Загальний ввод'!BD$1:CV$1)),ROW(A8))</f>
        <v>#NUM!</v>
      </c>
      <c r="D12" s="59" t="str">
        <f>IF(F12="","",COUNTA(F$5:F12))</f>
        <v/>
      </c>
      <c r="E12" s="37" t="str">
        <f>IFERROR(INDEX('Загальний ввод'!$21:$21,'Загальний ввод'!$21:$21,C12),"")</f>
        <v/>
      </c>
      <c r="F12" s="39" t="str">
        <f>IFERROR(INDEX('Загальний ввод'!$22:$22,'Загальний ввод'!$23:$23,C12),"")</f>
        <v/>
      </c>
      <c r="G12" s="39" t="str">
        <f>IF(D12&lt;&gt;"",VLOOKUP(V$3,'Загальний ввод'!A:G,7,),"")</f>
        <v/>
      </c>
      <c r="H12" s="39" t="str">
        <f>IF(D12&lt;&gt;"",VLOOKUP(V$3,'Загальний ввод'!A:J,10,),"")</f>
        <v/>
      </c>
      <c r="I12" s="39" t="str">
        <f>IF(D12&lt;&gt;"",VLOOKUP(V$3,'Загальний ввод'!A:D,4,),"")</f>
        <v/>
      </c>
      <c r="J12" s="40" t="str">
        <f t="shared" si="2"/>
        <v/>
      </c>
      <c r="K12" s="40" t="str">
        <f t="shared" si="3"/>
        <v/>
      </c>
      <c r="L12" s="40"/>
      <c r="M12" s="40">
        <v>1.05</v>
      </c>
      <c r="N12" s="40" t="str">
        <f t="shared" si="4"/>
        <v/>
      </c>
      <c r="O12" s="40" t="str">
        <f t="shared" si="5"/>
        <v/>
      </c>
      <c r="P12" s="40" t="str">
        <f t="shared" si="6"/>
        <v/>
      </c>
      <c r="Q12" s="67" t="str">
        <f t="shared" si="7"/>
        <v/>
      </c>
      <c r="R12" s="40" t="str">
        <f t="shared" si="8"/>
        <v/>
      </c>
      <c r="S12" s="41" t="str">
        <f t="shared" si="9"/>
        <v/>
      </c>
      <c r="T12" s="42" t="str">
        <f t="shared" si="10"/>
        <v/>
      </c>
    </row>
    <row r="13" spans="3:44" ht="13.5" customHeight="1" x14ac:dyDescent="0.35">
      <c r="C13" s="59" t="e">
        <f t="array" ref="C13">SMALL(IF(INDEX('Загальний ввод'!BD$23:CV$41,MATCH(V$3,'Загальний ввод'!$A$23:$A$41,),)&lt;&gt;"",COLUMN('Загальний ввод'!BD$1:CV$1)),ROW(A9))</f>
        <v>#NUM!</v>
      </c>
      <c r="D13" s="59"/>
      <c r="E13" s="37" t="str">
        <f>IFERROR(INDEX('Загальний ввод'!$21:$21,'Загальний ввод'!$21:$21,C13),"")</f>
        <v/>
      </c>
      <c r="F13" s="39" t="str">
        <f>IFERROR(INDEX('Загальний ввод'!$22:$22,'Загальний ввод'!$23:$23,C13),"")</f>
        <v/>
      </c>
      <c r="G13" s="39" t="str">
        <f>IF(D13&lt;&gt;"",VLOOKUP(V$3,'Загальний ввод'!A:G,7,),"")</f>
        <v/>
      </c>
      <c r="H13" s="39" t="str">
        <f>IF(D13&lt;&gt;"",VLOOKUP(V$3,'Загальний ввод'!A:J,10,),"")</f>
        <v/>
      </c>
      <c r="I13" s="39" t="str">
        <f>IF(D13&lt;&gt;"",VLOOKUP(V$3,'Загальний ввод'!A:D,4,),"")</f>
        <v/>
      </c>
      <c r="J13" s="40" t="str">
        <f t="shared" si="2"/>
        <v/>
      </c>
      <c r="K13" s="40" t="str">
        <f t="shared" si="3"/>
        <v/>
      </c>
      <c r="L13" s="40"/>
      <c r="M13" s="40">
        <v>1.05</v>
      </c>
      <c r="N13" s="40" t="str">
        <f t="shared" si="4"/>
        <v/>
      </c>
      <c r="O13" s="40" t="str">
        <f t="shared" si="5"/>
        <v/>
      </c>
      <c r="P13" s="40" t="str">
        <f t="shared" si="6"/>
        <v/>
      </c>
      <c r="Q13" s="67" t="str">
        <f t="shared" si="7"/>
        <v/>
      </c>
      <c r="R13" s="40" t="str">
        <f t="shared" si="8"/>
        <v/>
      </c>
      <c r="S13" s="41" t="str">
        <f t="shared" si="9"/>
        <v/>
      </c>
      <c r="T13" s="42" t="str">
        <f t="shared" si="10"/>
        <v/>
      </c>
      <c r="AA13" s="68" t="s">
        <v>113</v>
      </c>
      <c r="AB13" s="68"/>
      <c r="AC13" s="68"/>
      <c r="AD13" s="68"/>
      <c r="AE13" s="68"/>
      <c r="AF13" s="68"/>
      <c r="AG13" s="68"/>
      <c r="AH13" s="68"/>
      <c r="AI13" s="68"/>
      <c r="AJ13" s="68"/>
      <c r="AK13" s="68"/>
    </row>
    <row r="14" spans="3:44" ht="38.5" x14ac:dyDescent="0.35">
      <c r="E14" s="61" t="s">
        <v>11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>
        <f>ROUND(SUM(T5:T13),2)</f>
        <v>815.1</v>
      </c>
      <c r="AA14" s="69"/>
      <c r="AB14" s="69"/>
      <c r="AC14" s="69"/>
      <c r="AD14" s="69"/>
      <c r="AE14" s="69" t="s">
        <v>43</v>
      </c>
      <c r="AF14" s="69" t="s">
        <v>29</v>
      </c>
      <c r="AG14" s="69" t="s">
        <v>18</v>
      </c>
      <c r="AH14" s="69" t="s">
        <v>19</v>
      </c>
      <c r="AI14" s="69" t="s">
        <v>20</v>
      </c>
      <c r="AJ14" s="69" t="s">
        <v>21</v>
      </c>
      <c r="AK14" s="69" t="s">
        <v>22</v>
      </c>
      <c r="AL14" s="44"/>
    </row>
    <row r="15" spans="3:44" s="44" customFormat="1" ht="15.5" x14ac:dyDescent="0.35">
      <c r="E15" s="63"/>
      <c r="S15" s="65"/>
      <c r="Z15" s="44" t="s">
        <v>77</v>
      </c>
      <c r="AA15" s="70" t="s">
        <v>125</v>
      </c>
      <c r="AB15" s="70" t="s">
        <v>23</v>
      </c>
      <c r="AC15" s="70" t="s">
        <v>24</v>
      </c>
      <c r="AD15" s="70" t="s">
        <v>25</v>
      </c>
      <c r="AE15" s="71">
        <v>24429.158729999999</v>
      </c>
      <c r="AF15" s="71">
        <v>28.35</v>
      </c>
      <c r="AG15" s="72">
        <v>692566.65</v>
      </c>
      <c r="AH15" s="38">
        <f>AF15/3</f>
        <v>9.4500000000000011</v>
      </c>
      <c r="AI15" s="38">
        <v>692.7</v>
      </c>
      <c r="AJ15" s="38">
        <f>ROUND(AI15/AH15,2)</f>
        <v>73.3</v>
      </c>
      <c r="AK15" s="38">
        <f>AE15/AJ15</f>
        <v>333.27638103683495</v>
      </c>
    </row>
    <row r="16" spans="3:44" s="44" customFormat="1" ht="15.5" x14ac:dyDescent="0.35">
      <c r="E16" s="63"/>
      <c r="S16" s="65"/>
      <c r="Z16" s="44" t="s">
        <v>76</v>
      </c>
      <c r="AA16" s="70" t="s">
        <v>114</v>
      </c>
      <c r="AB16" s="70" t="s">
        <v>26</v>
      </c>
      <c r="AC16" s="70" t="s">
        <v>24</v>
      </c>
      <c r="AD16" s="70" t="s">
        <v>25</v>
      </c>
      <c r="AE16" s="71">
        <v>44726.737099999998</v>
      </c>
      <c r="AF16" s="71">
        <v>28.3</v>
      </c>
      <c r="AG16" s="72">
        <v>1265766.6599999999</v>
      </c>
      <c r="AH16" s="71">
        <f>AF16/3</f>
        <v>9.4333333333333336</v>
      </c>
      <c r="AI16" s="38">
        <v>2003.9</v>
      </c>
      <c r="AJ16" s="38">
        <f>ROUND(AI16/AH16,2)</f>
        <v>212.43</v>
      </c>
      <c r="AK16" s="38">
        <f>AE16/AJ16</f>
        <v>210.5481198512451</v>
      </c>
    </row>
    <row r="17" spans="5:37" s="44" customFormat="1" ht="15.5" x14ac:dyDescent="0.35">
      <c r="E17" s="63"/>
      <c r="S17" s="65"/>
      <c r="Z17" s="44" t="s">
        <v>128</v>
      </c>
      <c r="AA17" s="70" t="s">
        <v>115</v>
      </c>
      <c r="AB17" s="70" t="s">
        <v>27</v>
      </c>
      <c r="AC17" s="70" t="s">
        <v>28</v>
      </c>
      <c r="AD17" s="70" t="s">
        <v>25</v>
      </c>
      <c r="AE17" s="71">
        <v>3552.6315399999999</v>
      </c>
      <c r="AF17" s="71">
        <v>26.76</v>
      </c>
      <c r="AG17" s="72">
        <v>95068.42</v>
      </c>
      <c r="AH17" s="38">
        <f>AF17/3</f>
        <v>8.92</v>
      </c>
      <c r="AI17" s="38">
        <f>133.5*AH17</f>
        <v>1190.82</v>
      </c>
      <c r="AJ17" s="38">
        <f t="shared" ref="AJ17" si="11">ROUND(AI17/AH17,2)</f>
        <v>133.5</v>
      </c>
      <c r="AK17" s="38">
        <f>AE17/AJ17</f>
        <v>26.611472209737826</v>
      </c>
    </row>
    <row r="18" spans="5:37" s="44" customFormat="1" ht="16.5" x14ac:dyDescent="0.35">
      <c r="E18" s="63"/>
      <c r="F18" s="43" t="s">
        <v>37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64"/>
      <c r="T18" s="43" t="s">
        <v>40</v>
      </c>
    </row>
    <row r="19" spans="5:37" s="44" customFormat="1" ht="16.5" x14ac:dyDescent="0.35">
      <c r="E19" s="6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  <c r="T19" s="43"/>
    </row>
    <row r="20" spans="5:37" s="44" customFormat="1" ht="16.5" x14ac:dyDescent="0.35">
      <c r="E20" s="63"/>
      <c r="F20" s="43" t="s">
        <v>38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  <c r="T20" s="43" t="s">
        <v>39</v>
      </c>
    </row>
    <row r="21" spans="5:37" s="44" customFormat="1" ht="15.5" x14ac:dyDescent="0.35">
      <c r="E21" s="63"/>
      <c r="S21" s="65"/>
    </row>
    <row r="22" spans="5:37" s="44" customFormat="1" ht="15.5" x14ac:dyDescent="0.35">
      <c r="E22" s="63"/>
      <c r="H22" s="73" t="s">
        <v>129</v>
      </c>
      <c r="I22" s="73"/>
      <c r="J22" s="73"/>
      <c r="K22" s="73"/>
      <c r="L22" s="73"/>
      <c r="S22" s="65"/>
    </row>
    <row r="23" spans="5:37" s="44" customFormat="1" ht="16.5" x14ac:dyDescent="0.35">
      <c r="E23" s="37"/>
      <c r="F23" s="55" t="s">
        <v>13</v>
      </c>
      <c r="G23" s="56">
        <f>V23</f>
        <v>0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5:37" s="44" customFormat="1" ht="15.5" x14ac:dyDescent="0.35">
      <c r="E24" s="37" t="s">
        <v>128</v>
      </c>
      <c r="F24" s="39" t="s">
        <v>119</v>
      </c>
      <c r="G24" s="39">
        <v>3430</v>
      </c>
      <c r="H24" s="39">
        <v>3500</v>
      </c>
      <c r="I24" s="39" t="s">
        <v>5</v>
      </c>
      <c r="J24" s="40">
        <v>8.92</v>
      </c>
      <c r="K24" s="40">
        <v>230</v>
      </c>
      <c r="L24" s="40"/>
      <c r="M24" s="40">
        <v>1.05</v>
      </c>
      <c r="N24" s="40">
        <v>1383.7950000000001</v>
      </c>
      <c r="O24" s="40">
        <v>2E-3</v>
      </c>
      <c r="P24" s="40">
        <v>133.5</v>
      </c>
      <c r="Q24" s="67">
        <v>3552.6315399999999</v>
      </c>
      <c r="R24" s="40">
        <v>26.611000000000001</v>
      </c>
      <c r="S24" s="41">
        <v>3.37</v>
      </c>
      <c r="T24" s="42">
        <v>89.68</v>
      </c>
    </row>
    <row r="25" spans="5:37" s="44" customFormat="1" ht="15.5" x14ac:dyDescent="0.35">
      <c r="E25" s="37" t="s">
        <v>128</v>
      </c>
      <c r="F25" s="39" t="s">
        <v>120</v>
      </c>
      <c r="G25" s="39">
        <v>3430</v>
      </c>
      <c r="H25" s="39">
        <v>3500</v>
      </c>
      <c r="I25" s="39" t="s">
        <v>5</v>
      </c>
      <c r="J25" s="40">
        <v>8.92</v>
      </c>
      <c r="K25" s="40">
        <v>230</v>
      </c>
      <c r="L25" s="40"/>
      <c r="M25" s="40">
        <v>1.05</v>
      </c>
      <c r="N25" s="40">
        <v>1383.7950000000001</v>
      </c>
      <c r="O25" s="40">
        <v>2E-3</v>
      </c>
      <c r="P25" s="40">
        <v>133.5</v>
      </c>
      <c r="Q25" s="67">
        <v>3552.6315399999999</v>
      </c>
      <c r="R25" s="40">
        <v>26.611000000000001</v>
      </c>
      <c r="S25" s="41">
        <v>3.37</v>
      </c>
      <c r="T25" s="42">
        <v>89.68</v>
      </c>
    </row>
    <row r="26" spans="5:37" s="44" customFormat="1" ht="15.5" x14ac:dyDescent="0.35">
      <c r="E26" s="63"/>
      <c r="G26" s="74"/>
      <c r="H26" s="74"/>
      <c r="I26" s="73" t="s">
        <v>130</v>
      </c>
      <c r="J26" s="73"/>
      <c r="K26" s="73"/>
      <c r="L26" s="73"/>
      <c r="S26" s="65"/>
    </row>
    <row r="27" spans="5:37" ht="16.5" x14ac:dyDescent="0.25">
      <c r="E27" s="37"/>
      <c r="F27" s="55" t="s">
        <v>13</v>
      </c>
      <c r="G27" s="56">
        <f>V27</f>
        <v>0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5:37" ht="15.5" x14ac:dyDescent="0.25">
      <c r="E28" s="37" t="s">
        <v>128</v>
      </c>
      <c r="F28" s="39" t="s">
        <v>119</v>
      </c>
      <c r="G28" s="39">
        <v>3501</v>
      </c>
      <c r="H28" s="39">
        <v>3660</v>
      </c>
      <c r="I28" s="39" t="s">
        <v>5</v>
      </c>
      <c r="J28" s="40">
        <v>8.92</v>
      </c>
      <c r="K28" s="40">
        <v>230</v>
      </c>
      <c r="L28" s="40">
        <v>37.03</v>
      </c>
      <c r="M28" s="40">
        <v>1.05</v>
      </c>
      <c r="N28" s="40">
        <v>1383.7950000000001</v>
      </c>
      <c r="O28" s="40">
        <v>2E-3</v>
      </c>
      <c r="P28" s="40">
        <v>133.5</v>
      </c>
      <c r="Q28" s="67">
        <v>3552.6315399999999</v>
      </c>
      <c r="R28" s="40">
        <v>26.611000000000001</v>
      </c>
      <c r="S28" s="41">
        <v>3.37</v>
      </c>
      <c r="T28" s="42">
        <v>89.68</v>
      </c>
    </row>
    <row r="29" spans="5:37" ht="15.5" x14ac:dyDescent="0.25">
      <c r="E29" s="37" t="s">
        <v>128</v>
      </c>
      <c r="F29" s="39" t="s">
        <v>120</v>
      </c>
      <c r="G29" s="39">
        <v>3501</v>
      </c>
      <c r="H29" s="39">
        <v>3660</v>
      </c>
      <c r="I29" s="39" t="s">
        <v>5</v>
      </c>
      <c r="J29" s="40">
        <v>8.92</v>
      </c>
      <c r="K29" s="40">
        <v>230</v>
      </c>
      <c r="L29" s="40">
        <v>37.03</v>
      </c>
      <c r="M29" s="40">
        <v>1.05</v>
      </c>
      <c r="N29" s="40">
        <v>1383.7950000000001</v>
      </c>
      <c r="O29" s="40">
        <v>2E-3</v>
      </c>
      <c r="P29" s="40">
        <v>133.5</v>
      </c>
      <c r="Q29" s="67">
        <v>3552.6315399999999</v>
      </c>
      <c r="R29" s="40">
        <v>26.611000000000001</v>
      </c>
      <c r="S29" s="41">
        <v>3.37</v>
      </c>
      <c r="T29" s="42">
        <v>89.68</v>
      </c>
    </row>
    <row r="31" spans="5:37" ht="15.5" x14ac:dyDescent="0.25">
      <c r="E31" s="37" t="s">
        <v>128</v>
      </c>
      <c r="F31" s="39" t="s">
        <v>119</v>
      </c>
      <c r="G31" s="39">
        <v>3430</v>
      </c>
      <c r="H31" s="39">
        <v>3660</v>
      </c>
      <c r="I31" s="39" t="s">
        <v>5</v>
      </c>
      <c r="J31" s="40">
        <v>8.92</v>
      </c>
      <c r="K31" s="40">
        <v>230</v>
      </c>
      <c r="L31" s="40">
        <v>46</v>
      </c>
      <c r="M31" s="40">
        <v>1.05</v>
      </c>
      <c r="N31" s="40">
        <v>1383.7950000000001</v>
      </c>
      <c r="O31" s="40">
        <v>2E-3</v>
      </c>
      <c r="P31" s="40">
        <v>133.5</v>
      </c>
      <c r="Q31" s="67">
        <v>3552.6315399999999</v>
      </c>
      <c r="R31" s="40">
        <v>26.611000000000001</v>
      </c>
      <c r="S31" s="41">
        <v>3.37</v>
      </c>
      <c r="T31" s="42">
        <v>89.68</v>
      </c>
    </row>
    <row r="32" spans="5:37" ht="15.5" x14ac:dyDescent="0.25">
      <c r="E32" s="37" t="s">
        <v>128</v>
      </c>
      <c r="F32" s="39" t="s">
        <v>120</v>
      </c>
      <c r="G32" s="39">
        <v>3430</v>
      </c>
      <c r="H32" s="39">
        <v>3660</v>
      </c>
      <c r="I32" s="39" t="s">
        <v>5</v>
      </c>
      <c r="J32" s="40">
        <v>8.92</v>
      </c>
      <c r="K32" s="40">
        <v>230</v>
      </c>
      <c r="L32" s="40">
        <v>46</v>
      </c>
      <c r="M32" s="40">
        <v>1.05</v>
      </c>
      <c r="N32" s="40">
        <v>1383.7950000000001</v>
      </c>
      <c r="O32" s="40">
        <v>2E-3</v>
      </c>
      <c r="P32" s="40">
        <v>133.5</v>
      </c>
      <c r="Q32" s="67">
        <v>3552.6315399999999</v>
      </c>
      <c r="R32" s="40">
        <v>26.611000000000001</v>
      </c>
      <c r="S32" s="41">
        <v>3.37</v>
      </c>
      <c r="T32" s="42">
        <v>89.68</v>
      </c>
    </row>
  </sheetData>
  <mergeCells count="9">
    <mergeCell ref="G27:T27"/>
    <mergeCell ref="I26:L26"/>
    <mergeCell ref="AA4:AA5"/>
    <mergeCell ref="E14:S14"/>
    <mergeCell ref="F1:T1"/>
    <mergeCell ref="G2:H2"/>
    <mergeCell ref="G4:T4"/>
    <mergeCell ref="G23:T23"/>
    <mergeCell ref="H22:L22"/>
  </mergeCells>
  <pageMargins left="0.74803149606299213" right="0.74803149606299213" top="0.78740157480314965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Загальний ввод</vt:lpstr>
      <vt:lpstr>Березень</vt:lpstr>
      <vt:lpstr>Березень!Область_печати</vt:lpstr>
      <vt:lpstr>'Загальний ввод'!Область_печати</vt:lpstr>
    </vt:vector>
  </TitlesOfParts>
  <Company>"Укрбургаз"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 S.P.</dc:creator>
  <cp:lastModifiedBy> dude</cp:lastModifiedBy>
  <cp:lastPrinted>2019-01-31T07:22:48Z</cp:lastPrinted>
  <dcterms:created xsi:type="dcterms:W3CDTF">2013-12-04T12:52:48Z</dcterms:created>
  <dcterms:modified xsi:type="dcterms:W3CDTF">2019-04-06T17:15:06Z</dcterms:modified>
</cp:coreProperties>
</file>