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otov_av\Desktop\СН ( экселе)\Для форума\"/>
    </mc:Choice>
  </mc:AlternateContent>
  <xr:revisionPtr revIDLastSave="0" documentId="13_ncr:1_{78668AE9-3B28-4B2E-9FA1-1C29E8B7B657}" xr6:coauthVersionLast="43" xr6:coauthVersionMax="43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Вар2" sheetId="5" state="hidden" r:id="rId1"/>
    <sheet name="черновик" sheetId="6" r:id="rId2"/>
    <sheet name="ВАР3" sheetId="7" r:id="rId3"/>
    <sheet name="Лист1" sheetId="1" state="hidden" r:id="rId4"/>
    <sheet name="Вар1" sheetId="2" state="hidden" r:id="rId5"/>
    <sheet name="проверка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7" l="1"/>
  <c r="D8" i="7"/>
  <c r="D7" i="7"/>
  <c r="G6" i="7"/>
  <c r="G15" i="7" s="1"/>
  <c r="G26" i="7" s="1"/>
  <c r="F6" i="7"/>
  <c r="F15" i="7" s="1"/>
  <c r="E6" i="7"/>
  <c r="D6" i="7" s="1"/>
  <c r="D5" i="7"/>
  <c r="G26" i="6"/>
  <c r="G22" i="6"/>
  <c r="F26" i="6"/>
  <c r="F22" i="6"/>
  <c r="E25" i="6"/>
  <c r="E22" i="6"/>
  <c r="G15" i="6"/>
  <c r="G22" i="7" l="1"/>
  <c r="E22" i="7"/>
  <c r="E25" i="7"/>
  <c r="F26" i="7"/>
  <c r="F22" i="7"/>
  <c r="D15" i="7"/>
  <c r="D8" i="6"/>
  <c r="D7" i="6"/>
  <c r="G6" i="6"/>
  <c r="F6" i="6"/>
  <c r="F15" i="6" s="1"/>
  <c r="E6" i="6"/>
  <c r="E15" i="6" s="1"/>
  <c r="D5" i="6"/>
  <c r="D6" i="6" l="1"/>
  <c r="D15" i="6" s="1"/>
  <c r="G6" i="5"/>
  <c r="D8" i="5"/>
  <c r="D7" i="5"/>
  <c r="F6" i="5"/>
  <c r="F15" i="5" s="1"/>
  <c r="E6" i="5"/>
  <c r="D5" i="5"/>
  <c r="D6" i="5" l="1"/>
  <c r="D15" i="5"/>
  <c r="E15" i="5"/>
  <c r="G15" i="5"/>
  <c r="F16" i="2"/>
  <c r="D8" i="4"/>
  <c r="D7" i="4"/>
  <c r="G6" i="4"/>
  <c r="F6" i="4"/>
  <c r="F15" i="4" s="1"/>
  <c r="E6" i="4"/>
  <c r="D6" i="4" s="1"/>
  <c r="D5" i="4"/>
  <c r="D15" i="4" s="1"/>
  <c r="K15" i="2"/>
  <c r="E12" i="2"/>
  <c r="G12" i="2" s="1"/>
  <c r="F12" i="2" s="1"/>
  <c r="G16" i="2"/>
  <c r="E11" i="2"/>
  <c r="G11" i="2" s="1"/>
  <c r="D15" i="2"/>
  <c r="E15" i="2"/>
  <c r="G6" i="2"/>
  <c r="G15" i="2"/>
  <c r="E11" i="5" l="1"/>
  <c r="E18" i="5" s="1"/>
  <c r="E15" i="4"/>
  <c r="G15" i="4"/>
  <c r="F11" i="2"/>
  <c r="D8" i="2"/>
  <c r="D7" i="2"/>
  <c r="F6" i="2"/>
  <c r="F15" i="2" s="1"/>
  <c r="E6" i="2"/>
  <c r="D6" i="2" s="1"/>
  <c r="D5" i="2"/>
  <c r="F18" i="1"/>
  <c r="F11" i="1"/>
  <c r="E11" i="1"/>
  <c r="D10" i="1"/>
  <c r="E15" i="1"/>
  <c r="G11" i="5" l="1"/>
  <c r="F11" i="5" s="1"/>
  <c r="E16" i="5"/>
  <c r="E11" i="4"/>
  <c r="G11" i="4" s="1"/>
  <c r="E16" i="2"/>
  <c r="J10" i="2"/>
  <c r="G15" i="1"/>
  <c r="G11" i="1" s="1"/>
  <c r="F15" i="1"/>
  <c r="G18" i="5" l="1"/>
  <c r="G16" i="5"/>
  <c r="F18" i="5"/>
  <c r="G16" i="4"/>
  <c r="K15" i="4"/>
  <c r="L10" i="4"/>
  <c r="J10" i="4"/>
  <c r="E16" i="4"/>
  <c r="J7" i="4"/>
  <c r="F11" i="4"/>
  <c r="L10" i="2"/>
  <c r="J7" i="2"/>
  <c r="F6" i="1"/>
  <c r="G6" i="1"/>
  <c r="D6" i="1" s="1"/>
  <c r="E6" i="1"/>
  <c r="D8" i="1"/>
  <c r="D7" i="1"/>
  <c r="D5" i="1"/>
  <c r="F16" i="5" l="1"/>
  <c r="D16" i="5"/>
  <c r="E12" i="5" s="1"/>
  <c r="K10" i="4"/>
  <c r="F16" i="4"/>
  <c r="D16" i="4"/>
  <c r="K10" i="2"/>
  <c r="D16" i="2"/>
  <c r="G12" i="5" l="1"/>
  <c r="F12" i="5" s="1"/>
  <c r="E12" i="4"/>
  <c r="G12" i="4" s="1"/>
  <c r="F12" i="4" s="1"/>
  <c r="F19" i="5" l="1"/>
  <c r="F20" i="5" s="1"/>
  <c r="G19" i="5"/>
  <c r="G20" i="5" s="1"/>
  <c r="E19" i="5"/>
  <c r="E20" i="5" s="1"/>
  <c r="H20" i="5" l="1"/>
  <c r="I20" i="5" s="1"/>
  <c r="F25" i="7"/>
  <c r="F24" i="7"/>
  <c r="G23" i="7"/>
  <c r="G25" i="7"/>
  <c r="G24" i="7"/>
  <c r="D16" i="7"/>
  <c r="E24" i="7"/>
  <c r="F23" i="7"/>
  <c r="G24" i="6"/>
  <c r="F24" i="6"/>
  <c r="D16" i="6"/>
  <c r="G25" i="6"/>
  <c r="F25" i="6"/>
  <c r="G19" i="6"/>
  <c r="F16" i="7"/>
  <c r="G12" i="6"/>
  <c r="E26" i="7"/>
  <c r="F12" i="7"/>
  <c r="F19" i="7"/>
  <c r="E19" i="7"/>
  <c r="E26" i="6"/>
  <c r="F16" i="6"/>
  <c r="G18" i="7"/>
  <c r="G20" i="7"/>
  <c r="H20" i="6"/>
  <c r="I20" i="6"/>
  <c r="F18" i="6"/>
  <c r="F20" i="6"/>
  <c r="G16" i="7"/>
  <c r="G12" i="7"/>
  <c r="G19" i="7"/>
  <c r="E18" i="7"/>
  <c r="E20" i="7"/>
  <c r="H20" i="7"/>
  <c r="I20" i="7"/>
  <c r="F11" i="7"/>
  <c r="F18" i="7"/>
  <c r="F20" i="7"/>
  <c r="E18" i="6"/>
  <c r="E20" i="6"/>
  <c r="G11" i="7"/>
  <c r="E11" i="7"/>
  <c r="E16" i="7"/>
  <c r="E12" i="7"/>
  <c r="G16" i="6"/>
  <c r="F12" i="6"/>
  <c r="F19" i="6"/>
  <c r="F23" i="6"/>
  <c r="F11" i="6"/>
  <c r="E16" i="6"/>
  <c r="E12" i="6"/>
  <c r="E19" i="6"/>
  <c r="G18" i="6"/>
  <c r="G20" i="6"/>
  <c r="E24" i="6"/>
  <c r="E11" i="6"/>
  <c r="G23" i="6"/>
  <c r="G11" i="6"/>
</calcChain>
</file>

<file path=xl/sharedStrings.xml><?xml version="1.0" encoding="utf-8"?>
<sst xmlns="http://schemas.openxmlformats.org/spreadsheetml/2006/main" count="94" uniqueCount="18">
  <si>
    <t>до 670</t>
  </si>
  <si>
    <t>670-10</t>
  </si>
  <si>
    <t xml:space="preserve">свыше 10 </t>
  </si>
  <si>
    <t>прочие</t>
  </si>
  <si>
    <t>Полезный отпуск, кВтч</t>
  </si>
  <si>
    <t>1-е полугодие  кВтч</t>
  </si>
  <si>
    <t>2-е полугодие  кВтч</t>
  </si>
  <si>
    <t>НВВ, руб.</t>
  </si>
  <si>
    <t>Сбытовая надбавка</t>
  </si>
  <si>
    <t>прописать формулу</t>
  </si>
  <si>
    <t>Исходные данные</t>
  </si>
  <si>
    <t>2-е полугодие,  руб/кВтч - базовый период</t>
  </si>
  <si>
    <t>1-е полугодие , руб/кВтч - период регулирования</t>
  </si>
  <si>
    <t>2-е полугодие,  руб/кВтч - период регулирования</t>
  </si>
  <si>
    <t>Удельная величина необходимой валовой выручки ГП</t>
  </si>
  <si>
    <t>Удельная величина необходимой валовой выручки ГП, 1п/г</t>
  </si>
  <si>
    <t>Удельная величина необходимой валовой выручки ГП, 2п/г</t>
  </si>
  <si>
    <t>1 пг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</si>
</sst>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"/>
    <numFmt numFmtId="165" formatCode="#,##0.0000000"/>
    <numFmt numFmtId="166" formatCode="0.00000"/>
    <numFmt numFmtId="167" formatCode="#,##0.000"/>
    <numFmt numFmtId="168" formatCode="#,##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0" fontId="1" fillId="0" borderId="0"/>
    <xf numFmtId="49" fontId="4" fillId="0" borderId="0" applyBorder="0">
      <alignment vertical="top"/>
    </xf>
  </cellStyleXfs>
  <cellXfs count="2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3" fontId="5" fillId="5" borderId="3" xfId="2" applyNumberFormat="1" applyFont="1" applyFill="1" applyBorder="1" applyAlignment="1">
      <alignment horizontal="right" vertical="center" wrapText="1"/>
    </xf>
    <xf numFmtId="3" fontId="5" fillId="6" borderId="3" xfId="2" applyNumberFormat="1" applyFont="1" applyFill="1" applyBorder="1" applyAlignment="1">
      <alignment horizontal="right" vertical="center" wrapText="1"/>
    </xf>
    <xf numFmtId="164" fontId="5" fillId="6" borderId="3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wrapText="1"/>
    </xf>
    <xf numFmtId="165" fontId="5" fillId="6" borderId="4" xfId="2" applyNumberFormat="1" applyFont="1" applyFill="1" applyBorder="1" applyAlignment="1">
      <alignment horizontal="right" vertical="center" wrapText="1"/>
    </xf>
    <xf numFmtId="166" fontId="0" fillId="0" borderId="0" xfId="0" applyNumberFormat="1"/>
    <xf numFmtId="4" fontId="0" fillId="0" borderId="0" xfId="0" applyNumberFormat="1"/>
    <xf numFmtId="3" fontId="0" fillId="0" borderId="0" xfId="0" applyNumberFormat="1"/>
    <xf numFmtId="167" fontId="0" fillId="0" borderId="0" xfId="0" applyNumberFormat="1"/>
    <xf numFmtId="168" fontId="0" fillId="0" borderId="0" xfId="0" applyNumberFormat="1"/>
    <xf numFmtId="168" fontId="0" fillId="7" borderId="0" xfId="0" applyNumberFormat="1" applyFill="1"/>
    <xf numFmtId="3" fontId="0" fillId="7" borderId="0" xfId="0" applyNumberFormat="1" applyFill="1"/>
    <xf numFmtId="0" fontId="0" fillId="8" borderId="0" xfId="0" applyFill="1"/>
  </cellXfs>
  <cellStyles count="3">
    <cellStyle name="Обычный" xfId="0" builtinId="0"/>
    <cellStyle name="Обычный 2 9" xfId="2" xr:uid="{00000000-0005-0000-0000-000001000000}"/>
    <cellStyle name="Обычный 5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4194-96E9-4624-B90C-5C0D4B6ABB88}">
  <sheetPr>
    <tabColor rgb="FF00B050"/>
  </sheetPr>
  <dimension ref="C4:L20"/>
  <sheetViews>
    <sheetView topLeftCell="A3" workbookViewId="0">
      <selection activeCell="E16" sqref="E16"/>
    </sheetView>
  </sheetViews>
  <sheetFormatPr defaultRowHeight="15" x14ac:dyDescent="0.25"/>
  <cols>
    <col min="3" max="3" width="40.7109375" customWidth="1"/>
    <col min="4" max="4" width="16.42578125" customWidth="1"/>
    <col min="5" max="5" width="18" bestFit="1" customWidth="1"/>
    <col min="6" max="6" width="18.28515625" bestFit="1" customWidth="1"/>
    <col min="7" max="7" width="15.7109375" customWidth="1"/>
    <col min="8" max="8" width="14.42578125" bestFit="1" customWidth="1"/>
    <col min="10" max="10" width="13.42578125" bestFit="1" customWidth="1"/>
    <col min="11" max="11" width="12.28515625" bestFit="1" customWidth="1"/>
    <col min="12" max="12" width="11.28515625" bestFit="1" customWidth="1"/>
  </cols>
  <sheetData>
    <row r="4" spans="3:12" ht="15.75" x14ac:dyDescent="0.25">
      <c r="C4" s="3" t="s">
        <v>10</v>
      </c>
      <c r="D4" s="2" t="s">
        <v>3</v>
      </c>
      <c r="E4" s="1" t="s">
        <v>0</v>
      </c>
      <c r="F4" s="1" t="s">
        <v>1</v>
      </c>
      <c r="G4" s="1" t="s">
        <v>2</v>
      </c>
    </row>
    <row r="5" spans="3:12" ht="15.75" x14ac:dyDescent="0.25">
      <c r="C5" s="3" t="s">
        <v>7</v>
      </c>
      <c r="D5" s="7">
        <f>E5+F5+G5</f>
        <v>823722711.58950746</v>
      </c>
      <c r="E5" s="7">
        <v>616378295.9216677</v>
      </c>
      <c r="F5" s="7">
        <v>168756961.4830406</v>
      </c>
      <c r="G5" s="7">
        <v>38587454.184799194</v>
      </c>
    </row>
    <row r="6" spans="3:12" ht="15.75" x14ac:dyDescent="0.25">
      <c r="C6" s="4" t="s">
        <v>4</v>
      </c>
      <c r="D6" s="8">
        <f>E6+F6+G6</f>
        <v>2849088899.9999995</v>
      </c>
      <c r="E6" s="8">
        <f>E7+E8</f>
        <v>1766747398</v>
      </c>
      <c r="F6" s="8">
        <f>F7+F8</f>
        <v>1043829236.9999995</v>
      </c>
      <c r="G6" s="8">
        <f t="shared" ref="G6" si="0">G7+G8</f>
        <v>38512264.99999994</v>
      </c>
    </row>
    <row r="7" spans="3:12" ht="15.75" x14ac:dyDescent="0.25">
      <c r="C7" s="5" t="s">
        <v>5</v>
      </c>
      <c r="D7" s="8">
        <f>E7+F7+G7</f>
        <v>1391147100</v>
      </c>
      <c r="E7" s="8">
        <v>863600256</v>
      </c>
      <c r="F7" s="8">
        <v>507952002.99999988</v>
      </c>
      <c r="G7" s="8">
        <v>19594841.000000119</v>
      </c>
    </row>
    <row r="8" spans="3:12" ht="15.75" x14ac:dyDescent="0.25">
      <c r="C8" s="5" t="s">
        <v>6</v>
      </c>
      <c r="D8" s="8">
        <f>E8+F8+G8</f>
        <v>1457941799.9999995</v>
      </c>
      <c r="E8" s="8">
        <v>903147142</v>
      </c>
      <c r="F8" s="8">
        <v>535877233.9999997</v>
      </c>
      <c r="G8" s="8">
        <v>18917423.999999821</v>
      </c>
    </row>
    <row r="9" spans="3:12" ht="15.75" x14ac:dyDescent="0.25">
      <c r="C9" s="6" t="s">
        <v>8</v>
      </c>
    </row>
    <row r="10" spans="3:12" ht="31.5" x14ac:dyDescent="0.25">
      <c r="C10" s="5" t="s">
        <v>11</v>
      </c>
      <c r="D10" s="11"/>
      <c r="E10" s="9">
        <v>0.25763999999999998</v>
      </c>
      <c r="F10" s="9">
        <v>8.5879999999999998E-2</v>
      </c>
      <c r="G10" s="9">
        <v>8.5879999999999998E-2</v>
      </c>
      <c r="J10" s="13"/>
      <c r="K10" s="13"/>
      <c r="L10" s="13"/>
    </row>
    <row r="11" spans="3:12" ht="31.5" x14ac:dyDescent="0.25">
      <c r="C11" s="5" t="s">
        <v>12</v>
      </c>
      <c r="E11" s="9">
        <f>_xlfn.IFS(AND(E15&lt;=(G15*3),G15&lt;=E15),E15,AND(G15&gt;F15,G15&gt;E15),(D5/2)/(E7+F7+G7),(G15/3)&lt;E15,MIN((3*E15*((G15-E15)/(3*G15-2*D15-E15))),E10))</f>
        <v>0.25763999999999998</v>
      </c>
      <c r="F11" s="9">
        <f>_xlfn.IFS(G15&lt;=F15,F15,AND(G15&gt;F15,G15&lt;=E15),((D5-(E11*E7))/(F7+G7)),AND(G15&gt;F15,G15&gt;E15),D5/(E7+F7+G7),(E11/3)&lt;=(((D15*D7)-((E11/3)*G7)-(E11*E7))/F7),MIN(((D15*D7)-(G7*G11)-(E11*E7))/F7,F10),(E11/3)&gt;((D15*D7)-(E11*G7/3)-(E11*E7))/F7,((D15*D7)-(E11*E7))/(F7+G7))</f>
        <v>8.5879999999999998E-2</v>
      </c>
      <c r="G11" s="9">
        <f>IF(G6=0,E11/3,_xlfn.IFS(G15&lt;=F15,G15,AND(G15&gt;F15,G15&lt;=E15),((D5-(E11*E7))/(F7+G7)),AND(G15&gt;F15,G15&gt;E15),D5/(E7+F7+G7),(E11/3)&lt;=(((D15*D7)-((E11/3)*G7)-(E11*E7))/F7),MIN((E11/3),G10),(E11/3)&gt;((D15*D7)-(E11*G7/3)-(E11*E7))/F7,((D15*D7)-(E11*E7))/(F7+G7)))</f>
        <v>8.5879999999999998E-2</v>
      </c>
    </row>
    <row r="12" spans="3:12" ht="31.5" x14ac:dyDescent="0.25">
      <c r="C12" s="5" t="s">
        <v>13</v>
      </c>
      <c r="E12" s="9">
        <f>_xlfn.IFS(AND(E16&lt;=(G16*3),G16&lt;=E16),E16,AND(G16&gt;F16,G16&gt;E16),(D5-(E11*E7+F11*F7+G11*G7))/D8,E16&gt;(G16*3),(3*D16*((G16-E16)/(3*G16-2*D16-E16))))</f>
        <v>0.38130398529690801</v>
      </c>
      <c r="F12" s="9">
        <f>_xlfn.IFS(G16&lt;=F16,F16,AND(G16&gt;F16,G16&gt;E16),(D5-(E11*E7+F11*F7+G11*G7))/D8,(E16/3)&lt;=(D5-(E11*E7+F11*F7+G11*G7)-(E12*G8/3)-(E12*E8))/F8,(D5-(E11*E7+F11*F7+G11*G7)-(G12*G8/3)-(E12*E8))/F8,(E16/3)&gt;(D5-(E11*E7+F11*F7+G11*G7)-(E12*G8/3)-(E12*E8))/F8,(D5-(E11*E7+F11*F7+G11*G7)-(E12*E8))/(F8+G8))</f>
        <v>0.38130398529690801</v>
      </c>
      <c r="G12" s="9">
        <f>IF(G6=0,E12/3,_xlfn.IFS(G16&lt;=F16,G16,AND(G16&gt;F16,G16&gt;E16),(D5-(E11*E7+F11*F7+G11*G7))/D8,(E16/3)&lt;=(D5-(E11*E7+F11*F7+G11*G7)-(E12*G8/3)-(E12*E8))/F8,E12/3,(E16/3)&gt;(D5-(E11*E7+F11*F7+G11*G7)-(E12*G8/3)-(E12*E8))/F8,(D5-(E11*E7+F11*F7+G11*G7)-(E12*E8))/(F8+G8)))</f>
        <v>0.38130398529690801</v>
      </c>
    </row>
    <row r="15" spans="3:12" ht="30" x14ac:dyDescent="0.25">
      <c r="C15" s="10" t="s">
        <v>15</v>
      </c>
      <c r="D15" s="12">
        <f>D5/D6</f>
        <v>0.28911793927859097</v>
      </c>
      <c r="E15">
        <f>MIN(E5/E6,E10)</f>
        <v>0.25763999999999998</v>
      </c>
      <c r="F15">
        <f>MIN(F5/F6,F10)</f>
        <v>8.5879999999999998E-2</v>
      </c>
      <c r="G15">
        <f>IF(G6=0,0,MIN(G5/G6,G10))</f>
        <v>8.5879999999999998E-2</v>
      </c>
      <c r="K15" s="13"/>
    </row>
    <row r="16" spans="3:12" ht="30" x14ac:dyDescent="0.25">
      <c r="C16" s="10" t="s">
        <v>16</v>
      </c>
      <c r="D16" s="12">
        <f>(D5-(E7*E11+F7*F11+G7+G11))/D8</f>
        <v>0.3690181477272601</v>
      </c>
      <c r="E16" s="12">
        <f>(E5-(E11*E7))/E8</f>
        <v>0.43611977234804528</v>
      </c>
      <c r="F16" s="12">
        <f>(F5-(F11*F7))/F8</f>
        <v>0.23351252026765645</v>
      </c>
      <c r="G16" s="12">
        <f>(G5-G11*G7)/G8</f>
        <v>1.9508284658481796</v>
      </c>
    </row>
    <row r="18" spans="5:9" x14ac:dyDescent="0.25">
      <c r="E18" s="16">
        <f>E7*E11</f>
        <v>222497969.95583999</v>
      </c>
      <c r="F18" s="16">
        <f>F11*F7</f>
        <v>43622918.017639987</v>
      </c>
      <c r="G18" s="16">
        <f>G7*G11</f>
        <v>1682804.9450800102</v>
      </c>
    </row>
    <row r="19" spans="5:9" x14ac:dyDescent="0.25">
      <c r="E19" s="16">
        <f>E8*E12</f>
        <v>344373604.55411249</v>
      </c>
      <c r="F19" s="16">
        <f>F8*F12</f>
        <v>204332124.95408362</v>
      </c>
      <c r="G19" s="16">
        <f>G12*G8</f>
        <v>7213289.1627513068</v>
      </c>
    </row>
    <row r="20" spans="5:9" x14ac:dyDescent="0.25">
      <c r="E20" s="17">
        <f>E18+E19</f>
        <v>566871574.50995255</v>
      </c>
      <c r="F20" s="17">
        <f>F18+F19</f>
        <v>247955042.97172362</v>
      </c>
      <c r="G20" s="17">
        <f>G18+G19</f>
        <v>8896094.1078313179</v>
      </c>
      <c r="H20" s="18">
        <f>E20+F20+G20</f>
        <v>823722711.58950746</v>
      </c>
      <c r="I20" s="19" t="b">
        <f>D5=H20</f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79EF-0508-41C2-AAB4-B16392D98D69}">
  <sheetPr>
    <tabColor rgb="FF00B050"/>
  </sheetPr>
  <dimension ref="C4:L26"/>
  <sheetViews>
    <sheetView tabSelected="1" topLeftCell="A3" workbookViewId="0">
      <selection activeCell="E23" sqref="E23"/>
    </sheetView>
  </sheetViews>
  <sheetFormatPr defaultRowHeight="15" x14ac:dyDescent="0.25"/>
  <cols>
    <col min="3" max="3" width="40.7109375" customWidth="1"/>
    <col min="4" max="4" width="16.42578125" customWidth="1"/>
    <col min="5" max="5" width="18" bestFit="1" customWidth="1"/>
    <col min="6" max="6" width="18.28515625" bestFit="1" customWidth="1"/>
    <col min="7" max="7" width="15.7109375" customWidth="1"/>
    <col min="8" max="8" width="14.42578125" bestFit="1" customWidth="1"/>
    <col min="10" max="10" width="13.42578125" bestFit="1" customWidth="1"/>
    <col min="11" max="11" width="12.28515625" bestFit="1" customWidth="1"/>
    <col min="12" max="12" width="11.28515625" bestFit="1" customWidth="1"/>
  </cols>
  <sheetData>
    <row r="4" spans="3:12" ht="15.75" x14ac:dyDescent="0.25">
      <c r="C4" s="3" t="s">
        <v>10</v>
      </c>
      <c r="D4" s="2" t="s">
        <v>3</v>
      </c>
      <c r="E4" s="1" t="s">
        <v>0</v>
      </c>
      <c r="F4" s="1" t="s">
        <v>1</v>
      </c>
      <c r="G4" s="1" t="s">
        <v>2</v>
      </c>
    </row>
    <row r="5" spans="3:12" ht="15.75" x14ac:dyDescent="0.25">
      <c r="C5" s="3" t="s">
        <v>7</v>
      </c>
      <c r="D5" s="7">
        <f>E5+F5+G5</f>
        <v>823722711.58950746</v>
      </c>
      <c r="E5" s="7">
        <v>616378295.9216677</v>
      </c>
      <c r="F5" s="7">
        <v>168756961.4830406</v>
      </c>
      <c r="G5" s="7">
        <v>38587454.184799194</v>
      </c>
    </row>
    <row r="6" spans="3:12" ht="15.75" x14ac:dyDescent="0.25">
      <c r="C6" s="4" t="s">
        <v>4</v>
      </c>
      <c r="D6" s="8">
        <f>E6+F6+G6</f>
        <v>2849088899.9999995</v>
      </c>
      <c r="E6" s="8">
        <f>E7+E8</f>
        <v>1766747398</v>
      </c>
      <c r="F6" s="8">
        <f>F7+F8</f>
        <v>1043829236.9999995</v>
      </c>
      <c r="G6" s="8">
        <f t="shared" ref="G6" si="0">G7+G8</f>
        <v>38512264.99999994</v>
      </c>
    </row>
    <row r="7" spans="3:12" ht="15.75" x14ac:dyDescent="0.25">
      <c r="C7" s="5" t="s">
        <v>5</v>
      </c>
      <c r="D7" s="8">
        <f>E7+F7+G7</f>
        <v>1391147100</v>
      </c>
      <c r="E7" s="8">
        <v>863600256</v>
      </c>
      <c r="F7" s="8">
        <v>507952002.99999988</v>
      </c>
      <c r="G7" s="8">
        <v>19594841.000000119</v>
      </c>
    </row>
    <row r="8" spans="3:12" ht="15.75" x14ac:dyDescent="0.25">
      <c r="C8" s="5" t="s">
        <v>6</v>
      </c>
      <c r="D8" s="8">
        <f>E8+F8+G8</f>
        <v>1457941799.9999995</v>
      </c>
      <c r="E8" s="8">
        <v>903147142</v>
      </c>
      <c r="F8" s="8">
        <v>535877233.9999997</v>
      </c>
      <c r="G8" s="8">
        <v>18917423.999999821</v>
      </c>
    </row>
    <row r="9" spans="3:12" ht="15.75" x14ac:dyDescent="0.25">
      <c r="C9" s="6" t="s">
        <v>8</v>
      </c>
    </row>
    <row r="10" spans="3:12" ht="31.5" x14ac:dyDescent="0.25">
      <c r="C10" s="5" t="s">
        <v>11</v>
      </c>
      <c r="D10" s="11"/>
      <c r="E10" s="9">
        <v>0.25763999999999998</v>
      </c>
      <c r="F10" s="9">
        <v>8.5879999999999998E-2</v>
      </c>
      <c r="G10" s="9">
        <v>8.5879999999999998E-2</v>
      </c>
      <c r="J10" s="13"/>
      <c r="K10" s="13"/>
      <c r="L10" s="13"/>
    </row>
    <row r="11" spans="3:12" ht="31.5" x14ac:dyDescent="0.25">
      <c r="C11" s="5" t="s">
        <v>12</v>
      </c>
      <c r="E11" s="9">
        <f ca="1">MAX(E22:E28)</f>
        <v>0</v>
      </c>
      <c r="F11" s="9">
        <f ca="1">MIN(F22:F28)</f>
        <v>0</v>
      </c>
      <c r="G11" s="9">
        <f ca="1">MIN(G22:G28)</f>
        <v>0</v>
      </c>
    </row>
    <row r="12" spans="3:12" ht="31.5" x14ac:dyDescent="0.25">
      <c r="C12" s="5" t="s">
        <v>13</v>
      </c>
      <c r="E12" s="9" t="e">
        <f ca="1">_xlfn.IFS(AND(E16&lt;=(G16*3),G16&lt;=E16),E16,AND(G16&gt;F16,G16&gt;E16),(D5-(E11*E7+F11*F7+G11*G7))/D8,E16&gt;(G16*3),(3*D16*((G16-E16)/(3*G16-2*D16-E16))))</f>
        <v>#VALUE!</v>
      </c>
      <c r="F12" s="9" t="e">
        <f ca="1">_xlfn.IFS(G16&lt;=F16,F16,AND(G16&gt;F16,G16&gt;E16),(D5-(E11*E7+F11*F7+G11*G7))/D8,(E16/3)&lt;=(D5-(E11*E7+F11*F7+G11*G7)-(E12*G8/3)-(E12*E8))/F8,(D5-(E11*E7+F11*F7+G11*G7)-(G12*G8/3)-(E12*E8))/F8,(E16/3)&gt;(D5-(E11*E7+F11*F7+G11*G7)-(E12*G8/3)-(E12*E8))/F8,(D5-(E11*E7+F11*F7+G11*G7)-(E12*E8))/(F8+G8))</f>
        <v>#VALUE!</v>
      </c>
      <c r="G12" s="9" t="e">
        <f ca="1">IF(G6=0,E12/3,_xlfn.IFS(G16&lt;=F16,G16,AND(G16&gt;F16,G16&gt;E16),(D5-(E11*E7+F11*F7+G11*G7))/D8,(E16/3)&lt;=(D5-(E11*E7+F11*F7+G11*G7)-(E12*G8/3)-(E12*E8))/F8,E12/3,(E16/3)&gt;(D5-(E11*E7+F11*F7+G11*G7)-(E12*G8/3)-(E12*E8))/F8,(D5-(E11*E7+F11*F7+G11*G7)-(E12*E8))/(F8+G8)))</f>
        <v>#VALUE!</v>
      </c>
    </row>
    <row r="15" spans="3:12" ht="30" x14ac:dyDescent="0.25">
      <c r="C15" s="10" t="s">
        <v>15</v>
      </c>
      <c r="D15" s="12">
        <f>D5/D6</f>
        <v>0.28911793927859097</v>
      </c>
      <c r="E15">
        <f>MIN(E5/E6,E10)</f>
        <v>0.25763999999999998</v>
      </c>
      <c r="F15">
        <f>MIN(F5/F6,F10)</f>
        <v>8.5879999999999998E-2</v>
      </c>
      <c r="G15">
        <f>IF(G6=0,0,MIN(G5/G6,G10))</f>
        <v>8.5879999999999998E-2</v>
      </c>
      <c r="K15" s="13"/>
    </row>
    <row r="16" spans="3:12" ht="30" x14ac:dyDescent="0.25">
      <c r="C16" s="10" t="s">
        <v>16</v>
      </c>
      <c r="D16" s="12" t="e">
        <f ca="1">(D5-(E7*E11+F7*F11+G7+G11))/D8</f>
        <v>#VALUE!</v>
      </c>
      <c r="E16" s="12">
        <f ca="1">(E5-(E11*E7))/E8</f>
        <v>0.43611977234804528</v>
      </c>
      <c r="F16" s="12" t="e">
        <f ca="1">(F5-(F11*F7))/F8</f>
        <v>#VALUE!</v>
      </c>
      <c r="G16" s="12" t="e">
        <f ca="1">(G5-G11*G7)/G8</f>
        <v>#VALUE!</v>
      </c>
    </row>
    <row r="18" spans="4:9" x14ac:dyDescent="0.25">
      <c r="E18" s="16">
        <f ca="1">E7*E11</f>
        <v>222497969.95583999</v>
      </c>
      <c r="F18" s="16" t="e">
        <f ca="1">F11*F7</f>
        <v>#VALUE!</v>
      </c>
      <c r="G18" s="16" t="e">
        <f ca="1">G7*G11</f>
        <v>#VALUE!</v>
      </c>
    </row>
    <row r="19" spans="4:9" x14ac:dyDescent="0.25">
      <c r="E19" s="16" t="e">
        <f ca="1">E8*E12</f>
        <v>#VALUE!</v>
      </c>
      <c r="F19" s="16" t="e">
        <f ca="1">F8*F12</f>
        <v>#VALUE!</v>
      </c>
      <c r="G19" s="16" t="e">
        <f ca="1">G12*G8</f>
        <v>#VALUE!</v>
      </c>
    </row>
    <row r="20" spans="4:9" x14ac:dyDescent="0.25">
      <c r="E20" s="17" t="e">
        <f ca="1">E18+E19</f>
        <v>#VALUE!</v>
      </c>
      <c r="F20" s="17" t="e">
        <f ca="1">F18+F19</f>
        <v>#VALUE!</v>
      </c>
      <c r="G20" s="17" t="e">
        <f ca="1">G18+G19</f>
        <v>#VALUE!</v>
      </c>
      <c r="H20" s="18" t="e">
        <f ca="1">E20+F20+G20</f>
        <v>#VALUE!</v>
      </c>
      <c r="I20" s="19" t="e">
        <f ca="1">D5=H20</f>
        <v>#VALUE!</v>
      </c>
    </row>
    <row r="22" spans="4:9" x14ac:dyDescent="0.25">
      <c r="D22" t="s">
        <v>17</v>
      </c>
      <c r="E22">
        <f>IF(AND(E15&lt;=(G15*3),G15&lt;=E15),E15,"ложь")</f>
        <v>0.25763999999999998</v>
      </c>
      <c r="F22">
        <f>IF(G15&lt;=F15,F15, "ложь")</f>
        <v>8.5879999999999998E-2</v>
      </c>
      <c r="G22">
        <f>IF(G15&lt;=F15,G15, "ложь")</f>
        <v>8.5879999999999998E-2</v>
      </c>
    </row>
    <row r="23" spans="4:9" x14ac:dyDescent="0.25">
      <c r="F23">
        <f ca="1">IF(AND(G15&gt;F15,G15&lt;=E15,E11&lt;=(G11*3)),((D5*((E7+F7+G7)/D6))-(E11*E7))/(F7+G7),"ложь")</f>
        <v>0</v>
      </c>
      <c r="G23">
        <f ca="1">IF(AND(G15&gt;F15,G15&lt;=E15,E11&lt;=(G11*3)),((D5*((E7+F7+G7)/D6))-(E22*E7))/(F7+G7),"ложь")</f>
        <v>0</v>
      </c>
    </row>
    <row r="24" spans="4:9" x14ac:dyDescent="0.25">
      <c r="E24">
        <f ca="1">IF(OR(G15&gt;E15,E11&gt;(G11*3)),D5/D6,"ложь")</f>
        <v>0</v>
      </c>
      <c r="F24">
        <f ca="1">IF(OR(G15&gt;E15,E11&gt;(G11*3)),D5/D6,"ложь")</f>
        <v>0</v>
      </c>
      <c r="G24">
        <f ca="1">IF(OR(G15&gt;E15,E11&gt;(G11*3)),D5/D6,"ложь")</f>
        <v>0</v>
      </c>
    </row>
    <row r="25" spans="4:9" x14ac:dyDescent="0.25">
      <c r="E25" t="str">
        <f>IF(E15&gt;(G15*3),MIN(3*D15*((G15-E15)/(3*G15-2*D15-E15)),E10),"ложь")</f>
        <v>ложь</v>
      </c>
      <c r="F25">
        <f ca="1">IF(E11/3&lt;=((D15*D7-E11*G7/3-E11*E7)/F7),MIN((D15*D7-G11*G7-E11*E7)/F7,F10),"ложь")</f>
        <v>0</v>
      </c>
      <c r="G25">
        <f ca="1">IF(E11/3&lt;=((D15*D7-E11*G7/3-E11*E7)/F7),MIN(E11/3,G11),"ложь")</f>
        <v>0</v>
      </c>
    </row>
    <row r="26" spans="4:9" x14ac:dyDescent="0.25">
      <c r="E26">
        <f ca="1">IF(MIN(D15*((G15-E15)/(3*G15-2*D15-E15)),G10)&gt;(D15*D7-((G15-E15)*(G7+3*E7))/(3*G15-2*D15-E15))/F7,3*G11,"ложь")</f>
        <v>0</v>
      </c>
      <c r="F26">
        <f>IF(MIN(D15*((G15-E15)/(3*G15-2*D15-E15)),G10)&gt;(D15*D7-((G15-E15)*(G7+3*E7))/(3*G15-2*D15-E15))/F7,(D15*D7)/(3*E7+F7+G7),"ложь")</f>
        <v>0.12898035524892212</v>
      </c>
      <c r="G26">
        <f>IF(MIN(D15*((G15-E15)/(3*G15-2*D15-E15)),G10)&gt;(D15*D7-((G15-E15)*(G7+3*E7))/(3*G15-2*D15-E15))/F7,(D15*D7)/(3*E7+F7+G7),"ложь")</f>
        <v>0.12898035524892212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4E2D-5EDC-4B1F-8727-9D890424243E}">
  <sheetPr>
    <tabColor rgb="FF00B050"/>
  </sheetPr>
  <dimension ref="C4:L26"/>
  <sheetViews>
    <sheetView topLeftCell="A3" workbookViewId="0">
      <selection activeCell="G11" sqref="G11"/>
    </sheetView>
  </sheetViews>
  <sheetFormatPr defaultRowHeight="15" x14ac:dyDescent="0.25"/>
  <cols>
    <col min="3" max="3" width="40.7109375" customWidth="1"/>
    <col min="4" max="4" width="16.42578125" customWidth="1"/>
    <col min="5" max="5" width="18" bestFit="1" customWidth="1"/>
    <col min="6" max="6" width="18.28515625" bestFit="1" customWidth="1"/>
    <col min="7" max="7" width="15.7109375" customWidth="1"/>
    <col min="8" max="8" width="14.42578125" bestFit="1" customWidth="1"/>
    <col min="10" max="10" width="13.42578125" bestFit="1" customWidth="1"/>
    <col min="11" max="11" width="12.28515625" bestFit="1" customWidth="1"/>
    <col min="12" max="12" width="11.28515625" bestFit="1" customWidth="1"/>
  </cols>
  <sheetData>
    <row r="4" spans="3:12" ht="15.75" x14ac:dyDescent="0.25">
      <c r="C4" s="3" t="s">
        <v>10</v>
      </c>
      <c r="D4" s="2" t="s">
        <v>3</v>
      </c>
      <c r="E4" s="1" t="s">
        <v>0</v>
      </c>
      <c r="F4" s="1" t="s">
        <v>1</v>
      </c>
      <c r="G4" s="1" t="s">
        <v>2</v>
      </c>
    </row>
    <row r="5" spans="3:12" ht="15.75" x14ac:dyDescent="0.25">
      <c r="C5" s="3" t="s">
        <v>7</v>
      </c>
      <c r="D5" s="7">
        <f>E5+F5+G5</f>
        <v>823722711.58950746</v>
      </c>
      <c r="E5" s="7">
        <v>616378295.9216677</v>
      </c>
      <c r="F5" s="7">
        <v>168756961.4830406</v>
      </c>
      <c r="G5" s="7">
        <v>38587454.184799194</v>
      </c>
    </row>
    <row r="6" spans="3:12" ht="15.75" x14ac:dyDescent="0.25">
      <c r="C6" s="4" t="s">
        <v>4</v>
      </c>
      <c r="D6" s="8">
        <f>E6+F6+G6</f>
        <v>2849088899.9999995</v>
      </c>
      <c r="E6" s="8">
        <f>E7+E8</f>
        <v>1766747398</v>
      </c>
      <c r="F6" s="8">
        <f>F7+F8</f>
        <v>1043829236.9999995</v>
      </c>
      <c r="G6" s="8">
        <f t="shared" ref="G6" si="0">G7+G8</f>
        <v>38512264.99999994</v>
      </c>
    </row>
    <row r="7" spans="3:12" ht="15.75" x14ac:dyDescent="0.25">
      <c r="C7" s="5" t="s">
        <v>5</v>
      </c>
      <c r="D7" s="8">
        <f>E7+F7+G7</f>
        <v>1391147100</v>
      </c>
      <c r="E7" s="8">
        <v>863600256</v>
      </c>
      <c r="F7" s="8">
        <v>507952002.99999988</v>
      </c>
      <c r="G7" s="8">
        <v>19594841.000000119</v>
      </c>
    </row>
    <row r="8" spans="3:12" ht="15.75" x14ac:dyDescent="0.25">
      <c r="C8" s="5" t="s">
        <v>6</v>
      </c>
      <c r="D8" s="8">
        <f>E8+F8+G8</f>
        <v>1457941799.9999995</v>
      </c>
      <c r="E8" s="8">
        <v>903147142</v>
      </c>
      <c r="F8" s="8">
        <v>535877233.9999997</v>
      </c>
      <c r="G8" s="8">
        <v>18917423.999999821</v>
      </c>
    </row>
    <row r="9" spans="3:12" ht="15.75" x14ac:dyDescent="0.25">
      <c r="C9" s="6" t="s">
        <v>8</v>
      </c>
    </row>
    <row r="10" spans="3:12" ht="31.5" x14ac:dyDescent="0.25">
      <c r="C10" s="5" t="s">
        <v>11</v>
      </c>
      <c r="D10" s="11"/>
      <c r="E10" s="9">
        <v>0.25763999999999998</v>
      </c>
      <c r="F10" s="9">
        <v>8.5879999999999998E-2</v>
      </c>
      <c r="G10" s="9">
        <v>8.5879999999999998E-2</v>
      </c>
      <c r="J10" s="13"/>
      <c r="K10" s="13"/>
      <c r="L10" s="13"/>
    </row>
    <row r="11" spans="3:12" ht="31.5" x14ac:dyDescent="0.25">
      <c r="C11" s="5" t="s">
        <v>12</v>
      </c>
      <c r="E11" s="9">
        <f ca="1">_xlfn.IFS(AND(E15&lt;=(G15*3),G15&lt;=E15),E15,OR(G15&gt;E15,E10&gt;(G10*3)),D5/D6,E15&gt;(G15*3),MIN(3*D15*((G15-E15)/(3*G15-2*D15-E15)),E10),MIN(D15*((G15-E15)/(3*G15-2*D15-E15)),G10)&gt;(D15*D7-((G15-E15)*(G7+3*E7))/(3*G15-2*D15-E15))/F7,3*G11)</f>
        <v>0.25763999999999998</v>
      </c>
      <c r="F11" s="9">
        <f ca="1">_xlfn.IFS(G15&lt;=F15,F15,AND(G15&gt;F15,G15&lt;=E15,E11&lt;=(G11*3)),((D5*((E7+F7+G7)/D6))-(E11*E7))/(F7+G7),OR(G15&gt;E15,E11&gt;(G11*3)),D5/D6,E11/3&lt;=((D15*D7-E11*G7/3-E11*E7)/F7),MIN((D15*D7-G11*G7-E11*E7)/F7,F10),MIN(D15*((G15-E15)/(3*G15-2*D15-E15)),G10)&gt;(D15*D7-((G15-E15)*(G7+3*E7))/(3*G15-2*D15-E15))/F7,(D15*D7)/(3*E7+F7+G7))</f>
        <v>8.5879999999999998E-2</v>
      </c>
      <c r="G11" s="9">
        <f ca="1">_xlfn.IFS(G15&lt;=F15,G15,AND(G15&gt;F15,G15&lt;=E15,E11&lt;=(G11*3)),((D5*((E7+F7+G7)/D6))-(E22*E7))/(F7+G7),OR(G15&gt;E15,E11&gt;(G11*3)),D5/D6,E11/3&lt;=((D15*D7-E11*G7/3-E11*E7)/F7),MIN(E11/3,G11),MIN(D15*((G15-E15)/(3*G15-2*D15-E15)),G10)&gt;(D15*D7-((G15-E15)*(G7+3*E7))/(3*G15-2*D15-E15))/F7,(D15*D7)/(3*E7+F7+G7))</f>
        <v>0</v>
      </c>
    </row>
    <row r="12" spans="3:12" ht="31.5" x14ac:dyDescent="0.25">
      <c r="C12" s="5" t="s">
        <v>13</v>
      </c>
      <c r="E12" s="9">
        <f ca="1">_xlfn.IFS(AND(E16&lt;=(G16*3),G16&lt;=E16),E16,AND(G16&gt;F16,G16&gt;E16),(D5-(E11*E7+F11*F7+G11*G7))/D8,E16&gt;(G16*3),(3*D16*((G16-E16)/(3*G16-2*D16-E16))))</f>
        <v>0.38130398529690801</v>
      </c>
      <c r="F12" s="9">
        <f ca="1">_xlfn.IFS(G16&lt;=F16,F16,AND(G16&gt;F16,G16&gt;E16),(D5-(E11*E7+F11*F7+G11*G7))/D8,(E16/3)&lt;=(D5-(E11*E7+F11*F7+G11*G7)-(E12*G8/3)-(E12*E8))/F8,(D5-(E11*E7+F11*F7+G11*G7)-(G12*G8/3)-(E12*E8))/F8,(E16/3)&gt;(D5-(E11*E7+F11*F7+G11*G7)-(E12*G8/3)-(E12*E8))/F8,(D5-(E11*E7+F11*F7+G11*G7)-(E12*E8))/(F8+G8))</f>
        <v>0.38130398529690801</v>
      </c>
      <c r="G12" s="9">
        <f ca="1">IF(G6=0,E12/3,_xlfn.IFS(G16&lt;=F16,G16,AND(G16&gt;F16,G16&gt;E16),(D5-(E11*E7+F11*F7+G11*G7))/D8,(E16/3)&lt;=(D5-(E11*E7+F11*F7+G11*G7)-(E12*G8/3)-(E12*E8))/F8,E12/3,(E16/3)&gt;(D5-(E11*E7+F11*F7+G11*G7)-(E12*G8/3)-(E12*E8))/F8,(D5-(E11*E7+F11*F7+G11*G7)-(E12*E8))/(F8+G8)))</f>
        <v>0.38130398529690801</v>
      </c>
    </row>
    <row r="15" spans="3:12" ht="30" x14ac:dyDescent="0.25">
      <c r="C15" s="10" t="s">
        <v>15</v>
      </c>
      <c r="D15" s="12">
        <f>D5/D6</f>
        <v>0.28911793927859097</v>
      </c>
      <c r="E15">
        <f>MIN(E5/E6,E10)</f>
        <v>0.25763999999999998</v>
      </c>
      <c r="F15">
        <f>MIN(F5/F6,F10)</f>
        <v>8.5879999999999998E-2</v>
      </c>
      <c r="G15">
        <f>IF(G6=0,0,MIN(G5/G6,G10))</f>
        <v>8.5879999999999998E-2</v>
      </c>
      <c r="K15" s="13"/>
    </row>
    <row r="16" spans="3:12" ht="30" x14ac:dyDescent="0.25">
      <c r="C16" s="10" t="s">
        <v>16</v>
      </c>
      <c r="D16" s="12">
        <f ca="1">(D5-(E7*E11+F7*F11+G7+G11))/D8</f>
        <v>0.3690181477272601</v>
      </c>
      <c r="E16" s="12">
        <f ca="1">(E5-(E11*E7))/E8</f>
        <v>0.43611977234804528</v>
      </c>
      <c r="F16" s="12">
        <f ca="1">(F5-(F11*F7))/F8</f>
        <v>0.23351252026765645</v>
      </c>
      <c r="G16" s="12">
        <f ca="1">(G5-G11*G7)/G8</f>
        <v>1.9508284658481796</v>
      </c>
    </row>
    <row r="18" spans="4:9" x14ac:dyDescent="0.25">
      <c r="E18" s="16">
        <f ca="1">E7*E11</f>
        <v>222497969.95583999</v>
      </c>
      <c r="F18" s="16">
        <f ca="1">F11*F7</f>
        <v>43622918.017639987</v>
      </c>
      <c r="G18" s="16">
        <f ca="1">G7*G11</f>
        <v>1682804.9450800102</v>
      </c>
    </row>
    <row r="19" spans="4:9" x14ac:dyDescent="0.25">
      <c r="E19" s="16">
        <f ca="1">E8*E12</f>
        <v>344373604.55411249</v>
      </c>
      <c r="F19" s="16">
        <f ca="1">F8*F12</f>
        <v>204332124.95408362</v>
      </c>
      <c r="G19" s="16">
        <f ca="1">G12*G8</f>
        <v>7213289.1627513068</v>
      </c>
    </row>
    <row r="20" spans="4:9" x14ac:dyDescent="0.25">
      <c r="E20" s="17">
        <f ca="1">E18+E19</f>
        <v>566871574.50995255</v>
      </c>
      <c r="F20" s="17">
        <f ca="1">F18+F19</f>
        <v>247955042.97172362</v>
      </c>
      <c r="G20" s="17">
        <f ca="1">G18+G19</f>
        <v>8896094.1078313179</v>
      </c>
      <c r="H20" s="18">
        <f ca="1">E20+F20+G20</f>
        <v>823722711.58950746</v>
      </c>
      <c r="I20" s="19" t="b">
        <f ca="1">D5=H20</f>
        <v>1</v>
      </c>
    </row>
    <row r="22" spans="4:9" x14ac:dyDescent="0.25">
      <c r="D22" t="s">
        <v>17</v>
      </c>
      <c r="E22">
        <f>IF(AND(E15&lt;=(G15*3),G15&lt;=E15),E15,"ложь")</f>
        <v>0.25763999999999998</v>
      </c>
      <c r="F22">
        <f>IF(G15&lt;=F15,F15, "ложь")</f>
        <v>8.5879999999999998E-2</v>
      </c>
      <c r="G22">
        <f>IF(G15&lt;=F15,G15, "ложь")</f>
        <v>8.5879999999999998E-2</v>
      </c>
    </row>
    <row r="23" spans="4:9" x14ac:dyDescent="0.25">
      <c r="F23" t="str">
        <f ca="1">IF(AND(G15&gt;F15,G15&lt;=E15,E11&lt;=(G11*3)),((D5*((E7+F7+G7)/D6))-(E11*E7))/(F7+G7),"ложь")</f>
        <v>ложь</v>
      </c>
      <c r="G23" t="str">
        <f ca="1">IF(AND(G15&gt;F15,G15&lt;=E15,E11&lt;=(G11*3)),((D5*((E7+F7+G7)/D6))-(E22*E7))/(F7+G7),"ложь")</f>
        <v>ложь</v>
      </c>
    </row>
    <row r="24" spans="4:9" x14ac:dyDescent="0.25">
      <c r="E24" t="str">
        <f ca="1">IF(OR(G15&gt;E15,E11&gt;(G11*3)),D5/D6,"ложь")</f>
        <v>ложь</v>
      </c>
      <c r="F24" t="str">
        <f ca="1">IF(OR(G15&gt;E15,E11&gt;(G11*3)),D5/D6,"ложь")</f>
        <v>ложь</v>
      </c>
      <c r="G24" t="str">
        <f ca="1">IF(OR(G15&gt;E15,E11&gt;(G11*3)),D5/D6,"ложь")</f>
        <v>ложь</v>
      </c>
    </row>
    <row r="25" spans="4:9" x14ac:dyDescent="0.25">
      <c r="E25" t="str">
        <f>IF(E15&gt;(G15*3),MIN(3*D15*((G15-E15)/(3*G15-2*D15-E15)),E10),"ложь")</f>
        <v>ложь</v>
      </c>
      <c r="F25">
        <f ca="1">IF(E11/3&lt;=((D15*D7-E11*G7/3-E11*E7)/F7),MIN((D15*D7-G11*G7-E11*E7)/F7,F10),"ложь")</f>
        <v>8.5879999999999998E-2</v>
      </c>
      <c r="G25">
        <f ca="1">IF(E11/3&lt;=((D15*D7-E11*G7/3-E11*E7)/F7),MIN(E11/3,G11),"ложь")</f>
        <v>8.5879999999999998E-2</v>
      </c>
    </row>
    <row r="26" spans="4:9" x14ac:dyDescent="0.25">
      <c r="E26">
        <f ca="1">IF(MIN(D15*((G15-E15)/(3*G15-2*D15-E15)),G10)&gt;(D15*D7-((G15-E15)*(G7+3*E7))/(3*G15-2*D15-E15))/F7,3*G11,"ложь")</f>
        <v>0.25763999999999998</v>
      </c>
      <c r="F26">
        <f>IF(MIN(D15*((G15-E15)/(3*G15-2*D15-E15)),G10)&gt;(D15*D7-((G15-E15)*(G7+3*E7))/(3*G15-2*D15-E15))/F7,(D15*D7)/(3*E7+F7+G7),"ложь")</f>
        <v>0.12898035524892212</v>
      </c>
      <c r="G26">
        <f>IF(MIN(D15*((G15-E15)/(3*G15-2*D15-E15)),G10)&gt;(D15*D7-((G15-E15)*(G7+3*E7))/(3*G15-2*D15-E15))/F7,(D15*D7)/(3*E7+F7+G7),"ложь")</f>
        <v>0.12898035524892212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G18"/>
  <sheetViews>
    <sheetView workbookViewId="0">
      <selection activeCell="F19" sqref="F19"/>
    </sheetView>
  </sheetViews>
  <sheetFormatPr defaultRowHeight="15" x14ac:dyDescent="0.25"/>
  <cols>
    <col min="3" max="3" width="40.7109375" customWidth="1"/>
    <col min="4" max="4" width="16.42578125" customWidth="1"/>
    <col min="5" max="5" width="16" customWidth="1"/>
    <col min="6" max="6" width="16.5703125" customWidth="1"/>
    <col min="7" max="7" width="15.7109375" customWidth="1"/>
  </cols>
  <sheetData>
    <row r="4" spans="3:7" ht="15.75" x14ac:dyDescent="0.25">
      <c r="C4" s="3" t="s">
        <v>10</v>
      </c>
      <c r="D4" s="2" t="s">
        <v>3</v>
      </c>
      <c r="E4" s="1" t="s">
        <v>0</v>
      </c>
      <c r="F4" s="1" t="s">
        <v>1</v>
      </c>
      <c r="G4" s="1" t="s">
        <v>2</v>
      </c>
    </row>
    <row r="5" spans="3:7" ht="15.75" x14ac:dyDescent="0.25">
      <c r="C5" s="3" t="s">
        <v>7</v>
      </c>
      <c r="D5" s="7">
        <f>E5+F5+G5</f>
        <v>823722711.58950746</v>
      </c>
      <c r="E5" s="7">
        <v>616378295.9216677</v>
      </c>
      <c r="F5" s="7">
        <v>168756961.4830406</v>
      </c>
      <c r="G5" s="7">
        <v>38587454.184799194</v>
      </c>
    </row>
    <row r="6" spans="3:7" ht="15.75" x14ac:dyDescent="0.25">
      <c r="C6" s="4" t="s">
        <v>4</v>
      </c>
      <c r="D6" s="8">
        <f>E6+F6+G6</f>
        <v>2849088899.9999995</v>
      </c>
      <c r="E6" s="8">
        <f>E7+E8</f>
        <v>1766747398</v>
      </c>
      <c r="F6" s="8">
        <f>F7+F8</f>
        <v>1043829236.9999995</v>
      </c>
      <c r="G6" s="8">
        <f t="shared" ref="G6" si="0">G7+G8</f>
        <v>38512264.99999994</v>
      </c>
    </row>
    <row r="7" spans="3:7" ht="15.75" x14ac:dyDescent="0.25">
      <c r="C7" s="5" t="s">
        <v>5</v>
      </c>
      <c r="D7" s="8">
        <f>E7+F7+G7</f>
        <v>1391147100</v>
      </c>
      <c r="E7" s="8">
        <v>863600256</v>
      </c>
      <c r="F7" s="8">
        <v>507952002.99999988</v>
      </c>
      <c r="G7" s="8">
        <v>19594841.000000119</v>
      </c>
    </row>
    <row r="8" spans="3:7" ht="15.75" x14ac:dyDescent="0.25">
      <c r="C8" s="5" t="s">
        <v>6</v>
      </c>
      <c r="D8" s="8">
        <f>E8+F8+G8</f>
        <v>1457941799.9999995</v>
      </c>
      <c r="E8" s="8">
        <v>903147142</v>
      </c>
      <c r="F8" s="8">
        <v>535877233.9999997</v>
      </c>
      <c r="G8" s="8">
        <v>18917423.999999821</v>
      </c>
    </row>
    <row r="9" spans="3:7" ht="15.75" x14ac:dyDescent="0.25">
      <c r="C9" s="6" t="s">
        <v>8</v>
      </c>
    </row>
    <row r="10" spans="3:7" ht="31.5" x14ac:dyDescent="0.25">
      <c r="C10" s="5" t="s">
        <v>11</v>
      </c>
      <c r="D10" s="11">
        <f>D5/D6</f>
        <v>0.28911793927859097</v>
      </c>
      <c r="E10" s="9">
        <v>0.25763999999999998</v>
      </c>
      <c r="F10" s="9">
        <v>8.5879999999999998E-2</v>
      </c>
      <c r="G10" s="9">
        <v>8.5879999999999998E-2</v>
      </c>
    </row>
    <row r="11" spans="3:7" ht="31.5" x14ac:dyDescent="0.25">
      <c r="C11" s="5" t="s">
        <v>12</v>
      </c>
      <c r="E11" s="9">
        <f>IF(AND($E10&lt;=($G10*3),$G10&lt;=$E10),$E15,IF(OR($G10&gt;$E10,$G10&gt;$F10),($D5/$D6)))</f>
        <v>0.25763999999999998</v>
      </c>
      <c r="F11" s="9">
        <f>IF(AND($G10&lt;=$F10),$F15,IF(OR($G10&gt;$E10,$G10&gt;$F10),($D5/$D6)))</f>
        <v>8.5879999999999998E-2</v>
      </c>
      <c r="G11" s="9">
        <f>IF(AND($G10&lt;=$F10),$G15,IF(OR($G10&gt;$E10,$G10&gt;$F10),($D5/$D6)))</f>
        <v>8.5879999999999998E-2</v>
      </c>
    </row>
    <row r="12" spans="3:7" ht="31.5" x14ac:dyDescent="0.25">
      <c r="C12" s="5" t="s">
        <v>13</v>
      </c>
      <c r="E12" s="8" t="s">
        <v>9</v>
      </c>
      <c r="F12" s="8" t="s">
        <v>9</v>
      </c>
      <c r="G12" s="8" t="s">
        <v>9</v>
      </c>
    </row>
    <row r="15" spans="3:7" ht="30" x14ac:dyDescent="0.25">
      <c r="C15" s="10" t="s">
        <v>14</v>
      </c>
      <c r="E15">
        <f>MIN(E5/E6,E10)</f>
        <v>0.25763999999999998</v>
      </c>
      <c r="F15">
        <f>MIN(F5/F6,F10)</f>
        <v>8.5879999999999998E-2</v>
      </c>
      <c r="G15">
        <f>MIN(G5/G6,G10)</f>
        <v>8.5879999999999998E-2</v>
      </c>
    </row>
    <row r="18" spans="6:6" x14ac:dyDescent="0.25">
      <c r="F18">
        <f>_xlfn.IFS(OR($E$15&gt;=($G$10*3),$G$15&lt;=$E$15),$F$15,$G$15&lt;=$F$15,$F$15,OR($G$15&gt;=$F$15,$G$15&lt;=$E$15),($D$5-($E$7*$E$11)/($F$7+$G$7)))</f>
        <v>8.5879999999999998E-2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FDC5-2825-4D47-9A07-9E642B38D7CC}">
  <dimension ref="C4:L20"/>
  <sheetViews>
    <sheetView workbookViewId="0">
      <selection activeCell="F17" sqref="F17"/>
    </sheetView>
  </sheetViews>
  <sheetFormatPr defaultRowHeight="15" x14ac:dyDescent="0.25"/>
  <cols>
    <col min="3" max="3" width="40.7109375" customWidth="1"/>
    <col min="4" max="4" width="16.42578125" customWidth="1"/>
    <col min="5" max="5" width="18" bestFit="1" customWidth="1"/>
    <col min="6" max="6" width="18.28515625" bestFit="1" customWidth="1"/>
    <col min="7" max="7" width="15.7109375" customWidth="1"/>
    <col min="10" max="10" width="13.42578125" bestFit="1" customWidth="1"/>
    <col min="11" max="11" width="12.28515625" bestFit="1" customWidth="1"/>
    <col min="12" max="12" width="11.28515625" bestFit="1" customWidth="1"/>
  </cols>
  <sheetData>
    <row r="4" spans="3:12" ht="15.75" x14ac:dyDescent="0.25">
      <c r="C4" s="3" t="s">
        <v>10</v>
      </c>
      <c r="D4" s="2" t="s">
        <v>3</v>
      </c>
      <c r="E4" s="1" t="s">
        <v>0</v>
      </c>
      <c r="F4" s="1" t="s">
        <v>1</v>
      </c>
      <c r="G4" s="1" t="s">
        <v>2</v>
      </c>
    </row>
    <row r="5" spans="3:12" ht="15.75" x14ac:dyDescent="0.25">
      <c r="C5" s="3" t="s">
        <v>7</v>
      </c>
      <c r="D5" s="7">
        <f>E5+F5+G5</f>
        <v>823722711.58950746</v>
      </c>
      <c r="E5" s="7">
        <v>616378295.9216677</v>
      </c>
      <c r="F5" s="7">
        <v>168756961.4830406</v>
      </c>
      <c r="G5" s="7">
        <v>38587454.184799194</v>
      </c>
    </row>
    <row r="6" spans="3:12" ht="15.75" x14ac:dyDescent="0.25">
      <c r="C6" s="4" t="s">
        <v>4</v>
      </c>
      <c r="D6" s="8">
        <f>E6+F6+G6</f>
        <v>2849088899.9999995</v>
      </c>
      <c r="E6" s="8">
        <f>E7+E8</f>
        <v>1766747398</v>
      </c>
      <c r="F6" s="8">
        <f>F7+F8</f>
        <v>1043829236.9999995</v>
      </c>
      <c r="G6" s="8">
        <f t="shared" ref="G6" si="0">G7+G8</f>
        <v>38512264.99999994</v>
      </c>
    </row>
    <row r="7" spans="3:12" ht="15.75" x14ac:dyDescent="0.25">
      <c r="C7" s="5" t="s">
        <v>5</v>
      </c>
      <c r="D7" s="8">
        <f>E7+F7+G7</f>
        <v>1391147100</v>
      </c>
      <c r="E7" s="8">
        <v>863600256</v>
      </c>
      <c r="F7" s="8">
        <v>507952002.99999988</v>
      </c>
      <c r="G7" s="8">
        <v>19594841.000000119</v>
      </c>
      <c r="J7">
        <f>($D$5-($E$7*$E$11))/($F$7+$G$7)</f>
        <v>1.1396613371336317</v>
      </c>
    </row>
    <row r="8" spans="3:12" ht="15.75" x14ac:dyDescent="0.25">
      <c r="C8" s="5" t="s">
        <v>6</v>
      </c>
      <c r="D8" s="8">
        <f>E8+F8+G8</f>
        <v>1457941799.9999995</v>
      </c>
      <c r="E8" s="8">
        <v>903147142</v>
      </c>
      <c r="F8" s="8">
        <v>535877233.9999997</v>
      </c>
      <c r="G8" s="8">
        <v>18917423.999999821</v>
      </c>
    </row>
    <row r="9" spans="3:12" ht="15.75" x14ac:dyDescent="0.25">
      <c r="C9" s="6" t="s">
        <v>8</v>
      </c>
    </row>
    <row r="10" spans="3:12" ht="31.5" x14ac:dyDescent="0.25">
      <c r="C10" s="5" t="s">
        <v>11</v>
      </c>
      <c r="D10" s="11"/>
      <c r="E10" s="9">
        <v>0.25763999999999998</v>
      </c>
      <c r="F10" s="9">
        <v>8.5879999999999998E-2</v>
      </c>
      <c r="G10" s="9">
        <v>8.5879999999999998E-2</v>
      </c>
      <c r="J10" s="13">
        <f>E7*E11</f>
        <v>222497969.95583999</v>
      </c>
      <c r="K10" s="13">
        <f>F7*F11</f>
        <v>43622918.017639987</v>
      </c>
      <c r="L10" s="13">
        <f>G7*G11</f>
        <v>1682804.9450800102</v>
      </c>
    </row>
    <row r="11" spans="3:12" ht="31.5" x14ac:dyDescent="0.25">
      <c r="C11" s="5" t="s">
        <v>12</v>
      </c>
      <c r="E11" s="9">
        <f>_xlfn.IFS(AND(E15&lt;=(G15*3),G15&lt;=E15),E15,AND(G15&gt;F15,G15&gt;E15),(D5/2)/(E7+F7+G7),(G15/3)&lt;E15,MIN((3*E15*((G15-E15)/(3*G15-2*D15-E15))),E10))</f>
        <v>0.25763999999999998</v>
      </c>
      <c r="F11" s="9">
        <f>_xlfn.IFS(G15&lt;=F15,F15,AND(G15&gt;F15,G15&lt;=E15),((D5-(E11*E7))/(F7+G7)),AND(G15&gt;F15,G15&gt;E15),D5/(E7+F7+G7),(E11/3)&lt;=(((D15*D7)-((E11/3)*G7)-(E11*E7))/F7),MIN(((D15*D7)-(G7*G11)-(E11*E7))/F7,F10),(E11/3)&gt;((D15*D7)-(E11*G7/3)-(E11*E7))/F7,((D15*D7)-(E11*E7))/(F7+G7))</f>
        <v>8.5879999999999998E-2</v>
      </c>
      <c r="G11" s="9">
        <f>IF(G6=0,E11/3,_xlfn.IFS(G15&lt;=F15,G15,AND(G15&gt;F15,G15&lt;=E15),((D5-(E11*E7))/(F7+G7)),AND(G15&gt;F15,G15&gt;E15),D5/(E7+F7+G7),(E11/3)&lt;=(((D15*D7)-((E11/3)*G7)-(E11*E7))/F7),MIN((E11/3),G10),(E11/3)&gt;((D15*D7)-(E11*G7/3)-(E11*E7))/F7,((D15*D7)-(E11*E7))/(F7+G7)))</f>
        <v>8.5879999999999998E-2</v>
      </c>
    </row>
    <row r="12" spans="3:12" ht="31.5" x14ac:dyDescent="0.25">
      <c r="C12" s="5" t="s">
        <v>13</v>
      </c>
      <c r="E12" s="9">
        <f>_xlfn.IFS(AND(E16&lt;=(G16*3),G16&lt;=E16),E16,AND(G16&gt;F16,G16&gt;E16),D5/D8,E16&gt;(G16*3),(3*D16*((G16-E16)/(3*G16-2*D16-E16))))</f>
        <v>0.56499011935147736</v>
      </c>
      <c r="F12" s="9">
        <f>_xlfn.IFS(G16&lt;=F16,F16,AND(G16&gt;F16,G16&gt;E16),D5/D8,(E16/3)&lt;=(D5-(E11*E7+F11*F7+G11*G7)-(E12*G8/3)-(E12*E8))/F8,(D5-(E11*E7+F11*F7+G11*G7)-(G12*G8/3)-(E12*E8))/F8,(E16/3)&gt;(D5-(E11*E7+F11*F7+G11*G7)-(E12*G8/3)-(E12*E8))/F8,(D5-(E11*E7+F11*F7+G11*G7)-(E12*E8))/(F8+G8))</f>
        <v>0.56499011935147736</v>
      </c>
      <c r="G12" s="9">
        <f>IF(G6=0,E12/3,_xlfn.IFS(G16&lt;=F16,G16,AND(G16&gt;F16,G16&gt;E16),D5/D8,(E16/3)&lt;=(D5-(E11*E7+F11*F7+G11*G7)-(E12*G8/3)-(E12*E8))/F8,E12/3,(E16/3)&gt;(D5-(E11*E7+F11*F7+G11*G7)-(E12*G8/3)-(E12*E8))/F8,(D5-(E11*E7+F11*F7+G11*G7)-(E12*E8))/(F8+G8)))</f>
        <v>0.56499011935147736</v>
      </c>
    </row>
    <row r="15" spans="3:12" ht="30" x14ac:dyDescent="0.25">
      <c r="C15" s="10" t="s">
        <v>15</v>
      </c>
      <c r="D15" s="12">
        <f>D5/D6</f>
        <v>0.28911793927859097</v>
      </c>
      <c r="E15">
        <f>MIN(E5/E6,E10)</f>
        <v>0.25763999999999998</v>
      </c>
      <c r="F15">
        <f>MIN(F5/F6,F10)</f>
        <v>8.5879999999999998E-2</v>
      </c>
      <c r="G15">
        <f>IF(G6=0,0,MIN(G5/G6,G10))</f>
        <v>8.5879999999999998E-2</v>
      </c>
      <c r="K15" s="13">
        <f>G11*G7</f>
        <v>1682804.9450800102</v>
      </c>
    </row>
    <row r="16" spans="3:12" ht="30" x14ac:dyDescent="0.25">
      <c r="C16" s="10" t="s">
        <v>16</v>
      </c>
      <c r="D16" s="12">
        <f>(D5-(E7*E11+F7*F11+G7+G11))/D8</f>
        <v>0.3690181477272601</v>
      </c>
      <c r="E16" s="12">
        <f>(E5-(E11*E7))/E8</f>
        <v>0.43611977234804528</v>
      </c>
      <c r="F16" s="12">
        <f>(F5-(F11*F7))/F8</f>
        <v>0.23351252026765645</v>
      </c>
      <c r="G16" s="12">
        <f>(G5-G11*G7)/G8</f>
        <v>1.9508284658481796</v>
      </c>
    </row>
    <row r="19" spans="5:5" x14ac:dyDescent="0.25">
      <c r="E19" s="14"/>
    </row>
    <row r="20" spans="5:5" x14ac:dyDescent="0.25">
      <c r="E20" s="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AAD7-AF4B-4FBD-9C76-51480E1D0238}">
  <dimension ref="C4:L20"/>
  <sheetViews>
    <sheetView workbookViewId="0">
      <selection activeCell="F10" sqref="F10"/>
    </sheetView>
  </sheetViews>
  <sheetFormatPr defaultRowHeight="15" x14ac:dyDescent="0.25"/>
  <cols>
    <col min="3" max="3" width="40.7109375" customWidth="1"/>
    <col min="4" max="4" width="16.42578125" customWidth="1"/>
    <col min="5" max="5" width="18" bestFit="1" customWidth="1"/>
    <col min="6" max="6" width="18.28515625" bestFit="1" customWidth="1"/>
    <col min="7" max="7" width="15.7109375" customWidth="1"/>
    <col min="10" max="10" width="13.42578125" bestFit="1" customWidth="1"/>
    <col min="11" max="11" width="12.28515625" bestFit="1" customWidth="1"/>
    <col min="12" max="12" width="11.28515625" bestFit="1" customWidth="1"/>
  </cols>
  <sheetData>
    <row r="4" spans="3:12" ht="15.75" x14ac:dyDescent="0.25">
      <c r="C4" s="3" t="s">
        <v>10</v>
      </c>
      <c r="D4" s="2" t="s">
        <v>3</v>
      </c>
      <c r="E4" s="1" t="s">
        <v>0</v>
      </c>
      <c r="F4" s="1" t="s">
        <v>1</v>
      </c>
      <c r="G4" s="1" t="s">
        <v>2</v>
      </c>
    </row>
    <row r="5" spans="3:12" ht="15.75" x14ac:dyDescent="0.25">
      <c r="C5" s="3" t="s">
        <v>7</v>
      </c>
      <c r="D5" s="7">
        <f>E5+F5+G5</f>
        <v>823722711.58950746</v>
      </c>
      <c r="E5" s="7">
        <v>616378295.9216677</v>
      </c>
      <c r="F5" s="7">
        <v>168756961.4830406</v>
      </c>
      <c r="G5" s="7">
        <v>38587454.184799194</v>
      </c>
    </row>
    <row r="6" spans="3:12" ht="15.75" x14ac:dyDescent="0.25">
      <c r="C6" s="4" t="s">
        <v>4</v>
      </c>
      <c r="D6" s="8">
        <f>E6+F6+G6</f>
        <v>2849088899.9999995</v>
      </c>
      <c r="E6" s="8">
        <f>E7+E8</f>
        <v>1766747398</v>
      </c>
      <c r="F6" s="8">
        <f>F7+F8</f>
        <v>1043829236.9999995</v>
      </c>
      <c r="G6" s="8">
        <f t="shared" ref="G6" si="0">G7+G8</f>
        <v>38512264.99999994</v>
      </c>
    </row>
    <row r="7" spans="3:12" ht="15.75" x14ac:dyDescent="0.25">
      <c r="C7" s="5" t="s">
        <v>5</v>
      </c>
      <c r="D7" s="8">
        <f>E7+F7+G7</f>
        <v>1391147100</v>
      </c>
      <c r="E7" s="8">
        <v>863600256</v>
      </c>
      <c r="F7" s="8">
        <v>507952002.99999988</v>
      </c>
      <c r="G7" s="8">
        <v>19594841.000000119</v>
      </c>
      <c r="J7">
        <f>($D$5-($E$7*$E$11))/($F$7+$G$7)</f>
        <v>1.1396613371336317</v>
      </c>
    </row>
    <row r="8" spans="3:12" ht="15.75" x14ac:dyDescent="0.25">
      <c r="C8" s="5" t="s">
        <v>6</v>
      </c>
      <c r="D8" s="8">
        <f>E8+F8+G8</f>
        <v>1457941799.9999995</v>
      </c>
      <c r="E8" s="8">
        <v>903147142</v>
      </c>
      <c r="F8" s="8">
        <v>535877233.9999997</v>
      </c>
      <c r="G8" s="8">
        <v>18917423.999999821</v>
      </c>
    </row>
    <row r="9" spans="3:12" ht="15.75" x14ac:dyDescent="0.25">
      <c r="C9" s="6" t="s">
        <v>8</v>
      </c>
    </row>
    <row r="10" spans="3:12" ht="31.5" x14ac:dyDescent="0.25">
      <c r="C10" s="5" t="s">
        <v>11</v>
      </c>
      <c r="D10" s="11"/>
      <c r="E10" s="9">
        <v>0.25763999999999998</v>
      </c>
      <c r="F10" s="9">
        <v>8.5879999999999998E-2</v>
      </c>
      <c r="G10" s="9">
        <v>8.5879999999999998E-2</v>
      </c>
      <c r="J10" s="13">
        <f>E7*E11</f>
        <v>222497969.95583999</v>
      </c>
      <c r="K10" s="13">
        <f>F7*F11</f>
        <v>43622918.017639987</v>
      </c>
      <c r="L10" s="13">
        <f>G7*G11</f>
        <v>1682804.9450800102</v>
      </c>
    </row>
    <row r="11" spans="3:12" ht="31.5" x14ac:dyDescent="0.25">
      <c r="C11" s="5" t="s">
        <v>12</v>
      </c>
      <c r="E11" s="9">
        <f>_xlfn.IFS(AND(E15&lt;=(G15*3),G15&lt;=E15),E15,AND(G15&gt;F15,G15&gt;E15),(D5/2)/(E7+F7+G7),(G15/3)&lt;E15,MIN((3*E15*((G15-E15)/(3*G15-2*D15-E15))),E10))</f>
        <v>0.25763999999999998</v>
      </c>
      <c r="F11" s="9">
        <f>_xlfn.IFS(G15&lt;=F15,F15,AND(G15&gt;F15,G15&lt;=E15),((D5-(E11*E7))/(F7+G7)),AND(G15&gt;F15,G15&gt;E15),D5/(E7+F7+G7),(E11/3)&lt;=(((D15*D7)-((E11/3)*G7)-(E11*E7))/F7),MIN(((D15*D7)-(G7*G11)-(E11*E7))/F7,F10),(E11/3)&gt;((D15*D7)-(E11*G7/3)-(E11*E7))/F7,((D15*D7)-(E11*E7))/(F7+G7))</f>
        <v>8.5879999999999998E-2</v>
      </c>
      <c r="G11" s="9">
        <f>IF(G6=0,E11/3,_xlfn.IFS(G15&lt;=F15,G15,AND(G15&gt;F15,G15&lt;=E15),((D5-(E11*E7))/(F7+G7)),AND(G15&gt;F15,G15&gt;E15),D5/(E7+F7+G7),(E11/3)&lt;=(((D15*D7)-((E11/3)*G7)-(E11*E7))/F7),MIN((E11/3),G10),(E11/3)&gt;((D15*D7)-(E11*G7/3)-(E11*E7))/F7,((D15*D7)-(E11*E7))/(F7+G7)))</f>
        <v>8.5879999999999998E-2</v>
      </c>
    </row>
    <row r="12" spans="3:12" ht="31.5" x14ac:dyDescent="0.25">
      <c r="C12" s="5" t="s">
        <v>13</v>
      </c>
      <c r="E12" s="9">
        <f>_xlfn.IFS(AND(E16&lt;=(G16*3),G16&lt;=E16),E16,AND(G16&gt;F16,G16&gt;E16),D5/D8,E16&gt;(G16*3),(3*D16*((G16-E16)/(3*G16-2*D16-E16))))</f>
        <v>0.56499011935147736</v>
      </c>
      <c r="F12" s="9">
        <f>_xlfn.IFS(G16&lt;=F16,F16,AND(G16&gt;F16,G16&gt;E16),D5/D8,(E16/3)&lt;=(D5-(E11*E7+F11*F7+G11*G7)-(E12*G8/3)-(E12*E8))/F8,(D5-(E11*E7+F11*F7+G11*G7)-(G12*G8/3)-(E12*E8))/F8,(E16/3)&gt;(D5-(E11*E7+F11*F7+G11*G7)-(E12*G8/3)-(E12*E8))/F8,(D5-(E11*E7+F11*F7+G11*G7)-(E12*E8))/(F8+G8))</f>
        <v>0.56499011935147736</v>
      </c>
      <c r="G12" s="9">
        <f>IF(G6=0,E12/3,_xlfn.IFS(G16&lt;=F16,G16,AND(G16&gt;F16,G16&gt;E16),D5/D8,(E16/3)&lt;=(D5-(E11*E7+F11*F7+G11*G7)-(E12*G8/3)-(E12*E8))/F8,E12/3,(E16/3)&gt;(D5-(E11*E7+F11*F7+G11*G7)-(E12*G8/3)-(E12*E8))/F8,(D5-(E11*E7+F11*F7+G11*G7)-(E12*E8))/(F8+G8)))</f>
        <v>0.56499011935147736</v>
      </c>
    </row>
    <row r="15" spans="3:12" ht="30" x14ac:dyDescent="0.25">
      <c r="C15" s="10" t="s">
        <v>15</v>
      </c>
      <c r="D15" s="12">
        <f>D5/D6</f>
        <v>0.28911793927859097</v>
      </c>
      <c r="E15">
        <f>MIN(E5/E6,E10)</f>
        <v>0.25763999999999998</v>
      </c>
      <c r="F15">
        <f>MIN(F5/F6,F10)</f>
        <v>8.5879999999999998E-2</v>
      </c>
      <c r="G15">
        <f>IF(G6=0,0,MIN(G5/G6,G10))</f>
        <v>8.5879999999999998E-2</v>
      </c>
      <c r="K15" s="13">
        <f>G11*G7</f>
        <v>1682804.9450800102</v>
      </c>
    </row>
    <row r="16" spans="3:12" ht="30" x14ac:dyDescent="0.25">
      <c r="C16" s="10" t="s">
        <v>16</v>
      </c>
      <c r="D16" s="12">
        <f>(D5-(E7*E11+F7*F11+G7+G11))/D8</f>
        <v>0.3690181477272601</v>
      </c>
      <c r="E16" s="12">
        <f>(E5-(E11*E7))/E8</f>
        <v>0.43611977234804528</v>
      </c>
      <c r="F16" s="12">
        <f>(F5-(F11*F7))/F8</f>
        <v>0.23351252026765645</v>
      </c>
      <c r="G16" s="12">
        <f>(G5-G11*G7)/G8</f>
        <v>1.9508284658481796</v>
      </c>
    </row>
    <row r="19" spans="5:5" x14ac:dyDescent="0.25">
      <c r="E19" s="14"/>
    </row>
    <row r="20" spans="5:5" x14ac:dyDescent="0.25">
      <c r="E20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Вар2</vt:lpstr>
      <vt:lpstr>черновик</vt:lpstr>
      <vt:lpstr>ВАР3</vt:lpstr>
      <vt:lpstr>Лист1</vt:lpstr>
      <vt:lpstr>Вар1</vt:lpstr>
      <vt:lpstr>проверка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Машкова Ирина Викторовна</dc:creator>
  <cp:lastModifiedBy>Изотов Артем Викторович</cp:lastModifiedBy>
  <dcterms:created xsi:type="dcterms:W3CDTF">2019-03-19T11:45:04Z</dcterms:created>
  <dcterms:modified xsi:type="dcterms:W3CDTF">2019-04-04T12:53:26Z</dcterms:modified>
</cp:coreProperties>
</file>