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ДОК\вещ.доок\"/>
    </mc:Choice>
  </mc:AlternateContent>
  <xr:revisionPtr revIDLastSave="0" documentId="13_ncr:1_{07ADC011-0CFE-4EBE-AD70-C693D249DF40}" xr6:coauthVersionLast="43" xr6:coauthVersionMax="43" xr10:uidLastSave="{00000000-0000-0000-0000-000000000000}"/>
  <bookViews>
    <workbookView xWindow="-120" yWindow="-120" windowWidth="20730" windowHeight="11160" tabRatio="379" xr2:uid="{00000000-000D-0000-FFFF-FFFF00000000}"/>
  </bookViews>
  <sheets>
    <sheet name="1" sheetId="4" r:id="rId1"/>
  </sheets>
  <definedNames>
    <definedName name="_xlnm.Print_Area" localSheetId="0">'1'!$A$1:$F$48</definedName>
  </definedNames>
  <calcPr calcId="191029"/>
</workbook>
</file>

<file path=xl/calcChain.xml><?xml version="1.0" encoding="utf-8"?>
<calcChain xmlns="http://schemas.openxmlformats.org/spreadsheetml/2006/main">
  <c r="E31" i="4" l="1"/>
  <c r="D29" i="4"/>
  <c r="D34" i="4" s="1"/>
  <c r="A37" i="4"/>
  <c r="A34" i="4"/>
  <c r="A31" i="4"/>
  <c r="A29" i="4"/>
  <c r="A28" i="4"/>
  <c r="A27" i="4"/>
  <c r="A20" i="4"/>
  <c r="E16" i="4"/>
  <c r="E7" i="4"/>
  <c r="E8" i="4" s="1"/>
  <c r="E37" i="4" s="1"/>
  <c r="D7" i="4"/>
  <c r="D8" i="4" s="1"/>
  <c r="A10" i="4" l="1"/>
  <c r="E40" i="4"/>
  <c r="F40" i="4" s="1"/>
  <c r="F8" i="4"/>
  <c r="D37" i="4"/>
  <c r="A38" i="4" s="1"/>
  <c r="A32" i="4"/>
  <c r="A39" i="4"/>
  <c r="A9" i="4"/>
  <c r="E34" i="4"/>
  <c r="A36" i="4" s="1"/>
  <c r="A30" i="4"/>
  <c r="A35" i="4"/>
  <c r="A41" i="4" l="1"/>
  <c r="E42" i="4"/>
  <c r="A44" i="4" s="1"/>
  <c r="F34" i="4"/>
  <c r="F37" i="4"/>
  <c r="D42" i="4"/>
  <c r="E45" i="4" l="1"/>
  <c r="A47" i="4" s="1"/>
  <c r="F42" i="4"/>
  <c r="D45" i="4"/>
  <c r="A43" i="4"/>
  <c r="E48" i="4" l="1"/>
  <c r="A50" i="4" s="1"/>
  <c r="D48" i="4"/>
  <c r="F45" i="4"/>
  <c r="A46" i="4"/>
  <c r="F48" i="4" l="1"/>
  <c r="A49" i="4"/>
</calcChain>
</file>

<file path=xl/sharedStrings.xml><?xml version="1.0" encoding="utf-8"?>
<sst xmlns="http://schemas.openxmlformats.org/spreadsheetml/2006/main" count="87" uniqueCount="62">
  <si>
    <t>руб</t>
  </si>
  <si>
    <t>мин</t>
  </si>
  <si>
    <t>шт</t>
  </si>
  <si>
    <t>кВт</t>
  </si>
  <si>
    <t>стоимость 1 кВт</t>
  </si>
  <si>
    <t>Расчёты:</t>
  </si>
  <si>
    <t>Тр</t>
  </si>
  <si>
    <t>N</t>
  </si>
  <si>
    <t>ɣ</t>
  </si>
  <si>
    <t>Ст.кВт</t>
  </si>
  <si>
    <t>количество деталей к обработке</t>
  </si>
  <si>
    <t>Д</t>
  </si>
  <si>
    <t>Время сверления 8-ми отверстий (1 диск)</t>
  </si>
  <si>
    <t>Стоимость пластины BYN (без НДС)</t>
  </si>
  <si>
    <t>До полного износа инструмента:</t>
  </si>
  <si>
    <t>Гр</t>
  </si>
  <si>
    <t>Смена грани пластины через кол-во дисков</t>
  </si>
  <si>
    <t>Смена грани пластины</t>
  </si>
  <si>
    <t>Заточка сверла</t>
  </si>
  <si>
    <t>Св.з.</t>
  </si>
  <si>
    <t>Заточка сверла через кол-во дисков</t>
  </si>
  <si>
    <t>Установленная мощность станка 3В642</t>
  </si>
  <si>
    <t>N1</t>
  </si>
  <si>
    <t>∑РИ1</t>
  </si>
  <si>
    <t>∑РИ2</t>
  </si>
  <si>
    <t>∑РИ3</t>
  </si>
  <si>
    <t>∑РИ4</t>
  </si>
  <si>
    <t>∑Зри</t>
  </si>
  <si>
    <t>∑кВт</t>
  </si>
  <si>
    <t>Тр1</t>
  </si>
  <si>
    <t>Время сверления 8-ми отверстий (1 диск) с учётом времени на смен граней пластины и замены сверла (при заточке)</t>
  </si>
  <si>
    <t>Переточ.</t>
  </si>
  <si>
    <t>Смена сверла в инструментальном магазине</t>
  </si>
  <si>
    <t>Ссв.</t>
  </si>
  <si>
    <t>Количество переточек одного сверла</t>
  </si>
  <si>
    <t>Деталь обрабатывалась на</t>
  </si>
  <si>
    <t>∑кВт1</t>
  </si>
  <si>
    <t>ɣ1</t>
  </si>
  <si>
    <t>∑∑кВт</t>
  </si>
  <si>
    <t>Суммарные затраты по электроэнергии</t>
  </si>
  <si>
    <t xml:space="preserve">Суммарные затраты по электроэнергии </t>
  </si>
  <si>
    <t>∑∑кВт,р</t>
  </si>
  <si>
    <t>∑Руб</t>
  </si>
  <si>
    <t>ИТОГО затраты:</t>
  </si>
  <si>
    <t xml:space="preserve">      Результаты
(+)увеличение затрат
(-) снижение затрат</t>
  </si>
  <si>
    <t>Стоимость сверла (без НДС)</t>
  </si>
  <si>
    <t>СтРИ1</t>
  </si>
  <si>
    <t>СтРИ2</t>
  </si>
  <si>
    <t>СтРИ3</t>
  </si>
  <si>
    <t>Сверло центровочное</t>
  </si>
  <si>
    <t>коэффициент использ. кВт для станков с ЧПУ</t>
  </si>
  <si>
    <t>коэффициент использ. кВт для унив. станков</t>
  </si>
  <si>
    <t>Стоимость сверла центровоч.  Ø3,15(без НДС)</t>
  </si>
  <si>
    <t>мех.сверло</t>
  </si>
  <si>
    <t>2 пластины – количество дисков</t>
  </si>
  <si>
    <t>1 сверло – количество дисков</t>
  </si>
  <si>
    <t>гост сверло</t>
  </si>
  <si>
    <t>Ст1</t>
  </si>
  <si>
    <t>Ст2</t>
  </si>
  <si>
    <t>Затраты по электроэнергии 3В642</t>
  </si>
  <si>
    <t>ГДС-500</t>
  </si>
  <si>
    <t>https://www.planetaexcel.ru/forum/index.php?PAGE_NAME=message&amp;FID=1&amp;TID=116208&amp;TITLE_SEO=116208-izmenenie-peremennoy#postform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</si>
</sst>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&quot;+&quot;#,##0.000;&quot;-&quot;#,##0.000;"/>
    <numFmt numFmtId="166" formatCode="0.000"/>
    <numFmt numFmtId="167" formatCode="0.0000"/>
    <numFmt numFmtId="168" formatCode="&quot;+&quot;#,##0.00;&quot;-&quot;#,##0.00;"/>
    <numFmt numFmtId="169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0"/>
      <name val="Arial Cy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0" tint="-0.1499984740745262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47FF4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2" borderId="0">
      <alignment horizontal="left" vertical="top"/>
    </xf>
    <xf numFmtId="164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1" fontId="1" fillId="0" borderId="0" xfId="0" applyNumberFormat="1" applyFont="1" applyBorder="1" applyAlignment="1">
      <alignment horizontal="center" vertical="top"/>
    </xf>
    <xf numFmtId="0" fontId="0" fillId="0" borderId="0" xfId="0" applyFont="1"/>
    <xf numFmtId="167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horizontal="justify" vertical="center" wrapText="1"/>
    </xf>
    <xf numFmtId="166" fontId="10" fillId="0" borderId="1" xfId="0" applyNumberFormat="1" applyFont="1" applyBorder="1" applyAlignment="1">
      <alignment horizontal="center" vertical="top"/>
    </xf>
    <xf numFmtId="166" fontId="9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166" fontId="3" fillId="0" borderId="1" xfId="0" applyNumberFormat="1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justify" vertical="center" wrapText="1"/>
    </xf>
    <xf numFmtId="166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/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/>
    <xf numFmtId="166" fontId="1" fillId="0" borderId="4" xfId="0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center" wrapText="1"/>
    </xf>
    <xf numFmtId="166" fontId="9" fillId="0" borderId="7" xfId="0" applyNumberFormat="1" applyFont="1" applyBorder="1" applyAlignment="1">
      <alignment horizontal="center" vertical="top" wrapText="1"/>
    </xf>
    <xf numFmtId="166" fontId="9" fillId="0" borderId="6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top" wrapText="1"/>
    </xf>
    <xf numFmtId="166" fontId="9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168" fontId="1" fillId="0" borderId="6" xfId="0" applyNumberFormat="1" applyFont="1" applyBorder="1" applyAlignment="1"/>
    <xf numFmtId="166" fontId="1" fillId="0" borderId="1" xfId="0" applyNumberFormat="1" applyFont="1" applyBorder="1" applyAlignment="1">
      <alignment horizontal="center" vertical="top"/>
    </xf>
    <xf numFmtId="169" fontId="1" fillId="0" borderId="8" xfId="0" applyNumberFormat="1" applyFont="1" applyBorder="1" applyAlignment="1"/>
    <xf numFmtId="165" fontId="1" fillId="0" borderId="7" xfId="0" applyNumberFormat="1" applyFont="1" applyBorder="1" applyAlignment="1">
      <alignment horizontal="left"/>
    </xf>
    <xf numFmtId="165" fontId="0" fillId="0" borderId="8" xfId="0" applyNumberFormat="1" applyBorder="1" applyAlignment="1"/>
    <xf numFmtId="165" fontId="0" fillId="0" borderId="6" xfId="0" applyNumberFormat="1" applyBorder="1" applyAlignment="1"/>
    <xf numFmtId="165" fontId="0" fillId="0" borderId="13" xfId="0" applyNumberFormat="1" applyBorder="1" applyAlignment="1"/>
    <xf numFmtId="165" fontId="1" fillId="0" borderId="7" xfId="0" applyNumberFormat="1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13" fillId="0" borderId="10" xfId="0" applyFont="1" applyBorder="1" applyAlignment="1">
      <alignment horizontal="justify" vertical="center" wrapText="1"/>
    </xf>
    <xf numFmtId="0" fontId="14" fillId="0" borderId="11" xfId="0" applyFont="1" applyBorder="1" applyAlignment="1"/>
    <xf numFmtId="0" fontId="14" fillId="0" borderId="12" xfId="0" applyFont="1" applyBorder="1" applyAlignment="1"/>
    <xf numFmtId="0" fontId="13" fillId="0" borderId="5" xfId="0" applyFont="1" applyBorder="1" applyAlignment="1">
      <alignment horizontal="justify" vertical="center" wrapText="1"/>
    </xf>
    <xf numFmtId="0" fontId="14" fillId="0" borderId="9" xfId="0" applyFont="1" applyBorder="1" applyAlignment="1"/>
    <xf numFmtId="0" fontId="14" fillId="0" borderId="13" xfId="0" applyFont="1" applyBorder="1" applyAlignment="1"/>
    <xf numFmtId="2" fontId="7" fillId="0" borderId="1" xfId="0" applyNumberFormat="1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3" fillId="0" borderId="12" xfId="0" applyFont="1" applyBorder="1" applyAlignment="1"/>
    <xf numFmtId="0" fontId="13" fillId="0" borderId="5" xfId="0" applyFont="1" applyBorder="1" applyAlignment="1"/>
    <xf numFmtId="0" fontId="13" fillId="0" borderId="9" xfId="0" applyFont="1" applyBorder="1" applyAlignment="1"/>
    <xf numFmtId="0" fontId="13" fillId="0" borderId="13" xfId="0" applyFont="1" applyBorder="1" applyAlignment="1"/>
    <xf numFmtId="0" fontId="13" fillId="0" borderId="2" xfId="0" applyFont="1" applyBorder="1" applyAlignment="1">
      <alignment wrapText="1"/>
    </xf>
    <xf numFmtId="0" fontId="14" fillId="0" borderId="4" xfId="0" applyFont="1" applyBorder="1" applyAlignment="1"/>
    <xf numFmtId="0" fontId="14" fillId="0" borderId="3" xfId="0" applyFont="1" applyBorder="1" applyAlignment="1"/>
    <xf numFmtId="0" fontId="13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0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10" fontId="1" fillId="0" borderId="0" xfId="0" applyNumberFormat="1" applyFont="1"/>
    <xf numFmtId="1" fontId="10" fillId="3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165" fontId="1" fillId="4" borderId="7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5" fillId="0" borderId="0" xfId="6"/>
  </cellXfs>
  <cellStyles count="7">
    <cellStyle name="S9" xfId="2" xr:uid="{00000000-0005-0000-0000-000000000000}"/>
    <cellStyle name="Гиперссылка" xfId="6" builtinId="8"/>
    <cellStyle name="Денежный 2" xfId="3" xr:uid="{00000000-0005-0000-0000-000001000000}"/>
    <cellStyle name="Обычный" xfId="0" builtinId="0"/>
    <cellStyle name="Обычный 2" xfId="4" xr:uid="{00000000-0005-0000-0000-000003000000}"/>
    <cellStyle name="Обычный 3" xfId="1" xr:uid="{00000000-0005-0000-0000-000004000000}"/>
    <cellStyle name="Процентный 2" xfId="5" xr:uid="{00000000-0005-0000-0000-000005000000}"/>
  </cellStyles>
  <dxfs count="0"/>
  <tableStyles count="0" defaultTableStyle="TableStyleMedium2" defaultPivotStyle="PivotStyleLight16"/>
  <colors>
    <mruColors>
      <color rgb="FF47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netaexcel.ru/forum/index.php?PAGE_NAME=message&amp;FID=1&amp;TID=116208&amp;TITLE_SEO=116208-izmenenie-peremenno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8745-53A5-43E1-97A2-B2CF28D2AA21}">
  <sheetPr>
    <pageSetUpPr fitToPage="1"/>
  </sheetPr>
  <dimension ref="A1:K51"/>
  <sheetViews>
    <sheetView tabSelected="1" topLeftCell="A22" zoomScale="72" zoomScaleNormal="72" zoomScaleSheetLayoutView="100" workbookViewId="0">
      <selection activeCell="I25" sqref="I25"/>
    </sheetView>
  </sheetViews>
  <sheetFormatPr defaultColWidth="9.140625" defaultRowHeight="15.75" x14ac:dyDescent="0.25"/>
  <cols>
    <col min="1" max="1" width="44.42578125" style="2" customWidth="1"/>
    <col min="2" max="3" width="10.7109375" style="2" customWidth="1"/>
    <col min="4" max="4" width="14" style="2" customWidth="1"/>
    <col min="5" max="5" width="19.140625" style="6" customWidth="1"/>
    <col min="6" max="6" width="16.140625" style="1" customWidth="1"/>
    <col min="7" max="7" width="13.85546875" style="1" customWidth="1"/>
    <col min="8" max="8" width="7.28515625" bestFit="1" customWidth="1"/>
    <col min="9" max="9" width="9.140625" style="2"/>
    <col min="10" max="10" width="15.28515625" style="2" customWidth="1"/>
    <col min="11" max="16384" width="9.140625" style="2"/>
  </cols>
  <sheetData>
    <row r="1" spans="1:8" ht="56.25" x14ac:dyDescent="0.25">
      <c r="A1" s="46"/>
      <c r="B1" s="34"/>
      <c r="C1" s="34"/>
      <c r="D1" s="104"/>
      <c r="E1" s="105"/>
      <c r="F1" s="29" t="s">
        <v>44</v>
      </c>
      <c r="G1" s="11"/>
      <c r="H1" s="2"/>
    </row>
    <row r="2" spans="1:8" ht="6.6" customHeight="1" x14ac:dyDescent="0.25">
      <c r="A2" s="51"/>
      <c r="B2" s="52"/>
      <c r="C2" s="52"/>
      <c r="D2" s="53" t="s">
        <v>53</v>
      </c>
      <c r="E2" s="54" t="s">
        <v>56</v>
      </c>
      <c r="F2" s="59"/>
      <c r="G2" s="11"/>
      <c r="H2" s="2"/>
    </row>
    <row r="3" spans="1:8" ht="15" customHeight="1" x14ac:dyDescent="0.25">
      <c r="A3" s="47" t="s">
        <v>35</v>
      </c>
      <c r="B3" s="35"/>
      <c r="C3" s="36"/>
      <c r="D3" s="84" t="s">
        <v>60</v>
      </c>
      <c r="E3" s="85"/>
      <c r="F3" s="61"/>
      <c r="G3" s="10"/>
      <c r="H3" s="2"/>
    </row>
    <row r="4" spans="1:8" x14ac:dyDescent="0.25">
      <c r="A4" s="57" t="s">
        <v>45</v>
      </c>
      <c r="B4" s="8" t="s">
        <v>0</v>
      </c>
      <c r="C4" s="5" t="s">
        <v>46</v>
      </c>
      <c r="D4" s="19">
        <v>943.53</v>
      </c>
      <c r="E4" s="19">
        <v>38.58</v>
      </c>
      <c r="F4" s="60"/>
      <c r="G4" s="10"/>
      <c r="H4" s="2"/>
    </row>
    <row r="5" spans="1:8" x14ac:dyDescent="0.25">
      <c r="A5" s="57" t="s">
        <v>13</v>
      </c>
      <c r="B5" s="8" t="s">
        <v>0</v>
      </c>
      <c r="C5" s="5" t="s">
        <v>47</v>
      </c>
      <c r="D5" s="19">
        <v>23.11</v>
      </c>
      <c r="E5" s="20"/>
      <c r="F5" s="60"/>
      <c r="G5" s="10"/>
      <c r="H5" s="2"/>
    </row>
    <row r="6" spans="1:8" x14ac:dyDescent="0.25">
      <c r="A6" s="18" t="s">
        <v>52</v>
      </c>
      <c r="B6" s="8" t="s">
        <v>0</v>
      </c>
      <c r="C6" s="5" t="s">
        <v>48</v>
      </c>
      <c r="D6" s="19"/>
      <c r="E6" s="72">
        <v>1.76</v>
      </c>
      <c r="F6" s="60"/>
      <c r="G6" s="10"/>
      <c r="H6" s="2"/>
    </row>
    <row r="7" spans="1:8" x14ac:dyDescent="0.25">
      <c r="A7" s="18" t="s">
        <v>12</v>
      </c>
      <c r="B7" s="8" t="s">
        <v>1</v>
      </c>
      <c r="C7" s="5" t="s">
        <v>6</v>
      </c>
      <c r="D7" s="19">
        <f>2+(6/60)</f>
        <v>2.1</v>
      </c>
      <c r="E7" s="20">
        <f>ROUND(10+(55/60),3)</f>
        <v>10.917</v>
      </c>
      <c r="F7" s="60"/>
      <c r="G7" s="10"/>
      <c r="H7" s="2"/>
    </row>
    <row r="8" spans="1:8" ht="45" x14ac:dyDescent="0.25">
      <c r="A8" s="18" t="s">
        <v>30</v>
      </c>
      <c r="B8" s="17" t="s">
        <v>1</v>
      </c>
      <c r="C8" s="21" t="s">
        <v>29</v>
      </c>
      <c r="D8" s="22">
        <f>ROUND(D7+(D11/D12),3)</f>
        <v>2.113</v>
      </c>
      <c r="E8" s="22">
        <f>ROUND(E7+(E15/E14),3)</f>
        <v>11.016999999999999</v>
      </c>
      <c r="F8" s="70">
        <f t="shared" ref="F8" si="0">D8-E8</f>
        <v>-8.9039999999999999</v>
      </c>
      <c r="G8" s="15"/>
      <c r="H8" s="2"/>
    </row>
    <row r="9" spans="1:8" x14ac:dyDescent="0.25">
      <c r="A9" s="75" t="str">
        <f>C8&amp;" "&amp;D2&amp;"=("&amp;C7&amp;"+("&amp;C11&amp;"/"&amp;C12&amp;")=("&amp;D7&amp;"+("&amp;D11&amp;"/"&amp;D12&amp;")="&amp;D8&amp;""&amp;B8</f>
        <v>Тр1 мех.сверло=(Тр+(Гр/Д)=(2,1+(1/75)=2,113мин</v>
      </c>
      <c r="B9" s="76"/>
      <c r="C9" s="76"/>
      <c r="D9" s="76"/>
      <c r="E9" s="77"/>
      <c r="F9" s="60"/>
      <c r="G9" s="15"/>
      <c r="H9" s="2"/>
    </row>
    <row r="10" spans="1:8" x14ac:dyDescent="0.25">
      <c r="A10" s="78" t="str">
        <f>C8&amp;" "&amp;E2&amp;"=("&amp;C7&amp;"+("&amp;C15&amp;"/"&amp;C14&amp;")=("&amp;E7&amp;"+("&amp;E15&amp;"/"&amp;E14&amp;")="&amp;E8&amp;""&amp;B8</f>
        <v>Тр1 гост сверло=(Тр+(Ссв./Д)=(10,917+(1/10)=11,017мин</v>
      </c>
      <c r="B10" s="79"/>
      <c r="C10" s="79"/>
      <c r="D10" s="79"/>
      <c r="E10" s="80"/>
      <c r="F10" s="62"/>
      <c r="G10" s="15"/>
      <c r="H10" s="2"/>
    </row>
    <row r="11" spans="1:8" x14ac:dyDescent="0.25">
      <c r="A11" s="57" t="s">
        <v>17</v>
      </c>
      <c r="B11" s="18" t="s">
        <v>1</v>
      </c>
      <c r="C11" s="18" t="s">
        <v>15</v>
      </c>
      <c r="D11" s="20">
        <v>1</v>
      </c>
      <c r="E11" s="49"/>
      <c r="F11" s="60"/>
      <c r="G11" s="10"/>
      <c r="H11" s="2"/>
    </row>
    <row r="12" spans="1:8" ht="31.5" x14ac:dyDescent="0.25">
      <c r="A12" s="57" t="s">
        <v>16</v>
      </c>
      <c r="B12" s="18" t="s">
        <v>2</v>
      </c>
      <c r="C12" s="18" t="s">
        <v>11</v>
      </c>
      <c r="D12" s="23">
        <v>75</v>
      </c>
      <c r="E12" s="50"/>
      <c r="F12" s="60"/>
      <c r="G12" s="10"/>
      <c r="H12" s="2"/>
    </row>
    <row r="13" spans="1:8" x14ac:dyDescent="0.25">
      <c r="A13" s="57" t="s">
        <v>18</v>
      </c>
      <c r="B13" s="18" t="s">
        <v>1</v>
      </c>
      <c r="C13" s="18" t="s">
        <v>19</v>
      </c>
      <c r="D13" s="20"/>
      <c r="E13" s="24">
        <v>1.5</v>
      </c>
      <c r="F13" s="60"/>
      <c r="G13" s="10"/>
      <c r="H13" s="2"/>
    </row>
    <row r="14" spans="1:8" x14ac:dyDescent="0.25">
      <c r="A14" s="57" t="s">
        <v>20</v>
      </c>
      <c r="B14" s="18" t="s">
        <v>2</v>
      </c>
      <c r="C14" s="18" t="s">
        <v>11</v>
      </c>
      <c r="D14" s="20"/>
      <c r="E14" s="24">
        <v>10</v>
      </c>
      <c r="F14" s="60"/>
      <c r="G14" s="10"/>
      <c r="H14" s="2"/>
    </row>
    <row r="15" spans="1:8" ht="31.5" x14ac:dyDescent="0.25">
      <c r="A15" s="57" t="s">
        <v>32</v>
      </c>
      <c r="B15" s="18" t="s">
        <v>1</v>
      </c>
      <c r="C15" s="18" t="s">
        <v>33</v>
      </c>
      <c r="D15" s="20"/>
      <c r="E15" s="24">
        <v>1</v>
      </c>
      <c r="F15" s="60"/>
      <c r="G15" s="10"/>
      <c r="H15" s="2"/>
    </row>
    <row r="16" spans="1:8" x14ac:dyDescent="0.25">
      <c r="A16" s="57" t="s">
        <v>34</v>
      </c>
      <c r="B16" s="18" t="s">
        <v>2</v>
      </c>
      <c r="C16" s="18" t="s">
        <v>31</v>
      </c>
      <c r="D16" s="20"/>
      <c r="E16" s="24">
        <f>E19/E14</f>
        <v>46.2</v>
      </c>
      <c r="F16" s="60"/>
      <c r="G16" s="10"/>
      <c r="H16" s="2"/>
    </row>
    <row r="17" spans="1:11" x14ac:dyDescent="0.25">
      <c r="A17" s="58" t="s">
        <v>14</v>
      </c>
      <c r="B17" s="48"/>
      <c r="C17" s="48"/>
      <c r="D17" s="55"/>
      <c r="E17" s="56"/>
      <c r="F17" s="60"/>
      <c r="G17" s="10"/>
      <c r="H17" s="2"/>
    </row>
    <row r="18" spans="1:11" x14ac:dyDescent="0.25">
      <c r="A18" s="57" t="s">
        <v>54</v>
      </c>
      <c r="B18" s="8" t="s">
        <v>2</v>
      </c>
      <c r="C18" s="5" t="s">
        <v>57</v>
      </c>
      <c r="D18" s="71">
        <v>300</v>
      </c>
      <c r="E18" s="25"/>
      <c r="F18" s="60"/>
      <c r="G18" s="10"/>
      <c r="H18" s="2"/>
    </row>
    <row r="19" spans="1:11" x14ac:dyDescent="0.25">
      <c r="A19" s="57" t="s">
        <v>55</v>
      </c>
      <c r="B19" s="8" t="s">
        <v>2</v>
      </c>
      <c r="C19" s="5" t="s">
        <v>58</v>
      </c>
      <c r="D19" s="26"/>
      <c r="E19" s="27">
        <v>462</v>
      </c>
      <c r="F19" s="60"/>
      <c r="G19" s="10"/>
      <c r="H19" s="2"/>
    </row>
    <row r="20" spans="1:11" ht="16.899999999999999" customHeight="1" x14ac:dyDescent="0.25">
      <c r="A20" s="16" t="str">
        <f>"Установленная мощность станка "&amp;D3</f>
        <v>Установленная мощность станка ГДС-500</v>
      </c>
      <c r="B20" s="17" t="s">
        <v>3</v>
      </c>
      <c r="C20" s="21" t="s">
        <v>7</v>
      </c>
      <c r="D20" s="73">
        <v>26.1</v>
      </c>
      <c r="E20" s="81"/>
      <c r="F20" s="37"/>
      <c r="G20" s="11"/>
    </row>
    <row r="21" spans="1:11" x14ac:dyDescent="0.25">
      <c r="A21" s="28" t="s">
        <v>21</v>
      </c>
      <c r="B21" s="8" t="s">
        <v>3</v>
      </c>
      <c r="C21" s="5" t="s">
        <v>22</v>
      </c>
      <c r="D21" s="82">
        <v>2</v>
      </c>
      <c r="E21" s="83"/>
      <c r="F21" s="37"/>
      <c r="G21" s="11"/>
    </row>
    <row r="22" spans="1:11" ht="15.6" customHeight="1" x14ac:dyDescent="0.25">
      <c r="A22" s="28" t="s">
        <v>50</v>
      </c>
      <c r="B22" s="8"/>
      <c r="C22" s="21" t="s">
        <v>8</v>
      </c>
      <c r="D22" s="73">
        <v>0.25</v>
      </c>
      <c r="E22" s="81"/>
      <c r="F22" s="37"/>
      <c r="G22" s="11"/>
    </row>
    <row r="23" spans="1:11" ht="15.6" customHeight="1" x14ac:dyDescent="0.25">
      <c r="A23" s="28" t="s">
        <v>51</v>
      </c>
      <c r="B23" s="8"/>
      <c r="C23" s="21" t="s">
        <v>37</v>
      </c>
      <c r="D23" s="73">
        <v>0.14000000000000001</v>
      </c>
      <c r="E23" s="74"/>
      <c r="F23" s="37"/>
      <c r="G23" s="11"/>
    </row>
    <row r="24" spans="1:11" x14ac:dyDescent="0.25">
      <c r="A24" s="28" t="s">
        <v>4</v>
      </c>
      <c r="B24" s="8" t="s">
        <v>0</v>
      </c>
      <c r="C24" s="5" t="s">
        <v>9</v>
      </c>
      <c r="D24" s="73">
        <v>0.28999999999999998</v>
      </c>
      <c r="E24" s="81"/>
      <c r="F24" s="37"/>
      <c r="G24" s="11"/>
      <c r="I24" s="106" t="s">
        <v>61</v>
      </c>
    </row>
    <row r="25" spans="1:11" x14ac:dyDescent="0.25">
      <c r="A25" s="28" t="s">
        <v>10</v>
      </c>
      <c r="B25" s="8" t="s">
        <v>2</v>
      </c>
      <c r="C25" s="5" t="s">
        <v>11</v>
      </c>
      <c r="D25" s="101">
        <v>10000</v>
      </c>
      <c r="E25" s="102"/>
      <c r="F25" s="37"/>
      <c r="G25" s="11"/>
    </row>
    <row r="26" spans="1:11" x14ac:dyDescent="0.25">
      <c r="A26" s="38" t="s">
        <v>5</v>
      </c>
      <c r="B26" s="39"/>
      <c r="C26" s="4"/>
      <c r="D26" s="40"/>
      <c r="E26" s="41"/>
      <c r="F26" s="61"/>
      <c r="G26" s="11"/>
    </row>
    <row r="27" spans="1:11" x14ac:dyDescent="0.25">
      <c r="A27" s="42" t="str">
        <f>"Количество РИ для партии -"&amp;D25&amp;" шт:"</f>
        <v>Количество РИ для партии -10000 шт:</v>
      </c>
      <c r="B27" s="3"/>
      <c r="C27" s="3"/>
      <c r="D27" s="3"/>
      <c r="E27" s="43"/>
      <c r="F27" s="37"/>
      <c r="G27" s="11"/>
      <c r="H27" s="14"/>
    </row>
    <row r="28" spans="1:11" x14ac:dyDescent="0.25">
      <c r="A28" s="28" t="str">
        <f>"Сверло "&amp;D1</f>
        <v xml:space="preserve">Сверло </v>
      </c>
      <c r="B28" s="8" t="s">
        <v>2</v>
      </c>
      <c r="C28" s="5" t="s">
        <v>23</v>
      </c>
      <c r="D28" s="30">
        <v>1</v>
      </c>
      <c r="E28" s="44"/>
      <c r="F28" s="37"/>
      <c r="G28" s="11"/>
      <c r="H28" s="14"/>
    </row>
    <row r="29" spans="1:11" x14ac:dyDescent="0.25">
      <c r="A29" s="28" t="str">
        <f>"Пластин к сверлу "&amp;D1</f>
        <v xml:space="preserve">Пластин к сверлу </v>
      </c>
      <c r="B29" s="8" t="s">
        <v>2</v>
      </c>
      <c r="C29" s="5" t="s">
        <v>24</v>
      </c>
      <c r="D29" s="30">
        <f>ROUNDUP((D25/D18*2)/2,0)*2</f>
        <v>68</v>
      </c>
      <c r="E29" s="45"/>
      <c r="F29" s="37"/>
      <c r="G29" s="11"/>
      <c r="H29" s="14"/>
      <c r="K29" s="100"/>
    </row>
    <row r="30" spans="1:11" x14ac:dyDescent="0.25">
      <c r="A30" s="92" t="str">
        <f>C29&amp;"="&amp;C25&amp;"/"&amp;C18&amp;"="&amp;D25&amp;"/"&amp;D18&amp;"*2="&amp;D29&amp;" "&amp;B29</f>
        <v>∑РИ2=Д/Ст1=10000/300*2=68 шт</v>
      </c>
      <c r="B30" s="93"/>
      <c r="C30" s="93"/>
      <c r="D30" s="93"/>
      <c r="E30" s="94"/>
      <c r="F30" s="37"/>
      <c r="G30" s="11"/>
      <c r="H30" s="14"/>
    </row>
    <row r="31" spans="1:11" x14ac:dyDescent="0.25">
      <c r="A31" s="16" t="str">
        <f>"Сверло "&amp;E1</f>
        <v xml:space="preserve">Сверло </v>
      </c>
      <c r="B31" s="17" t="s">
        <v>2</v>
      </c>
      <c r="C31" s="21" t="s">
        <v>25</v>
      </c>
      <c r="D31" s="30"/>
      <c r="E31" s="30">
        <f>ROUNDUP(D25/E19,0)</f>
        <v>22</v>
      </c>
      <c r="F31" s="37"/>
      <c r="G31" s="11"/>
      <c r="H31" s="14"/>
    </row>
    <row r="32" spans="1:11" x14ac:dyDescent="0.25">
      <c r="A32" s="95" t="str">
        <f>C31&amp;" "&amp;E2&amp;"="&amp;C25&amp;"/"&amp;C19&amp;"="&amp;D25&amp;"/"&amp;E19&amp;"="&amp;E31&amp;" "&amp;B31</f>
        <v>∑РИ3 гост сверло=Д/Ст2=10000/462=22 шт</v>
      </c>
      <c r="B32" s="96"/>
      <c r="C32" s="96"/>
      <c r="D32" s="96"/>
      <c r="E32" s="97"/>
      <c r="F32" s="37"/>
      <c r="G32" s="11"/>
      <c r="H32" s="14"/>
    </row>
    <row r="33" spans="1:8" x14ac:dyDescent="0.25">
      <c r="A33" s="16" t="s">
        <v>49</v>
      </c>
      <c r="B33" s="17" t="s">
        <v>2</v>
      </c>
      <c r="C33" s="21" t="s">
        <v>26</v>
      </c>
      <c r="D33" s="31"/>
      <c r="E33" s="72">
        <v>10</v>
      </c>
      <c r="F33" s="7"/>
    </row>
    <row r="34" spans="1:8" x14ac:dyDescent="0.25">
      <c r="A34" s="16" t="str">
        <f>"Итого затраты на приобретение РИ"</f>
        <v>Итого затраты на приобретение РИ</v>
      </c>
      <c r="B34" s="17" t="s">
        <v>0</v>
      </c>
      <c r="C34" s="21" t="s">
        <v>27</v>
      </c>
      <c r="D34" s="64">
        <f>(D28*D4)+(D29*D5)</f>
        <v>2515.0100000000002</v>
      </c>
      <c r="E34" s="64">
        <f>(E31*E4)+(E33*E6)</f>
        <v>866.36</v>
      </c>
      <c r="F34" s="66">
        <f t="shared" ref="F34:F48" si="1">D34-E34</f>
        <v>1648.65</v>
      </c>
      <c r="G34" s="11"/>
      <c r="H34" s="14"/>
    </row>
    <row r="35" spans="1:8" x14ac:dyDescent="0.25">
      <c r="A35" s="98" t="str">
        <f>C34&amp;" "&amp;D2&amp;"=("&amp;C28&amp;"*"&amp;C4&amp;")+("&amp;C29&amp;"*"&amp;C5&amp;")=("&amp;D28&amp;"*"&amp;D4&amp;")+("&amp;D29&amp;"*"&amp;D5&amp;")="&amp;D34&amp;""&amp;B34</f>
        <v>∑Зри мех.сверло=(∑РИ1*СтРИ1)+(∑РИ2*СтРИ2)=(1*943,53)+(68*23,11)=2515,01руб</v>
      </c>
      <c r="B35" s="76"/>
      <c r="C35" s="76"/>
      <c r="D35" s="76"/>
      <c r="E35" s="77"/>
      <c r="F35" s="67"/>
      <c r="G35" s="11"/>
      <c r="H35" s="14"/>
    </row>
    <row r="36" spans="1:8" x14ac:dyDescent="0.25">
      <c r="A36" s="99" t="str">
        <f>C34&amp;" "&amp;E2&amp;"=("&amp;C31&amp;"*"&amp;C4&amp;")+("&amp;C33&amp;"*"&amp;C6&amp;")=("&amp;E31&amp;"*"&amp;E4&amp;")+("&amp;E33&amp;"*"&amp;E6&amp;")="&amp;E34&amp;""&amp;B34</f>
        <v>∑Зри гост сверло=(∑РИ3*СтРИ1)+(∑РИ4*СтРИ3)=(22*38,58)+(10*1,76)=866,36руб</v>
      </c>
      <c r="B36" s="79"/>
      <c r="C36" s="79"/>
      <c r="D36" s="79"/>
      <c r="E36" s="80"/>
      <c r="F36" s="68"/>
      <c r="G36" s="11"/>
      <c r="H36" s="14"/>
    </row>
    <row r="37" spans="1:8" x14ac:dyDescent="0.25">
      <c r="A37" s="16" t="str">
        <f>"Затраты по электроэнергии "&amp;D3</f>
        <v>Затраты по электроэнергии ГДС-500</v>
      </c>
      <c r="B37" s="17" t="s">
        <v>3</v>
      </c>
      <c r="C37" s="21" t="s">
        <v>28</v>
      </c>
      <c r="D37" s="64">
        <f>ROUND(D25*(D8/60)*D20*D22,3)</f>
        <v>2297.8879999999999</v>
      </c>
      <c r="E37" s="64">
        <f>ROUND((D25*(E8/60)*D20*D22),3)</f>
        <v>11980.987999999999</v>
      </c>
      <c r="F37" s="66">
        <f t="shared" si="1"/>
        <v>-9683.0999999999985</v>
      </c>
      <c r="G37" s="11"/>
      <c r="H37" s="14"/>
    </row>
    <row r="38" spans="1:8" x14ac:dyDescent="0.25">
      <c r="A38" s="98" t="str">
        <f>C37&amp;" "&amp;D2&amp;"="&amp;C25&amp;"*("&amp;C8&amp;"/60)*"&amp;C20&amp;"*"&amp;C22&amp;"="&amp;D25&amp;"*("&amp;D8&amp;"/60)*"&amp;D20&amp;"*"&amp;D22&amp;"="&amp;D37&amp;""&amp;B37</f>
        <v>∑кВт мех.сверло=Д*(Тр1/60)*N*ɣ=10000*(2,113/60)*26,1*0,25=2297,888кВт</v>
      </c>
      <c r="B38" s="87"/>
      <c r="C38" s="87"/>
      <c r="D38" s="87"/>
      <c r="E38" s="88"/>
      <c r="F38" s="67"/>
      <c r="G38" s="11"/>
      <c r="H38" s="14"/>
    </row>
    <row r="39" spans="1:8" x14ac:dyDescent="0.25">
      <c r="A39" s="89" t="str">
        <f>C37&amp;" "&amp;E2&amp;"=("&amp;C25&amp;"*("&amp;C8&amp;"/60)*"&amp;C20&amp;"*"&amp;C22&amp;")=("&amp;D25&amp;"*("&amp;E8&amp;"/60)*"&amp;D20&amp;"*"&amp;D22&amp;")="&amp;E37&amp;""&amp;B37</f>
        <v>∑кВт гост сверло=(Д*(Тр1/60)*N*ɣ)=(10000*(11,017/60)*26,1*0,25)=11980,988кВт</v>
      </c>
      <c r="B39" s="90"/>
      <c r="C39" s="90"/>
      <c r="D39" s="90"/>
      <c r="E39" s="91"/>
      <c r="F39" s="69"/>
      <c r="G39" s="11"/>
      <c r="H39" s="14"/>
    </row>
    <row r="40" spans="1:8" x14ac:dyDescent="0.25">
      <c r="A40" s="16" t="s">
        <v>59</v>
      </c>
      <c r="B40" s="17" t="s">
        <v>3</v>
      </c>
      <c r="C40" s="21" t="s">
        <v>36</v>
      </c>
      <c r="D40" s="32"/>
      <c r="E40" s="33">
        <f>ROUND(E16*E31*(E13/60)*D21*D23,3)</f>
        <v>7.1150000000000002</v>
      </c>
      <c r="F40" s="66">
        <f t="shared" si="1"/>
        <v>-7.1150000000000002</v>
      </c>
      <c r="G40" s="11"/>
      <c r="H40" s="14"/>
    </row>
    <row r="41" spans="1:8" x14ac:dyDescent="0.25">
      <c r="A41" s="95" t="str">
        <f>C40&amp;"="&amp;C16&amp;"*"&amp;C31&amp;"*("&amp;C13&amp;"/60)*"&amp;C21&amp;"*"&amp;C23&amp;"="&amp;E16&amp;"*"&amp;E31&amp;"*("&amp;E13&amp;"/60)*"&amp;D21&amp;"*"&amp;D23&amp;"="&amp;E40&amp;""&amp;B40</f>
        <v>∑кВт1=Переточ.*∑РИ3*(Св.з./60)*N1*ɣ1=46,2*22*(1,5/60)*2*0,14=7,115кВт</v>
      </c>
      <c r="B41" s="93"/>
      <c r="C41" s="93"/>
      <c r="D41" s="93"/>
      <c r="E41" s="94"/>
      <c r="F41" s="68"/>
      <c r="G41" s="11"/>
      <c r="H41" s="14"/>
    </row>
    <row r="42" spans="1:8" x14ac:dyDescent="0.25">
      <c r="A42" s="16" t="s">
        <v>40</v>
      </c>
      <c r="B42" s="17" t="s">
        <v>3</v>
      </c>
      <c r="C42" s="21" t="s">
        <v>38</v>
      </c>
      <c r="D42" s="64">
        <f>D37+D40</f>
        <v>2297.8879999999999</v>
      </c>
      <c r="E42" s="64">
        <f>E37+E40</f>
        <v>11988.102999999999</v>
      </c>
      <c r="F42" s="66">
        <f t="shared" si="1"/>
        <v>-9690.2150000000001</v>
      </c>
      <c r="G42" s="11"/>
      <c r="H42" s="14"/>
    </row>
    <row r="43" spans="1:8" x14ac:dyDescent="0.25">
      <c r="A43" s="98" t="str">
        <f>C42&amp;" "&amp;D2&amp;"="&amp;C37&amp;"="&amp;D42&amp;""&amp;B42</f>
        <v>∑∑кВт мех.сверло=∑кВт=2297,888кВт</v>
      </c>
      <c r="B43" s="76"/>
      <c r="C43" s="76"/>
      <c r="D43" s="76"/>
      <c r="E43" s="77"/>
      <c r="F43" s="67"/>
      <c r="G43" s="11"/>
      <c r="H43" s="14"/>
    </row>
    <row r="44" spans="1:8" x14ac:dyDescent="0.25">
      <c r="A44" s="89" t="str">
        <f>C42&amp;" "&amp;E2&amp;"="&amp;C37&amp;"+"&amp;C40&amp;"="&amp;E37&amp;"+"&amp;E40&amp;"="&amp;E42&amp;""&amp;B42</f>
        <v>∑∑кВт гост сверло=∑кВт+∑кВт1=11980,988+7,115=11988,103кВт</v>
      </c>
      <c r="B44" s="90"/>
      <c r="C44" s="90"/>
      <c r="D44" s="90"/>
      <c r="E44" s="91"/>
      <c r="F44" s="69"/>
      <c r="G44" s="11"/>
      <c r="H44" s="14"/>
    </row>
    <row r="45" spans="1:8" x14ac:dyDescent="0.25">
      <c r="A45" s="16" t="s">
        <v>39</v>
      </c>
      <c r="B45" s="17" t="s">
        <v>0</v>
      </c>
      <c r="C45" s="21" t="s">
        <v>41</v>
      </c>
      <c r="D45" s="64">
        <f>ROUND(D42*D24,3)</f>
        <v>666.38800000000003</v>
      </c>
      <c r="E45" s="64">
        <f>ROUND(E42*D24,3)</f>
        <v>3476.55</v>
      </c>
      <c r="F45" s="66">
        <f t="shared" si="1"/>
        <v>-2810.1620000000003</v>
      </c>
      <c r="G45" s="11"/>
      <c r="H45" s="14"/>
    </row>
    <row r="46" spans="1:8" x14ac:dyDescent="0.25">
      <c r="A46" s="98" t="str">
        <f>C45&amp;" "&amp;D2&amp;"="&amp;C42&amp;"*"&amp;C24&amp;"="&amp;D42&amp;"*"&amp;D24&amp;"="&amp;D45&amp;""&amp;B45</f>
        <v>∑∑кВт,р мех.сверло=∑∑кВт*Ст.кВт=2297,888*0,29=666,388руб</v>
      </c>
      <c r="B46" s="87"/>
      <c r="C46" s="87"/>
      <c r="D46" s="87"/>
      <c r="E46" s="88"/>
      <c r="F46" s="67"/>
      <c r="G46" s="11"/>
      <c r="H46" s="14"/>
    </row>
    <row r="47" spans="1:8" x14ac:dyDescent="0.25">
      <c r="A47" s="99" t="str">
        <f>C45&amp;" "&amp;E2&amp;"="&amp;E42&amp;"*"&amp;D24&amp;"="&amp;E42&amp;"*"&amp;D24&amp;"="&amp;E45&amp;""&amp;B45</f>
        <v>∑∑кВт,р гост сверло=11988,103*0,29=11988,103*0,29=3476,55руб</v>
      </c>
      <c r="B47" s="90"/>
      <c r="C47" s="90"/>
      <c r="D47" s="90"/>
      <c r="E47" s="91"/>
      <c r="F47" s="69"/>
      <c r="G47" s="11"/>
      <c r="H47" s="14"/>
    </row>
    <row r="48" spans="1:8" x14ac:dyDescent="0.25">
      <c r="A48" s="16" t="s">
        <v>43</v>
      </c>
      <c r="B48" s="17" t="s">
        <v>0</v>
      </c>
      <c r="C48" s="21" t="s">
        <v>42</v>
      </c>
      <c r="D48" s="64">
        <f>ROUND(D45+D34,3)</f>
        <v>3181.3980000000001</v>
      </c>
      <c r="E48" s="64">
        <f>ROUND(E45+E34,3)</f>
        <v>4342.91</v>
      </c>
      <c r="F48" s="103">
        <f t="shared" si="1"/>
        <v>-1161.5119999999997</v>
      </c>
      <c r="G48" s="11"/>
      <c r="H48" s="14"/>
    </row>
    <row r="49" spans="1:8" x14ac:dyDescent="0.25">
      <c r="A49" s="86" t="str">
        <f>C48&amp;" "&amp;D2&amp;"="&amp;C45&amp;"+"&amp;C34&amp;"="&amp;D45&amp;"+"&amp;D34&amp;"="&amp;D48&amp;""&amp;B48</f>
        <v>∑Руб мех.сверло=∑∑кВт,р+∑Зри=666,388+2515,01=3181,398руб</v>
      </c>
      <c r="B49" s="87"/>
      <c r="C49" s="87"/>
      <c r="D49" s="87"/>
      <c r="E49" s="88"/>
      <c r="F49" s="65"/>
      <c r="G49" s="11"/>
      <c r="H49" s="14"/>
    </row>
    <row r="50" spans="1:8" x14ac:dyDescent="0.25">
      <c r="A50" s="89" t="str">
        <f>C48&amp;" "&amp;E2&amp;"="&amp;C45&amp;"+"&amp;C34&amp;"="&amp;E45&amp;"+"&amp;E34&amp;"="&amp;E48&amp;""&amp;B48</f>
        <v>∑Руб гост сверло=∑∑кВт,р+∑Зри=3476,55+866,36=4342,91руб</v>
      </c>
      <c r="B50" s="90"/>
      <c r="C50" s="90"/>
      <c r="D50" s="90"/>
      <c r="E50" s="91"/>
      <c r="F50" s="63"/>
      <c r="G50" s="11"/>
      <c r="H50" s="14"/>
    </row>
    <row r="51" spans="1:8" x14ac:dyDescent="0.25">
      <c r="A51" s="12"/>
      <c r="B51" s="12"/>
      <c r="C51" s="9"/>
      <c r="D51" s="13"/>
      <c r="E51" s="13"/>
      <c r="F51" s="12"/>
      <c r="G51" s="11"/>
      <c r="H51" s="14"/>
    </row>
  </sheetData>
  <mergeCells count="22">
    <mergeCell ref="A43:E43"/>
    <mergeCell ref="A44:E44"/>
    <mergeCell ref="A46:E46"/>
    <mergeCell ref="A47:E47"/>
    <mergeCell ref="A49:E49"/>
    <mergeCell ref="A50:E50"/>
    <mergeCell ref="A32:E32"/>
    <mergeCell ref="A35:E35"/>
    <mergeCell ref="A36:E36"/>
    <mergeCell ref="A38:E38"/>
    <mergeCell ref="A39:E39"/>
    <mergeCell ref="A41:E41"/>
    <mergeCell ref="D21:E21"/>
    <mergeCell ref="D22:E22"/>
    <mergeCell ref="D23:E23"/>
    <mergeCell ref="D24:E24"/>
    <mergeCell ref="D25:E25"/>
    <mergeCell ref="A30:E30"/>
    <mergeCell ref="D3:E3"/>
    <mergeCell ref="A9:E9"/>
    <mergeCell ref="A10:E10"/>
    <mergeCell ref="D20:E20"/>
  </mergeCells>
  <hyperlinks>
    <hyperlink ref="I24" r:id="rId1" location="postform" xr:uid="{1427B442-8850-4C4E-ACC4-5B7D4DA06CD6}"/>
  </hyperlinks>
  <pageMargins left="0.59055118110236227" right="0" top="0.78740157480314965" bottom="0" header="0" footer="0"/>
  <pageSetup paperSize="9" scale="8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astashov.michail@gmail.com</dc:creator>
  <cp:lastModifiedBy>ASUS-54365</cp:lastModifiedBy>
  <cp:lastPrinted>2019-04-11T12:29:28Z</cp:lastPrinted>
  <dcterms:created xsi:type="dcterms:W3CDTF">2019-04-10T18:49:12Z</dcterms:created>
  <dcterms:modified xsi:type="dcterms:W3CDTF">2019-04-13T14:43:43Z</dcterms:modified>
</cp:coreProperties>
</file>