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.v.cherepanov\Downloads\"/>
    </mc:Choice>
  </mc:AlternateContent>
  <xr:revisionPtr revIDLastSave="0" documentId="13_ncr:1_{72D38B8A-5BB4-4765-9ADF-8CAE3566859C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Расходы2019" sheetId="1" r:id="rId1"/>
    <sheet name="Расходы2019 (2)" sheetId="11" r:id="rId2"/>
    <sheet name="Декабрь2018" sheetId="6" state="hidden" r:id="rId3"/>
    <sheet name="Ноябрь2018" sheetId="7" state="hidden" r:id="rId4"/>
    <sheet name="Октябрь2018" sheetId="8" state="hidden" r:id="rId5"/>
    <sheet name="Сентябрь2018" sheetId="9" state="hidden" r:id="rId6"/>
    <sheet name="Август2018" sheetId="10" state="hidden" r:id="rId7"/>
  </sheets>
  <definedNames>
    <definedName name="_xlnm._FilterDatabase" localSheetId="0" hidden="1">Расходы2019!$B$1:$K$46</definedName>
    <definedName name="_xlnm._FilterDatabase" localSheetId="1" hidden="1">'Расходы2019 (2)'!$B$1:$J$43</definedName>
    <definedName name="Z_75D03CD1_BD7F_46EB_85B7_89C0F389BB26_.wvu.FilterData" localSheetId="0" hidden="1">Расходы2019!$B$1:$K$495</definedName>
    <definedName name="Z_75D03CD1_BD7F_46EB_85B7_89C0F389BB26_.wvu.FilterData" localSheetId="1" hidden="1">'Расходы2019 (2)'!$B$1:$J$492</definedName>
  </definedNames>
  <calcPr calcId="191029"/>
  <customWorkbookViews>
    <customWorkbookView name="Фильтр 1" guid="{75D03CD1-BD7F-46EB-85B7-89C0F389BB26}" maximized="1" windowWidth="0" windowHeight="0" activeSheetId="0"/>
  </customWorkbookViews>
  <pivotCaches>
    <pivotCache cacheId="12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3" i="10" l="1"/>
  <c r="D53" i="10" s="1"/>
  <c r="G52" i="10"/>
  <c r="D52" i="10" s="1"/>
  <c r="D51" i="10"/>
  <c r="D50" i="10"/>
  <c r="D46" i="10"/>
  <c r="D45" i="10"/>
  <c r="D44" i="10"/>
  <c r="D43" i="10"/>
  <c r="C36" i="10"/>
  <c r="B53" i="10" s="1"/>
  <c r="B36" i="10"/>
  <c r="B46" i="10" s="1"/>
  <c r="C35" i="10"/>
  <c r="B52" i="10" s="1"/>
  <c r="B35" i="10"/>
  <c r="B45" i="10" s="1"/>
  <c r="C34" i="10"/>
  <c r="B51" i="10" s="1"/>
  <c r="B34" i="10"/>
  <c r="B44" i="10" s="1"/>
  <c r="C33" i="10"/>
  <c r="B50" i="10" s="1"/>
  <c r="B33" i="10"/>
  <c r="B43" i="10" s="1"/>
  <c r="G59" i="9"/>
  <c r="D59" i="9" s="1"/>
  <c r="G58" i="9"/>
  <c r="D57" i="9"/>
  <c r="D56" i="9"/>
  <c r="D55" i="9"/>
  <c r="G51" i="9"/>
  <c r="C40" i="9"/>
  <c r="B59" i="9" s="1"/>
  <c r="B40" i="9"/>
  <c r="B51" i="9" s="1"/>
  <c r="C39" i="9"/>
  <c r="B58" i="9" s="1"/>
  <c r="B39" i="9"/>
  <c r="B50" i="9" s="1"/>
  <c r="C38" i="9"/>
  <c r="B57" i="9" s="1"/>
  <c r="B38" i="9"/>
  <c r="B49" i="9" s="1"/>
  <c r="C37" i="9"/>
  <c r="B56" i="9" s="1"/>
  <c r="B37" i="9"/>
  <c r="B48" i="9" s="1"/>
  <c r="C36" i="9"/>
  <c r="B55" i="9" s="1"/>
  <c r="B36" i="9"/>
  <c r="B47" i="9" s="1"/>
  <c r="E76" i="8"/>
  <c r="D76" i="8"/>
  <c r="C76" i="8"/>
  <c r="A76" i="8"/>
  <c r="E75" i="8"/>
  <c r="D75" i="8"/>
  <c r="C75" i="8"/>
  <c r="A75" i="8"/>
  <c r="E74" i="8"/>
  <c r="D74" i="8"/>
  <c r="C74" i="8"/>
  <c r="A74" i="8"/>
  <c r="E73" i="8"/>
  <c r="D73" i="8"/>
  <c r="C73" i="8"/>
  <c r="A73" i="8"/>
  <c r="E72" i="8"/>
  <c r="E77" i="8" s="1"/>
  <c r="D72" i="8"/>
  <c r="D77" i="8" s="1"/>
  <c r="C72" i="8"/>
  <c r="C77" i="8" s="1"/>
  <c r="A72" i="8"/>
  <c r="D61" i="8"/>
  <c r="G60" i="8"/>
  <c r="D59" i="8"/>
  <c r="D58" i="8"/>
  <c r="G57" i="8"/>
  <c r="D57" i="8" s="1"/>
  <c r="G48" i="8"/>
  <c r="D48" i="8" s="1"/>
  <c r="C41" i="8"/>
  <c r="B61" i="8" s="1"/>
  <c r="B41" i="8"/>
  <c r="C40" i="8"/>
  <c r="B60" i="8" s="1"/>
  <c r="B40" i="8"/>
  <c r="E39" i="8"/>
  <c r="C39" i="8"/>
  <c r="B59" i="8" s="1"/>
  <c r="H59" i="8" s="1"/>
  <c r="I59" i="8" s="1"/>
  <c r="B39" i="8"/>
  <c r="E38" i="8"/>
  <c r="C38" i="8"/>
  <c r="B58" i="8" s="1"/>
  <c r="H58" i="8" s="1"/>
  <c r="B38" i="8"/>
  <c r="C37" i="8"/>
  <c r="B57" i="8" s="1"/>
  <c r="B37" i="8"/>
  <c r="B36" i="8"/>
  <c r="B48" i="8" s="1"/>
  <c r="J48" i="8" s="1"/>
  <c r="E77" i="7"/>
  <c r="A77" i="7"/>
  <c r="E76" i="7"/>
  <c r="A76" i="7"/>
  <c r="E75" i="7"/>
  <c r="A75" i="7"/>
  <c r="E74" i="7"/>
  <c r="D74" i="7"/>
  <c r="A74" i="7"/>
  <c r="E73" i="7"/>
  <c r="A73" i="7"/>
  <c r="F72" i="7"/>
  <c r="A72" i="7"/>
  <c r="L61" i="7"/>
  <c r="F61" i="7" s="1"/>
  <c r="E61" i="7" s="1"/>
  <c r="K61" i="7"/>
  <c r="G61" i="7" s="1"/>
  <c r="L60" i="7"/>
  <c r="F60" i="7" s="1"/>
  <c r="E60" i="7" s="1"/>
  <c r="J60" i="7"/>
  <c r="K60" i="7" s="1"/>
  <c r="L59" i="7"/>
  <c r="F59" i="7" s="1"/>
  <c r="E59" i="7" s="1"/>
  <c r="J59" i="7"/>
  <c r="K59" i="7" s="1"/>
  <c r="G59" i="7" s="1"/>
  <c r="L58" i="7"/>
  <c r="F58" i="7" s="1"/>
  <c r="E58" i="7" s="1"/>
  <c r="L57" i="7"/>
  <c r="F57" i="7" s="1"/>
  <c r="E57" i="7" s="1"/>
  <c r="J57" i="7"/>
  <c r="L53" i="7"/>
  <c r="K53" i="7"/>
  <c r="G53" i="7" s="1"/>
  <c r="L52" i="7"/>
  <c r="J52" i="7"/>
  <c r="L51" i="7"/>
  <c r="J51" i="7"/>
  <c r="L50" i="7"/>
  <c r="L49" i="7"/>
  <c r="J49" i="7"/>
  <c r="J48" i="7"/>
  <c r="C41" i="7"/>
  <c r="B61" i="7" s="1"/>
  <c r="B41" i="7"/>
  <c r="C40" i="7"/>
  <c r="B60" i="7" s="1"/>
  <c r="B40" i="7"/>
  <c r="C39" i="7"/>
  <c r="B59" i="7" s="1"/>
  <c r="B39" i="7"/>
  <c r="C38" i="7"/>
  <c r="B58" i="7" s="1"/>
  <c r="B38" i="7"/>
  <c r="B50" i="7" s="1"/>
  <c r="C37" i="7"/>
  <c r="B57" i="7" s="1"/>
  <c r="B37" i="7"/>
  <c r="B49" i="7" s="1"/>
  <c r="B36" i="7"/>
  <c r="B48" i="7" s="1"/>
  <c r="E77" i="6"/>
  <c r="A77" i="6"/>
  <c r="E76" i="6"/>
  <c r="A76" i="6"/>
  <c r="E75" i="6"/>
  <c r="D75" i="6"/>
  <c r="A75" i="6"/>
  <c r="E74" i="6"/>
  <c r="D74" i="6"/>
  <c r="A74" i="6"/>
  <c r="E73" i="6"/>
  <c r="E78" i="6" s="1"/>
  <c r="A73" i="6"/>
  <c r="F72" i="6"/>
  <c r="D72" i="6"/>
  <c r="A72" i="6"/>
  <c r="L61" i="6"/>
  <c r="F61" i="6" s="1"/>
  <c r="E61" i="6" s="1"/>
  <c r="K61" i="6"/>
  <c r="L60" i="6"/>
  <c r="F60" i="6" s="1"/>
  <c r="E60" i="6" s="1"/>
  <c r="K60" i="6"/>
  <c r="L59" i="6"/>
  <c r="F59" i="6" s="1"/>
  <c r="E59" i="6" s="1"/>
  <c r="K59" i="6"/>
  <c r="L58" i="6"/>
  <c r="F58" i="6" s="1"/>
  <c r="E58" i="6" s="1"/>
  <c r="K58" i="6"/>
  <c r="L57" i="6"/>
  <c r="F57" i="6" s="1"/>
  <c r="E57" i="6" s="1"/>
  <c r="J57" i="6"/>
  <c r="J62" i="6" s="1"/>
  <c r="L53" i="6"/>
  <c r="L52" i="6"/>
  <c r="F52" i="6" s="1"/>
  <c r="E52" i="6" s="1"/>
  <c r="L51" i="6"/>
  <c r="L50" i="6"/>
  <c r="F50" i="6" s="1"/>
  <c r="E50" i="6" s="1"/>
  <c r="L49" i="6"/>
  <c r="J49" i="6"/>
  <c r="C41" i="6"/>
  <c r="B61" i="6" s="1"/>
  <c r="B41" i="6"/>
  <c r="C40" i="6"/>
  <c r="B60" i="6" s="1"/>
  <c r="O60" i="6" s="1"/>
  <c r="B40" i="6"/>
  <c r="B52" i="6" s="1"/>
  <c r="O52" i="6" s="1"/>
  <c r="C39" i="6"/>
  <c r="B59" i="6" s="1"/>
  <c r="B39" i="6"/>
  <c r="B51" i="6" s="1"/>
  <c r="C38" i="6"/>
  <c r="B58" i="6" s="1"/>
  <c r="O58" i="6" s="1"/>
  <c r="B38" i="6"/>
  <c r="B50" i="6" s="1"/>
  <c r="O50" i="6" s="1"/>
  <c r="C37" i="6"/>
  <c r="B57" i="6" s="1"/>
  <c r="B37" i="6"/>
  <c r="B36" i="6"/>
  <c r="C72" i="6" s="1"/>
  <c r="B74" i="8" l="1"/>
  <c r="D77" i="7"/>
  <c r="B76" i="8"/>
  <c r="C72" i="7"/>
  <c r="B73" i="8"/>
  <c r="H58" i="9"/>
  <c r="I58" i="9" s="1"/>
  <c r="H52" i="10"/>
  <c r="C74" i="6"/>
  <c r="C76" i="6"/>
  <c r="B48" i="6"/>
  <c r="O48" i="6" s="1"/>
  <c r="F77" i="7"/>
  <c r="D73" i="7"/>
  <c r="F76" i="7"/>
  <c r="D75" i="7"/>
  <c r="F74" i="7"/>
  <c r="G74" i="7" s="1"/>
  <c r="J62" i="7"/>
  <c r="F53" i="7"/>
  <c r="E53" i="7" s="1"/>
  <c r="F75" i="7"/>
  <c r="G75" i="7" s="1"/>
  <c r="K57" i="7"/>
  <c r="G57" i="7" s="1"/>
  <c r="C57" i="7" s="1"/>
  <c r="I57" i="7" s="1"/>
  <c r="F51" i="7"/>
  <c r="E51" i="7" s="1"/>
  <c r="K57" i="6"/>
  <c r="G57" i="6" s="1"/>
  <c r="H57" i="6" s="1"/>
  <c r="D73" i="6"/>
  <c r="J54" i="6"/>
  <c r="F74" i="6"/>
  <c r="G74" i="6" s="1"/>
  <c r="F52" i="7"/>
  <c r="E52" i="7" s="1"/>
  <c r="F76" i="6"/>
  <c r="M61" i="6"/>
  <c r="N61" i="6" s="1"/>
  <c r="G61" i="6"/>
  <c r="H61" i="6" s="1"/>
  <c r="J48" i="9"/>
  <c r="O51" i="6"/>
  <c r="O57" i="7"/>
  <c r="H59" i="7"/>
  <c r="C59" i="7"/>
  <c r="I59" i="7" s="1"/>
  <c r="O59" i="7"/>
  <c r="M61" i="7"/>
  <c r="N61" i="7" s="1"/>
  <c r="H61" i="7"/>
  <c r="C61" i="7"/>
  <c r="I61" i="7" s="1"/>
  <c r="O61" i="7"/>
  <c r="E78" i="7"/>
  <c r="H51" i="9"/>
  <c r="D51" i="9"/>
  <c r="E51" i="9" s="1"/>
  <c r="O57" i="6"/>
  <c r="O61" i="6"/>
  <c r="J66" i="6"/>
  <c r="O59" i="6"/>
  <c r="F73" i="7"/>
  <c r="G73" i="7" s="1"/>
  <c r="F49" i="7"/>
  <c r="E49" i="7" s="1"/>
  <c r="H53" i="10"/>
  <c r="C53" i="10"/>
  <c r="F53" i="10" s="1"/>
  <c r="E53" i="10"/>
  <c r="M59" i="6"/>
  <c r="N59" i="6" s="1"/>
  <c r="G59" i="6"/>
  <c r="H59" i="6" s="1"/>
  <c r="M60" i="6"/>
  <c r="N60" i="6" s="1"/>
  <c r="G60" i="6"/>
  <c r="H60" i="6" s="1"/>
  <c r="O49" i="7"/>
  <c r="J55" i="9"/>
  <c r="E55" i="9"/>
  <c r="H55" i="9"/>
  <c r="I55" i="9" s="1"/>
  <c r="C55" i="9"/>
  <c r="F55" i="9" s="1"/>
  <c r="J58" i="9"/>
  <c r="M58" i="6"/>
  <c r="N58" i="6" s="1"/>
  <c r="G58" i="6"/>
  <c r="C58" i="6" s="1"/>
  <c r="I58" i="6" s="1"/>
  <c r="C75" i="6"/>
  <c r="O48" i="7"/>
  <c r="O58" i="7"/>
  <c r="O50" i="7"/>
  <c r="B72" i="8"/>
  <c r="B49" i="8"/>
  <c r="B75" i="8"/>
  <c r="B52" i="8"/>
  <c r="E48" i="8"/>
  <c r="C48" i="8"/>
  <c r="F48" i="8" s="1"/>
  <c r="K58" i="7"/>
  <c r="I58" i="8"/>
  <c r="J47" i="9"/>
  <c r="J49" i="9"/>
  <c r="J51" i="9"/>
  <c r="C73" i="6"/>
  <c r="B49" i="6"/>
  <c r="C77" i="6"/>
  <c r="F73" i="6"/>
  <c r="G73" i="6" s="1"/>
  <c r="F49" i="6"/>
  <c r="E49" i="6" s="1"/>
  <c r="F75" i="6"/>
  <c r="G75" i="6" s="1"/>
  <c r="F51" i="6"/>
  <c r="E51" i="6" s="1"/>
  <c r="B53" i="6"/>
  <c r="F53" i="6"/>
  <c r="E53" i="6" s="1"/>
  <c r="F77" i="6"/>
  <c r="C73" i="7"/>
  <c r="B51" i="7"/>
  <c r="C75" i="7"/>
  <c r="C77" i="7"/>
  <c r="B53" i="7"/>
  <c r="F50" i="7"/>
  <c r="E50" i="7" s="1"/>
  <c r="C57" i="8"/>
  <c r="F57" i="8" s="1"/>
  <c r="J57" i="8"/>
  <c r="E57" i="8"/>
  <c r="H57" i="8"/>
  <c r="I57" i="8" s="1"/>
  <c r="J60" i="8"/>
  <c r="H59" i="9"/>
  <c r="I59" i="9" s="1"/>
  <c r="C59" i="9"/>
  <c r="F59" i="9" s="1"/>
  <c r="J59" i="9"/>
  <c r="E59" i="9"/>
  <c r="J56" i="9"/>
  <c r="E56" i="9"/>
  <c r="H56" i="9"/>
  <c r="I56" i="9" s="1"/>
  <c r="C56" i="9"/>
  <c r="F56" i="9" s="1"/>
  <c r="E44" i="10"/>
  <c r="H44" i="10"/>
  <c r="G48" i="9" s="1"/>
  <c r="C44" i="10"/>
  <c r="F44" i="10" s="1"/>
  <c r="E46" i="10"/>
  <c r="H46" i="10"/>
  <c r="G50" i="9" s="1"/>
  <c r="C46" i="10"/>
  <c r="F46" i="10" s="1"/>
  <c r="C74" i="7"/>
  <c r="C76" i="7"/>
  <c r="B52" i="7"/>
  <c r="M59" i="7"/>
  <c r="N59" i="7" s="1"/>
  <c r="M60" i="7"/>
  <c r="N60" i="7" s="1"/>
  <c r="G60" i="7"/>
  <c r="H60" i="7" s="1"/>
  <c r="J59" i="8"/>
  <c r="E59" i="8"/>
  <c r="C59" i="8"/>
  <c r="F59" i="8" s="1"/>
  <c r="H60" i="8"/>
  <c r="I60" i="8" s="1"/>
  <c r="D60" i="8"/>
  <c r="C60" i="8" s="1"/>
  <c r="F60" i="8" s="1"/>
  <c r="J50" i="9"/>
  <c r="H43" i="10"/>
  <c r="G47" i="9" s="1"/>
  <c r="C43" i="10"/>
  <c r="F43" i="10" s="1"/>
  <c r="E43" i="10"/>
  <c r="H45" i="10"/>
  <c r="G49" i="9" s="1"/>
  <c r="C45" i="10"/>
  <c r="F45" i="10" s="1"/>
  <c r="E45" i="10"/>
  <c r="O60" i="7"/>
  <c r="J54" i="7"/>
  <c r="D72" i="7"/>
  <c r="J58" i="8"/>
  <c r="E58" i="8"/>
  <c r="H48" i="8"/>
  <c r="C58" i="8"/>
  <c r="F58" i="8" s="1"/>
  <c r="J61" i="8"/>
  <c r="E61" i="8"/>
  <c r="H61" i="8"/>
  <c r="I61" i="8" s="1"/>
  <c r="C61" i="8"/>
  <c r="F61" i="8" s="1"/>
  <c r="J57" i="9"/>
  <c r="E57" i="9"/>
  <c r="H57" i="9"/>
  <c r="I57" i="9" s="1"/>
  <c r="C57" i="9"/>
  <c r="F57" i="9" s="1"/>
  <c r="H50" i="10"/>
  <c r="C50" i="10"/>
  <c r="F50" i="10" s="1"/>
  <c r="E50" i="10"/>
  <c r="C52" i="10"/>
  <c r="F52" i="10" s="1"/>
  <c r="E52" i="10"/>
  <c r="E51" i="10"/>
  <c r="H51" i="10"/>
  <c r="C51" i="10"/>
  <c r="F51" i="10" s="1"/>
  <c r="B53" i="8"/>
  <c r="B50" i="8"/>
  <c r="D58" i="9"/>
  <c r="E58" i="9" s="1"/>
  <c r="B51" i="8"/>
  <c r="C51" i="9" l="1"/>
  <c r="F51" i="9" s="1"/>
  <c r="C61" i="6"/>
  <c r="I61" i="6" s="1"/>
  <c r="E60" i="8"/>
  <c r="C58" i="9"/>
  <c r="F58" i="9" s="1"/>
  <c r="C78" i="6"/>
  <c r="C78" i="7"/>
  <c r="H58" i="6"/>
  <c r="B77" i="8"/>
  <c r="H57" i="7"/>
  <c r="C57" i="6"/>
  <c r="I57" i="6" s="1"/>
  <c r="H73" i="6"/>
  <c r="M57" i="7"/>
  <c r="N57" i="7" s="1"/>
  <c r="M57" i="6"/>
  <c r="N57" i="6" s="1"/>
  <c r="J53" i="8"/>
  <c r="O49" i="6"/>
  <c r="J50" i="8"/>
  <c r="C60" i="6"/>
  <c r="I60" i="6" s="1"/>
  <c r="H49" i="9"/>
  <c r="D49" i="9"/>
  <c r="H50" i="9"/>
  <c r="D50" i="9"/>
  <c r="M53" i="7"/>
  <c r="H53" i="7"/>
  <c r="C53" i="7"/>
  <c r="I53" i="7" s="1"/>
  <c r="O53" i="7"/>
  <c r="J49" i="8"/>
  <c r="C59" i="6"/>
  <c r="I59" i="6" s="1"/>
  <c r="J51" i="8"/>
  <c r="C60" i="7"/>
  <c r="I60" i="7" s="1"/>
  <c r="J52" i="8"/>
  <c r="F78" i="7"/>
  <c r="I48" i="8"/>
  <c r="K48" i="7"/>
  <c r="H47" i="9"/>
  <c r="D47" i="9"/>
  <c r="O52" i="7"/>
  <c r="H48" i="9"/>
  <c r="D48" i="9"/>
  <c r="O51" i="7"/>
  <c r="J65" i="6"/>
  <c r="J67" i="6" s="1"/>
  <c r="O53" i="6"/>
  <c r="M58" i="7"/>
  <c r="N58" i="7" s="1"/>
  <c r="G58" i="7"/>
  <c r="I51" i="9"/>
  <c r="G53" i="8"/>
  <c r="F78" i="6"/>
  <c r="H58" i="7" l="1"/>
  <c r="C58" i="7"/>
  <c r="I58" i="7" s="1"/>
  <c r="C49" i="9"/>
  <c r="F49" i="9" s="1"/>
  <c r="E49" i="9"/>
  <c r="C48" i="9"/>
  <c r="F48" i="9" s="1"/>
  <c r="E48" i="9"/>
  <c r="M48" i="7"/>
  <c r="N48" i="7" s="1"/>
  <c r="G48" i="7"/>
  <c r="K53" i="6"/>
  <c r="N53" i="7"/>
  <c r="G51" i="8"/>
  <c r="I49" i="9"/>
  <c r="I48" i="9"/>
  <c r="G50" i="8"/>
  <c r="C47" i="9"/>
  <c r="F47" i="9" s="1"/>
  <c r="E47" i="9"/>
  <c r="C50" i="9"/>
  <c r="F50" i="9" s="1"/>
  <c r="E50" i="9"/>
  <c r="H53" i="8"/>
  <c r="I53" i="8" s="1"/>
  <c r="D53" i="8"/>
  <c r="I47" i="9"/>
  <c r="G49" i="8"/>
  <c r="I50" i="9"/>
  <c r="G52" i="8"/>
  <c r="D77" i="6" l="1"/>
  <c r="G53" i="6"/>
  <c r="M53" i="6"/>
  <c r="C48" i="7"/>
  <c r="I48" i="7" s="1"/>
  <c r="H48" i="7"/>
  <c r="K48" i="6" s="1"/>
  <c r="C53" i="8"/>
  <c r="F53" i="8" s="1"/>
  <c r="E53" i="8"/>
  <c r="H49" i="8"/>
  <c r="D49" i="8"/>
  <c r="H52" i="8"/>
  <c r="D52" i="8"/>
  <c r="D50" i="8"/>
  <c r="H50" i="8"/>
  <c r="H51" i="8"/>
  <c r="D51" i="8"/>
  <c r="G48" i="6" l="1"/>
  <c r="M48" i="6"/>
  <c r="N48" i="6" s="1"/>
  <c r="E50" i="8"/>
  <c r="C50" i="8"/>
  <c r="F50" i="8" s="1"/>
  <c r="I49" i="8"/>
  <c r="K49" i="7"/>
  <c r="N53" i="6"/>
  <c r="I50" i="8"/>
  <c r="K50" i="7"/>
  <c r="E49" i="8"/>
  <c r="C49" i="8"/>
  <c r="F49" i="8" s="1"/>
  <c r="E51" i="8"/>
  <c r="C51" i="8"/>
  <c r="F51" i="8" s="1"/>
  <c r="E52" i="8"/>
  <c r="C52" i="8"/>
  <c r="F52" i="8" s="1"/>
  <c r="I51" i="8"/>
  <c r="K51" i="7"/>
  <c r="I52" i="8"/>
  <c r="K52" i="7"/>
  <c r="H53" i="6"/>
  <c r="C53" i="6"/>
  <c r="I53" i="6" s="1"/>
  <c r="M49" i="7" l="1"/>
  <c r="N49" i="7" s="1"/>
  <c r="G49" i="7"/>
  <c r="H48" i="6"/>
  <c r="C48" i="6"/>
  <c r="I48" i="6" s="1"/>
  <c r="D76" i="7"/>
  <c r="D78" i="7" s="1"/>
  <c r="M52" i="7"/>
  <c r="N52" i="7" s="1"/>
  <c r="G52" i="7"/>
  <c r="M51" i="7"/>
  <c r="N51" i="7" s="1"/>
  <c r="G51" i="7"/>
  <c r="M50" i="7"/>
  <c r="N50" i="7" s="1"/>
  <c r="G50" i="7"/>
  <c r="C51" i="7" l="1"/>
  <c r="I51" i="7" s="1"/>
  <c r="H51" i="7"/>
  <c r="K51" i="6" s="1"/>
  <c r="H52" i="7"/>
  <c r="K52" i="6" s="1"/>
  <c r="C52" i="7"/>
  <c r="I52" i="7" s="1"/>
  <c r="C49" i="7"/>
  <c r="I49" i="7" s="1"/>
  <c r="H49" i="7"/>
  <c r="K49" i="6" s="1"/>
  <c r="H50" i="7"/>
  <c r="K50" i="6" s="1"/>
  <c r="C50" i="7"/>
  <c r="I50" i="7" s="1"/>
  <c r="G49" i="6" l="1"/>
  <c r="M49" i="6"/>
  <c r="G51" i="6"/>
  <c r="M51" i="6"/>
  <c r="G50" i="6"/>
  <c r="M50" i="6"/>
  <c r="N50" i="6" s="1"/>
  <c r="D76" i="6"/>
  <c r="D78" i="6" s="1"/>
  <c r="G52" i="6"/>
  <c r="M52" i="6"/>
  <c r="C50" i="6" l="1"/>
  <c r="I50" i="6" s="1"/>
  <c r="H50" i="6"/>
  <c r="N51" i="6"/>
  <c r="C51" i="6"/>
  <c r="I51" i="6" s="1"/>
  <c r="H51" i="6"/>
  <c r="C52" i="6"/>
  <c r="I52" i="6" s="1"/>
  <c r="H52" i="6"/>
  <c r="N49" i="6"/>
  <c r="N52" i="6"/>
  <c r="C49" i="6"/>
  <c r="I49" i="6" s="1"/>
  <c r="H49" i="6"/>
</calcChain>
</file>

<file path=xl/sharedStrings.xml><?xml version="1.0" encoding="utf-8"?>
<sst xmlns="http://schemas.openxmlformats.org/spreadsheetml/2006/main" count="1049" uniqueCount="190">
  <si>
    <t>Яндекс</t>
  </si>
  <si>
    <t>mr-filicity</t>
  </si>
  <si>
    <t>Фили Сити - MR GROUP - Бугаенко</t>
  </si>
  <si>
    <t>Фили Сити</t>
  </si>
  <si>
    <t>mr-savcity-apart</t>
  </si>
  <si>
    <t>Савеловский Сити - MR GROUP - Бугаенко</t>
  </si>
  <si>
    <t>Савеловский Сити</t>
  </si>
  <si>
    <t>mrgroup-d1</t>
  </si>
  <si>
    <t>D1 - MR GROUP - Бугаенко</t>
  </si>
  <si>
    <t>Д1</t>
  </si>
  <si>
    <t>login</t>
  </si>
  <si>
    <t>Клиент</t>
  </si>
  <si>
    <t>Дата</t>
  </si>
  <si>
    <t>Показы</t>
  </si>
  <si>
    <t>Клики</t>
  </si>
  <si>
    <t>CTR (%)</t>
  </si>
  <si>
    <t>* Расход (руб.)</t>
  </si>
  <si>
    <t>* Ср. цена клика (руб.)</t>
  </si>
  <si>
    <t>* Ср. ставка за клик (руб.)</t>
  </si>
  <si>
    <t>* Ср. ставка за тыс. показов (руб.)</t>
  </si>
  <si>
    <t>Глубина (стр.)</t>
  </si>
  <si>
    <t>Конверсии</t>
  </si>
  <si>
    <t>Конверсия (%)</t>
  </si>
  <si>
    <t>* Цена цели (руб.)</t>
  </si>
  <si>
    <t>Рентабельность</t>
  </si>
  <si>
    <t>Доход (руб.)</t>
  </si>
  <si>
    <t>По всем клиентам</t>
  </si>
  <si>
    <t>-</t>
  </si>
  <si>
    <t>Итого:</t>
  </si>
  <si>
    <t>perovsky-media108</t>
  </si>
  <si>
    <t>Google</t>
  </si>
  <si>
    <t>Статистика по аккаунтам / Бугаенко</t>
  </si>
  <si>
    <t>Аккаунт</t>
  </si>
  <si>
    <t>Идентификатор клиента</t>
  </si>
  <si>
    <t>Месяц</t>
  </si>
  <si>
    <t>Валюта</t>
  </si>
  <si>
    <t>Kлики</t>
  </si>
  <si>
    <t>CTR</t>
  </si>
  <si>
    <t>Средняя цена за клик</t>
  </si>
  <si>
    <t>Стоимость</t>
  </si>
  <si>
    <t>Сред. позиция</t>
  </si>
  <si>
    <t>Конверсии по показам</t>
  </si>
  <si>
    <t>Стоимость конверсии</t>
  </si>
  <si>
    <t>Коэфф. конверсии</t>
  </si>
  <si>
    <t>342-328-1325</t>
  </si>
  <si>
    <t>RUB</t>
  </si>
  <si>
    <t>495-189-0136</t>
  </si>
  <si>
    <t>Perov sky - MR GROUP - Бугаенко</t>
  </si>
  <si>
    <t>585-013-6099</t>
  </si>
  <si>
    <t>637-479-9358</t>
  </si>
  <si>
    <t>0,98 %</t>
  </si>
  <si>
    <t>0,00 %</t>
  </si>
  <si>
    <t>1,00 %</t>
  </si>
  <si>
    <t>1,54 %</t>
  </si>
  <si>
    <t>Расход с АК и НДС</t>
  </si>
  <si>
    <t>Количество прошедших дней</t>
  </si>
  <si>
    <t>Всего дней</t>
  </si>
  <si>
    <t>Расход</t>
  </si>
  <si>
    <t>Факт. Расход с АК и НДС</t>
  </si>
  <si>
    <t>План. Расход с АК и НДС</t>
  </si>
  <si>
    <t>Расход %</t>
  </si>
  <si>
    <t>Разница с АК и НДС</t>
  </si>
  <si>
    <t>План с АК и НДС c переносом с предыдущего месяца</t>
  </si>
  <si>
    <t>Осталось с АК и НДС</t>
  </si>
  <si>
    <t>Факт обращений</t>
  </si>
  <si>
    <t>Факт</t>
  </si>
  <si>
    <t>План</t>
  </si>
  <si>
    <t>План/Факт</t>
  </si>
  <si>
    <t>Бюджет</t>
  </si>
  <si>
    <t>Логин</t>
  </si>
  <si>
    <t>Объект</t>
  </si>
  <si>
    <t>Факт с НДС и комиссией</t>
  </si>
  <si>
    <t>План с НДС и комиссией</t>
  </si>
  <si>
    <t>Перовский</t>
  </si>
  <si>
    <t>Итого</t>
  </si>
  <si>
    <t>Фили Сити - MR Group - Бугаенко</t>
  </si>
  <si>
    <t>Perov Sky - MR GROUP - Бугаенко</t>
  </si>
  <si>
    <t>0,53 %</t>
  </si>
  <si>
    <t>План обращений на дату</t>
  </si>
  <si>
    <t>Разница %</t>
  </si>
  <si>
    <t>План обращений</t>
  </si>
  <si>
    <t>Период 01.12.18 - 31.12.18</t>
  </si>
  <si>
    <t>2018 г.</t>
  </si>
  <si>
    <t>filisity-rtb</t>
  </si>
  <si>
    <t>Фили Сити - MR Group - RTB - Бугаенко</t>
  </si>
  <si>
    <t>mr-filigrad1</t>
  </si>
  <si>
    <t>Фили Град - MR GROUP - Бугаенко</t>
  </si>
  <si>
    <t>1 декабря 2018 г. - 31 декабря 2018 г.</t>
  </si>
  <si>
    <t>332-296-3571</t>
  </si>
  <si>
    <t>15,26 %</t>
  </si>
  <si>
    <t>1,08 %</t>
  </si>
  <si>
    <t>5,70 %</t>
  </si>
  <si>
    <t>1,52 %</t>
  </si>
  <si>
    <t>7,96 %</t>
  </si>
  <si>
    <t>2,83 %</t>
  </si>
  <si>
    <t>18,98 %</t>
  </si>
  <si>
    <t>11,24 %</t>
  </si>
  <si>
    <t>0,70 %</t>
  </si>
  <si>
    <t>mr-filicity RTB</t>
  </si>
  <si>
    <r>
      <t xml:space="preserve">План с АК и НДС </t>
    </r>
    <r>
      <rPr>
        <sz val="10"/>
        <color rgb="FFFF0000"/>
        <rFont val="Arial"/>
        <family val="2"/>
        <charset val="204"/>
      </rPr>
      <t>БЕЗ</t>
    </r>
    <r>
      <rPr>
        <sz val="10"/>
        <color rgb="FF000000"/>
        <rFont val="Arial"/>
        <family val="2"/>
        <charset val="204"/>
      </rPr>
      <t xml:space="preserve"> переноса с предыдущего месяца</t>
    </r>
  </si>
  <si>
    <t>Оставшийся плановый расход в день БЕЗ АК и НДС</t>
  </si>
  <si>
    <t>Фактический расход в день БЕЗ АК и НДС</t>
  </si>
  <si>
    <r>
      <t xml:space="preserve">План с АК и НДС </t>
    </r>
    <r>
      <rPr>
        <sz val="10"/>
        <color rgb="FFFF0000"/>
        <rFont val="Arial"/>
        <family val="2"/>
        <charset val="204"/>
      </rPr>
      <t>БЕЗ</t>
    </r>
    <r>
      <rPr>
        <sz val="10"/>
        <color rgb="FF000000"/>
        <rFont val="Arial"/>
        <family val="2"/>
        <charset val="204"/>
      </rPr>
      <t xml:space="preserve"> переноса с предыдущего месяца</t>
    </r>
  </si>
  <si>
    <t>Фили Град</t>
  </si>
  <si>
    <t>Фили Сити РТБ</t>
  </si>
  <si>
    <t>Период 01.11.18 - 30.11.18</t>
  </si>
  <si>
    <t>Период 01.10.18 - 31.10.18</t>
  </si>
  <si>
    <t>mr-sampo</t>
  </si>
  <si>
    <t>Сампо - MR GROUP - Бугаенко</t>
  </si>
  <si>
    <t>1 ноября 2018 г. - 30 ноября 2018 г.</t>
  </si>
  <si>
    <t>1 октября 2018 г. - 31 октября 2018 г.</t>
  </si>
  <si>
    <t>ноя.18</t>
  </si>
  <si>
    <t>18,08 %</t>
  </si>
  <si>
    <t>18,57 %</t>
  </si>
  <si>
    <t>Период 01.09.18 - 30.09.18</t>
  </si>
  <si>
    <t>1,82 %</t>
  </si>
  <si>
    <t>3,04 %</t>
  </si>
  <si>
    <t>1,40 %</t>
  </si>
  <si>
    <t>128,92 %</t>
  </si>
  <si>
    <t>27,33 %</t>
  </si>
  <si>
    <t>22,17 %</t>
  </si>
  <si>
    <t>1,11 %</t>
  </si>
  <si>
    <t>14,62 %</t>
  </si>
  <si>
    <t>149,44 %</t>
  </si>
  <si>
    <t>8,26 %</t>
  </si>
  <si>
    <t>0,79 %</t>
  </si>
  <si>
    <t>12,49 %</t>
  </si>
  <si>
    <t>0,88 %</t>
  </si>
  <si>
    <t>3,78 %</t>
  </si>
  <si>
    <t>757-079-6517</t>
  </si>
  <si>
    <t>2,09 %</t>
  </si>
  <si>
    <t>1 сентября 2018 г. - 30 сентября 2018 г.</t>
  </si>
  <si>
    <t>сен.18</t>
  </si>
  <si>
    <t>23,02 %</t>
  </si>
  <si>
    <t>153,26 %</t>
  </si>
  <si>
    <t>4,32 %</t>
  </si>
  <si>
    <t>0,82 %</t>
  </si>
  <si>
    <t>11,32 %</t>
  </si>
  <si>
    <t>3,62 %</t>
  </si>
  <si>
    <r>
      <t xml:space="preserve">План с АК и НДС </t>
    </r>
    <r>
      <rPr>
        <sz val="10"/>
        <color rgb="FFFF0000"/>
        <rFont val="Arial"/>
        <family val="2"/>
        <charset val="204"/>
      </rPr>
      <t>БЕЗ</t>
    </r>
    <r>
      <rPr>
        <sz val="10"/>
        <color rgb="FF000000"/>
        <rFont val="Arial"/>
        <family val="2"/>
        <charset val="204"/>
      </rPr>
      <t xml:space="preserve"> переноса с предыдущего месяца</t>
    </r>
  </si>
  <si>
    <t>План на Месяц с АК и НДС</t>
  </si>
  <si>
    <t>Плановый расход в день БЕЗ АК и НДС</t>
  </si>
  <si>
    <r>
      <t xml:space="preserve">План с АК и НДС </t>
    </r>
    <r>
      <rPr>
        <sz val="10"/>
        <color rgb="FFFF0000"/>
        <rFont val="Arial"/>
        <family val="2"/>
        <charset val="204"/>
      </rPr>
      <t>БЕЗ</t>
    </r>
    <r>
      <rPr>
        <sz val="10"/>
        <color rgb="FF000000"/>
        <rFont val="Arial"/>
        <family val="2"/>
        <charset val="204"/>
      </rPr>
      <t xml:space="preserve"> переноса с предыдущего месяца</t>
    </r>
  </si>
  <si>
    <t>Google.AdWords Перовский</t>
  </si>
  <si>
    <t>Бюджет
 (без НДС и АК)</t>
  </si>
  <si>
    <t>CPC</t>
  </si>
  <si>
    <t>Бюджет 
(с НДС и АК)</t>
  </si>
  <si>
    <t>Звонки</t>
  </si>
  <si>
    <t>SCB</t>
  </si>
  <si>
    <t>Звонки + SCB</t>
  </si>
  <si>
    <t>Конверсия сайта</t>
  </si>
  <si>
    <t>CPA 
(с НДС и АК)</t>
  </si>
  <si>
    <t>Бренд  / Поиск / ММО (2) (с 1-14)</t>
  </si>
  <si>
    <t>32 918,53 ₽</t>
  </si>
  <si>
    <t>147,62 ₽</t>
  </si>
  <si>
    <t>42 728,25 ₽</t>
  </si>
  <si>
    <t>10 682,06 ₽</t>
  </si>
  <si>
    <t>Бренд  / Поиск / ММО (2) (с 15-23)</t>
  </si>
  <si>
    <t>37 156,06 ₽</t>
  </si>
  <si>
    <t>214,77 ₽</t>
  </si>
  <si>
    <t>48 228,57 ₽</t>
  </si>
  <si>
    <t>9 645,71 ₽</t>
  </si>
  <si>
    <t>Период 01.08.18 - 31.08.18</t>
  </si>
  <si>
    <t>1 августа 2018 г. - 31 августа 2018 г.</t>
  </si>
  <si>
    <t>16,72 %</t>
  </si>
  <si>
    <t>225,15 ₽</t>
  </si>
  <si>
    <t>5 724,98 ₽</t>
  </si>
  <si>
    <t>3,94 %</t>
  </si>
  <si>
    <t>27,55 %</t>
  </si>
  <si>
    <t>141,56 ₽</t>
  </si>
  <si>
    <t>1 838,01 ₽</t>
  </si>
  <si>
    <t>7,72 %</t>
  </si>
  <si>
    <t>2,31 %</t>
  </si>
  <si>
    <t>73,59 ₽</t>
  </si>
  <si>
    <t>4 717,01 ₽</t>
  </si>
  <si>
    <t>1,57 %</t>
  </si>
  <si>
    <t>0,15 %</t>
  </si>
  <si>
    <t>138,08 ₽</t>
  </si>
  <si>
    <t>4 299,27 ₽</t>
  </si>
  <si>
    <t>3,26 %</t>
  </si>
  <si>
    <t>План KPI</t>
  </si>
  <si>
    <t>Факт KPI</t>
  </si>
  <si>
    <t>Проект А</t>
  </si>
  <si>
    <t>Проект B</t>
  </si>
  <si>
    <t>Проект</t>
  </si>
  <si>
    <t>B</t>
  </si>
  <si>
    <t>Общий итог</t>
  </si>
  <si>
    <t>A</t>
  </si>
  <si>
    <t>апр</t>
  </si>
  <si>
    <t>Общий 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</si>
</sst>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#,##0.00[$ ₽]"/>
    <numFmt numFmtId="165" formatCode="mmmd"/>
    <numFmt numFmtId="166" formatCode="dd\.mm\.yyyy"/>
    <numFmt numFmtId="167" formatCode="[$р.-419]#,##0.00"/>
    <numFmt numFmtId="168" formatCode="#,##0.0"/>
  </numFmts>
  <fonts count="10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color rgb="FFFFFFFF"/>
      <name val="Arial"/>
      <family val="2"/>
      <charset val="204"/>
    </font>
    <font>
      <sz val="10"/>
      <color rgb="FFFFFFFF"/>
      <name val="Arial"/>
      <family val="2"/>
      <charset val="204"/>
    </font>
    <font>
      <sz val="12"/>
      <color rgb="FFFFFFFF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C9DAF8"/>
        <bgColor rgb="FFC9DAF8"/>
      </patternFill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2" fillId="0" borderId="0" xfId="0" applyFont="1" applyAlignment="1"/>
    <xf numFmtId="0" fontId="3" fillId="3" borderId="0" xfId="0" applyFont="1" applyFill="1" applyAlignment="1"/>
    <xf numFmtId="0" fontId="2" fillId="0" borderId="0" xfId="0" applyFont="1" applyAlignment="1"/>
    <xf numFmtId="0" fontId="2" fillId="0" borderId="0" xfId="0" applyFont="1"/>
    <xf numFmtId="0" fontId="2" fillId="4" borderId="0" xfId="0" applyFont="1" applyFill="1"/>
    <xf numFmtId="0" fontId="2" fillId="0" borderId="0" xfId="0" applyFont="1" applyAlignment="1">
      <alignment horizontal="center"/>
    </xf>
    <xf numFmtId="0" fontId="2" fillId="4" borderId="0" xfId="0" applyFont="1" applyFill="1"/>
    <xf numFmtId="164" fontId="2" fillId="0" borderId="0" xfId="0" applyNumberFormat="1" applyFont="1"/>
    <xf numFmtId="0" fontId="2" fillId="4" borderId="0" xfId="0" applyFont="1" applyFill="1" applyAlignment="1"/>
    <xf numFmtId="0" fontId="4" fillId="6" borderId="1" xfId="0" applyFont="1" applyFill="1" applyBorder="1" applyAlignment="1"/>
    <xf numFmtId="0" fontId="2" fillId="0" borderId="2" xfId="0" applyFont="1" applyBorder="1" applyAlignment="1"/>
    <xf numFmtId="165" fontId="2" fillId="0" borderId="2" xfId="0" applyNumberFormat="1" applyFont="1" applyBorder="1" applyAlignment="1"/>
    <xf numFmtId="3" fontId="2" fillId="0" borderId="2" xfId="0" applyNumberFormat="1" applyFont="1" applyBorder="1" applyAlignment="1"/>
    <xf numFmtId="0" fontId="2" fillId="0" borderId="3" xfId="0" applyFont="1" applyBorder="1"/>
    <xf numFmtId="0" fontId="2" fillId="4" borderId="4" xfId="0" applyFont="1" applyFill="1" applyBorder="1" applyAlignment="1"/>
    <xf numFmtId="0" fontId="2" fillId="0" borderId="4" xfId="0" applyFont="1" applyBorder="1" applyAlignment="1"/>
    <xf numFmtId="165" fontId="2" fillId="0" borderId="0" xfId="0" applyNumberFormat="1" applyFont="1" applyAlignment="1"/>
    <xf numFmtId="3" fontId="2" fillId="0" borderId="0" xfId="0" applyNumberFormat="1" applyFont="1" applyAlignment="1"/>
    <xf numFmtId="0" fontId="2" fillId="0" borderId="5" xfId="0" applyFont="1" applyBorder="1"/>
    <xf numFmtId="0" fontId="2" fillId="0" borderId="5" xfId="0" applyFont="1" applyBorder="1" applyAlignment="1"/>
    <xf numFmtId="166" fontId="2" fillId="0" borderId="0" xfId="0" applyNumberFormat="1" applyFont="1" applyAlignment="1"/>
    <xf numFmtId="4" fontId="2" fillId="0" borderId="0" xfId="0" applyNumberFormat="1" applyFont="1" applyAlignment="1"/>
    <xf numFmtId="164" fontId="2" fillId="0" borderId="0" xfId="0" applyNumberFormat="1" applyFont="1" applyAlignment="1"/>
    <xf numFmtId="166" fontId="2" fillId="0" borderId="0" xfId="0" applyNumberFormat="1" applyFont="1" applyAlignment="1"/>
    <xf numFmtId="0" fontId="2" fillId="0" borderId="6" xfId="0" applyFont="1" applyBorder="1" applyAlignment="1"/>
    <xf numFmtId="3" fontId="2" fillId="0" borderId="6" xfId="0" applyNumberFormat="1" applyFont="1" applyBorder="1" applyAlignment="1"/>
    <xf numFmtId="4" fontId="2" fillId="0" borderId="6" xfId="0" applyNumberFormat="1" applyFont="1" applyBorder="1" applyAlignment="1"/>
    <xf numFmtId="0" fontId="2" fillId="0" borderId="7" xfId="0" applyFont="1" applyBorder="1" applyAlignment="1"/>
    <xf numFmtId="0" fontId="2" fillId="3" borderId="0" xfId="0" applyFont="1" applyFill="1" applyAlignment="1"/>
    <xf numFmtId="0" fontId="2" fillId="0" borderId="10" xfId="0" applyFont="1" applyBorder="1" applyAlignment="1"/>
    <xf numFmtId="0" fontId="2" fillId="7" borderId="1" xfId="0" applyFont="1" applyFill="1" applyBorder="1" applyAlignment="1"/>
    <xf numFmtId="165" fontId="2" fillId="0" borderId="6" xfId="0" applyNumberFormat="1" applyFont="1" applyBorder="1" applyAlignment="1"/>
    <xf numFmtId="0" fontId="2" fillId="7" borderId="2" xfId="0" applyFont="1" applyFill="1" applyBorder="1" applyAlignment="1"/>
    <xf numFmtId="0" fontId="2" fillId="7" borderId="3" xfId="0" applyFont="1" applyFill="1" applyBorder="1" applyAlignment="1"/>
    <xf numFmtId="167" fontId="2" fillId="0" borderId="0" xfId="0" applyNumberFormat="1" applyFont="1"/>
    <xf numFmtId="167" fontId="2" fillId="0" borderId="12" xfId="0" applyNumberFormat="1" applyFont="1" applyBorder="1"/>
    <xf numFmtId="0" fontId="2" fillId="0" borderId="4" xfId="0" applyFont="1" applyBorder="1"/>
    <xf numFmtId="4" fontId="2" fillId="0" borderId="5" xfId="0" applyNumberFormat="1" applyFont="1" applyBorder="1" applyAlignment="1"/>
    <xf numFmtId="0" fontId="2" fillId="0" borderId="14" xfId="0" applyFont="1" applyBorder="1" applyAlignment="1"/>
    <xf numFmtId="167" fontId="2" fillId="0" borderId="6" xfId="0" applyNumberFormat="1" applyFont="1" applyBorder="1"/>
    <xf numFmtId="0" fontId="6" fillId="8" borderId="0" xfId="0" applyFont="1" applyFill="1" applyAlignment="1"/>
    <xf numFmtId="4" fontId="2" fillId="0" borderId="7" xfId="0" applyNumberFormat="1" applyFont="1" applyBorder="1" applyAlignment="1"/>
    <xf numFmtId="3" fontId="7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0" fontId="2" fillId="0" borderId="0" xfId="0" applyNumberFormat="1" applyFont="1"/>
    <xf numFmtId="167" fontId="2" fillId="0" borderId="0" xfId="0" applyNumberFormat="1" applyFont="1" applyAlignment="1"/>
    <xf numFmtId="167" fontId="2" fillId="9" borderId="0" xfId="0" applyNumberFormat="1" applyFont="1" applyFill="1" applyAlignment="1"/>
    <xf numFmtId="167" fontId="2" fillId="2" borderId="0" xfId="0" applyNumberFormat="1" applyFont="1" applyFill="1" applyAlignment="1"/>
    <xf numFmtId="0" fontId="2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0" borderId="14" xfId="0" applyFont="1" applyBorder="1" applyAlignment="1"/>
    <xf numFmtId="167" fontId="2" fillId="0" borderId="13" xfId="0" applyNumberFormat="1" applyFont="1" applyBorder="1"/>
    <xf numFmtId="0" fontId="2" fillId="0" borderId="8" xfId="0" applyFont="1" applyBorder="1" applyAlignment="1"/>
    <xf numFmtId="167" fontId="2" fillId="0" borderId="10" xfId="0" applyNumberFormat="1" applyFont="1" applyBorder="1"/>
    <xf numFmtId="0" fontId="2" fillId="0" borderId="0" xfId="0" applyFont="1" applyAlignment="1">
      <alignment horizontal="center"/>
    </xf>
    <xf numFmtId="0" fontId="2" fillId="0" borderId="14" xfId="0" applyFont="1" applyBorder="1"/>
    <xf numFmtId="0" fontId="2" fillId="0" borderId="13" xfId="0" applyFont="1" applyBorder="1" applyAlignment="1">
      <alignment horizontal="center"/>
    </xf>
    <xf numFmtId="0" fontId="2" fillId="4" borderId="4" xfId="0" applyFont="1" applyFill="1" applyBorder="1" applyAlignment="1"/>
    <xf numFmtId="0" fontId="2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10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0" fontId="2" fillId="0" borderId="0" xfId="0" applyNumberFormat="1" applyFont="1" applyAlignment="1"/>
    <xf numFmtId="167" fontId="2" fillId="0" borderId="5" xfId="0" applyNumberFormat="1" applyFont="1" applyBorder="1"/>
    <xf numFmtId="3" fontId="2" fillId="9" borderId="0" xfId="0" applyNumberFormat="1" applyFont="1" applyFill="1" applyAlignment="1">
      <alignment horizontal="center"/>
    </xf>
    <xf numFmtId="0" fontId="5" fillId="6" borderId="0" xfId="0" applyFont="1" applyFill="1" applyAlignment="1"/>
    <xf numFmtId="167" fontId="2" fillId="11" borderId="5" xfId="0" applyNumberFormat="1" applyFont="1" applyFill="1" applyBorder="1"/>
    <xf numFmtId="167" fontId="2" fillId="0" borderId="7" xfId="0" applyNumberFormat="1" applyFont="1" applyBorder="1"/>
    <xf numFmtId="10" fontId="2" fillId="0" borderId="6" xfId="0" applyNumberFormat="1" applyFont="1" applyBorder="1"/>
    <xf numFmtId="0" fontId="4" fillId="8" borderId="0" xfId="0" applyFont="1" applyFill="1" applyAlignment="1">
      <alignment horizontal="center" vertical="center"/>
    </xf>
    <xf numFmtId="3" fontId="7" fillId="0" borderId="6" xfId="0" applyNumberFormat="1" applyFont="1" applyBorder="1" applyAlignment="1">
      <alignment horizontal="center"/>
    </xf>
    <xf numFmtId="10" fontId="7" fillId="0" borderId="6" xfId="0" applyNumberFormat="1" applyFont="1" applyBorder="1" applyAlignment="1">
      <alignment horizontal="center"/>
    </xf>
    <xf numFmtId="167" fontId="2" fillId="0" borderId="6" xfId="0" applyNumberFormat="1" applyFont="1" applyBorder="1" applyAlignment="1"/>
    <xf numFmtId="10" fontId="2" fillId="0" borderId="6" xfId="0" applyNumberFormat="1" applyFont="1" applyBorder="1" applyAlignment="1"/>
    <xf numFmtId="3" fontId="2" fillId="0" borderId="0" xfId="0" applyNumberFormat="1" applyFont="1" applyAlignment="1">
      <alignment horizontal="center"/>
    </xf>
    <xf numFmtId="167" fontId="2" fillId="9" borderId="6" xfId="0" applyNumberFormat="1" applyFont="1" applyFill="1" applyBorder="1" applyAlignment="1"/>
    <xf numFmtId="167" fontId="2" fillId="0" borderId="0" xfId="0" applyNumberFormat="1" applyFont="1" applyAlignment="1">
      <alignment horizontal="center"/>
    </xf>
    <xf numFmtId="167" fontId="2" fillId="2" borderId="6" xfId="0" applyNumberFormat="1" applyFont="1" applyFill="1" applyBorder="1" applyAlignment="1"/>
    <xf numFmtId="0" fontId="2" fillId="0" borderId="6" xfId="0" applyFont="1" applyBorder="1"/>
    <xf numFmtId="0" fontId="8" fillId="5" borderId="0" xfId="0" applyFont="1" applyFill="1" applyAlignment="1">
      <alignment horizontal="right"/>
    </xf>
    <xf numFmtId="3" fontId="7" fillId="9" borderId="0" xfId="0" applyNumberFormat="1" applyFont="1" applyFill="1" applyAlignment="1">
      <alignment horizontal="center"/>
    </xf>
    <xf numFmtId="167" fontId="7" fillId="9" borderId="0" xfId="0" applyNumberFormat="1" applyFont="1" applyFill="1" applyAlignment="1">
      <alignment horizontal="right"/>
    </xf>
    <xf numFmtId="3" fontId="7" fillId="9" borderId="6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67" fontId="2" fillId="10" borderId="0" xfId="0" applyNumberFormat="1" applyFont="1" applyFill="1" applyAlignment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7" fontId="2" fillId="10" borderId="6" xfId="0" applyNumberFormat="1" applyFont="1" applyFill="1" applyBorder="1" applyAlignment="1"/>
    <xf numFmtId="0" fontId="2" fillId="0" borderId="10" xfId="0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4" fontId="2" fillId="0" borderId="0" xfId="0" applyNumberFormat="1" applyFont="1"/>
    <xf numFmtId="167" fontId="2" fillId="0" borderId="11" xfId="0" applyNumberFormat="1" applyFont="1" applyBorder="1"/>
    <xf numFmtId="0" fontId="2" fillId="0" borderId="11" xfId="0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2" fillId="0" borderId="3" xfId="0" applyFont="1" applyBorder="1" applyAlignment="1"/>
    <xf numFmtId="0" fontId="2" fillId="3" borderId="1" xfId="0" applyFont="1" applyFill="1" applyBorder="1" applyAlignment="1"/>
    <xf numFmtId="0" fontId="2" fillId="7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5" fillId="6" borderId="1" xfId="0" applyFont="1" applyFill="1" applyBorder="1" applyAlignment="1"/>
    <xf numFmtId="167" fontId="7" fillId="9" borderId="0" xfId="0" applyNumberFormat="1" applyFont="1" applyFill="1" applyAlignment="1">
      <alignment horizontal="right"/>
    </xf>
    <xf numFmtId="167" fontId="2" fillId="0" borderId="12" xfId="0" applyNumberFormat="1" applyFont="1" applyBorder="1" applyAlignment="1">
      <alignment horizontal="center"/>
    </xf>
    <xf numFmtId="49" fontId="2" fillId="0" borderId="11" xfId="0" applyNumberFormat="1" applyFont="1" applyBorder="1"/>
    <xf numFmtId="168" fontId="2" fillId="0" borderId="0" xfId="0" applyNumberFormat="1" applyFont="1" applyAlignment="1">
      <alignment horizontal="center"/>
    </xf>
    <xf numFmtId="49" fontId="2" fillId="0" borderId="12" xfId="0" applyNumberFormat="1" applyFont="1" applyBorder="1"/>
    <xf numFmtId="0" fontId="2" fillId="0" borderId="5" xfId="0" applyFont="1" applyBorder="1" applyAlignment="1">
      <alignment horizontal="center"/>
    </xf>
    <xf numFmtId="3" fontId="2" fillId="0" borderId="0" xfId="0" applyNumberFormat="1" applyFont="1"/>
    <xf numFmtId="0" fontId="2" fillId="0" borderId="5" xfId="0" applyFont="1" applyBorder="1" applyAlignment="1">
      <alignment horizontal="center"/>
    </xf>
    <xf numFmtId="49" fontId="2" fillId="0" borderId="13" xfId="0" applyNumberFormat="1" applyFont="1" applyBorder="1"/>
    <xf numFmtId="167" fontId="2" fillId="0" borderId="13" xfId="0" applyNumberFormat="1" applyFont="1" applyBorder="1" applyAlignment="1">
      <alignment horizontal="center"/>
    </xf>
    <xf numFmtId="49" fontId="2" fillId="0" borderId="10" xfId="0" applyNumberFormat="1" applyFont="1" applyBorder="1"/>
    <xf numFmtId="0" fontId="2" fillId="0" borderId="7" xfId="0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8" fontId="2" fillId="0" borderId="1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4" borderId="14" xfId="0" applyFont="1" applyFill="1" applyBorder="1" applyAlignment="1"/>
    <xf numFmtId="0" fontId="6" fillId="8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167" fontId="2" fillId="0" borderId="5" xfId="0" applyNumberFormat="1" applyFont="1" applyBorder="1" applyAlignment="1"/>
    <xf numFmtId="0" fontId="2" fillId="0" borderId="4" xfId="0" applyFont="1" applyBorder="1" applyAlignment="1">
      <alignment horizontal="center"/>
    </xf>
    <xf numFmtId="167" fontId="2" fillId="0" borderId="7" xfId="0" applyNumberFormat="1" applyFont="1" applyBorder="1" applyAlignment="1"/>
    <xf numFmtId="0" fontId="2" fillId="0" borderId="14" xfId="0" applyFont="1" applyBorder="1" applyAlignment="1">
      <alignment horizontal="center"/>
    </xf>
    <xf numFmtId="0" fontId="2" fillId="0" borderId="7" xfId="0" applyFont="1" applyBorder="1"/>
    <xf numFmtId="0" fontId="1" fillId="0" borderId="0" xfId="0" applyFont="1" applyAlignment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0" fillId="0" borderId="0" xfId="0" pivotButton="1" applyFont="1" applyAlignment="1"/>
    <xf numFmtId="166" fontId="0" fillId="0" borderId="0" xfId="0" applyNumberFormat="1" applyFont="1" applyAlignment="1"/>
    <xf numFmtId="43" fontId="0" fillId="0" borderId="0" xfId="0" applyNumberFormat="1" applyFont="1" applyAlignment="1"/>
  </cellXfs>
  <cellStyles count="1">
    <cellStyle name="Обычный" xfId="0" builtinId="0"/>
  </cellStyles>
  <dxfs count="69">
    <dxf>
      <numFmt numFmtId="35" formatCode="_-* #,##0.00\ _₽_-;\-* #,##0.00\ _₽_-;_-* &quot;-&quot;??\ _₽_-;_-@_-"/>
    </dxf>
    <dxf>
      <numFmt numFmtId="35" formatCode="_-* #,##0.00\ _₽_-;\-* #,##0.00\ _₽_-;_-* &quot;-&quot;??\ _₽_-;_-@_-"/>
    </dxf>
    <dxf>
      <numFmt numFmtId="35" formatCode="_-* #,##0.00\ _₽_-;\-* #,##0.00\ _₽_-;_-* &quot;-&quot;??\ _₽_-;_-@_-"/>
    </dxf>
    <dxf>
      <numFmt numFmtId="35" formatCode="_-* #,##0.00\ _₽_-;\-* #,##0.00\ _₽_-;_-* &quot;-&quot;??\ _₽_-;_-@_-"/>
    </dxf>
    <dxf>
      <numFmt numFmtId="35" formatCode="_-* #,##0.00\ _₽_-;\-* #,##0.00\ _₽_-;_-* &quot;-&quot;??\ _₽_-;_-@_-"/>
    </dxf>
    <dxf>
      <numFmt numFmtId="35" formatCode="_-* #,##0.00\ _₽_-;\-* #,##0.00\ _₽_-;_-* &quot;-&quot;??\ _₽_-;_-@_-"/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ont>
        <color rgb="FF000000"/>
      </font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ont>
        <color rgb="FF000000"/>
      </font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64" formatCode="#,##0.00[$ ₽]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66" formatCode="dd\.mm\.yyyy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04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Черепанов Алексей Викторович" refreshedDate="43580.45043553241" createdVersion="6" refreshedVersion="6" minRefreshableVersion="3" recordCount="42" xr:uid="{FE666315-8820-4B74-9AC5-AA440471D0B7}">
  <cacheSource type="worksheet">
    <worksheetSource name="Таблица1"/>
  </cacheSource>
  <cacheFields count="3">
    <cacheField name="Проект" numFmtId="0">
      <sharedItems count="2">
        <s v="A"/>
        <s v="B"/>
      </sharedItems>
    </cacheField>
    <cacheField name="Дата" numFmtId="166">
      <sharedItems containsSemiMixedTypes="0" containsNonDate="0" containsDate="1" containsString="0" minDate="2019-04-01T00:00:00" maxDate="2019-04-22T00:00:00" count="21">
        <d v="2019-04-01T00:00:00"/>
        <d v="2019-04-02T00:00:00"/>
        <d v="2019-04-03T00:00:00"/>
        <d v="2019-04-04T00:00:00"/>
        <d v="2019-04-05T00:00:00"/>
        <d v="2019-04-06T00:00:00"/>
        <d v="2019-04-07T00:00:00"/>
        <d v="2019-04-08T00:00:00"/>
        <d v="2019-04-09T00:00:00"/>
        <d v="2019-04-10T00:00:00"/>
        <d v="2019-04-11T00:00:00"/>
        <d v="2019-04-12T00:00:00"/>
        <d v="2019-04-13T00:00:00"/>
        <d v="2019-04-14T00:00:00"/>
        <d v="2019-04-15T00:00:00"/>
        <d v="2019-04-16T00:00:00"/>
        <d v="2019-04-17T00:00:00"/>
        <d v="2019-04-18T00:00:00"/>
        <d v="2019-04-19T00:00:00"/>
        <d v="2019-04-20T00:00:00"/>
        <d v="2019-04-21T00:00:00"/>
      </sharedItems>
      <fieldGroup base="1">
        <rangePr groupBy="months" startDate="2019-04-01T00:00:00" endDate="2019-04-22T00:00:00"/>
        <groupItems count="14">
          <s v="&lt;01.04.2019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2.04.2019"/>
        </groupItems>
      </fieldGroup>
    </cacheField>
    <cacheField name="Расход" numFmtId="164">
      <sharedItems containsSemiMixedTypes="0" containsString="0" containsNumber="1" minValue="3101.05" maxValue="30169.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x v="0"/>
    <x v="0"/>
    <n v="7117.95"/>
  </r>
  <r>
    <x v="0"/>
    <x v="1"/>
    <n v="6017.08"/>
  </r>
  <r>
    <x v="0"/>
    <x v="2"/>
    <n v="6734.21"/>
  </r>
  <r>
    <x v="0"/>
    <x v="3"/>
    <n v="8057.5"/>
  </r>
  <r>
    <x v="0"/>
    <x v="4"/>
    <n v="7009.5"/>
  </r>
  <r>
    <x v="0"/>
    <x v="5"/>
    <n v="4476.63"/>
  </r>
  <r>
    <x v="0"/>
    <x v="6"/>
    <n v="5186.54"/>
  </r>
  <r>
    <x v="0"/>
    <x v="7"/>
    <n v="7183.56"/>
  </r>
  <r>
    <x v="0"/>
    <x v="8"/>
    <n v="6197.73"/>
  </r>
  <r>
    <x v="0"/>
    <x v="9"/>
    <n v="6963.82"/>
  </r>
  <r>
    <x v="0"/>
    <x v="10"/>
    <n v="7055.53"/>
  </r>
  <r>
    <x v="0"/>
    <x v="11"/>
    <n v="5887.07"/>
  </r>
  <r>
    <x v="0"/>
    <x v="12"/>
    <n v="4041.02"/>
  </r>
  <r>
    <x v="0"/>
    <x v="13"/>
    <n v="4763.47"/>
  </r>
  <r>
    <x v="0"/>
    <x v="14"/>
    <n v="8944.9699999999993"/>
  </r>
  <r>
    <x v="0"/>
    <x v="15"/>
    <n v="8128.58"/>
  </r>
  <r>
    <x v="0"/>
    <x v="16"/>
    <n v="9519.85"/>
  </r>
  <r>
    <x v="0"/>
    <x v="17"/>
    <n v="6374.18"/>
  </r>
  <r>
    <x v="0"/>
    <x v="18"/>
    <n v="3798.51"/>
  </r>
  <r>
    <x v="0"/>
    <x v="19"/>
    <n v="3101.05"/>
  </r>
  <r>
    <x v="0"/>
    <x v="20"/>
    <n v="3303.08"/>
  </r>
  <r>
    <x v="1"/>
    <x v="0"/>
    <n v="21260.26"/>
  </r>
  <r>
    <x v="1"/>
    <x v="1"/>
    <n v="22776.15"/>
  </r>
  <r>
    <x v="1"/>
    <x v="2"/>
    <n v="23533.119999999999"/>
  </r>
  <r>
    <x v="1"/>
    <x v="3"/>
    <n v="19703.03"/>
  </r>
  <r>
    <x v="1"/>
    <x v="4"/>
    <n v="16379.38"/>
  </r>
  <r>
    <x v="1"/>
    <x v="5"/>
    <n v="14120.86"/>
  </r>
  <r>
    <x v="1"/>
    <x v="6"/>
    <n v="14634.01"/>
  </r>
  <r>
    <x v="1"/>
    <x v="7"/>
    <n v="18339.36"/>
  </r>
  <r>
    <x v="1"/>
    <x v="8"/>
    <n v="16319.26"/>
  </r>
  <r>
    <x v="1"/>
    <x v="9"/>
    <n v="16847.71"/>
  </r>
  <r>
    <x v="1"/>
    <x v="10"/>
    <n v="17853.22"/>
  </r>
  <r>
    <x v="1"/>
    <x v="11"/>
    <n v="22526.99"/>
  </r>
  <r>
    <x v="1"/>
    <x v="12"/>
    <n v="15423.31"/>
  </r>
  <r>
    <x v="1"/>
    <x v="13"/>
    <n v="17166.560000000001"/>
  </r>
  <r>
    <x v="1"/>
    <x v="14"/>
    <n v="19449.71"/>
  </r>
  <r>
    <x v="1"/>
    <x v="15"/>
    <n v="16278.73"/>
  </r>
  <r>
    <x v="1"/>
    <x v="16"/>
    <n v="12944.87"/>
  </r>
  <r>
    <x v="1"/>
    <x v="17"/>
    <n v="18683.650000000001"/>
  </r>
  <r>
    <x v="1"/>
    <x v="18"/>
    <n v="30169.4"/>
  </r>
  <r>
    <x v="1"/>
    <x v="19"/>
    <n v="22233.08"/>
  </r>
  <r>
    <x v="1"/>
    <x v="20"/>
    <n v="25214.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CC5BE2-A5F3-4AE6-BAC8-D0AB690B9317}" name="Сводная таблица2" cacheId="1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E4:G7" firstHeaderRow="1" firstDataRow="1" firstDataCol="2"/>
  <pivotFields count="3">
    <pivotField axis="axisRow" compact="0" outline="0" showAll="0" defaultSubtotal="0">
      <items count="2">
        <item x="0"/>
        <item x="1"/>
      </items>
    </pivotField>
    <pivotField axis="axisRow" compact="0" numFmtId="166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compact="0" numFmtId="164" outline="0" showAll="0"/>
  </pivotFields>
  <rowFields count="2">
    <field x="0"/>
    <field x="1"/>
  </rowFields>
  <rowItems count="3">
    <i>
      <x/>
      <x v="4"/>
    </i>
    <i>
      <x v="1"/>
      <x v="4"/>
    </i>
    <i t="grand">
      <x/>
    </i>
  </rowItems>
  <colItems count="1">
    <i/>
  </colItems>
  <dataFields count="1">
    <dataField name="Общий расход" fld="2" baseField="1" baseItem="4" numFmtId="43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A3850B-C233-43B5-88E6-1C55B4A336D2}" name="Таблица1" displayName="Таблица1" ref="A1:C43" totalsRowShown="0">
  <autoFilter ref="A1:C43" xr:uid="{B8A1F0BE-FF12-4A6C-8F42-A28CEF9910B2}"/>
  <tableColumns count="3">
    <tableColumn id="1" xr3:uid="{C454E793-F930-47D7-AF88-EF2FD337B08B}" name="Проект" dataDxfId="68"/>
    <tableColumn id="2" xr3:uid="{D89F0107-878A-4556-88DC-889F81EA6737}" name="Дата" dataDxfId="67"/>
    <tableColumn id="3" xr3:uid="{CCE5A6FC-5ACD-4E20-9503-93D9536F53D9}" name="Расход" dataDxfId="6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677"/>
  <sheetViews>
    <sheetView workbookViewId="0">
      <selection activeCell="E2" sqref="E2"/>
    </sheetView>
  </sheetViews>
  <sheetFormatPr defaultColWidth="14.42578125" defaultRowHeight="15.75" customHeight="1" x14ac:dyDescent="0.2"/>
  <sheetData>
    <row r="1" spans="1:3" ht="15.75" customHeight="1" x14ac:dyDescent="0.2">
      <c r="A1" s="136" t="s">
        <v>182</v>
      </c>
      <c r="B1" s="136" t="s">
        <v>12</v>
      </c>
      <c r="C1" s="8" t="s">
        <v>57</v>
      </c>
    </row>
    <row r="2" spans="1:3" ht="15.75" customHeight="1" x14ac:dyDescent="0.2">
      <c r="B2" s="21">
        <v>43556</v>
      </c>
      <c r="C2" s="23">
        <v>7117.95</v>
      </c>
    </row>
    <row r="3" spans="1:3" ht="15.75" customHeight="1" x14ac:dyDescent="0.2">
      <c r="B3" s="24">
        <v>43557</v>
      </c>
      <c r="C3" s="23">
        <v>6017.08</v>
      </c>
    </row>
    <row r="4" spans="1:3" ht="15.75" customHeight="1" x14ac:dyDescent="0.2">
      <c r="B4" s="24">
        <v>43558</v>
      </c>
      <c r="C4" s="23">
        <v>6734.21</v>
      </c>
    </row>
    <row r="5" spans="1:3" ht="15.75" customHeight="1" x14ac:dyDescent="0.2">
      <c r="B5" s="24">
        <v>43559</v>
      </c>
      <c r="C5" s="23">
        <v>8057.5</v>
      </c>
    </row>
    <row r="6" spans="1:3" ht="15.75" customHeight="1" x14ac:dyDescent="0.2">
      <c r="B6" s="24">
        <v>43560</v>
      </c>
      <c r="C6" s="23">
        <v>7009.5</v>
      </c>
    </row>
    <row r="7" spans="1:3" ht="15.75" customHeight="1" x14ac:dyDescent="0.2">
      <c r="B7" s="24">
        <v>43561</v>
      </c>
      <c r="C7" s="23">
        <v>4476.63</v>
      </c>
    </row>
    <row r="8" spans="1:3" ht="15.75" customHeight="1" x14ac:dyDescent="0.2">
      <c r="B8" s="24">
        <v>43562</v>
      </c>
      <c r="C8" s="23">
        <v>5186.54</v>
      </c>
    </row>
    <row r="9" spans="1:3" ht="15.75" customHeight="1" x14ac:dyDescent="0.2">
      <c r="B9" s="24">
        <v>43563</v>
      </c>
      <c r="C9" s="23">
        <v>7183.56</v>
      </c>
    </row>
    <row r="10" spans="1:3" ht="15.75" customHeight="1" x14ac:dyDescent="0.2">
      <c r="B10" s="24">
        <v>43564</v>
      </c>
      <c r="C10" s="23">
        <v>6197.73</v>
      </c>
    </row>
    <row r="11" spans="1:3" ht="15.75" customHeight="1" x14ac:dyDescent="0.2">
      <c r="B11" s="24">
        <v>43565</v>
      </c>
      <c r="C11" s="23">
        <v>6963.82</v>
      </c>
    </row>
    <row r="12" spans="1:3" ht="15.75" customHeight="1" x14ac:dyDescent="0.2">
      <c r="B12" s="24">
        <v>43566</v>
      </c>
      <c r="C12" s="23">
        <v>7055.53</v>
      </c>
    </row>
    <row r="13" spans="1:3" ht="15.75" customHeight="1" x14ac:dyDescent="0.2">
      <c r="B13" s="24">
        <v>43567</v>
      </c>
      <c r="C13" s="23">
        <v>5887.07</v>
      </c>
    </row>
    <row r="14" spans="1:3" ht="15.75" customHeight="1" x14ac:dyDescent="0.2">
      <c r="B14" s="24">
        <v>43568</v>
      </c>
      <c r="C14" s="23">
        <v>4041.02</v>
      </c>
    </row>
    <row r="15" spans="1:3" ht="15.75" customHeight="1" x14ac:dyDescent="0.2">
      <c r="B15" s="24">
        <v>43569</v>
      </c>
      <c r="C15" s="23">
        <v>4763.47</v>
      </c>
    </row>
    <row r="16" spans="1:3" ht="15.75" customHeight="1" x14ac:dyDescent="0.2">
      <c r="B16" s="24">
        <v>43570</v>
      </c>
      <c r="C16" s="23">
        <v>8944.9699999999993</v>
      </c>
    </row>
    <row r="17" spans="1:3" ht="15.75" customHeight="1" x14ac:dyDescent="0.2">
      <c r="B17" s="24">
        <v>43571</v>
      </c>
      <c r="C17" s="23">
        <v>8128.58</v>
      </c>
    </row>
    <row r="18" spans="1:3" ht="15.75" customHeight="1" x14ac:dyDescent="0.2">
      <c r="B18" s="24">
        <v>43572</v>
      </c>
      <c r="C18" s="23">
        <v>9519.85</v>
      </c>
    </row>
    <row r="19" spans="1:3" ht="15.75" customHeight="1" x14ac:dyDescent="0.2">
      <c r="B19" s="24">
        <v>43573</v>
      </c>
      <c r="C19" s="23">
        <v>6374.18</v>
      </c>
    </row>
    <row r="20" spans="1:3" ht="15.75" customHeight="1" x14ac:dyDescent="0.2">
      <c r="B20" s="24">
        <v>43574</v>
      </c>
      <c r="C20" s="23">
        <v>3798.51</v>
      </c>
    </row>
    <row r="21" spans="1:3" ht="15.75" customHeight="1" x14ac:dyDescent="0.2">
      <c r="B21" s="24">
        <v>43575</v>
      </c>
      <c r="C21" s="23">
        <v>3101.05</v>
      </c>
    </row>
    <row r="22" spans="1:3" ht="15.75" customHeight="1" x14ac:dyDescent="0.2">
      <c r="B22" s="24">
        <v>43576</v>
      </c>
      <c r="C22" s="23">
        <v>3303.08</v>
      </c>
    </row>
    <row r="23" spans="1:3" ht="15.75" customHeight="1" x14ac:dyDescent="0.2">
      <c r="B23" s="3" t="s">
        <v>28</v>
      </c>
      <c r="C23" s="23">
        <v>129861.82</v>
      </c>
    </row>
    <row r="24" spans="1:3" ht="15.75" customHeight="1" x14ac:dyDescent="0.2">
      <c r="B24" s="24"/>
      <c r="C24" s="23"/>
    </row>
    <row r="25" spans="1:3" ht="15.75" customHeight="1" x14ac:dyDescent="0.2">
      <c r="A25" s="136" t="s">
        <v>183</v>
      </c>
      <c r="B25" s="24">
        <v>43556</v>
      </c>
      <c r="C25" s="23">
        <v>21260.26</v>
      </c>
    </row>
    <row r="26" spans="1:3" ht="15.75" customHeight="1" x14ac:dyDescent="0.2">
      <c r="B26" s="24">
        <v>43557</v>
      </c>
      <c r="C26" s="23">
        <v>22776.15</v>
      </c>
    </row>
    <row r="27" spans="1:3" ht="12.75" x14ac:dyDescent="0.2">
      <c r="B27" s="24">
        <v>43558</v>
      </c>
      <c r="C27" s="23">
        <v>23533.119999999999</v>
      </c>
    </row>
    <row r="28" spans="1:3" ht="12.75" x14ac:dyDescent="0.2">
      <c r="B28" s="24">
        <v>43559</v>
      </c>
      <c r="C28" s="23">
        <v>19703.03</v>
      </c>
    </row>
    <row r="29" spans="1:3" ht="12.75" x14ac:dyDescent="0.2">
      <c r="B29" s="24">
        <v>43560</v>
      </c>
      <c r="C29" s="23">
        <v>16379.38</v>
      </c>
    </row>
    <row r="30" spans="1:3" ht="12.75" x14ac:dyDescent="0.2">
      <c r="B30" s="24">
        <v>43561</v>
      </c>
      <c r="C30" s="23">
        <v>14120.86</v>
      </c>
    </row>
    <row r="31" spans="1:3" ht="12.75" x14ac:dyDescent="0.2">
      <c r="B31" s="24">
        <v>43562</v>
      </c>
      <c r="C31" s="23">
        <v>14634.01</v>
      </c>
    </row>
    <row r="32" spans="1:3" ht="12.75" x14ac:dyDescent="0.2">
      <c r="B32" s="24">
        <v>43563</v>
      </c>
      <c r="C32" s="23">
        <v>18339.36</v>
      </c>
    </row>
    <row r="33" spans="2:3" ht="12.75" x14ac:dyDescent="0.2">
      <c r="B33" s="24">
        <v>43564</v>
      </c>
      <c r="C33" s="23">
        <v>16319.26</v>
      </c>
    </row>
    <row r="34" spans="2:3" ht="12.75" x14ac:dyDescent="0.2">
      <c r="B34" s="24">
        <v>43565</v>
      </c>
      <c r="C34" s="23">
        <v>16847.71</v>
      </c>
    </row>
    <row r="35" spans="2:3" ht="12.75" x14ac:dyDescent="0.2">
      <c r="B35" s="24">
        <v>43566</v>
      </c>
      <c r="C35" s="23">
        <v>17853.22</v>
      </c>
    </row>
    <row r="36" spans="2:3" ht="12.75" x14ac:dyDescent="0.2">
      <c r="B36" s="24">
        <v>43567</v>
      </c>
      <c r="C36" s="23">
        <v>22526.99</v>
      </c>
    </row>
    <row r="37" spans="2:3" ht="12.75" x14ac:dyDescent="0.2">
      <c r="B37" s="24">
        <v>43568</v>
      </c>
      <c r="C37" s="23">
        <v>15423.31</v>
      </c>
    </row>
    <row r="38" spans="2:3" ht="12.75" x14ac:dyDescent="0.2">
      <c r="B38" s="24">
        <v>43569</v>
      </c>
      <c r="C38" s="23">
        <v>17166.560000000001</v>
      </c>
    </row>
    <row r="39" spans="2:3" ht="12.75" x14ac:dyDescent="0.2">
      <c r="B39" s="24">
        <v>43570</v>
      </c>
      <c r="C39" s="23">
        <v>19449.71</v>
      </c>
    </row>
    <row r="40" spans="2:3" ht="12.75" x14ac:dyDescent="0.2">
      <c r="B40" s="24">
        <v>43571</v>
      </c>
      <c r="C40" s="23">
        <v>16278.73</v>
      </c>
    </row>
    <row r="41" spans="2:3" ht="12.75" x14ac:dyDescent="0.2">
      <c r="B41" s="24">
        <v>43572</v>
      </c>
      <c r="C41" s="23">
        <v>12944.87</v>
      </c>
    </row>
    <row r="42" spans="2:3" ht="12.75" x14ac:dyDescent="0.2">
      <c r="B42" s="24">
        <v>43573</v>
      </c>
      <c r="C42" s="23">
        <v>18683.650000000001</v>
      </c>
    </row>
    <row r="43" spans="2:3" ht="12.75" x14ac:dyDescent="0.2">
      <c r="B43" s="24">
        <v>43574</v>
      </c>
      <c r="C43" s="23">
        <v>30169.4</v>
      </c>
    </row>
    <row r="44" spans="2:3" ht="12.75" x14ac:dyDescent="0.2">
      <c r="B44" s="24">
        <v>43575</v>
      </c>
      <c r="C44" s="23">
        <v>22233.08</v>
      </c>
    </row>
    <row r="45" spans="2:3" ht="12.75" x14ac:dyDescent="0.2">
      <c r="B45" s="24">
        <v>43576</v>
      </c>
      <c r="C45" s="23">
        <v>25214.63</v>
      </c>
    </row>
    <row r="46" spans="2:3" ht="12.75" x14ac:dyDescent="0.2">
      <c r="B46" s="3" t="s">
        <v>28</v>
      </c>
      <c r="C46" s="23">
        <v>401857.3</v>
      </c>
    </row>
    <row r="47" spans="2:3" ht="12.75" x14ac:dyDescent="0.2">
      <c r="C47" s="8"/>
    </row>
    <row r="48" spans="2:3" ht="12.75" x14ac:dyDescent="0.2">
      <c r="C48" s="8"/>
    </row>
    <row r="49" spans="3:3" ht="12.75" x14ac:dyDescent="0.2">
      <c r="C49" s="8"/>
    </row>
    <row r="50" spans="3:3" ht="12.75" x14ac:dyDescent="0.2">
      <c r="C50" s="8"/>
    </row>
    <row r="51" spans="3:3" ht="12.75" x14ac:dyDescent="0.2">
      <c r="C51" s="8"/>
    </row>
    <row r="52" spans="3:3" ht="12.75" x14ac:dyDescent="0.2">
      <c r="C52" s="8"/>
    </row>
    <row r="53" spans="3:3" ht="12.75" x14ac:dyDescent="0.2">
      <c r="C53" s="8"/>
    </row>
    <row r="54" spans="3:3" ht="12.75" x14ac:dyDescent="0.2">
      <c r="C54" s="8"/>
    </row>
    <row r="55" spans="3:3" ht="12.75" x14ac:dyDescent="0.2">
      <c r="C55" s="8"/>
    </row>
    <row r="56" spans="3:3" ht="12.75" x14ac:dyDescent="0.2">
      <c r="C56" s="8"/>
    </row>
    <row r="57" spans="3:3" ht="12.75" x14ac:dyDescent="0.2">
      <c r="C57" s="8"/>
    </row>
    <row r="58" spans="3:3" ht="12.75" x14ac:dyDescent="0.2">
      <c r="C58" s="8"/>
    </row>
    <row r="59" spans="3:3" ht="12.75" x14ac:dyDescent="0.2">
      <c r="C59" s="8"/>
    </row>
    <row r="60" spans="3:3" ht="12.75" x14ac:dyDescent="0.2">
      <c r="C60" s="8"/>
    </row>
    <row r="61" spans="3:3" ht="12.75" x14ac:dyDescent="0.2">
      <c r="C61" s="8"/>
    </row>
    <row r="62" spans="3:3" ht="12.75" x14ac:dyDescent="0.2">
      <c r="C62" s="8"/>
    </row>
    <row r="63" spans="3:3" ht="12.75" x14ac:dyDescent="0.2">
      <c r="C63" s="8"/>
    </row>
    <row r="64" spans="3:3" ht="12.75" x14ac:dyDescent="0.2">
      <c r="C64" s="8"/>
    </row>
    <row r="65" spans="3:3" ht="12.75" x14ac:dyDescent="0.2">
      <c r="C65" s="8"/>
    </row>
    <row r="66" spans="3:3" ht="12.75" x14ac:dyDescent="0.2">
      <c r="C66" s="8"/>
    </row>
    <row r="67" spans="3:3" ht="12.75" x14ac:dyDescent="0.2">
      <c r="C67" s="8"/>
    </row>
    <row r="68" spans="3:3" ht="12.75" x14ac:dyDescent="0.2">
      <c r="C68" s="8"/>
    </row>
    <row r="69" spans="3:3" ht="12.75" x14ac:dyDescent="0.2">
      <c r="C69" s="8"/>
    </row>
    <row r="70" spans="3:3" ht="12.75" x14ac:dyDescent="0.2">
      <c r="C70" s="8"/>
    </row>
    <row r="71" spans="3:3" ht="12.75" x14ac:dyDescent="0.2">
      <c r="C71" s="8"/>
    </row>
    <row r="72" spans="3:3" ht="12.75" x14ac:dyDescent="0.2">
      <c r="C72" s="8"/>
    </row>
    <row r="73" spans="3:3" ht="12.75" x14ac:dyDescent="0.2">
      <c r="C73" s="8"/>
    </row>
    <row r="74" spans="3:3" ht="12.75" x14ac:dyDescent="0.2">
      <c r="C74" s="8"/>
    </row>
    <row r="75" spans="3:3" ht="12.75" x14ac:dyDescent="0.2">
      <c r="C75" s="8"/>
    </row>
    <row r="76" spans="3:3" ht="12.75" x14ac:dyDescent="0.2">
      <c r="C76" s="8"/>
    </row>
    <row r="77" spans="3:3" ht="12.75" x14ac:dyDescent="0.2">
      <c r="C77" s="8"/>
    </row>
    <row r="78" spans="3:3" ht="12.75" x14ac:dyDescent="0.2">
      <c r="C78" s="8"/>
    </row>
    <row r="79" spans="3:3" ht="12.75" x14ac:dyDescent="0.2">
      <c r="C79" s="8"/>
    </row>
    <row r="80" spans="3:3" ht="12.75" x14ac:dyDescent="0.2">
      <c r="C80" s="8"/>
    </row>
    <row r="81" spans="3:3" ht="12.75" x14ac:dyDescent="0.2">
      <c r="C81" s="8"/>
    </row>
    <row r="82" spans="3:3" ht="12.75" x14ac:dyDescent="0.2">
      <c r="C82" s="8"/>
    </row>
    <row r="83" spans="3:3" ht="12.75" x14ac:dyDescent="0.2">
      <c r="C83" s="8"/>
    </row>
    <row r="84" spans="3:3" ht="12.75" x14ac:dyDescent="0.2">
      <c r="C84" s="8"/>
    </row>
    <row r="85" spans="3:3" ht="12.75" x14ac:dyDescent="0.2">
      <c r="C85" s="8"/>
    </row>
    <row r="86" spans="3:3" ht="12.75" x14ac:dyDescent="0.2">
      <c r="C86" s="8"/>
    </row>
    <row r="87" spans="3:3" ht="12.75" x14ac:dyDescent="0.2">
      <c r="C87" s="8"/>
    </row>
    <row r="88" spans="3:3" ht="12.75" x14ac:dyDescent="0.2">
      <c r="C88" s="8"/>
    </row>
    <row r="89" spans="3:3" ht="12.75" x14ac:dyDescent="0.2">
      <c r="C89" s="8"/>
    </row>
    <row r="90" spans="3:3" ht="12.75" x14ac:dyDescent="0.2">
      <c r="C90" s="8"/>
    </row>
    <row r="91" spans="3:3" ht="12.75" x14ac:dyDescent="0.2">
      <c r="C91" s="8"/>
    </row>
    <row r="92" spans="3:3" ht="12.75" x14ac:dyDescent="0.2">
      <c r="C92" s="8"/>
    </row>
    <row r="93" spans="3:3" ht="12.75" x14ac:dyDescent="0.2">
      <c r="C93" s="8"/>
    </row>
    <row r="94" spans="3:3" ht="12.75" x14ac:dyDescent="0.2">
      <c r="C94" s="8"/>
    </row>
    <row r="95" spans="3:3" ht="12.75" x14ac:dyDescent="0.2">
      <c r="C95" s="8"/>
    </row>
    <row r="96" spans="3:3" ht="12.75" x14ac:dyDescent="0.2">
      <c r="C96" s="8"/>
    </row>
    <row r="97" spans="3:3" ht="12.75" x14ac:dyDescent="0.2">
      <c r="C97" s="8"/>
    </row>
    <row r="98" spans="3:3" ht="12.75" x14ac:dyDescent="0.2">
      <c r="C98" s="8"/>
    </row>
    <row r="99" spans="3:3" ht="12.75" x14ac:dyDescent="0.2">
      <c r="C99" s="8"/>
    </row>
    <row r="100" spans="3:3" ht="12.75" x14ac:dyDescent="0.2">
      <c r="C100" s="8"/>
    </row>
    <row r="101" spans="3:3" ht="12.75" x14ac:dyDescent="0.2">
      <c r="C101" s="8"/>
    </row>
    <row r="102" spans="3:3" ht="12.75" x14ac:dyDescent="0.2">
      <c r="C102" s="8"/>
    </row>
    <row r="103" spans="3:3" ht="12.75" x14ac:dyDescent="0.2">
      <c r="C103" s="8"/>
    </row>
    <row r="104" spans="3:3" ht="12.75" x14ac:dyDescent="0.2">
      <c r="C104" s="8"/>
    </row>
    <row r="105" spans="3:3" ht="12.75" x14ac:dyDescent="0.2">
      <c r="C105" s="8"/>
    </row>
    <row r="106" spans="3:3" ht="12.75" x14ac:dyDescent="0.2">
      <c r="C106" s="8"/>
    </row>
    <row r="107" spans="3:3" ht="12.75" x14ac:dyDescent="0.2">
      <c r="C107" s="8"/>
    </row>
    <row r="108" spans="3:3" ht="12.75" x14ac:dyDescent="0.2">
      <c r="C108" s="8"/>
    </row>
    <row r="109" spans="3:3" ht="12.75" x14ac:dyDescent="0.2">
      <c r="C109" s="8"/>
    </row>
    <row r="110" spans="3:3" ht="12.75" x14ac:dyDescent="0.2">
      <c r="C110" s="8"/>
    </row>
    <row r="111" spans="3:3" ht="12.75" x14ac:dyDescent="0.2">
      <c r="C111" s="8"/>
    </row>
    <row r="112" spans="3:3" ht="12.75" x14ac:dyDescent="0.2">
      <c r="C112" s="8"/>
    </row>
    <row r="113" spans="3:3" ht="12.75" x14ac:dyDescent="0.2">
      <c r="C113" s="8"/>
    </row>
    <row r="114" spans="3:3" ht="12.75" x14ac:dyDescent="0.2">
      <c r="C114" s="8"/>
    </row>
    <row r="115" spans="3:3" ht="12.75" x14ac:dyDescent="0.2">
      <c r="C115" s="8"/>
    </row>
    <row r="116" spans="3:3" ht="12.75" x14ac:dyDescent="0.2">
      <c r="C116" s="8"/>
    </row>
    <row r="117" spans="3:3" ht="12.75" x14ac:dyDescent="0.2">
      <c r="C117" s="8"/>
    </row>
    <row r="118" spans="3:3" ht="12.75" x14ac:dyDescent="0.2">
      <c r="C118" s="8"/>
    </row>
    <row r="119" spans="3:3" ht="12.75" x14ac:dyDescent="0.2">
      <c r="C119" s="8"/>
    </row>
    <row r="120" spans="3:3" ht="12.75" x14ac:dyDescent="0.2">
      <c r="C120" s="8"/>
    </row>
    <row r="121" spans="3:3" ht="12.75" x14ac:dyDescent="0.2">
      <c r="C121" s="8"/>
    </row>
    <row r="122" spans="3:3" ht="12.75" x14ac:dyDescent="0.2">
      <c r="C122" s="8"/>
    </row>
    <row r="123" spans="3:3" ht="12.75" x14ac:dyDescent="0.2">
      <c r="C123" s="8"/>
    </row>
    <row r="124" spans="3:3" ht="12.75" x14ac:dyDescent="0.2">
      <c r="C124" s="8"/>
    </row>
    <row r="125" spans="3:3" ht="12.75" x14ac:dyDescent="0.2">
      <c r="C125" s="8"/>
    </row>
    <row r="126" spans="3:3" ht="12.75" x14ac:dyDescent="0.2">
      <c r="C126" s="8"/>
    </row>
    <row r="127" spans="3:3" ht="12.75" x14ac:dyDescent="0.2">
      <c r="C127" s="8"/>
    </row>
    <row r="128" spans="3:3" ht="12.75" x14ac:dyDescent="0.2">
      <c r="C128" s="8"/>
    </row>
    <row r="129" spans="3:3" ht="12.75" x14ac:dyDescent="0.2">
      <c r="C129" s="8"/>
    </row>
    <row r="130" spans="3:3" ht="12.75" x14ac:dyDescent="0.2">
      <c r="C130" s="8"/>
    </row>
    <row r="131" spans="3:3" ht="12.75" x14ac:dyDescent="0.2">
      <c r="C131" s="8"/>
    </row>
    <row r="132" spans="3:3" ht="12.75" x14ac:dyDescent="0.2">
      <c r="C132" s="8"/>
    </row>
    <row r="133" spans="3:3" ht="12.75" x14ac:dyDescent="0.2">
      <c r="C133" s="8"/>
    </row>
    <row r="134" spans="3:3" ht="12.75" x14ac:dyDescent="0.2">
      <c r="C134" s="8"/>
    </row>
    <row r="135" spans="3:3" ht="12.75" x14ac:dyDescent="0.2">
      <c r="C135" s="8"/>
    </row>
    <row r="136" spans="3:3" ht="12.75" x14ac:dyDescent="0.2">
      <c r="C136" s="8"/>
    </row>
    <row r="137" spans="3:3" ht="12.75" x14ac:dyDescent="0.2">
      <c r="C137" s="8"/>
    </row>
    <row r="138" spans="3:3" ht="12.75" x14ac:dyDescent="0.2">
      <c r="C138" s="8"/>
    </row>
    <row r="139" spans="3:3" ht="12.75" x14ac:dyDescent="0.2">
      <c r="C139" s="8"/>
    </row>
    <row r="140" spans="3:3" ht="12.75" x14ac:dyDescent="0.2">
      <c r="C140" s="8"/>
    </row>
    <row r="141" spans="3:3" ht="12.75" x14ac:dyDescent="0.2">
      <c r="C141" s="8"/>
    </row>
    <row r="142" spans="3:3" ht="12.75" x14ac:dyDescent="0.2">
      <c r="C142" s="8"/>
    </row>
    <row r="143" spans="3:3" ht="12.75" x14ac:dyDescent="0.2">
      <c r="C143" s="8"/>
    </row>
    <row r="144" spans="3:3" ht="12.75" x14ac:dyDescent="0.2">
      <c r="C144" s="8"/>
    </row>
    <row r="145" spans="3:3" ht="12.75" x14ac:dyDescent="0.2">
      <c r="C145" s="8"/>
    </row>
    <row r="146" spans="3:3" ht="12.75" x14ac:dyDescent="0.2">
      <c r="C146" s="8"/>
    </row>
    <row r="147" spans="3:3" ht="12.75" x14ac:dyDescent="0.2">
      <c r="C147" s="8"/>
    </row>
    <row r="148" spans="3:3" ht="12.75" x14ac:dyDescent="0.2">
      <c r="C148" s="8"/>
    </row>
    <row r="149" spans="3:3" ht="12.75" x14ac:dyDescent="0.2">
      <c r="C149" s="8"/>
    </row>
    <row r="150" spans="3:3" ht="12.75" x14ac:dyDescent="0.2">
      <c r="C150" s="8"/>
    </row>
    <row r="151" spans="3:3" ht="12.75" x14ac:dyDescent="0.2">
      <c r="C151" s="8"/>
    </row>
    <row r="152" spans="3:3" ht="12.75" x14ac:dyDescent="0.2">
      <c r="C152" s="8"/>
    </row>
    <row r="153" spans="3:3" ht="12.75" x14ac:dyDescent="0.2">
      <c r="C153" s="8"/>
    </row>
    <row r="154" spans="3:3" ht="12.75" x14ac:dyDescent="0.2">
      <c r="C154" s="8"/>
    </row>
    <row r="155" spans="3:3" ht="12.75" x14ac:dyDescent="0.2">
      <c r="C155" s="8"/>
    </row>
    <row r="156" spans="3:3" ht="12.75" x14ac:dyDescent="0.2">
      <c r="C156" s="8"/>
    </row>
    <row r="157" spans="3:3" ht="12.75" x14ac:dyDescent="0.2">
      <c r="C157" s="8"/>
    </row>
    <row r="158" spans="3:3" ht="12.75" x14ac:dyDescent="0.2">
      <c r="C158" s="8"/>
    </row>
    <row r="159" spans="3:3" ht="12.75" x14ac:dyDescent="0.2">
      <c r="C159" s="8"/>
    </row>
    <row r="160" spans="3:3" ht="12.75" x14ac:dyDescent="0.2">
      <c r="C160" s="8"/>
    </row>
    <row r="161" spans="3:3" ht="12.75" x14ac:dyDescent="0.2">
      <c r="C161" s="8"/>
    </row>
    <row r="162" spans="3:3" ht="12.75" x14ac:dyDescent="0.2">
      <c r="C162" s="8"/>
    </row>
    <row r="163" spans="3:3" ht="12.75" x14ac:dyDescent="0.2">
      <c r="C163" s="8"/>
    </row>
    <row r="164" spans="3:3" ht="12.75" x14ac:dyDescent="0.2">
      <c r="C164" s="8"/>
    </row>
    <row r="165" spans="3:3" ht="12.75" x14ac:dyDescent="0.2">
      <c r="C165" s="8"/>
    </row>
    <row r="166" spans="3:3" ht="12.75" x14ac:dyDescent="0.2">
      <c r="C166" s="8"/>
    </row>
    <row r="167" spans="3:3" ht="12.75" x14ac:dyDescent="0.2">
      <c r="C167" s="8"/>
    </row>
    <row r="168" spans="3:3" ht="12.75" x14ac:dyDescent="0.2">
      <c r="C168" s="8"/>
    </row>
    <row r="169" spans="3:3" ht="12.75" x14ac:dyDescent="0.2">
      <c r="C169" s="8"/>
    </row>
    <row r="170" spans="3:3" ht="12.75" x14ac:dyDescent="0.2">
      <c r="C170" s="8"/>
    </row>
    <row r="171" spans="3:3" ht="12.75" x14ac:dyDescent="0.2">
      <c r="C171" s="8"/>
    </row>
    <row r="172" spans="3:3" ht="12.75" x14ac:dyDescent="0.2">
      <c r="C172" s="8"/>
    </row>
    <row r="173" spans="3:3" ht="12.75" x14ac:dyDescent="0.2">
      <c r="C173" s="8"/>
    </row>
    <row r="174" spans="3:3" ht="12.75" x14ac:dyDescent="0.2">
      <c r="C174" s="8"/>
    </row>
    <row r="175" spans="3:3" ht="12.75" x14ac:dyDescent="0.2">
      <c r="C175" s="8"/>
    </row>
    <row r="176" spans="3:3" ht="12.75" x14ac:dyDescent="0.2">
      <c r="C176" s="8"/>
    </row>
    <row r="177" spans="3:3" ht="12.75" x14ac:dyDescent="0.2">
      <c r="C177" s="8"/>
    </row>
    <row r="178" spans="3:3" ht="12.75" x14ac:dyDescent="0.2">
      <c r="C178" s="8"/>
    </row>
    <row r="179" spans="3:3" ht="12.75" x14ac:dyDescent="0.2">
      <c r="C179" s="8"/>
    </row>
    <row r="180" spans="3:3" ht="12.75" x14ac:dyDescent="0.2">
      <c r="C180" s="8"/>
    </row>
    <row r="181" spans="3:3" ht="12.75" x14ac:dyDescent="0.2">
      <c r="C181" s="8"/>
    </row>
    <row r="182" spans="3:3" ht="12.75" x14ac:dyDescent="0.2">
      <c r="C182" s="8"/>
    </row>
    <row r="183" spans="3:3" ht="12.75" x14ac:dyDescent="0.2">
      <c r="C183" s="8"/>
    </row>
    <row r="184" spans="3:3" ht="12.75" x14ac:dyDescent="0.2">
      <c r="C184" s="8"/>
    </row>
    <row r="185" spans="3:3" ht="12.75" x14ac:dyDescent="0.2">
      <c r="C185" s="8"/>
    </row>
    <row r="186" spans="3:3" ht="12.75" x14ac:dyDescent="0.2">
      <c r="C186" s="8"/>
    </row>
    <row r="187" spans="3:3" ht="12.75" x14ac:dyDescent="0.2">
      <c r="C187" s="8"/>
    </row>
    <row r="188" spans="3:3" ht="12.75" x14ac:dyDescent="0.2">
      <c r="C188" s="8"/>
    </row>
    <row r="189" spans="3:3" ht="12.75" x14ac:dyDescent="0.2">
      <c r="C189" s="8"/>
    </row>
    <row r="190" spans="3:3" ht="12.75" x14ac:dyDescent="0.2">
      <c r="C190" s="8"/>
    </row>
    <row r="191" spans="3:3" ht="12.75" x14ac:dyDescent="0.2">
      <c r="C191" s="8"/>
    </row>
    <row r="192" spans="3:3" ht="12.75" x14ac:dyDescent="0.2">
      <c r="C192" s="8"/>
    </row>
    <row r="193" spans="3:3" ht="12.75" x14ac:dyDescent="0.2">
      <c r="C193" s="8"/>
    </row>
    <row r="194" spans="3:3" ht="12.75" x14ac:dyDescent="0.2">
      <c r="C194" s="8"/>
    </row>
    <row r="195" spans="3:3" ht="12.75" x14ac:dyDescent="0.2">
      <c r="C195" s="8"/>
    </row>
    <row r="196" spans="3:3" ht="12.75" x14ac:dyDescent="0.2">
      <c r="C196" s="8"/>
    </row>
    <row r="197" spans="3:3" ht="12.75" x14ac:dyDescent="0.2">
      <c r="C197" s="8"/>
    </row>
    <row r="198" spans="3:3" ht="12.75" x14ac:dyDescent="0.2">
      <c r="C198" s="8"/>
    </row>
    <row r="199" spans="3:3" ht="12.75" x14ac:dyDescent="0.2">
      <c r="C199" s="8"/>
    </row>
    <row r="200" spans="3:3" ht="12.75" x14ac:dyDescent="0.2">
      <c r="C200" s="8"/>
    </row>
    <row r="201" spans="3:3" ht="12.75" x14ac:dyDescent="0.2">
      <c r="C201" s="8"/>
    </row>
    <row r="202" spans="3:3" ht="12.75" x14ac:dyDescent="0.2">
      <c r="C202" s="8"/>
    </row>
    <row r="203" spans="3:3" ht="12.75" x14ac:dyDescent="0.2">
      <c r="C203" s="8"/>
    </row>
    <row r="204" spans="3:3" ht="12.75" x14ac:dyDescent="0.2">
      <c r="C204" s="8"/>
    </row>
    <row r="205" spans="3:3" ht="12.75" x14ac:dyDescent="0.2">
      <c r="C205" s="8"/>
    </row>
    <row r="206" spans="3:3" ht="12.75" x14ac:dyDescent="0.2">
      <c r="C206" s="8"/>
    </row>
    <row r="207" spans="3:3" ht="12.75" x14ac:dyDescent="0.2">
      <c r="C207" s="8"/>
    </row>
    <row r="208" spans="3:3" ht="12.75" x14ac:dyDescent="0.2">
      <c r="C208" s="8"/>
    </row>
    <row r="209" spans="3:3" ht="12.75" x14ac:dyDescent="0.2">
      <c r="C209" s="8"/>
    </row>
    <row r="210" spans="3:3" ht="12.75" x14ac:dyDescent="0.2">
      <c r="C210" s="8"/>
    </row>
    <row r="211" spans="3:3" ht="12.75" x14ac:dyDescent="0.2">
      <c r="C211" s="8"/>
    </row>
    <row r="212" spans="3:3" ht="12.75" x14ac:dyDescent="0.2">
      <c r="C212" s="8"/>
    </row>
    <row r="213" spans="3:3" ht="12.75" x14ac:dyDescent="0.2">
      <c r="C213" s="8"/>
    </row>
    <row r="214" spans="3:3" ht="12.75" x14ac:dyDescent="0.2">
      <c r="C214" s="8"/>
    </row>
    <row r="215" spans="3:3" ht="12.75" x14ac:dyDescent="0.2">
      <c r="C215" s="8"/>
    </row>
    <row r="216" spans="3:3" ht="12.75" x14ac:dyDescent="0.2">
      <c r="C216" s="8"/>
    </row>
    <row r="217" spans="3:3" ht="12.75" x14ac:dyDescent="0.2">
      <c r="C217" s="8"/>
    </row>
    <row r="218" spans="3:3" ht="12.75" x14ac:dyDescent="0.2">
      <c r="C218" s="8"/>
    </row>
    <row r="219" spans="3:3" ht="12.75" x14ac:dyDescent="0.2">
      <c r="C219" s="8"/>
    </row>
    <row r="220" spans="3:3" ht="12.75" x14ac:dyDescent="0.2">
      <c r="C220" s="8"/>
    </row>
    <row r="221" spans="3:3" ht="12.75" x14ac:dyDescent="0.2">
      <c r="C221" s="8"/>
    </row>
    <row r="222" spans="3:3" ht="12.75" x14ac:dyDescent="0.2">
      <c r="C222" s="8"/>
    </row>
    <row r="223" spans="3:3" ht="12.75" x14ac:dyDescent="0.2">
      <c r="C223" s="8"/>
    </row>
    <row r="224" spans="3:3" ht="12.75" x14ac:dyDescent="0.2">
      <c r="C224" s="8"/>
    </row>
    <row r="225" spans="3:3" ht="12.75" x14ac:dyDescent="0.2">
      <c r="C225" s="8"/>
    </row>
    <row r="226" spans="3:3" ht="12.75" x14ac:dyDescent="0.2">
      <c r="C226" s="8"/>
    </row>
    <row r="227" spans="3:3" ht="12.75" x14ac:dyDescent="0.2">
      <c r="C227" s="8"/>
    </row>
    <row r="228" spans="3:3" ht="12.75" x14ac:dyDescent="0.2">
      <c r="C228" s="8"/>
    </row>
    <row r="229" spans="3:3" ht="12.75" x14ac:dyDescent="0.2">
      <c r="C229" s="8"/>
    </row>
    <row r="230" spans="3:3" ht="12.75" x14ac:dyDescent="0.2">
      <c r="C230" s="8"/>
    </row>
    <row r="231" spans="3:3" ht="12.75" x14ac:dyDescent="0.2">
      <c r="C231" s="8"/>
    </row>
    <row r="232" spans="3:3" ht="12.75" x14ac:dyDescent="0.2">
      <c r="C232" s="8"/>
    </row>
    <row r="233" spans="3:3" ht="12.75" x14ac:dyDescent="0.2">
      <c r="C233" s="8"/>
    </row>
    <row r="234" spans="3:3" ht="12.75" x14ac:dyDescent="0.2">
      <c r="C234" s="8"/>
    </row>
    <row r="235" spans="3:3" ht="12.75" x14ac:dyDescent="0.2">
      <c r="C235" s="8"/>
    </row>
    <row r="236" spans="3:3" ht="12.75" x14ac:dyDescent="0.2">
      <c r="C236" s="8"/>
    </row>
    <row r="237" spans="3:3" ht="12.75" x14ac:dyDescent="0.2">
      <c r="C237" s="8"/>
    </row>
    <row r="238" spans="3:3" ht="12.75" x14ac:dyDescent="0.2">
      <c r="C238" s="8"/>
    </row>
    <row r="239" spans="3:3" ht="12.75" x14ac:dyDescent="0.2">
      <c r="C239" s="8"/>
    </row>
    <row r="240" spans="3:3" ht="12.75" x14ac:dyDescent="0.2">
      <c r="C240" s="8"/>
    </row>
    <row r="241" spans="3:3" ht="12.75" x14ac:dyDescent="0.2">
      <c r="C241" s="8"/>
    </row>
    <row r="242" spans="3:3" ht="12.75" x14ac:dyDescent="0.2">
      <c r="C242" s="8"/>
    </row>
    <row r="243" spans="3:3" ht="12.75" x14ac:dyDescent="0.2">
      <c r="C243" s="8"/>
    </row>
    <row r="244" spans="3:3" ht="12.75" x14ac:dyDescent="0.2">
      <c r="C244" s="8"/>
    </row>
    <row r="245" spans="3:3" ht="12.75" x14ac:dyDescent="0.2">
      <c r="C245" s="8"/>
    </row>
    <row r="246" spans="3:3" ht="12.75" x14ac:dyDescent="0.2">
      <c r="C246" s="8"/>
    </row>
    <row r="247" spans="3:3" ht="12.75" x14ac:dyDescent="0.2">
      <c r="C247" s="8"/>
    </row>
    <row r="248" spans="3:3" ht="12.75" x14ac:dyDescent="0.2">
      <c r="C248" s="8"/>
    </row>
    <row r="249" spans="3:3" ht="12.75" x14ac:dyDescent="0.2">
      <c r="C249" s="8"/>
    </row>
    <row r="250" spans="3:3" ht="12.75" x14ac:dyDescent="0.2">
      <c r="C250" s="8"/>
    </row>
    <row r="251" spans="3:3" ht="12.75" x14ac:dyDescent="0.2">
      <c r="C251" s="8"/>
    </row>
    <row r="252" spans="3:3" ht="12.75" x14ac:dyDescent="0.2">
      <c r="C252" s="8"/>
    </row>
    <row r="253" spans="3:3" ht="12.75" x14ac:dyDescent="0.2">
      <c r="C253" s="8"/>
    </row>
    <row r="254" spans="3:3" ht="12.75" x14ac:dyDescent="0.2">
      <c r="C254" s="8"/>
    </row>
    <row r="255" spans="3:3" ht="12.75" x14ac:dyDescent="0.2">
      <c r="C255" s="8"/>
    </row>
    <row r="256" spans="3:3" ht="12.75" x14ac:dyDescent="0.2">
      <c r="C256" s="8"/>
    </row>
    <row r="257" spans="3:3" ht="12.75" x14ac:dyDescent="0.2">
      <c r="C257" s="8"/>
    </row>
    <row r="258" spans="3:3" ht="12.75" x14ac:dyDescent="0.2">
      <c r="C258" s="8"/>
    </row>
    <row r="259" spans="3:3" ht="12.75" x14ac:dyDescent="0.2">
      <c r="C259" s="8"/>
    </row>
    <row r="260" spans="3:3" ht="12.75" x14ac:dyDescent="0.2">
      <c r="C260" s="8"/>
    </row>
    <row r="261" spans="3:3" ht="12.75" x14ac:dyDescent="0.2">
      <c r="C261" s="8"/>
    </row>
    <row r="262" spans="3:3" ht="12.75" x14ac:dyDescent="0.2">
      <c r="C262" s="8"/>
    </row>
    <row r="263" spans="3:3" ht="12.75" x14ac:dyDescent="0.2">
      <c r="C263" s="8"/>
    </row>
    <row r="264" spans="3:3" ht="12.75" x14ac:dyDescent="0.2">
      <c r="C264" s="8"/>
    </row>
    <row r="265" spans="3:3" ht="12.75" x14ac:dyDescent="0.2">
      <c r="C265" s="8"/>
    </row>
    <row r="266" spans="3:3" ht="12.75" x14ac:dyDescent="0.2">
      <c r="C266" s="8"/>
    </row>
    <row r="267" spans="3:3" ht="12.75" x14ac:dyDescent="0.2">
      <c r="C267" s="8"/>
    </row>
    <row r="268" spans="3:3" ht="12.75" x14ac:dyDescent="0.2">
      <c r="C268" s="8"/>
    </row>
    <row r="269" spans="3:3" ht="12.75" x14ac:dyDescent="0.2">
      <c r="C269" s="8"/>
    </row>
    <row r="270" spans="3:3" ht="12.75" x14ac:dyDescent="0.2">
      <c r="C270" s="8"/>
    </row>
    <row r="271" spans="3:3" ht="12.75" x14ac:dyDescent="0.2">
      <c r="C271" s="8"/>
    </row>
    <row r="272" spans="3:3" ht="12.75" x14ac:dyDescent="0.2">
      <c r="C272" s="8"/>
    </row>
    <row r="273" spans="3:3" ht="12.75" x14ac:dyDescent="0.2">
      <c r="C273" s="8"/>
    </row>
    <row r="274" spans="3:3" ht="12.75" x14ac:dyDescent="0.2">
      <c r="C274" s="8"/>
    </row>
    <row r="275" spans="3:3" ht="12.75" x14ac:dyDescent="0.2">
      <c r="C275" s="8"/>
    </row>
    <row r="276" spans="3:3" ht="12.75" x14ac:dyDescent="0.2">
      <c r="C276" s="8"/>
    </row>
    <row r="277" spans="3:3" ht="12.75" x14ac:dyDescent="0.2">
      <c r="C277" s="8"/>
    </row>
    <row r="278" spans="3:3" ht="12.75" x14ac:dyDescent="0.2">
      <c r="C278" s="8"/>
    </row>
    <row r="279" spans="3:3" ht="12.75" x14ac:dyDescent="0.2">
      <c r="C279" s="8"/>
    </row>
    <row r="280" spans="3:3" ht="12.75" x14ac:dyDescent="0.2">
      <c r="C280" s="8"/>
    </row>
    <row r="281" spans="3:3" ht="12.75" x14ac:dyDescent="0.2">
      <c r="C281" s="8"/>
    </row>
    <row r="282" spans="3:3" ht="12.75" x14ac:dyDescent="0.2">
      <c r="C282" s="8"/>
    </row>
    <row r="283" spans="3:3" ht="12.75" x14ac:dyDescent="0.2">
      <c r="C283" s="8"/>
    </row>
    <row r="284" spans="3:3" ht="12.75" x14ac:dyDescent="0.2">
      <c r="C284" s="8"/>
    </row>
    <row r="285" spans="3:3" ht="12.75" x14ac:dyDescent="0.2">
      <c r="C285" s="8"/>
    </row>
    <row r="286" spans="3:3" ht="12.75" x14ac:dyDescent="0.2">
      <c r="C286" s="8"/>
    </row>
    <row r="287" spans="3:3" ht="12.75" x14ac:dyDescent="0.2">
      <c r="C287" s="8"/>
    </row>
    <row r="288" spans="3:3" ht="12.75" x14ac:dyDescent="0.2">
      <c r="C288" s="8"/>
    </row>
    <row r="289" spans="3:3" ht="12.75" x14ac:dyDescent="0.2">
      <c r="C289" s="8"/>
    </row>
    <row r="290" spans="3:3" ht="12.75" x14ac:dyDescent="0.2">
      <c r="C290" s="8"/>
    </row>
    <row r="291" spans="3:3" ht="12.75" x14ac:dyDescent="0.2">
      <c r="C291" s="8"/>
    </row>
    <row r="292" spans="3:3" ht="12.75" x14ac:dyDescent="0.2">
      <c r="C292" s="8"/>
    </row>
    <row r="293" spans="3:3" ht="12.75" x14ac:dyDescent="0.2">
      <c r="C293" s="8"/>
    </row>
    <row r="294" spans="3:3" ht="12.75" x14ac:dyDescent="0.2">
      <c r="C294" s="8"/>
    </row>
    <row r="295" spans="3:3" ht="12.75" x14ac:dyDescent="0.2">
      <c r="C295" s="8"/>
    </row>
    <row r="296" spans="3:3" ht="12.75" x14ac:dyDescent="0.2">
      <c r="C296" s="8"/>
    </row>
    <row r="297" spans="3:3" ht="12.75" x14ac:dyDescent="0.2">
      <c r="C297" s="8"/>
    </row>
    <row r="298" spans="3:3" ht="12.75" x14ac:dyDescent="0.2">
      <c r="C298" s="8"/>
    </row>
    <row r="299" spans="3:3" ht="12.75" x14ac:dyDescent="0.2">
      <c r="C299" s="8"/>
    </row>
    <row r="300" spans="3:3" ht="12.75" x14ac:dyDescent="0.2">
      <c r="C300" s="8"/>
    </row>
    <row r="301" spans="3:3" ht="12.75" x14ac:dyDescent="0.2">
      <c r="C301" s="8"/>
    </row>
    <row r="302" spans="3:3" ht="12.75" x14ac:dyDescent="0.2">
      <c r="C302" s="8"/>
    </row>
    <row r="303" spans="3:3" ht="12.75" x14ac:dyDescent="0.2">
      <c r="C303" s="8"/>
    </row>
    <row r="304" spans="3:3" ht="12.75" x14ac:dyDescent="0.2">
      <c r="C304" s="8"/>
    </row>
    <row r="305" spans="3:3" ht="12.75" x14ac:dyDescent="0.2">
      <c r="C305" s="8"/>
    </row>
    <row r="306" spans="3:3" ht="12.75" x14ac:dyDescent="0.2">
      <c r="C306" s="8"/>
    </row>
    <row r="307" spans="3:3" ht="12.75" x14ac:dyDescent="0.2">
      <c r="C307" s="8"/>
    </row>
    <row r="308" spans="3:3" ht="12.75" x14ac:dyDescent="0.2">
      <c r="C308" s="8"/>
    </row>
    <row r="309" spans="3:3" ht="12.75" x14ac:dyDescent="0.2">
      <c r="C309" s="8"/>
    </row>
    <row r="310" spans="3:3" ht="12.75" x14ac:dyDescent="0.2">
      <c r="C310" s="8"/>
    </row>
    <row r="311" spans="3:3" ht="12.75" x14ac:dyDescent="0.2">
      <c r="C311" s="8"/>
    </row>
    <row r="312" spans="3:3" ht="12.75" x14ac:dyDescent="0.2">
      <c r="C312" s="8"/>
    </row>
    <row r="313" spans="3:3" ht="12.75" x14ac:dyDescent="0.2">
      <c r="C313" s="8"/>
    </row>
    <row r="314" spans="3:3" ht="12.75" x14ac:dyDescent="0.2">
      <c r="C314" s="8"/>
    </row>
    <row r="315" spans="3:3" ht="12.75" x14ac:dyDescent="0.2">
      <c r="C315" s="8"/>
    </row>
    <row r="316" spans="3:3" ht="12.75" x14ac:dyDescent="0.2">
      <c r="C316" s="8"/>
    </row>
    <row r="317" spans="3:3" ht="12.75" x14ac:dyDescent="0.2">
      <c r="C317" s="8"/>
    </row>
    <row r="318" spans="3:3" ht="12.75" x14ac:dyDescent="0.2">
      <c r="C318" s="8"/>
    </row>
    <row r="319" spans="3:3" ht="12.75" x14ac:dyDescent="0.2">
      <c r="C319" s="8"/>
    </row>
    <row r="320" spans="3:3" ht="12.75" x14ac:dyDescent="0.2">
      <c r="C320" s="8"/>
    </row>
    <row r="321" spans="3:3" ht="12.75" x14ac:dyDescent="0.2">
      <c r="C321" s="8"/>
    </row>
    <row r="322" spans="3:3" ht="12.75" x14ac:dyDescent="0.2">
      <c r="C322" s="8"/>
    </row>
    <row r="323" spans="3:3" ht="12.75" x14ac:dyDescent="0.2">
      <c r="C323" s="8"/>
    </row>
    <row r="324" spans="3:3" ht="12.75" x14ac:dyDescent="0.2">
      <c r="C324" s="8"/>
    </row>
    <row r="325" spans="3:3" ht="12.75" x14ac:dyDescent="0.2">
      <c r="C325" s="8"/>
    </row>
    <row r="326" spans="3:3" ht="12.75" x14ac:dyDescent="0.2">
      <c r="C326" s="8"/>
    </row>
    <row r="327" spans="3:3" ht="12.75" x14ac:dyDescent="0.2">
      <c r="C327" s="8"/>
    </row>
    <row r="328" spans="3:3" ht="12.75" x14ac:dyDescent="0.2">
      <c r="C328" s="8"/>
    </row>
    <row r="329" spans="3:3" ht="12.75" x14ac:dyDescent="0.2">
      <c r="C329" s="8"/>
    </row>
    <row r="330" spans="3:3" ht="12.75" x14ac:dyDescent="0.2">
      <c r="C330" s="8"/>
    </row>
    <row r="331" spans="3:3" ht="12.75" x14ac:dyDescent="0.2">
      <c r="C331" s="8"/>
    </row>
    <row r="332" spans="3:3" ht="12.75" x14ac:dyDescent="0.2">
      <c r="C332" s="8"/>
    </row>
    <row r="333" spans="3:3" ht="12.75" x14ac:dyDescent="0.2">
      <c r="C333" s="8"/>
    </row>
    <row r="334" spans="3:3" ht="12.75" x14ac:dyDescent="0.2">
      <c r="C334" s="8"/>
    </row>
    <row r="335" spans="3:3" ht="12.75" x14ac:dyDescent="0.2">
      <c r="C335" s="8"/>
    </row>
    <row r="336" spans="3:3" ht="12.75" x14ac:dyDescent="0.2">
      <c r="C336" s="8"/>
    </row>
    <row r="337" spans="3:3" ht="12.75" x14ac:dyDescent="0.2">
      <c r="C337" s="8"/>
    </row>
    <row r="338" spans="3:3" ht="12.75" x14ac:dyDescent="0.2">
      <c r="C338" s="8"/>
    </row>
    <row r="339" spans="3:3" ht="12.75" x14ac:dyDescent="0.2">
      <c r="C339" s="8"/>
    </row>
    <row r="340" spans="3:3" ht="12.75" x14ac:dyDescent="0.2">
      <c r="C340" s="8"/>
    </row>
    <row r="341" spans="3:3" ht="12.75" x14ac:dyDescent="0.2">
      <c r="C341" s="8"/>
    </row>
    <row r="342" spans="3:3" ht="12.75" x14ac:dyDescent="0.2">
      <c r="C342" s="8"/>
    </row>
    <row r="343" spans="3:3" ht="12.75" x14ac:dyDescent="0.2">
      <c r="C343" s="8"/>
    </row>
    <row r="344" spans="3:3" ht="12.75" x14ac:dyDescent="0.2">
      <c r="C344" s="8"/>
    </row>
    <row r="345" spans="3:3" ht="12.75" x14ac:dyDescent="0.2">
      <c r="C345" s="8"/>
    </row>
    <row r="346" spans="3:3" ht="12.75" x14ac:dyDescent="0.2">
      <c r="C346" s="8"/>
    </row>
    <row r="347" spans="3:3" ht="12.75" x14ac:dyDescent="0.2">
      <c r="C347" s="8"/>
    </row>
    <row r="348" spans="3:3" ht="12.75" x14ac:dyDescent="0.2">
      <c r="C348" s="8"/>
    </row>
    <row r="349" spans="3:3" ht="12.75" x14ac:dyDescent="0.2">
      <c r="C349" s="8"/>
    </row>
    <row r="350" spans="3:3" ht="12.75" x14ac:dyDescent="0.2">
      <c r="C350" s="8"/>
    </row>
    <row r="351" spans="3:3" ht="12.75" x14ac:dyDescent="0.2">
      <c r="C351" s="8"/>
    </row>
    <row r="352" spans="3:3" ht="12.75" x14ac:dyDescent="0.2">
      <c r="C352" s="8"/>
    </row>
    <row r="353" spans="3:3" ht="12.75" x14ac:dyDescent="0.2">
      <c r="C353" s="8"/>
    </row>
    <row r="354" spans="3:3" ht="12.75" x14ac:dyDescent="0.2">
      <c r="C354" s="8"/>
    </row>
    <row r="355" spans="3:3" ht="12.75" x14ac:dyDescent="0.2">
      <c r="C355" s="8"/>
    </row>
    <row r="356" spans="3:3" ht="12.75" x14ac:dyDescent="0.2">
      <c r="C356" s="8"/>
    </row>
    <row r="357" spans="3:3" ht="12.75" x14ac:dyDescent="0.2">
      <c r="C357" s="8"/>
    </row>
    <row r="358" spans="3:3" ht="12.75" x14ac:dyDescent="0.2">
      <c r="C358" s="8"/>
    </row>
    <row r="359" spans="3:3" ht="12.75" x14ac:dyDescent="0.2">
      <c r="C359" s="8"/>
    </row>
    <row r="360" spans="3:3" ht="12.75" x14ac:dyDescent="0.2">
      <c r="C360" s="8"/>
    </row>
    <row r="361" spans="3:3" ht="12.75" x14ac:dyDescent="0.2">
      <c r="C361" s="8"/>
    </row>
    <row r="362" spans="3:3" ht="12.75" x14ac:dyDescent="0.2">
      <c r="C362" s="8"/>
    </row>
    <row r="363" spans="3:3" ht="12.75" x14ac:dyDescent="0.2">
      <c r="C363" s="8"/>
    </row>
    <row r="364" spans="3:3" ht="12.75" x14ac:dyDescent="0.2">
      <c r="C364" s="8"/>
    </row>
    <row r="365" spans="3:3" ht="12.75" x14ac:dyDescent="0.2">
      <c r="C365" s="8"/>
    </row>
    <row r="366" spans="3:3" ht="12.75" x14ac:dyDescent="0.2">
      <c r="C366" s="8"/>
    </row>
    <row r="367" spans="3:3" ht="12.75" x14ac:dyDescent="0.2">
      <c r="C367" s="8"/>
    </row>
    <row r="368" spans="3:3" ht="12.75" x14ac:dyDescent="0.2">
      <c r="C368" s="8"/>
    </row>
    <row r="369" spans="3:3" ht="12.75" x14ac:dyDescent="0.2">
      <c r="C369" s="8"/>
    </row>
    <row r="370" spans="3:3" ht="12.75" x14ac:dyDescent="0.2">
      <c r="C370" s="8"/>
    </row>
    <row r="371" spans="3:3" ht="12.75" x14ac:dyDescent="0.2">
      <c r="C371" s="8"/>
    </row>
    <row r="372" spans="3:3" ht="12.75" x14ac:dyDescent="0.2">
      <c r="C372" s="8"/>
    </row>
    <row r="373" spans="3:3" ht="12.75" x14ac:dyDescent="0.2">
      <c r="C373" s="8"/>
    </row>
    <row r="374" spans="3:3" ht="12.75" x14ac:dyDescent="0.2">
      <c r="C374" s="8"/>
    </row>
    <row r="375" spans="3:3" ht="12.75" x14ac:dyDescent="0.2">
      <c r="C375" s="8"/>
    </row>
    <row r="376" spans="3:3" ht="12.75" x14ac:dyDescent="0.2">
      <c r="C376" s="8"/>
    </row>
    <row r="377" spans="3:3" ht="12.75" x14ac:dyDescent="0.2">
      <c r="C377" s="8"/>
    </row>
    <row r="378" spans="3:3" ht="12.75" x14ac:dyDescent="0.2">
      <c r="C378" s="8"/>
    </row>
    <row r="379" spans="3:3" ht="12.75" x14ac:dyDescent="0.2">
      <c r="C379" s="8"/>
    </row>
    <row r="380" spans="3:3" ht="12.75" x14ac:dyDescent="0.2">
      <c r="C380" s="8"/>
    </row>
    <row r="381" spans="3:3" ht="12.75" x14ac:dyDescent="0.2">
      <c r="C381" s="8"/>
    </row>
    <row r="382" spans="3:3" ht="12.75" x14ac:dyDescent="0.2">
      <c r="C382" s="8"/>
    </row>
    <row r="383" spans="3:3" ht="12.75" x14ac:dyDescent="0.2">
      <c r="C383" s="8"/>
    </row>
    <row r="384" spans="3:3" ht="12.75" x14ac:dyDescent="0.2">
      <c r="C384" s="8"/>
    </row>
    <row r="385" spans="3:3" ht="12.75" x14ac:dyDescent="0.2">
      <c r="C385" s="8"/>
    </row>
    <row r="386" spans="3:3" ht="12.75" x14ac:dyDescent="0.2">
      <c r="C386" s="8"/>
    </row>
    <row r="387" spans="3:3" ht="12.75" x14ac:dyDescent="0.2">
      <c r="C387" s="8"/>
    </row>
    <row r="388" spans="3:3" ht="12.75" x14ac:dyDescent="0.2">
      <c r="C388" s="8"/>
    </row>
    <row r="389" spans="3:3" ht="12.75" x14ac:dyDescent="0.2">
      <c r="C389" s="8"/>
    </row>
    <row r="390" spans="3:3" ht="12.75" x14ac:dyDescent="0.2">
      <c r="C390" s="8"/>
    </row>
    <row r="391" spans="3:3" ht="12.75" x14ac:dyDescent="0.2">
      <c r="C391" s="8"/>
    </row>
    <row r="392" spans="3:3" ht="12.75" x14ac:dyDescent="0.2">
      <c r="C392" s="8"/>
    </row>
    <row r="393" spans="3:3" ht="12.75" x14ac:dyDescent="0.2">
      <c r="C393" s="8"/>
    </row>
    <row r="394" spans="3:3" ht="12.75" x14ac:dyDescent="0.2">
      <c r="C394" s="8"/>
    </row>
    <row r="395" spans="3:3" ht="12.75" x14ac:dyDescent="0.2">
      <c r="C395" s="8"/>
    </row>
    <row r="396" spans="3:3" ht="12.75" x14ac:dyDescent="0.2">
      <c r="C396" s="8"/>
    </row>
    <row r="397" spans="3:3" ht="12.75" x14ac:dyDescent="0.2">
      <c r="C397" s="8"/>
    </row>
    <row r="398" spans="3:3" ht="12.75" x14ac:dyDescent="0.2">
      <c r="C398" s="8"/>
    </row>
    <row r="399" spans="3:3" ht="12.75" x14ac:dyDescent="0.2">
      <c r="C399" s="8"/>
    </row>
    <row r="400" spans="3:3" ht="12.75" x14ac:dyDescent="0.2">
      <c r="C400" s="8"/>
    </row>
    <row r="401" spans="3:3" ht="12.75" x14ac:dyDescent="0.2">
      <c r="C401" s="8"/>
    </row>
    <row r="402" spans="3:3" ht="12.75" x14ac:dyDescent="0.2">
      <c r="C402" s="8"/>
    </row>
    <row r="403" spans="3:3" ht="12.75" x14ac:dyDescent="0.2">
      <c r="C403" s="8"/>
    </row>
    <row r="404" spans="3:3" ht="12.75" x14ac:dyDescent="0.2">
      <c r="C404" s="8"/>
    </row>
    <row r="405" spans="3:3" ht="12.75" x14ac:dyDescent="0.2">
      <c r="C405" s="8"/>
    </row>
    <row r="406" spans="3:3" ht="12.75" x14ac:dyDescent="0.2">
      <c r="C406" s="8"/>
    </row>
    <row r="407" spans="3:3" ht="12.75" x14ac:dyDescent="0.2">
      <c r="C407" s="8"/>
    </row>
    <row r="408" spans="3:3" ht="12.75" x14ac:dyDescent="0.2">
      <c r="C408" s="8"/>
    </row>
    <row r="409" spans="3:3" ht="12.75" x14ac:dyDescent="0.2">
      <c r="C409" s="8"/>
    </row>
    <row r="410" spans="3:3" ht="12.75" x14ac:dyDescent="0.2">
      <c r="C410" s="8"/>
    </row>
    <row r="411" spans="3:3" ht="12.75" x14ac:dyDescent="0.2">
      <c r="C411" s="8"/>
    </row>
    <row r="412" spans="3:3" ht="12.75" x14ac:dyDescent="0.2">
      <c r="C412" s="8"/>
    </row>
    <row r="413" spans="3:3" ht="12.75" x14ac:dyDescent="0.2">
      <c r="C413" s="8"/>
    </row>
    <row r="414" spans="3:3" ht="12.75" x14ac:dyDescent="0.2">
      <c r="C414" s="8"/>
    </row>
    <row r="415" spans="3:3" ht="12.75" x14ac:dyDescent="0.2">
      <c r="C415" s="8"/>
    </row>
    <row r="416" spans="3:3" ht="12.75" x14ac:dyDescent="0.2">
      <c r="C416" s="8"/>
    </row>
    <row r="417" spans="3:3" ht="12.75" x14ac:dyDescent="0.2">
      <c r="C417" s="8"/>
    </row>
    <row r="418" spans="3:3" ht="12.75" x14ac:dyDescent="0.2">
      <c r="C418" s="8"/>
    </row>
    <row r="419" spans="3:3" ht="12.75" x14ac:dyDescent="0.2">
      <c r="C419" s="8"/>
    </row>
    <row r="420" spans="3:3" ht="12.75" x14ac:dyDescent="0.2">
      <c r="C420" s="8"/>
    </row>
    <row r="421" spans="3:3" ht="12.75" x14ac:dyDescent="0.2">
      <c r="C421" s="8"/>
    </row>
    <row r="422" spans="3:3" ht="12.75" x14ac:dyDescent="0.2">
      <c r="C422" s="8"/>
    </row>
    <row r="423" spans="3:3" ht="12.75" x14ac:dyDescent="0.2">
      <c r="C423" s="8"/>
    </row>
    <row r="424" spans="3:3" ht="12.75" x14ac:dyDescent="0.2">
      <c r="C424" s="8"/>
    </row>
    <row r="425" spans="3:3" ht="12.75" x14ac:dyDescent="0.2">
      <c r="C425" s="8"/>
    </row>
    <row r="426" spans="3:3" ht="12.75" x14ac:dyDescent="0.2">
      <c r="C426" s="8"/>
    </row>
    <row r="427" spans="3:3" ht="12.75" x14ac:dyDescent="0.2">
      <c r="C427" s="8"/>
    </row>
    <row r="428" spans="3:3" ht="12.75" x14ac:dyDescent="0.2">
      <c r="C428" s="8"/>
    </row>
    <row r="429" spans="3:3" ht="12.75" x14ac:dyDescent="0.2">
      <c r="C429" s="8"/>
    </row>
    <row r="430" spans="3:3" ht="12.75" x14ac:dyDescent="0.2">
      <c r="C430" s="8"/>
    </row>
    <row r="431" spans="3:3" ht="12.75" x14ac:dyDescent="0.2">
      <c r="C431" s="8"/>
    </row>
    <row r="432" spans="3:3" ht="12.75" x14ac:dyDescent="0.2">
      <c r="C432" s="8"/>
    </row>
    <row r="433" spans="3:3" ht="12.75" x14ac:dyDescent="0.2">
      <c r="C433" s="8"/>
    </row>
    <row r="434" spans="3:3" ht="12.75" x14ac:dyDescent="0.2">
      <c r="C434" s="8"/>
    </row>
    <row r="435" spans="3:3" ht="12.75" x14ac:dyDescent="0.2">
      <c r="C435" s="8"/>
    </row>
    <row r="436" spans="3:3" ht="12.75" x14ac:dyDescent="0.2">
      <c r="C436" s="8"/>
    </row>
    <row r="437" spans="3:3" ht="12.75" x14ac:dyDescent="0.2">
      <c r="C437" s="8"/>
    </row>
    <row r="438" spans="3:3" ht="12.75" x14ac:dyDescent="0.2">
      <c r="C438" s="8"/>
    </row>
    <row r="439" spans="3:3" ht="12.75" x14ac:dyDescent="0.2">
      <c r="C439" s="8"/>
    </row>
    <row r="440" spans="3:3" ht="12.75" x14ac:dyDescent="0.2">
      <c r="C440" s="8"/>
    </row>
    <row r="441" spans="3:3" ht="12.75" x14ac:dyDescent="0.2">
      <c r="C441" s="8"/>
    </row>
    <row r="442" spans="3:3" ht="12.75" x14ac:dyDescent="0.2">
      <c r="C442" s="8"/>
    </row>
    <row r="443" spans="3:3" ht="12.75" x14ac:dyDescent="0.2">
      <c r="C443" s="8"/>
    </row>
    <row r="444" spans="3:3" ht="12.75" x14ac:dyDescent="0.2">
      <c r="C444" s="8"/>
    </row>
    <row r="445" spans="3:3" ht="12.75" x14ac:dyDescent="0.2">
      <c r="C445" s="8"/>
    </row>
    <row r="446" spans="3:3" ht="12.75" x14ac:dyDescent="0.2">
      <c r="C446" s="8"/>
    </row>
    <row r="447" spans="3:3" ht="12.75" x14ac:dyDescent="0.2">
      <c r="C447" s="8"/>
    </row>
    <row r="448" spans="3:3" ht="12.75" x14ac:dyDescent="0.2">
      <c r="C448" s="8"/>
    </row>
    <row r="449" spans="3:3" ht="12.75" x14ac:dyDescent="0.2">
      <c r="C449" s="8"/>
    </row>
    <row r="450" spans="3:3" ht="12.75" x14ac:dyDescent="0.2">
      <c r="C450" s="8"/>
    </row>
    <row r="451" spans="3:3" ht="12.75" x14ac:dyDescent="0.2">
      <c r="C451" s="8"/>
    </row>
    <row r="452" spans="3:3" ht="12.75" x14ac:dyDescent="0.2">
      <c r="C452" s="8"/>
    </row>
    <row r="453" spans="3:3" ht="12.75" x14ac:dyDescent="0.2">
      <c r="C453" s="8"/>
    </row>
    <row r="454" spans="3:3" ht="12.75" x14ac:dyDescent="0.2">
      <c r="C454" s="8"/>
    </row>
    <row r="455" spans="3:3" ht="12.75" x14ac:dyDescent="0.2">
      <c r="C455" s="8"/>
    </row>
    <row r="456" spans="3:3" ht="12.75" x14ac:dyDescent="0.2">
      <c r="C456" s="8"/>
    </row>
    <row r="457" spans="3:3" ht="12.75" x14ac:dyDescent="0.2">
      <c r="C457" s="8"/>
    </row>
    <row r="458" spans="3:3" ht="12.75" x14ac:dyDescent="0.2">
      <c r="C458" s="8"/>
    </row>
    <row r="459" spans="3:3" ht="12.75" x14ac:dyDescent="0.2">
      <c r="C459" s="8"/>
    </row>
    <row r="460" spans="3:3" ht="12.75" x14ac:dyDescent="0.2">
      <c r="C460" s="8"/>
    </row>
    <row r="461" spans="3:3" ht="12.75" x14ac:dyDescent="0.2">
      <c r="C461" s="8"/>
    </row>
    <row r="462" spans="3:3" ht="12.75" x14ac:dyDescent="0.2">
      <c r="C462" s="8"/>
    </row>
    <row r="463" spans="3:3" ht="12.75" x14ac:dyDescent="0.2">
      <c r="C463" s="8"/>
    </row>
    <row r="464" spans="3:3" ht="12.75" x14ac:dyDescent="0.2">
      <c r="C464" s="8"/>
    </row>
    <row r="465" spans="3:3" ht="12.75" x14ac:dyDescent="0.2">
      <c r="C465" s="8"/>
    </row>
    <row r="466" spans="3:3" ht="12.75" x14ac:dyDescent="0.2">
      <c r="C466" s="8"/>
    </row>
    <row r="467" spans="3:3" ht="12.75" x14ac:dyDescent="0.2">
      <c r="C467" s="8"/>
    </row>
    <row r="468" spans="3:3" ht="12.75" x14ac:dyDescent="0.2">
      <c r="C468" s="8"/>
    </row>
    <row r="469" spans="3:3" ht="12.75" x14ac:dyDescent="0.2">
      <c r="C469" s="8"/>
    </row>
    <row r="470" spans="3:3" ht="12.75" x14ac:dyDescent="0.2">
      <c r="C470" s="8"/>
    </row>
    <row r="471" spans="3:3" ht="12.75" x14ac:dyDescent="0.2">
      <c r="C471" s="8"/>
    </row>
    <row r="472" spans="3:3" ht="12.75" x14ac:dyDescent="0.2">
      <c r="C472" s="8"/>
    </row>
    <row r="473" spans="3:3" ht="12.75" x14ac:dyDescent="0.2">
      <c r="C473" s="8"/>
    </row>
    <row r="474" spans="3:3" ht="12.75" x14ac:dyDescent="0.2">
      <c r="C474" s="8"/>
    </row>
    <row r="475" spans="3:3" ht="12.75" x14ac:dyDescent="0.2">
      <c r="C475" s="8"/>
    </row>
    <row r="476" spans="3:3" ht="12.75" x14ac:dyDescent="0.2">
      <c r="C476" s="8"/>
    </row>
    <row r="477" spans="3:3" ht="12.75" x14ac:dyDescent="0.2">
      <c r="C477" s="8"/>
    </row>
    <row r="478" spans="3:3" ht="12.75" x14ac:dyDescent="0.2">
      <c r="C478" s="8"/>
    </row>
    <row r="479" spans="3:3" ht="12.75" x14ac:dyDescent="0.2">
      <c r="C479" s="8"/>
    </row>
    <row r="480" spans="3:3" ht="12.75" x14ac:dyDescent="0.2">
      <c r="C480" s="8"/>
    </row>
    <row r="481" spans="3:3" ht="12.75" x14ac:dyDescent="0.2">
      <c r="C481" s="8"/>
    </row>
    <row r="482" spans="3:3" ht="12.75" x14ac:dyDescent="0.2">
      <c r="C482" s="8"/>
    </row>
    <row r="483" spans="3:3" ht="12.75" x14ac:dyDescent="0.2">
      <c r="C483" s="8"/>
    </row>
    <row r="484" spans="3:3" ht="12.75" x14ac:dyDescent="0.2">
      <c r="C484" s="8"/>
    </row>
    <row r="485" spans="3:3" ht="12.75" x14ac:dyDescent="0.2">
      <c r="C485" s="8"/>
    </row>
    <row r="486" spans="3:3" ht="12.75" x14ac:dyDescent="0.2">
      <c r="C486" s="8"/>
    </row>
    <row r="487" spans="3:3" ht="12.75" x14ac:dyDescent="0.2">
      <c r="C487" s="8"/>
    </row>
    <row r="488" spans="3:3" ht="12.75" x14ac:dyDescent="0.2">
      <c r="C488" s="8"/>
    </row>
    <row r="489" spans="3:3" ht="12.75" x14ac:dyDescent="0.2">
      <c r="C489" s="8"/>
    </row>
    <row r="490" spans="3:3" ht="12.75" x14ac:dyDescent="0.2">
      <c r="C490" s="8"/>
    </row>
    <row r="491" spans="3:3" ht="12.75" x14ac:dyDescent="0.2">
      <c r="C491" s="8"/>
    </row>
    <row r="492" spans="3:3" ht="12.75" x14ac:dyDescent="0.2">
      <c r="C492" s="8"/>
    </row>
    <row r="493" spans="3:3" ht="12.75" x14ac:dyDescent="0.2">
      <c r="C493" s="8"/>
    </row>
    <row r="494" spans="3:3" ht="12.75" x14ac:dyDescent="0.2">
      <c r="C494" s="8"/>
    </row>
    <row r="495" spans="3:3" ht="12.75" x14ac:dyDescent="0.2">
      <c r="C495" s="8"/>
    </row>
    <row r="496" spans="3:3" ht="12.75" x14ac:dyDescent="0.2">
      <c r="C496" s="8"/>
    </row>
    <row r="497" spans="3:3" ht="12.75" x14ac:dyDescent="0.2">
      <c r="C497" s="8"/>
    </row>
    <row r="498" spans="3:3" ht="12.75" x14ac:dyDescent="0.2">
      <c r="C498" s="8"/>
    </row>
    <row r="499" spans="3:3" ht="12.75" x14ac:dyDescent="0.2">
      <c r="C499" s="8"/>
    </row>
    <row r="500" spans="3:3" ht="12.75" x14ac:dyDescent="0.2">
      <c r="C500" s="8"/>
    </row>
    <row r="501" spans="3:3" ht="12.75" x14ac:dyDescent="0.2">
      <c r="C501" s="8"/>
    </row>
    <row r="502" spans="3:3" ht="12.75" x14ac:dyDescent="0.2">
      <c r="C502" s="8"/>
    </row>
    <row r="503" spans="3:3" ht="12.75" x14ac:dyDescent="0.2">
      <c r="C503" s="8"/>
    </row>
    <row r="504" spans="3:3" ht="12.75" x14ac:dyDescent="0.2">
      <c r="C504" s="8"/>
    </row>
    <row r="505" spans="3:3" ht="12.75" x14ac:dyDescent="0.2">
      <c r="C505" s="8"/>
    </row>
    <row r="506" spans="3:3" ht="12.75" x14ac:dyDescent="0.2">
      <c r="C506" s="8"/>
    </row>
    <row r="507" spans="3:3" ht="12.75" x14ac:dyDescent="0.2">
      <c r="C507" s="8"/>
    </row>
    <row r="508" spans="3:3" ht="12.75" x14ac:dyDescent="0.2">
      <c r="C508" s="8"/>
    </row>
    <row r="509" spans="3:3" ht="12.75" x14ac:dyDescent="0.2">
      <c r="C509" s="8"/>
    </row>
    <row r="510" spans="3:3" ht="12.75" x14ac:dyDescent="0.2">
      <c r="C510" s="8"/>
    </row>
    <row r="511" spans="3:3" ht="12.75" x14ac:dyDescent="0.2">
      <c r="C511" s="8"/>
    </row>
    <row r="512" spans="3:3" ht="12.75" x14ac:dyDescent="0.2">
      <c r="C512" s="8"/>
    </row>
    <row r="513" spans="3:3" ht="12.75" x14ac:dyDescent="0.2">
      <c r="C513" s="8"/>
    </row>
    <row r="514" spans="3:3" ht="12.75" x14ac:dyDescent="0.2">
      <c r="C514" s="8"/>
    </row>
    <row r="515" spans="3:3" ht="12.75" x14ac:dyDescent="0.2">
      <c r="C515" s="8"/>
    </row>
    <row r="516" spans="3:3" ht="12.75" x14ac:dyDescent="0.2">
      <c r="C516" s="8"/>
    </row>
    <row r="517" spans="3:3" ht="12.75" x14ac:dyDescent="0.2">
      <c r="C517" s="8"/>
    </row>
    <row r="518" spans="3:3" ht="12.75" x14ac:dyDescent="0.2">
      <c r="C518" s="8"/>
    </row>
    <row r="519" spans="3:3" ht="12.75" x14ac:dyDescent="0.2">
      <c r="C519" s="8"/>
    </row>
    <row r="520" spans="3:3" ht="12.75" x14ac:dyDescent="0.2">
      <c r="C520" s="8"/>
    </row>
    <row r="521" spans="3:3" ht="12.75" x14ac:dyDescent="0.2">
      <c r="C521" s="8"/>
    </row>
    <row r="522" spans="3:3" ht="12.75" x14ac:dyDescent="0.2">
      <c r="C522" s="8"/>
    </row>
    <row r="523" spans="3:3" ht="12.75" x14ac:dyDescent="0.2">
      <c r="C523" s="8"/>
    </row>
    <row r="524" spans="3:3" ht="12.75" x14ac:dyDescent="0.2">
      <c r="C524" s="8"/>
    </row>
    <row r="525" spans="3:3" ht="12.75" x14ac:dyDescent="0.2">
      <c r="C525" s="8"/>
    </row>
    <row r="526" spans="3:3" ht="12.75" x14ac:dyDescent="0.2">
      <c r="C526" s="8"/>
    </row>
    <row r="527" spans="3:3" ht="12.75" x14ac:dyDescent="0.2">
      <c r="C527" s="8"/>
    </row>
    <row r="528" spans="3:3" ht="12.75" x14ac:dyDescent="0.2">
      <c r="C528" s="8"/>
    </row>
    <row r="529" spans="3:3" ht="12.75" x14ac:dyDescent="0.2">
      <c r="C529" s="8"/>
    </row>
    <row r="530" spans="3:3" ht="12.75" x14ac:dyDescent="0.2">
      <c r="C530" s="8"/>
    </row>
    <row r="531" spans="3:3" ht="12.75" x14ac:dyDescent="0.2">
      <c r="C531" s="8"/>
    </row>
    <row r="532" spans="3:3" ht="12.75" x14ac:dyDescent="0.2">
      <c r="C532" s="8"/>
    </row>
    <row r="533" spans="3:3" ht="12.75" x14ac:dyDescent="0.2">
      <c r="C533" s="8"/>
    </row>
    <row r="534" spans="3:3" ht="12.75" x14ac:dyDescent="0.2">
      <c r="C534" s="8"/>
    </row>
    <row r="535" spans="3:3" ht="12.75" x14ac:dyDescent="0.2">
      <c r="C535" s="8"/>
    </row>
    <row r="536" spans="3:3" ht="12.75" x14ac:dyDescent="0.2">
      <c r="C536" s="8"/>
    </row>
    <row r="537" spans="3:3" ht="12.75" x14ac:dyDescent="0.2">
      <c r="C537" s="8"/>
    </row>
    <row r="538" spans="3:3" ht="12.75" x14ac:dyDescent="0.2">
      <c r="C538" s="8"/>
    </row>
    <row r="539" spans="3:3" ht="12.75" x14ac:dyDescent="0.2">
      <c r="C539" s="8"/>
    </row>
    <row r="540" spans="3:3" ht="12.75" x14ac:dyDescent="0.2">
      <c r="C540" s="8"/>
    </row>
    <row r="541" spans="3:3" ht="12.75" x14ac:dyDescent="0.2">
      <c r="C541" s="8"/>
    </row>
    <row r="542" spans="3:3" ht="12.75" x14ac:dyDescent="0.2">
      <c r="C542" s="8"/>
    </row>
    <row r="543" spans="3:3" ht="12.75" x14ac:dyDescent="0.2">
      <c r="C543" s="8"/>
    </row>
    <row r="544" spans="3:3" ht="12.75" x14ac:dyDescent="0.2">
      <c r="C544" s="8"/>
    </row>
    <row r="545" spans="3:3" ht="12.75" x14ac:dyDescent="0.2">
      <c r="C545" s="8"/>
    </row>
    <row r="546" spans="3:3" ht="12.75" x14ac:dyDescent="0.2">
      <c r="C546" s="8"/>
    </row>
    <row r="547" spans="3:3" ht="12.75" x14ac:dyDescent="0.2">
      <c r="C547" s="8"/>
    </row>
    <row r="548" spans="3:3" ht="12.75" x14ac:dyDescent="0.2">
      <c r="C548" s="8"/>
    </row>
    <row r="549" spans="3:3" ht="12.75" x14ac:dyDescent="0.2">
      <c r="C549" s="8"/>
    </row>
    <row r="550" spans="3:3" ht="12.75" x14ac:dyDescent="0.2">
      <c r="C550" s="8"/>
    </row>
    <row r="551" spans="3:3" ht="12.75" x14ac:dyDescent="0.2">
      <c r="C551" s="8"/>
    </row>
    <row r="552" spans="3:3" ht="12.75" x14ac:dyDescent="0.2">
      <c r="C552" s="8"/>
    </row>
    <row r="553" spans="3:3" ht="12.75" x14ac:dyDescent="0.2">
      <c r="C553" s="8"/>
    </row>
    <row r="554" spans="3:3" ht="12.75" x14ac:dyDescent="0.2">
      <c r="C554" s="8"/>
    </row>
    <row r="555" spans="3:3" ht="12.75" x14ac:dyDescent="0.2">
      <c r="C555" s="8"/>
    </row>
    <row r="556" spans="3:3" ht="12.75" x14ac:dyDescent="0.2">
      <c r="C556" s="8"/>
    </row>
    <row r="557" spans="3:3" ht="12.75" x14ac:dyDescent="0.2">
      <c r="C557" s="8"/>
    </row>
    <row r="558" spans="3:3" ht="12.75" x14ac:dyDescent="0.2">
      <c r="C558" s="8"/>
    </row>
    <row r="559" spans="3:3" ht="12.75" x14ac:dyDescent="0.2">
      <c r="C559" s="8"/>
    </row>
    <row r="560" spans="3:3" ht="12.75" x14ac:dyDescent="0.2">
      <c r="C560" s="8"/>
    </row>
    <row r="561" spans="3:3" ht="12.75" x14ac:dyDescent="0.2">
      <c r="C561" s="8"/>
    </row>
    <row r="562" spans="3:3" ht="12.75" x14ac:dyDescent="0.2">
      <c r="C562" s="8"/>
    </row>
    <row r="563" spans="3:3" ht="12.75" x14ac:dyDescent="0.2">
      <c r="C563" s="8"/>
    </row>
    <row r="564" spans="3:3" ht="12.75" x14ac:dyDescent="0.2">
      <c r="C564" s="8"/>
    </row>
    <row r="565" spans="3:3" ht="12.75" x14ac:dyDescent="0.2">
      <c r="C565" s="8"/>
    </row>
    <row r="566" spans="3:3" ht="12.75" x14ac:dyDescent="0.2">
      <c r="C566" s="8"/>
    </row>
    <row r="567" spans="3:3" ht="12.75" x14ac:dyDescent="0.2">
      <c r="C567" s="8"/>
    </row>
    <row r="568" spans="3:3" ht="12.75" x14ac:dyDescent="0.2">
      <c r="C568" s="8"/>
    </row>
    <row r="569" spans="3:3" ht="12.75" x14ac:dyDescent="0.2">
      <c r="C569" s="8"/>
    </row>
    <row r="570" spans="3:3" ht="12.75" x14ac:dyDescent="0.2">
      <c r="C570" s="8"/>
    </row>
    <row r="571" spans="3:3" ht="12.75" x14ac:dyDescent="0.2">
      <c r="C571" s="8"/>
    </row>
    <row r="572" spans="3:3" ht="12.75" x14ac:dyDescent="0.2">
      <c r="C572" s="8"/>
    </row>
    <row r="573" spans="3:3" ht="12.75" x14ac:dyDescent="0.2">
      <c r="C573" s="8"/>
    </row>
    <row r="574" spans="3:3" ht="12.75" x14ac:dyDescent="0.2">
      <c r="C574" s="8"/>
    </row>
    <row r="575" spans="3:3" ht="12.75" x14ac:dyDescent="0.2">
      <c r="C575" s="8"/>
    </row>
    <row r="576" spans="3:3" ht="12.75" x14ac:dyDescent="0.2">
      <c r="C576" s="8"/>
    </row>
    <row r="577" spans="3:3" ht="12.75" x14ac:dyDescent="0.2">
      <c r="C577" s="8"/>
    </row>
    <row r="578" spans="3:3" ht="12.75" x14ac:dyDescent="0.2">
      <c r="C578" s="8"/>
    </row>
    <row r="579" spans="3:3" ht="12.75" x14ac:dyDescent="0.2">
      <c r="C579" s="8"/>
    </row>
    <row r="580" spans="3:3" ht="12.75" x14ac:dyDescent="0.2">
      <c r="C580" s="8"/>
    </row>
    <row r="581" spans="3:3" ht="12.75" x14ac:dyDescent="0.2">
      <c r="C581" s="8"/>
    </row>
    <row r="582" spans="3:3" ht="12.75" x14ac:dyDescent="0.2">
      <c r="C582" s="8"/>
    </row>
    <row r="583" spans="3:3" ht="12.75" x14ac:dyDescent="0.2">
      <c r="C583" s="8"/>
    </row>
    <row r="584" spans="3:3" ht="12.75" x14ac:dyDescent="0.2">
      <c r="C584" s="8"/>
    </row>
    <row r="585" spans="3:3" ht="12.75" x14ac:dyDescent="0.2">
      <c r="C585" s="8"/>
    </row>
    <row r="586" spans="3:3" ht="12.75" x14ac:dyDescent="0.2">
      <c r="C586" s="8"/>
    </row>
    <row r="587" spans="3:3" ht="12.75" x14ac:dyDescent="0.2">
      <c r="C587" s="8"/>
    </row>
    <row r="588" spans="3:3" ht="12.75" x14ac:dyDescent="0.2">
      <c r="C588" s="8"/>
    </row>
    <row r="589" spans="3:3" ht="12.75" x14ac:dyDescent="0.2">
      <c r="C589" s="8"/>
    </row>
    <row r="590" spans="3:3" ht="12.75" x14ac:dyDescent="0.2">
      <c r="C590" s="8"/>
    </row>
    <row r="591" spans="3:3" ht="12.75" x14ac:dyDescent="0.2">
      <c r="C591" s="8"/>
    </row>
    <row r="592" spans="3:3" ht="12.75" x14ac:dyDescent="0.2">
      <c r="C592" s="8"/>
    </row>
    <row r="593" spans="3:3" ht="12.75" x14ac:dyDescent="0.2">
      <c r="C593" s="8"/>
    </row>
    <row r="594" spans="3:3" ht="12.75" x14ac:dyDescent="0.2">
      <c r="C594" s="8"/>
    </row>
    <row r="595" spans="3:3" ht="12.75" x14ac:dyDescent="0.2">
      <c r="C595" s="8"/>
    </row>
    <row r="596" spans="3:3" ht="12.75" x14ac:dyDescent="0.2">
      <c r="C596" s="8"/>
    </row>
    <row r="597" spans="3:3" ht="12.75" x14ac:dyDescent="0.2">
      <c r="C597" s="8"/>
    </row>
    <row r="598" spans="3:3" ht="12.75" x14ac:dyDescent="0.2">
      <c r="C598" s="8"/>
    </row>
    <row r="599" spans="3:3" ht="12.75" x14ac:dyDescent="0.2">
      <c r="C599" s="8"/>
    </row>
    <row r="600" spans="3:3" ht="12.75" x14ac:dyDescent="0.2">
      <c r="C600" s="8"/>
    </row>
    <row r="601" spans="3:3" ht="12.75" x14ac:dyDescent="0.2">
      <c r="C601" s="8"/>
    </row>
    <row r="602" spans="3:3" ht="12.75" x14ac:dyDescent="0.2">
      <c r="C602" s="8"/>
    </row>
    <row r="603" spans="3:3" ht="12.75" x14ac:dyDescent="0.2">
      <c r="C603" s="8"/>
    </row>
    <row r="604" spans="3:3" ht="12.75" x14ac:dyDescent="0.2">
      <c r="C604" s="8"/>
    </row>
    <row r="605" spans="3:3" ht="12.75" x14ac:dyDescent="0.2">
      <c r="C605" s="8"/>
    </row>
    <row r="606" spans="3:3" ht="12.75" x14ac:dyDescent="0.2">
      <c r="C606" s="8"/>
    </row>
    <row r="607" spans="3:3" ht="12.75" x14ac:dyDescent="0.2">
      <c r="C607" s="8"/>
    </row>
    <row r="608" spans="3:3" ht="12.75" x14ac:dyDescent="0.2">
      <c r="C608" s="8"/>
    </row>
    <row r="609" spans="3:3" ht="12.75" x14ac:dyDescent="0.2">
      <c r="C609" s="8"/>
    </row>
    <row r="610" spans="3:3" ht="12.75" x14ac:dyDescent="0.2">
      <c r="C610" s="8"/>
    </row>
    <row r="611" spans="3:3" ht="12.75" x14ac:dyDescent="0.2">
      <c r="C611" s="8"/>
    </row>
    <row r="612" spans="3:3" ht="12.75" x14ac:dyDescent="0.2">
      <c r="C612" s="8"/>
    </row>
    <row r="613" spans="3:3" ht="12.75" x14ac:dyDescent="0.2">
      <c r="C613" s="8"/>
    </row>
    <row r="614" spans="3:3" ht="12.75" x14ac:dyDescent="0.2">
      <c r="C614" s="8"/>
    </row>
    <row r="615" spans="3:3" ht="12.75" x14ac:dyDescent="0.2">
      <c r="C615" s="8"/>
    </row>
    <row r="616" spans="3:3" ht="12.75" x14ac:dyDescent="0.2">
      <c r="C616" s="8"/>
    </row>
    <row r="617" spans="3:3" ht="12.75" x14ac:dyDescent="0.2">
      <c r="C617" s="8"/>
    </row>
    <row r="618" spans="3:3" ht="12.75" x14ac:dyDescent="0.2">
      <c r="C618" s="8"/>
    </row>
    <row r="619" spans="3:3" ht="12.75" x14ac:dyDescent="0.2">
      <c r="C619" s="8"/>
    </row>
    <row r="620" spans="3:3" ht="12.75" x14ac:dyDescent="0.2">
      <c r="C620" s="8"/>
    </row>
    <row r="621" spans="3:3" ht="12.75" x14ac:dyDescent="0.2">
      <c r="C621" s="8"/>
    </row>
    <row r="622" spans="3:3" ht="12.75" x14ac:dyDescent="0.2">
      <c r="C622" s="8"/>
    </row>
    <row r="623" spans="3:3" ht="12.75" x14ac:dyDescent="0.2">
      <c r="C623" s="8"/>
    </row>
    <row r="624" spans="3:3" ht="12.75" x14ac:dyDescent="0.2">
      <c r="C624" s="8"/>
    </row>
    <row r="625" spans="3:3" ht="12.75" x14ac:dyDescent="0.2">
      <c r="C625" s="8"/>
    </row>
    <row r="626" spans="3:3" ht="12.75" x14ac:dyDescent="0.2">
      <c r="C626" s="8"/>
    </row>
    <row r="627" spans="3:3" ht="12.75" x14ac:dyDescent="0.2">
      <c r="C627" s="8"/>
    </row>
    <row r="628" spans="3:3" ht="12.75" x14ac:dyDescent="0.2">
      <c r="C628" s="8"/>
    </row>
    <row r="629" spans="3:3" ht="12.75" x14ac:dyDescent="0.2">
      <c r="C629" s="8"/>
    </row>
    <row r="630" spans="3:3" ht="12.75" x14ac:dyDescent="0.2">
      <c r="C630" s="8"/>
    </row>
    <row r="631" spans="3:3" ht="12.75" x14ac:dyDescent="0.2">
      <c r="C631" s="8"/>
    </row>
    <row r="632" spans="3:3" ht="12.75" x14ac:dyDescent="0.2">
      <c r="C632" s="8"/>
    </row>
    <row r="633" spans="3:3" ht="12.75" x14ac:dyDescent="0.2">
      <c r="C633" s="8"/>
    </row>
    <row r="634" spans="3:3" ht="12.75" x14ac:dyDescent="0.2">
      <c r="C634" s="8"/>
    </row>
    <row r="635" spans="3:3" ht="12.75" x14ac:dyDescent="0.2">
      <c r="C635" s="8"/>
    </row>
    <row r="636" spans="3:3" ht="12.75" x14ac:dyDescent="0.2">
      <c r="C636" s="8"/>
    </row>
    <row r="637" spans="3:3" ht="12.75" x14ac:dyDescent="0.2">
      <c r="C637" s="8"/>
    </row>
    <row r="638" spans="3:3" ht="12.75" x14ac:dyDescent="0.2">
      <c r="C638" s="8"/>
    </row>
    <row r="639" spans="3:3" ht="12.75" x14ac:dyDescent="0.2">
      <c r="C639" s="8"/>
    </row>
    <row r="640" spans="3:3" ht="12.75" x14ac:dyDescent="0.2">
      <c r="C640" s="8"/>
    </row>
    <row r="641" spans="3:3" ht="12.75" x14ac:dyDescent="0.2">
      <c r="C641" s="8"/>
    </row>
    <row r="642" spans="3:3" ht="12.75" x14ac:dyDescent="0.2">
      <c r="C642" s="8"/>
    </row>
    <row r="643" spans="3:3" ht="12.75" x14ac:dyDescent="0.2">
      <c r="C643" s="8"/>
    </row>
    <row r="644" spans="3:3" ht="12.75" x14ac:dyDescent="0.2">
      <c r="C644" s="8"/>
    </row>
    <row r="645" spans="3:3" ht="12.75" x14ac:dyDescent="0.2">
      <c r="C645" s="8"/>
    </row>
    <row r="646" spans="3:3" ht="12.75" x14ac:dyDescent="0.2">
      <c r="C646" s="8"/>
    </row>
    <row r="647" spans="3:3" ht="12.75" x14ac:dyDescent="0.2">
      <c r="C647" s="8"/>
    </row>
    <row r="648" spans="3:3" ht="12.75" x14ac:dyDescent="0.2">
      <c r="C648" s="8"/>
    </row>
    <row r="649" spans="3:3" ht="12.75" x14ac:dyDescent="0.2">
      <c r="C649" s="8"/>
    </row>
    <row r="650" spans="3:3" ht="12.75" x14ac:dyDescent="0.2">
      <c r="C650" s="8"/>
    </row>
    <row r="651" spans="3:3" ht="12.75" x14ac:dyDescent="0.2">
      <c r="C651" s="8"/>
    </row>
    <row r="652" spans="3:3" ht="12.75" x14ac:dyDescent="0.2">
      <c r="C652" s="8"/>
    </row>
    <row r="653" spans="3:3" ht="12.75" x14ac:dyDescent="0.2">
      <c r="C653" s="8"/>
    </row>
    <row r="654" spans="3:3" ht="12.75" x14ac:dyDescent="0.2">
      <c r="C654" s="8"/>
    </row>
    <row r="655" spans="3:3" ht="12.75" x14ac:dyDescent="0.2">
      <c r="C655" s="8"/>
    </row>
    <row r="656" spans="3:3" ht="12.75" x14ac:dyDescent="0.2">
      <c r="C656" s="8"/>
    </row>
    <row r="657" spans="3:3" ht="12.75" x14ac:dyDescent="0.2">
      <c r="C657" s="8"/>
    </row>
    <row r="658" spans="3:3" ht="12.75" x14ac:dyDescent="0.2">
      <c r="C658" s="8"/>
    </row>
    <row r="659" spans="3:3" ht="12.75" x14ac:dyDescent="0.2">
      <c r="C659" s="8"/>
    </row>
    <row r="660" spans="3:3" ht="12.75" x14ac:dyDescent="0.2">
      <c r="C660" s="8"/>
    </row>
    <row r="661" spans="3:3" ht="12.75" x14ac:dyDescent="0.2">
      <c r="C661" s="8"/>
    </row>
    <row r="662" spans="3:3" ht="12.75" x14ac:dyDescent="0.2">
      <c r="C662" s="8"/>
    </row>
    <row r="663" spans="3:3" ht="12.75" x14ac:dyDescent="0.2">
      <c r="C663" s="8"/>
    </row>
    <row r="664" spans="3:3" ht="12.75" x14ac:dyDescent="0.2">
      <c r="C664" s="8"/>
    </row>
    <row r="665" spans="3:3" ht="12.75" x14ac:dyDescent="0.2">
      <c r="C665" s="8"/>
    </row>
    <row r="666" spans="3:3" ht="12.75" x14ac:dyDescent="0.2">
      <c r="C666" s="8"/>
    </row>
    <row r="667" spans="3:3" ht="12.75" x14ac:dyDescent="0.2">
      <c r="C667" s="8"/>
    </row>
    <row r="668" spans="3:3" ht="12.75" x14ac:dyDescent="0.2">
      <c r="C668" s="8"/>
    </row>
    <row r="669" spans="3:3" ht="12.75" x14ac:dyDescent="0.2">
      <c r="C669" s="8"/>
    </row>
    <row r="670" spans="3:3" ht="12.75" x14ac:dyDescent="0.2">
      <c r="C670" s="8"/>
    </row>
    <row r="671" spans="3:3" ht="12.75" x14ac:dyDescent="0.2">
      <c r="C671" s="8"/>
    </row>
    <row r="672" spans="3:3" ht="12.75" x14ac:dyDescent="0.2">
      <c r="C672" s="8"/>
    </row>
    <row r="673" spans="3:3" ht="12.75" x14ac:dyDescent="0.2">
      <c r="C673" s="8"/>
    </row>
    <row r="674" spans="3:3" ht="12.75" x14ac:dyDescent="0.2">
      <c r="C674" s="8"/>
    </row>
    <row r="675" spans="3:3" ht="12.75" x14ac:dyDescent="0.2">
      <c r="C675" s="8"/>
    </row>
    <row r="676" spans="3:3" ht="12.75" x14ac:dyDescent="0.2">
      <c r="C676" s="8"/>
    </row>
    <row r="677" spans="3:3" ht="12.75" x14ac:dyDescent="0.2">
      <c r="C677" s="8"/>
    </row>
  </sheetData>
  <autoFilter ref="B1:K46" xr:uid="{00000000-0009-0000-0000-000000000000}"/>
  <customSheetViews>
    <customSheetView guid="{75D03CD1-BD7F-46EB-85B7-89C0F389BB26}" filter="1" showAutoFilter="1">
      <pageMargins left="0.7" right="0.7" top="0.75" bottom="0.75" header="0.3" footer="0.3"/>
      <autoFilter ref="A12:AA791" xr:uid="{00000000-0000-0000-0000-000000000000}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F92FB-907C-4326-942D-0C5AC68E4218}">
  <sheetPr>
    <outlinePr summaryBelow="0" summaryRight="0"/>
  </sheetPr>
  <dimension ref="A1:G674"/>
  <sheetViews>
    <sheetView tabSelected="1" workbookViewId="0">
      <selection activeCell="F5" sqref="F5"/>
    </sheetView>
  </sheetViews>
  <sheetFormatPr defaultColWidth="14.42578125" defaultRowHeight="15.75" customHeight="1" x14ac:dyDescent="0.2"/>
  <cols>
    <col min="5" max="5" width="18.28515625" bestFit="1" customWidth="1"/>
    <col min="6" max="6" width="7.7109375" bestFit="1" customWidth="1"/>
    <col min="7" max="7" width="14.7109375" bestFit="1" customWidth="1"/>
    <col min="8" max="8" width="23.28515625" bestFit="1" customWidth="1"/>
  </cols>
  <sheetData>
    <row r="1" spans="1:7" ht="15.75" customHeight="1" x14ac:dyDescent="0.2">
      <c r="A1" s="136" t="s">
        <v>184</v>
      </c>
      <c r="B1" s="136" t="s">
        <v>12</v>
      </c>
      <c r="C1" s="8" t="s">
        <v>57</v>
      </c>
    </row>
    <row r="2" spans="1:7" ht="15.75" customHeight="1" x14ac:dyDescent="0.2">
      <c r="A2" s="136" t="s">
        <v>187</v>
      </c>
      <c r="B2" s="24">
        <v>43556</v>
      </c>
      <c r="C2" s="23">
        <v>7117.95</v>
      </c>
    </row>
    <row r="3" spans="1:7" ht="15.75" customHeight="1" x14ac:dyDescent="0.2">
      <c r="A3" s="136" t="s">
        <v>187</v>
      </c>
      <c r="B3" s="24">
        <v>43557</v>
      </c>
      <c r="C3" s="23">
        <v>6017.08</v>
      </c>
    </row>
    <row r="4" spans="1:7" ht="15.75" customHeight="1" x14ac:dyDescent="0.2">
      <c r="A4" s="136" t="s">
        <v>187</v>
      </c>
      <c r="B4" s="24">
        <v>43558</v>
      </c>
      <c r="C4" s="23">
        <v>6734.21</v>
      </c>
      <c r="E4" s="139" t="s">
        <v>184</v>
      </c>
      <c r="F4" s="139" t="s">
        <v>12</v>
      </c>
      <c r="G4" t="s">
        <v>189</v>
      </c>
    </row>
    <row r="5" spans="1:7" ht="15.75" customHeight="1" x14ac:dyDescent="0.2">
      <c r="A5" s="136" t="s">
        <v>187</v>
      </c>
      <c r="B5" s="24">
        <v>43559</v>
      </c>
      <c r="C5" s="23">
        <v>8057.5</v>
      </c>
      <c r="E5" t="s">
        <v>187</v>
      </c>
      <c r="F5" s="140" t="s">
        <v>188</v>
      </c>
      <c r="G5" s="141">
        <v>129861.83</v>
      </c>
    </row>
    <row r="6" spans="1:7" ht="15.75" customHeight="1" x14ac:dyDescent="0.2">
      <c r="A6" s="136" t="s">
        <v>187</v>
      </c>
      <c r="B6" s="24">
        <v>43560</v>
      </c>
      <c r="C6" s="23">
        <v>7009.5</v>
      </c>
      <c r="E6" t="s">
        <v>185</v>
      </c>
      <c r="F6" s="140" t="s">
        <v>188</v>
      </c>
      <c r="G6" s="141">
        <v>401857.29000000004</v>
      </c>
    </row>
    <row r="7" spans="1:7" ht="15.75" customHeight="1" x14ac:dyDescent="0.2">
      <c r="A7" s="136" t="s">
        <v>187</v>
      </c>
      <c r="B7" s="24">
        <v>43561</v>
      </c>
      <c r="C7" s="23">
        <v>4476.63</v>
      </c>
      <c r="E7" t="s">
        <v>186</v>
      </c>
      <c r="G7" s="141">
        <v>531719.12</v>
      </c>
    </row>
    <row r="8" spans="1:7" ht="15.75" customHeight="1" x14ac:dyDescent="0.2">
      <c r="A8" s="136" t="s">
        <v>187</v>
      </c>
      <c r="B8" s="24">
        <v>43562</v>
      </c>
      <c r="C8" s="23">
        <v>5186.54</v>
      </c>
    </row>
    <row r="9" spans="1:7" ht="15.75" customHeight="1" x14ac:dyDescent="0.2">
      <c r="A9" s="136" t="s">
        <v>187</v>
      </c>
      <c r="B9" s="24">
        <v>43563</v>
      </c>
      <c r="C9" s="23">
        <v>7183.56</v>
      </c>
    </row>
    <row r="10" spans="1:7" ht="15.75" customHeight="1" x14ac:dyDescent="0.2">
      <c r="A10" s="136" t="s">
        <v>187</v>
      </c>
      <c r="B10" s="24">
        <v>43564</v>
      </c>
      <c r="C10" s="23">
        <v>6197.73</v>
      </c>
    </row>
    <row r="11" spans="1:7" ht="15.75" customHeight="1" x14ac:dyDescent="0.2">
      <c r="A11" s="136" t="s">
        <v>187</v>
      </c>
      <c r="B11" s="24">
        <v>43565</v>
      </c>
      <c r="C11" s="23">
        <v>6963.82</v>
      </c>
    </row>
    <row r="12" spans="1:7" ht="15.75" customHeight="1" x14ac:dyDescent="0.2">
      <c r="A12" s="136" t="s">
        <v>187</v>
      </c>
      <c r="B12" s="24">
        <v>43566</v>
      </c>
      <c r="C12" s="23">
        <v>7055.53</v>
      </c>
    </row>
    <row r="13" spans="1:7" ht="15.75" customHeight="1" x14ac:dyDescent="0.2">
      <c r="A13" s="136" t="s">
        <v>187</v>
      </c>
      <c r="B13" s="24">
        <v>43567</v>
      </c>
      <c r="C13" s="23">
        <v>5887.07</v>
      </c>
    </row>
    <row r="14" spans="1:7" ht="15.75" customHeight="1" x14ac:dyDescent="0.2">
      <c r="A14" s="136" t="s">
        <v>187</v>
      </c>
      <c r="B14" s="24">
        <v>43568</v>
      </c>
      <c r="C14" s="23">
        <v>4041.02</v>
      </c>
    </row>
    <row r="15" spans="1:7" ht="15.75" customHeight="1" x14ac:dyDescent="0.2">
      <c r="A15" s="136" t="s">
        <v>187</v>
      </c>
      <c r="B15" s="24">
        <v>43569</v>
      </c>
      <c r="C15" s="23">
        <v>4763.47</v>
      </c>
    </row>
    <row r="16" spans="1:7" ht="15.75" customHeight="1" x14ac:dyDescent="0.2">
      <c r="A16" s="136" t="s">
        <v>187</v>
      </c>
      <c r="B16" s="24">
        <v>43570</v>
      </c>
      <c r="C16" s="23">
        <v>8944.9699999999993</v>
      </c>
    </row>
    <row r="17" spans="1:3" ht="15.75" customHeight="1" x14ac:dyDescent="0.2">
      <c r="A17" s="136" t="s">
        <v>187</v>
      </c>
      <c r="B17" s="24">
        <v>43571</v>
      </c>
      <c r="C17" s="23">
        <v>8128.58</v>
      </c>
    </row>
    <row r="18" spans="1:3" ht="15.75" customHeight="1" x14ac:dyDescent="0.2">
      <c r="A18" s="136" t="s">
        <v>187</v>
      </c>
      <c r="B18" s="24">
        <v>43572</v>
      </c>
      <c r="C18" s="23">
        <v>9519.85</v>
      </c>
    </row>
    <row r="19" spans="1:3" ht="15.75" customHeight="1" x14ac:dyDescent="0.2">
      <c r="A19" s="136" t="s">
        <v>187</v>
      </c>
      <c r="B19" s="24">
        <v>43573</v>
      </c>
      <c r="C19" s="23">
        <v>6374.18</v>
      </c>
    </row>
    <row r="20" spans="1:3" ht="15.75" customHeight="1" x14ac:dyDescent="0.2">
      <c r="A20" s="136" t="s">
        <v>187</v>
      </c>
      <c r="B20" s="24">
        <v>43574</v>
      </c>
      <c r="C20" s="23">
        <v>3798.51</v>
      </c>
    </row>
    <row r="21" spans="1:3" ht="15.75" customHeight="1" x14ac:dyDescent="0.2">
      <c r="A21" s="136" t="s">
        <v>187</v>
      </c>
      <c r="B21" s="24">
        <v>43575</v>
      </c>
      <c r="C21" s="23">
        <v>3101.05</v>
      </c>
    </row>
    <row r="22" spans="1:3" ht="15.75" customHeight="1" x14ac:dyDescent="0.2">
      <c r="A22" s="136" t="s">
        <v>187</v>
      </c>
      <c r="B22" s="24">
        <v>43576</v>
      </c>
      <c r="C22" s="23">
        <v>3303.08</v>
      </c>
    </row>
    <row r="23" spans="1:3" ht="15.75" customHeight="1" x14ac:dyDescent="0.2">
      <c r="A23" s="136" t="s">
        <v>185</v>
      </c>
      <c r="B23" s="24">
        <v>43556</v>
      </c>
      <c r="C23" s="23">
        <v>21260.26</v>
      </c>
    </row>
    <row r="24" spans="1:3" ht="15.75" customHeight="1" x14ac:dyDescent="0.2">
      <c r="A24" s="136" t="s">
        <v>185</v>
      </c>
      <c r="B24" s="24">
        <v>43557</v>
      </c>
      <c r="C24" s="23">
        <v>22776.15</v>
      </c>
    </row>
    <row r="25" spans="1:3" ht="12.75" x14ac:dyDescent="0.2">
      <c r="A25" s="136" t="s">
        <v>185</v>
      </c>
      <c r="B25" s="24">
        <v>43558</v>
      </c>
      <c r="C25" s="23">
        <v>23533.119999999999</v>
      </c>
    </row>
    <row r="26" spans="1:3" ht="12.75" x14ac:dyDescent="0.2">
      <c r="A26" s="136" t="s">
        <v>185</v>
      </c>
      <c r="B26" s="24">
        <v>43559</v>
      </c>
      <c r="C26" s="23">
        <v>19703.03</v>
      </c>
    </row>
    <row r="27" spans="1:3" ht="12.75" x14ac:dyDescent="0.2">
      <c r="A27" s="136" t="s">
        <v>185</v>
      </c>
      <c r="B27" s="24">
        <v>43560</v>
      </c>
      <c r="C27" s="23">
        <v>16379.38</v>
      </c>
    </row>
    <row r="28" spans="1:3" ht="12.75" x14ac:dyDescent="0.2">
      <c r="A28" s="136" t="s">
        <v>185</v>
      </c>
      <c r="B28" s="24">
        <v>43561</v>
      </c>
      <c r="C28" s="23">
        <v>14120.86</v>
      </c>
    </row>
    <row r="29" spans="1:3" ht="12.75" x14ac:dyDescent="0.2">
      <c r="A29" s="136" t="s">
        <v>185</v>
      </c>
      <c r="B29" s="24">
        <v>43562</v>
      </c>
      <c r="C29" s="23">
        <v>14634.01</v>
      </c>
    </row>
    <row r="30" spans="1:3" ht="12.75" x14ac:dyDescent="0.2">
      <c r="A30" s="136" t="s">
        <v>185</v>
      </c>
      <c r="B30" s="24">
        <v>43563</v>
      </c>
      <c r="C30" s="23">
        <v>18339.36</v>
      </c>
    </row>
    <row r="31" spans="1:3" ht="12.75" x14ac:dyDescent="0.2">
      <c r="A31" s="136" t="s">
        <v>185</v>
      </c>
      <c r="B31" s="24">
        <v>43564</v>
      </c>
      <c r="C31" s="23">
        <v>16319.26</v>
      </c>
    </row>
    <row r="32" spans="1:3" ht="12.75" x14ac:dyDescent="0.2">
      <c r="A32" s="136" t="s">
        <v>185</v>
      </c>
      <c r="B32" s="24">
        <v>43565</v>
      </c>
      <c r="C32" s="23">
        <v>16847.71</v>
      </c>
    </row>
    <row r="33" spans="1:3" ht="12.75" x14ac:dyDescent="0.2">
      <c r="A33" s="136" t="s">
        <v>185</v>
      </c>
      <c r="B33" s="24">
        <v>43566</v>
      </c>
      <c r="C33" s="23">
        <v>17853.22</v>
      </c>
    </row>
    <row r="34" spans="1:3" ht="12.75" x14ac:dyDescent="0.2">
      <c r="A34" s="136" t="s">
        <v>185</v>
      </c>
      <c r="B34" s="24">
        <v>43567</v>
      </c>
      <c r="C34" s="23">
        <v>22526.99</v>
      </c>
    </row>
    <row r="35" spans="1:3" ht="12.75" x14ac:dyDescent="0.2">
      <c r="A35" s="136" t="s">
        <v>185</v>
      </c>
      <c r="B35" s="24">
        <v>43568</v>
      </c>
      <c r="C35" s="23">
        <v>15423.31</v>
      </c>
    </row>
    <row r="36" spans="1:3" ht="12.75" x14ac:dyDescent="0.2">
      <c r="A36" s="136" t="s">
        <v>185</v>
      </c>
      <c r="B36" s="24">
        <v>43569</v>
      </c>
      <c r="C36" s="23">
        <v>17166.560000000001</v>
      </c>
    </row>
    <row r="37" spans="1:3" ht="12.75" x14ac:dyDescent="0.2">
      <c r="A37" s="136" t="s">
        <v>185</v>
      </c>
      <c r="B37" s="24">
        <v>43570</v>
      </c>
      <c r="C37" s="23">
        <v>19449.71</v>
      </c>
    </row>
    <row r="38" spans="1:3" ht="12.75" x14ac:dyDescent="0.2">
      <c r="A38" s="136" t="s">
        <v>185</v>
      </c>
      <c r="B38" s="24">
        <v>43571</v>
      </c>
      <c r="C38" s="23">
        <v>16278.73</v>
      </c>
    </row>
    <row r="39" spans="1:3" ht="12.75" x14ac:dyDescent="0.2">
      <c r="A39" s="136" t="s">
        <v>185</v>
      </c>
      <c r="B39" s="24">
        <v>43572</v>
      </c>
      <c r="C39" s="23">
        <v>12944.87</v>
      </c>
    </row>
    <row r="40" spans="1:3" ht="12.75" x14ac:dyDescent="0.2">
      <c r="A40" s="136" t="s">
        <v>185</v>
      </c>
      <c r="B40" s="24">
        <v>43573</v>
      </c>
      <c r="C40" s="23">
        <v>18683.650000000001</v>
      </c>
    </row>
    <row r="41" spans="1:3" ht="12.75" x14ac:dyDescent="0.2">
      <c r="A41" s="136" t="s">
        <v>185</v>
      </c>
      <c r="B41" s="24">
        <v>43574</v>
      </c>
      <c r="C41" s="23">
        <v>30169.4</v>
      </c>
    </row>
    <row r="42" spans="1:3" ht="12.75" x14ac:dyDescent="0.2">
      <c r="A42" s="136" t="s">
        <v>185</v>
      </c>
      <c r="B42" s="24">
        <v>43575</v>
      </c>
      <c r="C42" s="23">
        <v>22233.08</v>
      </c>
    </row>
    <row r="43" spans="1:3" ht="12.75" x14ac:dyDescent="0.2">
      <c r="A43" s="136" t="s">
        <v>185</v>
      </c>
      <c r="B43" s="24">
        <v>43576</v>
      </c>
      <c r="C43" s="23">
        <v>25214.63</v>
      </c>
    </row>
    <row r="44" spans="1:3" ht="12.75" x14ac:dyDescent="0.2">
      <c r="C44" s="8"/>
    </row>
    <row r="45" spans="1:3" ht="12.75" x14ac:dyDescent="0.2">
      <c r="C45" s="8"/>
    </row>
    <row r="46" spans="1:3" ht="12.75" x14ac:dyDescent="0.2">
      <c r="C46" s="8"/>
    </row>
    <row r="47" spans="1:3" ht="12.75" x14ac:dyDescent="0.2">
      <c r="C47" s="8"/>
    </row>
    <row r="48" spans="1:3" ht="12.75" x14ac:dyDescent="0.2">
      <c r="C48" s="8"/>
    </row>
    <row r="49" spans="3:3" ht="12.75" x14ac:dyDescent="0.2">
      <c r="C49" s="8"/>
    </row>
    <row r="50" spans="3:3" ht="12.75" x14ac:dyDescent="0.2">
      <c r="C50" s="8"/>
    </row>
    <row r="51" spans="3:3" ht="12.75" x14ac:dyDescent="0.2">
      <c r="C51" s="8"/>
    </row>
    <row r="52" spans="3:3" ht="12.75" x14ac:dyDescent="0.2">
      <c r="C52" s="8"/>
    </row>
    <row r="53" spans="3:3" ht="12.75" x14ac:dyDescent="0.2">
      <c r="C53" s="8"/>
    </row>
    <row r="54" spans="3:3" ht="12.75" x14ac:dyDescent="0.2">
      <c r="C54" s="8"/>
    </row>
    <row r="55" spans="3:3" ht="12.75" x14ac:dyDescent="0.2">
      <c r="C55" s="8"/>
    </row>
    <row r="56" spans="3:3" ht="12.75" x14ac:dyDescent="0.2">
      <c r="C56" s="8"/>
    </row>
    <row r="57" spans="3:3" ht="12.75" x14ac:dyDescent="0.2">
      <c r="C57" s="8"/>
    </row>
    <row r="58" spans="3:3" ht="12.75" x14ac:dyDescent="0.2">
      <c r="C58" s="8"/>
    </row>
    <row r="59" spans="3:3" ht="12.75" x14ac:dyDescent="0.2">
      <c r="C59" s="8"/>
    </row>
    <row r="60" spans="3:3" ht="12.75" x14ac:dyDescent="0.2">
      <c r="C60" s="8"/>
    </row>
    <row r="61" spans="3:3" ht="12.75" x14ac:dyDescent="0.2">
      <c r="C61" s="8"/>
    </row>
    <row r="62" spans="3:3" ht="12.75" x14ac:dyDescent="0.2">
      <c r="C62" s="8"/>
    </row>
    <row r="63" spans="3:3" ht="12.75" x14ac:dyDescent="0.2">
      <c r="C63" s="8"/>
    </row>
    <row r="64" spans="3:3" ht="12.75" x14ac:dyDescent="0.2">
      <c r="C64" s="8"/>
    </row>
    <row r="65" spans="3:3" ht="12.75" x14ac:dyDescent="0.2">
      <c r="C65" s="8"/>
    </row>
    <row r="66" spans="3:3" ht="12.75" x14ac:dyDescent="0.2">
      <c r="C66" s="8"/>
    </row>
    <row r="67" spans="3:3" ht="12.75" x14ac:dyDescent="0.2">
      <c r="C67" s="8"/>
    </row>
    <row r="68" spans="3:3" ht="12.75" x14ac:dyDescent="0.2">
      <c r="C68" s="8"/>
    </row>
    <row r="69" spans="3:3" ht="12.75" x14ac:dyDescent="0.2">
      <c r="C69" s="8"/>
    </row>
    <row r="70" spans="3:3" ht="12.75" x14ac:dyDescent="0.2">
      <c r="C70" s="8"/>
    </row>
    <row r="71" spans="3:3" ht="12.75" x14ac:dyDescent="0.2">
      <c r="C71" s="8"/>
    </row>
    <row r="72" spans="3:3" ht="12.75" x14ac:dyDescent="0.2">
      <c r="C72" s="8"/>
    </row>
    <row r="73" spans="3:3" ht="12.75" x14ac:dyDescent="0.2">
      <c r="C73" s="8"/>
    </row>
    <row r="74" spans="3:3" ht="12.75" x14ac:dyDescent="0.2">
      <c r="C74" s="8"/>
    </row>
    <row r="75" spans="3:3" ht="12.75" x14ac:dyDescent="0.2">
      <c r="C75" s="8"/>
    </row>
    <row r="76" spans="3:3" ht="12.75" x14ac:dyDescent="0.2">
      <c r="C76" s="8"/>
    </row>
    <row r="77" spans="3:3" ht="12.75" x14ac:dyDescent="0.2">
      <c r="C77" s="8"/>
    </row>
    <row r="78" spans="3:3" ht="12.75" x14ac:dyDescent="0.2">
      <c r="C78" s="8"/>
    </row>
    <row r="79" spans="3:3" ht="12.75" x14ac:dyDescent="0.2">
      <c r="C79" s="8"/>
    </row>
    <row r="80" spans="3:3" ht="12.75" x14ac:dyDescent="0.2">
      <c r="C80" s="8"/>
    </row>
    <row r="81" spans="3:3" ht="12.75" x14ac:dyDescent="0.2">
      <c r="C81" s="8"/>
    </row>
    <row r="82" spans="3:3" ht="12.75" x14ac:dyDescent="0.2">
      <c r="C82" s="8"/>
    </row>
    <row r="83" spans="3:3" ht="12.75" x14ac:dyDescent="0.2">
      <c r="C83" s="8"/>
    </row>
    <row r="84" spans="3:3" ht="12.75" x14ac:dyDescent="0.2">
      <c r="C84" s="8"/>
    </row>
    <row r="85" spans="3:3" ht="12.75" x14ac:dyDescent="0.2">
      <c r="C85" s="8"/>
    </row>
    <row r="86" spans="3:3" ht="12.75" x14ac:dyDescent="0.2">
      <c r="C86" s="8"/>
    </row>
    <row r="87" spans="3:3" ht="12.75" x14ac:dyDescent="0.2">
      <c r="C87" s="8"/>
    </row>
    <row r="88" spans="3:3" ht="12.75" x14ac:dyDescent="0.2">
      <c r="C88" s="8"/>
    </row>
    <row r="89" spans="3:3" ht="12.75" x14ac:dyDescent="0.2">
      <c r="C89" s="8"/>
    </row>
    <row r="90" spans="3:3" ht="12.75" x14ac:dyDescent="0.2">
      <c r="C90" s="8"/>
    </row>
    <row r="91" spans="3:3" ht="12.75" x14ac:dyDescent="0.2">
      <c r="C91" s="8"/>
    </row>
    <row r="92" spans="3:3" ht="12.75" x14ac:dyDescent="0.2">
      <c r="C92" s="8"/>
    </row>
    <row r="93" spans="3:3" ht="12.75" x14ac:dyDescent="0.2">
      <c r="C93" s="8"/>
    </row>
    <row r="94" spans="3:3" ht="12.75" x14ac:dyDescent="0.2">
      <c r="C94" s="8"/>
    </row>
    <row r="95" spans="3:3" ht="12.75" x14ac:dyDescent="0.2">
      <c r="C95" s="8"/>
    </row>
    <row r="96" spans="3:3" ht="12.75" x14ac:dyDescent="0.2">
      <c r="C96" s="8"/>
    </row>
    <row r="97" spans="3:3" ht="12.75" x14ac:dyDescent="0.2">
      <c r="C97" s="8"/>
    </row>
    <row r="98" spans="3:3" ht="12.75" x14ac:dyDescent="0.2">
      <c r="C98" s="8"/>
    </row>
    <row r="99" spans="3:3" ht="12.75" x14ac:dyDescent="0.2">
      <c r="C99" s="8"/>
    </row>
    <row r="100" spans="3:3" ht="12.75" x14ac:dyDescent="0.2">
      <c r="C100" s="8"/>
    </row>
    <row r="101" spans="3:3" ht="12.75" x14ac:dyDescent="0.2">
      <c r="C101" s="8"/>
    </row>
    <row r="102" spans="3:3" ht="12.75" x14ac:dyDescent="0.2">
      <c r="C102" s="8"/>
    </row>
    <row r="103" spans="3:3" ht="12.75" x14ac:dyDescent="0.2">
      <c r="C103" s="8"/>
    </row>
    <row r="104" spans="3:3" ht="12.75" x14ac:dyDescent="0.2">
      <c r="C104" s="8"/>
    </row>
    <row r="105" spans="3:3" ht="12.75" x14ac:dyDescent="0.2">
      <c r="C105" s="8"/>
    </row>
    <row r="106" spans="3:3" ht="12.75" x14ac:dyDescent="0.2">
      <c r="C106" s="8"/>
    </row>
    <row r="107" spans="3:3" ht="12.75" x14ac:dyDescent="0.2">
      <c r="C107" s="8"/>
    </row>
    <row r="108" spans="3:3" ht="12.75" x14ac:dyDescent="0.2">
      <c r="C108" s="8"/>
    </row>
    <row r="109" spans="3:3" ht="12.75" x14ac:dyDescent="0.2">
      <c r="C109" s="8"/>
    </row>
    <row r="110" spans="3:3" ht="12.75" x14ac:dyDescent="0.2">
      <c r="C110" s="8"/>
    </row>
    <row r="111" spans="3:3" ht="12.75" x14ac:dyDescent="0.2">
      <c r="C111" s="8"/>
    </row>
    <row r="112" spans="3:3" ht="12.75" x14ac:dyDescent="0.2">
      <c r="C112" s="8"/>
    </row>
    <row r="113" spans="3:3" ht="12.75" x14ac:dyDescent="0.2">
      <c r="C113" s="8"/>
    </row>
    <row r="114" spans="3:3" ht="12.75" x14ac:dyDescent="0.2">
      <c r="C114" s="8"/>
    </row>
    <row r="115" spans="3:3" ht="12.75" x14ac:dyDescent="0.2">
      <c r="C115" s="8"/>
    </row>
    <row r="116" spans="3:3" ht="12.75" x14ac:dyDescent="0.2">
      <c r="C116" s="8"/>
    </row>
    <row r="117" spans="3:3" ht="12.75" x14ac:dyDescent="0.2">
      <c r="C117" s="8"/>
    </row>
    <row r="118" spans="3:3" ht="12.75" x14ac:dyDescent="0.2">
      <c r="C118" s="8"/>
    </row>
    <row r="119" spans="3:3" ht="12.75" x14ac:dyDescent="0.2">
      <c r="C119" s="8"/>
    </row>
    <row r="120" spans="3:3" ht="12.75" x14ac:dyDescent="0.2">
      <c r="C120" s="8"/>
    </row>
    <row r="121" spans="3:3" ht="12.75" x14ac:dyDescent="0.2">
      <c r="C121" s="8"/>
    </row>
    <row r="122" spans="3:3" ht="12.75" x14ac:dyDescent="0.2">
      <c r="C122" s="8"/>
    </row>
    <row r="123" spans="3:3" ht="12.75" x14ac:dyDescent="0.2">
      <c r="C123" s="8"/>
    </row>
    <row r="124" spans="3:3" ht="12.75" x14ac:dyDescent="0.2">
      <c r="C124" s="8"/>
    </row>
    <row r="125" spans="3:3" ht="12.75" x14ac:dyDescent="0.2">
      <c r="C125" s="8"/>
    </row>
    <row r="126" spans="3:3" ht="12.75" x14ac:dyDescent="0.2">
      <c r="C126" s="8"/>
    </row>
    <row r="127" spans="3:3" ht="12.75" x14ac:dyDescent="0.2">
      <c r="C127" s="8"/>
    </row>
    <row r="128" spans="3:3" ht="12.75" x14ac:dyDescent="0.2">
      <c r="C128" s="8"/>
    </row>
    <row r="129" spans="3:3" ht="12.75" x14ac:dyDescent="0.2">
      <c r="C129" s="8"/>
    </row>
    <row r="130" spans="3:3" ht="12.75" x14ac:dyDescent="0.2">
      <c r="C130" s="8"/>
    </row>
    <row r="131" spans="3:3" ht="12.75" x14ac:dyDescent="0.2">
      <c r="C131" s="8"/>
    </row>
    <row r="132" spans="3:3" ht="12.75" x14ac:dyDescent="0.2">
      <c r="C132" s="8"/>
    </row>
    <row r="133" spans="3:3" ht="12.75" x14ac:dyDescent="0.2">
      <c r="C133" s="8"/>
    </row>
    <row r="134" spans="3:3" ht="12.75" x14ac:dyDescent="0.2">
      <c r="C134" s="8"/>
    </row>
    <row r="135" spans="3:3" ht="12.75" x14ac:dyDescent="0.2">
      <c r="C135" s="8"/>
    </row>
    <row r="136" spans="3:3" ht="12.75" x14ac:dyDescent="0.2">
      <c r="C136" s="8"/>
    </row>
    <row r="137" spans="3:3" ht="12.75" x14ac:dyDescent="0.2">
      <c r="C137" s="8"/>
    </row>
    <row r="138" spans="3:3" ht="12.75" x14ac:dyDescent="0.2">
      <c r="C138" s="8"/>
    </row>
    <row r="139" spans="3:3" ht="12.75" x14ac:dyDescent="0.2">
      <c r="C139" s="8"/>
    </row>
    <row r="140" spans="3:3" ht="12.75" x14ac:dyDescent="0.2">
      <c r="C140" s="8"/>
    </row>
    <row r="141" spans="3:3" ht="12.75" x14ac:dyDescent="0.2">
      <c r="C141" s="8"/>
    </row>
    <row r="142" spans="3:3" ht="12.75" x14ac:dyDescent="0.2">
      <c r="C142" s="8"/>
    </row>
    <row r="143" spans="3:3" ht="12.75" x14ac:dyDescent="0.2">
      <c r="C143" s="8"/>
    </row>
    <row r="144" spans="3:3" ht="12.75" x14ac:dyDescent="0.2">
      <c r="C144" s="8"/>
    </row>
    <row r="145" spans="3:3" ht="12.75" x14ac:dyDescent="0.2">
      <c r="C145" s="8"/>
    </row>
    <row r="146" spans="3:3" ht="12.75" x14ac:dyDescent="0.2">
      <c r="C146" s="8"/>
    </row>
    <row r="147" spans="3:3" ht="12.75" x14ac:dyDescent="0.2">
      <c r="C147" s="8"/>
    </row>
    <row r="148" spans="3:3" ht="12.75" x14ac:dyDescent="0.2">
      <c r="C148" s="8"/>
    </row>
    <row r="149" spans="3:3" ht="12.75" x14ac:dyDescent="0.2">
      <c r="C149" s="8"/>
    </row>
    <row r="150" spans="3:3" ht="12.75" x14ac:dyDescent="0.2">
      <c r="C150" s="8"/>
    </row>
    <row r="151" spans="3:3" ht="12.75" x14ac:dyDescent="0.2">
      <c r="C151" s="8"/>
    </row>
    <row r="152" spans="3:3" ht="12.75" x14ac:dyDescent="0.2">
      <c r="C152" s="8"/>
    </row>
    <row r="153" spans="3:3" ht="12.75" x14ac:dyDescent="0.2">
      <c r="C153" s="8"/>
    </row>
    <row r="154" spans="3:3" ht="12.75" x14ac:dyDescent="0.2">
      <c r="C154" s="8"/>
    </row>
    <row r="155" spans="3:3" ht="12.75" x14ac:dyDescent="0.2">
      <c r="C155" s="8"/>
    </row>
    <row r="156" spans="3:3" ht="12.75" x14ac:dyDescent="0.2">
      <c r="C156" s="8"/>
    </row>
    <row r="157" spans="3:3" ht="12.75" x14ac:dyDescent="0.2">
      <c r="C157" s="8"/>
    </row>
    <row r="158" spans="3:3" ht="12.75" x14ac:dyDescent="0.2">
      <c r="C158" s="8"/>
    </row>
    <row r="159" spans="3:3" ht="12.75" x14ac:dyDescent="0.2">
      <c r="C159" s="8"/>
    </row>
    <row r="160" spans="3:3" ht="12.75" x14ac:dyDescent="0.2">
      <c r="C160" s="8"/>
    </row>
    <row r="161" spans="3:3" ht="12.75" x14ac:dyDescent="0.2">
      <c r="C161" s="8"/>
    </row>
    <row r="162" spans="3:3" ht="12.75" x14ac:dyDescent="0.2">
      <c r="C162" s="8"/>
    </row>
    <row r="163" spans="3:3" ht="12.75" x14ac:dyDescent="0.2">
      <c r="C163" s="8"/>
    </row>
    <row r="164" spans="3:3" ht="12.75" x14ac:dyDescent="0.2">
      <c r="C164" s="8"/>
    </row>
    <row r="165" spans="3:3" ht="12.75" x14ac:dyDescent="0.2">
      <c r="C165" s="8"/>
    </row>
    <row r="166" spans="3:3" ht="12.75" x14ac:dyDescent="0.2">
      <c r="C166" s="8"/>
    </row>
    <row r="167" spans="3:3" ht="12.75" x14ac:dyDescent="0.2">
      <c r="C167" s="8"/>
    </row>
    <row r="168" spans="3:3" ht="12.75" x14ac:dyDescent="0.2">
      <c r="C168" s="8"/>
    </row>
    <row r="169" spans="3:3" ht="12.75" x14ac:dyDescent="0.2">
      <c r="C169" s="8"/>
    </row>
    <row r="170" spans="3:3" ht="12.75" x14ac:dyDescent="0.2">
      <c r="C170" s="8"/>
    </row>
    <row r="171" spans="3:3" ht="12.75" x14ac:dyDescent="0.2">
      <c r="C171" s="8"/>
    </row>
    <row r="172" spans="3:3" ht="12.75" x14ac:dyDescent="0.2">
      <c r="C172" s="8"/>
    </row>
    <row r="173" spans="3:3" ht="12.75" x14ac:dyDescent="0.2">
      <c r="C173" s="8"/>
    </row>
    <row r="174" spans="3:3" ht="12.75" x14ac:dyDescent="0.2">
      <c r="C174" s="8"/>
    </row>
    <row r="175" spans="3:3" ht="12.75" x14ac:dyDescent="0.2">
      <c r="C175" s="8"/>
    </row>
    <row r="176" spans="3:3" ht="12.75" x14ac:dyDescent="0.2">
      <c r="C176" s="8"/>
    </row>
    <row r="177" spans="3:3" ht="12.75" x14ac:dyDescent="0.2">
      <c r="C177" s="8"/>
    </row>
    <row r="178" spans="3:3" ht="12.75" x14ac:dyDescent="0.2">
      <c r="C178" s="8"/>
    </row>
    <row r="179" spans="3:3" ht="12.75" x14ac:dyDescent="0.2">
      <c r="C179" s="8"/>
    </row>
    <row r="180" spans="3:3" ht="12.75" x14ac:dyDescent="0.2">
      <c r="C180" s="8"/>
    </row>
    <row r="181" spans="3:3" ht="12.75" x14ac:dyDescent="0.2">
      <c r="C181" s="8"/>
    </row>
    <row r="182" spans="3:3" ht="12.75" x14ac:dyDescent="0.2">
      <c r="C182" s="8"/>
    </row>
    <row r="183" spans="3:3" ht="12.75" x14ac:dyDescent="0.2">
      <c r="C183" s="8"/>
    </row>
    <row r="184" spans="3:3" ht="12.75" x14ac:dyDescent="0.2">
      <c r="C184" s="8"/>
    </row>
    <row r="185" spans="3:3" ht="12.75" x14ac:dyDescent="0.2">
      <c r="C185" s="8"/>
    </row>
    <row r="186" spans="3:3" ht="12.75" x14ac:dyDescent="0.2">
      <c r="C186" s="8"/>
    </row>
    <row r="187" spans="3:3" ht="12.75" x14ac:dyDescent="0.2">
      <c r="C187" s="8"/>
    </row>
    <row r="188" spans="3:3" ht="12.75" x14ac:dyDescent="0.2">
      <c r="C188" s="8"/>
    </row>
    <row r="189" spans="3:3" ht="12.75" x14ac:dyDescent="0.2">
      <c r="C189" s="8"/>
    </row>
    <row r="190" spans="3:3" ht="12.75" x14ac:dyDescent="0.2">
      <c r="C190" s="8"/>
    </row>
    <row r="191" spans="3:3" ht="12.75" x14ac:dyDescent="0.2">
      <c r="C191" s="8"/>
    </row>
    <row r="192" spans="3:3" ht="12.75" x14ac:dyDescent="0.2">
      <c r="C192" s="8"/>
    </row>
    <row r="193" spans="3:3" ht="12.75" x14ac:dyDescent="0.2">
      <c r="C193" s="8"/>
    </row>
    <row r="194" spans="3:3" ht="12.75" x14ac:dyDescent="0.2">
      <c r="C194" s="8"/>
    </row>
    <row r="195" spans="3:3" ht="12.75" x14ac:dyDescent="0.2">
      <c r="C195" s="8"/>
    </row>
    <row r="196" spans="3:3" ht="12.75" x14ac:dyDescent="0.2">
      <c r="C196" s="8"/>
    </row>
    <row r="197" spans="3:3" ht="12.75" x14ac:dyDescent="0.2">
      <c r="C197" s="8"/>
    </row>
    <row r="198" spans="3:3" ht="12.75" x14ac:dyDescent="0.2">
      <c r="C198" s="8"/>
    </row>
    <row r="199" spans="3:3" ht="12.75" x14ac:dyDescent="0.2">
      <c r="C199" s="8"/>
    </row>
    <row r="200" spans="3:3" ht="12.75" x14ac:dyDescent="0.2">
      <c r="C200" s="8"/>
    </row>
    <row r="201" spans="3:3" ht="12.75" x14ac:dyDescent="0.2">
      <c r="C201" s="8"/>
    </row>
    <row r="202" spans="3:3" ht="12.75" x14ac:dyDescent="0.2">
      <c r="C202" s="8"/>
    </row>
    <row r="203" spans="3:3" ht="12.75" x14ac:dyDescent="0.2">
      <c r="C203" s="8"/>
    </row>
    <row r="204" spans="3:3" ht="12.75" x14ac:dyDescent="0.2">
      <c r="C204" s="8"/>
    </row>
    <row r="205" spans="3:3" ht="12.75" x14ac:dyDescent="0.2">
      <c r="C205" s="8"/>
    </row>
    <row r="206" spans="3:3" ht="12.75" x14ac:dyDescent="0.2">
      <c r="C206" s="8"/>
    </row>
    <row r="207" spans="3:3" ht="12.75" x14ac:dyDescent="0.2">
      <c r="C207" s="8"/>
    </row>
    <row r="208" spans="3:3" ht="12.75" x14ac:dyDescent="0.2">
      <c r="C208" s="8"/>
    </row>
    <row r="209" spans="3:3" ht="12.75" x14ac:dyDescent="0.2">
      <c r="C209" s="8"/>
    </row>
    <row r="210" spans="3:3" ht="12.75" x14ac:dyDescent="0.2">
      <c r="C210" s="8"/>
    </row>
    <row r="211" spans="3:3" ht="12.75" x14ac:dyDescent="0.2">
      <c r="C211" s="8"/>
    </row>
    <row r="212" spans="3:3" ht="12.75" x14ac:dyDescent="0.2">
      <c r="C212" s="8"/>
    </row>
    <row r="213" spans="3:3" ht="12.75" x14ac:dyDescent="0.2">
      <c r="C213" s="8"/>
    </row>
    <row r="214" spans="3:3" ht="12.75" x14ac:dyDescent="0.2">
      <c r="C214" s="8"/>
    </row>
    <row r="215" spans="3:3" ht="12.75" x14ac:dyDescent="0.2">
      <c r="C215" s="8"/>
    </row>
    <row r="216" spans="3:3" ht="12.75" x14ac:dyDescent="0.2">
      <c r="C216" s="8"/>
    </row>
    <row r="217" spans="3:3" ht="12.75" x14ac:dyDescent="0.2">
      <c r="C217" s="8"/>
    </row>
    <row r="218" spans="3:3" ht="12.75" x14ac:dyDescent="0.2">
      <c r="C218" s="8"/>
    </row>
    <row r="219" spans="3:3" ht="12.75" x14ac:dyDescent="0.2">
      <c r="C219" s="8"/>
    </row>
    <row r="220" spans="3:3" ht="12.75" x14ac:dyDescent="0.2">
      <c r="C220" s="8"/>
    </row>
    <row r="221" spans="3:3" ht="12.75" x14ac:dyDescent="0.2">
      <c r="C221" s="8"/>
    </row>
    <row r="222" spans="3:3" ht="12.75" x14ac:dyDescent="0.2">
      <c r="C222" s="8"/>
    </row>
    <row r="223" spans="3:3" ht="12.75" x14ac:dyDescent="0.2">
      <c r="C223" s="8"/>
    </row>
    <row r="224" spans="3:3" ht="12.75" x14ac:dyDescent="0.2">
      <c r="C224" s="8"/>
    </row>
    <row r="225" spans="3:3" ht="12.75" x14ac:dyDescent="0.2">
      <c r="C225" s="8"/>
    </row>
    <row r="226" spans="3:3" ht="12.75" x14ac:dyDescent="0.2">
      <c r="C226" s="8"/>
    </row>
    <row r="227" spans="3:3" ht="12.75" x14ac:dyDescent="0.2">
      <c r="C227" s="8"/>
    </row>
    <row r="228" spans="3:3" ht="12.75" x14ac:dyDescent="0.2">
      <c r="C228" s="8"/>
    </row>
    <row r="229" spans="3:3" ht="12.75" x14ac:dyDescent="0.2">
      <c r="C229" s="8"/>
    </row>
    <row r="230" spans="3:3" ht="12.75" x14ac:dyDescent="0.2">
      <c r="C230" s="8"/>
    </row>
    <row r="231" spans="3:3" ht="12.75" x14ac:dyDescent="0.2">
      <c r="C231" s="8"/>
    </row>
    <row r="232" spans="3:3" ht="12.75" x14ac:dyDescent="0.2">
      <c r="C232" s="8"/>
    </row>
    <row r="233" spans="3:3" ht="12.75" x14ac:dyDescent="0.2">
      <c r="C233" s="8"/>
    </row>
    <row r="234" spans="3:3" ht="12.75" x14ac:dyDescent="0.2">
      <c r="C234" s="8"/>
    </row>
    <row r="235" spans="3:3" ht="12.75" x14ac:dyDescent="0.2">
      <c r="C235" s="8"/>
    </row>
    <row r="236" spans="3:3" ht="12.75" x14ac:dyDescent="0.2">
      <c r="C236" s="8"/>
    </row>
    <row r="237" spans="3:3" ht="12.75" x14ac:dyDescent="0.2">
      <c r="C237" s="8"/>
    </row>
    <row r="238" spans="3:3" ht="12.75" x14ac:dyDescent="0.2">
      <c r="C238" s="8"/>
    </row>
    <row r="239" spans="3:3" ht="12.75" x14ac:dyDescent="0.2">
      <c r="C239" s="8"/>
    </row>
    <row r="240" spans="3:3" ht="12.75" x14ac:dyDescent="0.2">
      <c r="C240" s="8"/>
    </row>
    <row r="241" spans="3:3" ht="12.75" x14ac:dyDescent="0.2">
      <c r="C241" s="8"/>
    </row>
    <row r="242" spans="3:3" ht="12.75" x14ac:dyDescent="0.2">
      <c r="C242" s="8"/>
    </row>
    <row r="243" spans="3:3" ht="12.75" x14ac:dyDescent="0.2">
      <c r="C243" s="8"/>
    </row>
    <row r="244" spans="3:3" ht="12.75" x14ac:dyDescent="0.2">
      <c r="C244" s="8"/>
    </row>
    <row r="245" spans="3:3" ht="12.75" x14ac:dyDescent="0.2">
      <c r="C245" s="8"/>
    </row>
    <row r="246" spans="3:3" ht="12.75" x14ac:dyDescent="0.2">
      <c r="C246" s="8"/>
    </row>
    <row r="247" spans="3:3" ht="12.75" x14ac:dyDescent="0.2">
      <c r="C247" s="8"/>
    </row>
    <row r="248" spans="3:3" ht="12.75" x14ac:dyDescent="0.2">
      <c r="C248" s="8"/>
    </row>
    <row r="249" spans="3:3" ht="12.75" x14ac:dyDescent="0.2">
      <c r="C249" s="8"/>
    </row>
    <row r="250" spans="3:3" ht="12.75" x14ac:dyDescent="0.2">
      <c r="C250" s="8"/>
    </row>
    <row r="251" spans="3:3" ht="12.75" x14ac:dyDescent="0.2">
      <c r="C251" s="8"/>
    </row>
    <row r="252" spans="3:3" ht="12.75" x14ac:dyDescent="0.2">
      <c r="C252" s="8"/>
    </row>
    <row r="253" spans="3:3" ht="12.75" x14ac:dyDescent="0.2">
      <c r="C253" s="8"/>
    </row>
    <row r="254" spans="3:3" ht="12.75" x14ac:dyDescent="0.2">
      <c r="C254" s="8"/>
    </row>
    <row r="255" spans="3:3" ht="12.75" x14ac:dyDescent="0.2">
      <c r="C255" s="8"/>
    </row>
    <row r="256" spans="3:3" ht="12.75" x14ac:dyDescent="0.2">
      <c r="C256" s="8"/>
    </row>
    <row r="257" spans="3:3" ht="12.75" x14ac:dyDescent="0.2">
      <c r="C257" s="8"/>
    </row>
    <row r="258" spans="3:3" ht="12.75" x14ac:dyDescent="0.2">
      <c r="C258" s="8"/>
    </row>
    <row r="259" spans="3:3" ht="12.75" x14ac:dyDescent="0.2">
      <c r="C259" s="8"/>
    </row>
    <row r="260" spans="3:3" ht="12.75" x14ac:dyDescent="0.2">
      <c r="C260" s="8"/>
    </row>
    <row r="261" spans="3:3" ht="12.75" x14ac:dyDescent="0.2">
      <c r="C261" s="8"/>
    </row>
    <row r="262" spans="3:3" ht="12.75" x14ac:dyDescent="0.2">
      <c r="C262" s="8"/>
    </row>
    <row r="263" spans="3:3" ht="12.75" x14ac:dyDescent="0.2">
      <c r="C263" s="8"/>
    </row>
    <row r="264" spans="3:3" ht="12.75" x14ac:dyDescent="0.2">
      <c r="C264" s="8"/>
    </row>
    <row r="265" spans="3:3" ht="12.75" x14ac:dyDescent="0.2">
      <c r="C265" s="8"/>
    </row>
    <row r="266" spans="3:3" ht="12.75" x14ac:dyDescent="0.2">
      <c r="C266" s="8"/>
    </row>
    <row r="267" spans="3:3" ht="12.75" x14ac:dyDescent="0.2">
      <c r="C267" s="8"/>
    </row>
    <row r="268" spans="3:3" ht="12.75" x14ac:dyDescent="0.2">
      <c r="C268" s="8"/>
    </row>
    <row r="269" spans="3:3" ht="12.75" x14ac:dyDescent="0.2">
      <c r="C269" s="8"/>
    </row>
    <row r="270" spans="3:3" ht="12.75" x14ac:dyDescent="0.2">
      <c r="C270" s="8"/>
    </row>
    <row r="271" spans="3:3" ht="12.75" x14ac:dyDescent="0.2">
      <c r="C271" s="8"/>
    </row>
    <row r="272" spans="3:3" ht="12.75" x14ac:dyDescent="0.2">
      <c r="C272" s="8"/>
    </row>
    <row r="273" spans="3:3" ht="12.75" x14ac:dyDescent="0.2">
      <c r="C273" s="8"/>
    </row>
    <row r="274" spans="3:3" ht="12.75" x14ac:dyDescent="0.2">
      <c r="C274" s="8"/>
    </row>
    <row r="275" spans="3:3" ht="12.75" x14ac:dyDescent="0.2">
      <c r="C275" s="8"/>
    </row>
    <row r="276" spans="3:3" ht="12.75" x14ac:dyDescent="0.2">
      <c r="C276" s="8"/>
    </row>
    <row r="277" spans="3:3" ht="12.75" x14ac:dyDescent="0.2">
      <c r="C277" s="8"/>
    </row>
    <row r="278" spans="3:3" ht="12.75" x14ac:dyDescent="0.2">
      <c r="C278" s="8"/>
    </row>
    <row r="279" spans="3:3" ht="12.75" x14ac:dyDescent="0.2">
      <c r="C279" s="8"/>
    </row>
    <row r="280" spans="3:3" ht="12.75" x14ac:dyDescent="0.2">
      <c r="C280" s="8"/>
    </row>
    <row r="281" spans="3:3" ht="12.75" x14ac:dyDescent="0.2">
      <c r="C281" s="8"/>
    </row>
    <row r="282" spans="3:3" ht="12.75" x14ac:dyDescent="0.2">
      <c r="C282" s="8"/>
    </row>
    <row r="283" spans="3:3" ht="12.75" x14ac:dyDescent="0.2">
      <c r="C283" s="8"/>
    </row>
    <row r="284" spans="3:3" ht="12.75" x14ac:dyDescent="0.2">
      <c r="C284" s="8"/>
    </row>
    <row r="285" spans="3:3" ht="12.75" x14ac:dyDescent="0.2">
      <c r="C285" s="8"/>
    </row>
    <row r="286" spans="3:3" ht="12.75" x14ac:dyDescent="0.2">
      <c r="C286" s="8"/>
    </row>
    <row r="287" spans="3:3" ht="12.75" x14ac:dyDescent="0.2">
      <c r="C287" s="8"/>
    </row>
    <row r="288" spans="3:3" ht="12.75" x14ac:dyDescent="0.2">
      <c r="C288" s="8"/>
    </row>
    <row r="289" spans="3:3" ht="12.75" x14ac:dyDescent="0.2">
      <c r="C289" s="8"/>
    </row>
    <row r="290" spans="3:3" ht="12.75" x14ac:dyDescent="0.2">
      <c r="C290" s="8"/>
    </row>
    <row r="291" spans="3:3" ht="12.75" x14ac:dyDescent="0.2">
      <c r="C291" s="8"/>
    </row>
    <row r="292" spans="3:3" ht="12.75" x14ac:dyDescent="0.2">
      <c r="C292" s="8"/>
    </row>
    <row r="293" spans="3:3" ht="12.75" x14ac:dyDescent="0.2">
      <c r="C293" s="8"/>
    </row>
    <row r="294" spans="3:3" ht="12.75" x14ac:dyDescent="0.2">
      <c r="C294" s="8"/>
    </row>
    <row r="295" spans="3:3" ht="12.75" x14ac:dyDescent="0.2">
      <c r="C295" s="8"/>
    </row>
    <row r="296" spans="3:3" ht="12.75" x14ac:dyDescent="0.2">
      <c r="C296" s="8"/>
    </row>
    <row r="297" spans="3:3" ht="12.75" x14ac:dyDescent="0.2">
      <c r="C297" s="8"/>
    </row>
    <row r="298" spans="3:3" ht="12.75" x14ac:dyDescent="0.2">
      <c r="C298" s="8"/>
    </row>
    <row r="299" spans="3:3" ht="12.75" x14ac:dyDescent="0.2">
      <c r="C299" s="8"/>
    </row>
    <row r="300" spans="3:3" ht="12.75" x14ac:dyDescent="0.2">
      <c r="C300" s="8"/>
    </row>
    <row r="301" spans="3:3" ht="12.75" x14ac:dyDescent="0.2">
      <c r="C301" s="8"/>
    </row>
    <row r="302" spans="3:3" ht="12.75" x14ac:dyDescent="0.2">
      <c r="C302" s="8"/>
    </row>
    <row r="303" spans="3:3" ht="12.75" x14ac:dyDescent="0.2">
      <c r="C303" s="8"/>
    </row>
    <row r="304" spans="3:3" ht="12.75" x14ac:dyDescent="0.2">
      <c r="C304" s="8"/>
    </row>
    <row r="305" spans="3:3" ht="12.75" x14ac:dyDescent="0.2">
      <c r="C305" s="8"/>
    </row>
    <row r="306" spans="3:3" ht="12.75" x14ac:dyDescent="0.2">
      <c r="C306" s="8"/>
    </row>
    <row r="307" spans="3:3" ht="12.75" x14ac:dyDescent="0.2">
      <c r="C307" s="8"/>
    </row>
    <row r="308" spans="3:3" ht="12.75" x14ac:dyDescent="0.2">
      <c r="C308" s="8"/>
    </row>
    <row r="309" spans="3:3" ht="12.75" x14ac:dyDescent="0.2">
      <c r="C309" s="8"/>
    </row>
    <row r="310" spans="3:3" ht="12.75" x14ac:dyDescent="0.2">
      <c r="C310" s="8"/>
    </row>
    <row r="311" spans="3:3" ht="12.75" x14ac:dyDescent="0.2">
      <c r="C311" s="8"/>
    </row>
    <row r="312" spans="3:3" ht="12.75" x14ac:dyDescent="0.2">
      <c r="C312" s="8"/>
    </row>
    <row r="313" spans="3:3" ht="12.75" x14ac:dyDescent="0.2">
      <c r="C313" s="8"/>
    </row>
    <row r="314" spans="3:3" ht="12.75" x14ac:dyDescent="0.2">
      <c r="C314" s="8"/>
    </row>
    <row r="315" spans="3:3" ht="12.75" x14ac:dyDescent="0.2">
      <c r="C315" s="8"/>
    </row>
    <row r="316" spans="3:3" ht="12.75" x14ac:dyDescent="0.2">
      <c r="C316" s="8"/>
    </row>
    <row r="317" spans="3:3" ht="12.75" x14ac:dyDescent="0.2">
      <c r="C317" s="8"/>
    </row>
    <row r="318" spans="3:3" ht="12.75" x14ac:dyDescent="0.2">
      <c r="C318" s="8"/>
    </row>
    <row r="319" spans="3:3" ht="12.75" x14ac:dyDescent="0.2">
      <c r="C319" s="8"/>
    </row>
    <row r="320" spans="3:3" ht="12.75" x14ac:dyDescent="0.2">
      <c r="C320" s="8"/>
    </row>
    <row r="321" spans="3:3" ht="12.75" x14ac:dyDescent="0.2">
      <c r="C321" s="8"/>
    </row>
    <row r="322" spans="3:3" ht="12.75" x14ac:dyDescent="0.2">
      <c r="C322" s="8"/>
    </row>
    <row r="323" spans="3:3" ht="12.75" x14ac:dyDescent="0.2">
      <c r="C323" s="8"/>
    </row>
    <row r="324" spans="3:3" ht="12.75" x14ac:dyDescent="0.2">
      <c r="C324" s="8"/>
    </row>
    <row r="325" spans="3:3" ht="12.75" x14ac:dyDescent="0.2">
      <c r="C325" s="8"/>
    </row>
    <row r="326" spans="3:3" ht="12.75" x14ac:dyDescent="0.2">
      <c r="C326" s="8"/>
    </row>
    <row r="327" spans="3:3" ht="12.75" x14ac:dyDescent="0.2">
      <c r="C327" s="8"/>
    </row>
    <row r="328" spans="3:3" ht="12.75" x14ac:dyDescent="0.2">
      <c r="C328" s="8"/>
    </row>
    <row r="329" spans="3:3" ht="12.75" x14ac:dyDescent="0.2">
      <c r="C329" s="8"/>
    </row>
    <row r="330" spans="3:3" ht="12.75" x14ac:dyDescent="0.2">
      <c r="C330" s="8"/>
    </row>
    <row r="331" spans="3:3" ht="12.75" x14ac:dyDescent="0.2">
      <c r="C331" s="8"/>
    </row>
    <row r="332" spans="3:3" ht="12.75" x14ac:dyDescent="0.2">
      <c r="C332" s="8"/>
    </row>
    <row r="333" spans="3:3" ht="12.75" x14ac:dyDescent="0.2">
      <c r="C333" s="8"/>
    </row>
    <row r="334" spans="3:3" ht="12.75" x14ac:dyDescent="0.2">
      <c r="C334" s="8"/>
    </row>
    <row r="335" spans="3:3" ht="12.75" x14ac:dyDescent="0.2">
      <c r="C335" s="8"/>
    </row>
    <row r="336" spans="3:3" ht="12.75" x14ac:dyDescent="0.2">
      <c r="C336" s="8"/>
    </row>
    <row r="337" spans="3:3" ht="12.75" x14ac:dyDescent="0.2">
      <c r="C337" s="8"/>
    </row>
    <row r="338" spans="3:3" ht="12.75" x14ac:dyDescent="0.2">
      <c r="C338" s="8"/>
    </row>
    <row r="339" spans="3:3" ht="12.75" x14ac:dyDescent="0.2">
      <c r="C339" s="8"/>
    </row>
    <row r="340" spans="3:3" ht="12.75" x14ac:dyDescent="0.2">
      <c r="C340" s="8"/>
    </row>
    <row r="341" spans="3:3" ht="12.75" x14ac:dyDescent="0.2">
      <c r="C341" s="8"/>
    </row>
    <row r="342" spans="3:3" ht="12.75" x14ac:dyDescent="0.2">
      <c r="C342" s="8"/>
    </row>
    <row r="343" spans="3:3" ht="12.75" x14ac:dyDescent="0.2">
      <c r="C343" s="8"/>
    </row>
    <row r="344" spans="3:3" ht="12.75" x14ac:dyDescent="0.2">
      <c r="C344" s="8"/>
    </row>
    <row r="345" spans="3:3" ht="12.75" x14ac:dyDescent="0.2">
      <c r="C345" s="8"/>
    </row>
    <row r="346" spans="3:3" ht="12.75" x14ac:dyDescent="0.2">
      <c r="C346" s="8"/>
    </row>
    <row r="347" spans="3:3" ht="12.75" x14ac:dyDescent="0.2">
      <c r="C347" s="8"/>
    </row>
    <row r="348" spans="3:3" ht="12.75" x14ac:dyDescent="0.2">
      <c r="C348" s="8"/>
    </row>
    <row r="349" spans="3:3" ht="12.75" x14ac:dyDescent="0.2">
      <c r="C349" s="8"/>
    </row>
    <row r="350" spans="3:3" ht="12.75" x14ac:dyDescent="0.2">
      <c r="C350" s="8"/>
    </row>
    <row r="351" spans="3:3" ht="12.75" x14ac:dyDescent="0.2">
      <c r="C351" s="8"/>
    </row>
    <row r="352" spans="3:3" ht="12.75" x14ac:dyDescent="0.2">
      <c r="C352" s="8"/>
    </row>
    <row r="353" spans="3:3" ht="12.75" x14ac:dyDescent="0.2">
      <c r="C353" s="8"/>
    </row>
    <row r="354" spans="3:3" ht="12.75" x14ac:dyDescent="0.2">
      <c r="C354" s="8"/>
    </row>
    <row r="355" spans="3:3" ht="12.75" x14ac:dyDescent="0.2">
      <c r="C355" s="8"/>
    </row>
    <row r="356" spans="3:3" ht="12.75" x14ac:dyDescent="0.2">
      <c r="C356" s="8"/>
    </row>
    <row r="357" spans="3:3" ht="12.75" x14ac:dyDescent="0.2">
      <c r="C357" s="8"/>
    </row>
    <row r="358" spans="3:3" ht="12.75" x14ac:dyDescent="0.2">
      <c r="C358" s="8"/>
    </row>
    <row r="359" spans="3:3" ht="12.75" x14ac:dyDescent="0.2">
      <c r="C359" s="8"/>
    </row>
    <row r="360" spans="3:3" ht="12.75" x14ac:dyDescent="0.2">
      <c r="C360" s="8"/>
    </row>
    <row r="361" spans="3:3" ht="12.75" x14ac:dyDescent="0.2">
      <c r="C361" s="8"/>
    </row>
    <row r="362" spans="3:3" ht="12.75" x14ac:dyDescent="0.2">
      <c r="C362" s="8"/>
    </row>
    <row r="363" spans="3:3" ht="12.75" x14ac:dyDescent="0.2">
      <c r="C363" s="8"/>
    </row>
    <row r="364" spans="3:3" ht="12.75" x14ac:dyDescent="0.2">
      <c r="C364" s="8"/>
    </row>
    <row r="365" spans="3:3" ht="12.75" x14ac:dyDescent="0.2">
      <c r="C365" s="8"/>
    </row>
    <row r="366" spans="3:3" ht="12.75" x14ac:dyDescent="0.2">
      <c r="C366" s="8"/>
    </row>
    <row r="367" spans="3:3" ht="12.75" x14ac:dyDescent="0.2">
      <c r="C367" s="8"/>
    </row>
    <row r="368" spans="3:3" ht="12.75" x14ac:dyDescent="0.2">
      <c r="C368" s="8"/>
    </row>
    <row r="369" spans="3:3" ht="12.75" x14ac:dyDescent="0.2">
      <c r="C369" s="8"/>
    </row>
    <row r="370" spans="3:3" ht="12.75" x14ac:dyDescent="0.2">
      <c r="C370" s="8"/>
    </row>
    <row r="371" spans="3:3" ht="12.75" x14ac:dyDescent="0.2">
      <c r="C371" s="8"/>
    </row>
    <row r="372" spans="3:3" ht="12.75" x14ac:dyDescent="0.2">
      <c r="C372" s="8"/>
    </row>
    <row r="373" spans="3:3" ht="12.75" x14ac:dyDescent="0.2">
      <c r="C373" s="8"/>
    </row>
    <row r="374" spans="3:3" ht="12.75" x14ac:dyDescent="0.2">
      <c r="C374" s="8"/>
    </row>
    <row r="375" spans="3:3" ht="12.75" x14ac:dyDescent="0.2">
      <c r="C375" s="8"/>
    </row>
    <row r="376" spans="3:3" ht="12.75" x14ac:dyDescent="0.2">
      <c r="C376" s="8"/>
    </row>
    <row r="377" spans="3:3" ht="12.75" x14ac:dyDescent="0.2">
      <c r="C377" s="8"/>
    </row>
    <row r="378" spans="3:3" ht="12.75" x14ac:dyDescent="0.2">
      <c r="C378" s="8"/>
    </row>
    <row r="379" spans="3:3" ht="12.75" x14ac:dyDescent="0.2">
      <c r="C379" s="8"/>
    </row>
    <row r="380" spans="3:3" ht="12.75" x14ac:dyDescent="0.2">
      <c r="C380" s="8"/>
    </row>
    <row r="381" spans="3:3" ht="12.75" x14ac:dyDescent="0.2">
      <c r="C381" s="8"/>
    </row>
    <row r="382" spans="3:3" ht="12.75" x14ac:dyDescent="0.2">
      <c r="C382" s="8"/>
    </row>
    <row r="383" spans="3:3" ht="12.75" x14ac:dyDescent="0.2">
      <c r="C383" s="8"/>
    </row>
    <row r="384" spans="3:3" ht="12.75" x14ac:dyDescent="0.2">
      <c r="C384" s="8"/>
    </row>
    <row r="385" spans="3:3" ht="12.75" x14ac:dyDescent="0.2">
      <c r="C385" s="8"/>
    </row>
    <row r="386" spans="3:3" ht="12.75" x14ac:dyDescent="0.2">
      <c r="C386" s="8"/>
    </row>
    <row r="387" spans="3:3" ht="12.75" x14ac:dyDescent="0.2">
      <c r="C387" s="8"/>
    </row>
    <row r="388" spans="3:3" ht="12.75" x14ac:dyDescent="0.2">
      <c r="C388" s="8"/>
    </row>
    <row r="389" spans="3:3" ht="12.75" x14ac:dyDescent="0.2">
      <c r="C389" s="8"/>
    </row>
    <row r="390" spans="3:3" ht="12.75" x14ac:dyDescent="0.2">
      <c r="C390" s="8"/>
    </row>
    <row r="391" spans="3:3" ht="12.75" x14ac:dyDescent="0.2">
      <c r="C391" s="8"/>
    </row>
    <row r="392" spans="3:3" ht="12.75" x14ac:dyDescent="0.2">
      <c r="C392" s="8"/>
    </row>
    <row r="393" spans="3:3" ht="12.75" x14ac:dyDescent="0.2">
      <c r="C393" s="8"/>
    </row>
    <row r="394" spans="3:3" ht="12.75" x14ac:dyDescent="0.2">
      <c r="C394" s="8"/>
    </row>
    <row r="395" spans="3:3" ht="12.75" x14ac:dyDescent="0.2">
      <c r="C395" s="8"/>
    </row>
    <row r="396" spans="3:3" ht="12.75" x14ac:dyDescent="0.2">
      <c r="C396" s="8"/>
    </row>
    <row r="397" spans="3:3" ht="12.75" x14ac:dyDescent="0.2">
      <c r="C397" s="8"/>
    </row>
    <row r="398" spans="3:3" ht="12.75" x14ac:dyDescent="0.2">
      <c r="C398" s="8"/>
    </row>
    <row r="399" spans="3:3" ht="12.75" x14ac:dyDescent="0.2">
      <c r="C399" s="8"/>
    </row>
    <row r="400" spans="3:3" ht="12.75" x14ac:dyDescent="0.2">
      <c r="C400" s="8"/>
    </row>
    <row r="401" spans="3:3" ht="12.75" x14ac:dyDescent="0.2">
      <c r="C401" s="8"/>
    </row>
    <row r="402" spans="3:3" ht="12.75" x14ac:dyDescent="0.2">
      <c r="C402" s="8"/>
    </row>
    <row r="403" spans="3:3" ht="12.75" x14ac:dyDescent="0.2">
      <c r="C403" s="8"/>
    </row>
    <row r="404" spans="3:3" ht="12.75" x14ac:dyDescent="0.2">
      <c r="C404" s="8"/>
    </row>
    <row r="405" spans="3:3" ht="12.75" x14ac:dyDescent="0.2">
      <c r="C405" s="8"/>
    </row>
    <row r="406" spans="3:3" ht="12.75" x14ac:dyDescent="0.2">
      <c r="C406" s="8"/>
    </row>
    <row r="407" spans="3:3" ht="12.75" x14ac:dyDescent="0.2">
      <c r="C407" s="8"/>
    </row>
    <row r="408" spans="3:3" ht="12.75" x14ac:dyDescent="0.2">
      <c r="C408" s="8"/>
    </row>
    <row r="409" spans="3:3" ht="12.75" x14ac:dyDescent="0.2">
      <c r="C409" s="8"/>
    </row>
    <row r="410" spans="3:3" ht="12.75" x14ac:dyDescent="0.2">
      <c r="C410" s="8"/>
    </row>
    <row r="411" spans="3:3" ht="12.75" x14ac:dyDescent="0.2">
      <c r="C411" s="8"/>
    </row>
    <row r="412" spans="3:3" ht="12.75" x14ac:dyDescent="0.2">
      <c r="C412" s="8"/>
    </row>
    <row r="413" spans="3:3" ht="12.75" x14ac:dyDescent="0.2">
      <c r="C413" s="8"/>
    </row>
    <row r="414" spans="3:3" ht="12.75" x14ac:dyDescent="0.2">
      <c r="C414" s="8"/>
    </row>
    <row r="415" spans="3:3" ht="12.75" x14ac:dyDescent="0.2">
      <c r="C415" s="8"/>
    </row>
    <row r="416" spans="3:3" ht="12.75" x14ac:dyDescent="0.2">
      <c r="C416" s="8"/>
    </row>
    <row r="417" spans="3:3" ht="12.75" x14ac:dyDescent="0.2">
      <c r="C417" s="8"/>
    </row>
    <row r="418" spans="3:3" ht="12.75" x14ac:dyDescent="0.2">
      <c r="C418" s="8"/>
    </row>
    <row r="419" spans="3:3" ht="12.75" x14ac:dyDescent="0.2">
      <c r="C419" s="8"/>
    </row>
    <row r="420" spans="3:3" ht="12.75" x14ac:dyDescent="0.2">
      <c r="C420" s="8"/>
    </row>
    <row r="421" spans="3:3" ht="12.75" x14ac:dyDescent="0.2">
      <c r="C421" s="8"/>
    </row>
    <row r="422" spans="3:3" ht="12.75" x14ac:dyDescent="0.2">
      <c r="C422" s="8"/>
    </row>
    <row r="423" spans="3:3" ht="12.75" x14ac:dyDescent="0.2">
      <c r="C423" s="8"/>
    </row>
    <row r="424" spans="3:3" ht="12.75" x14ac:dyDescent="0.2">
      <c r="C424" s="8"/>
    </row>
    <row r="425" spans="3:3" ht="12.75" x14ac:dyDescent="0.2">
      <c r="C425" s="8"/>
    </row>
    <row r="426" spans="3:3" ht="12.75" x14ac:dyDescent="0.2">
      <c r="C426" s="8"/>
    </row>
    <row r="427" spans="3:3" ht="12.75" x14ac:dyDescent="0.2">
      <c r="C427" s="8"/>
    </row>
    <row r="428" spans="3:3" ht="12.75" x14ac:dyDescent="0.2">
      <c r="C428" s="8"/>
    </row>
    <row r="429" spans="3:3" ht="12.75" x14ac:dyDescent="0.2">
      <c r="C429" s="8"/>
    </row>
    <row r="430" spans="3:3" ht="12.75" x14ac:dyDescent="0.2">
      <c r="C430" s="8"/>
    </row>
    <row r="431" spans="3:3" ht="12.75" x14ac:dyDescent="0.2">
      <c r="C431" s="8"/>
    </row>
    <row r="432" spans="3:3" ht="12.75" x14ac:dyDescent="0.2">
      <c r="C432" s="8"/>
    </row>
    <row r="433" spans="3:3" ht="12.75" x14ac:dyDescent="0.2">
      <c r="C433" s="8"/>
    </row>
    <row r="434" spans="3:3" ht="12.75" x14ac:dyDescent="0.2">
      <c r="C434" s="8"/>
    </row>
    <row r="435" spans="3:3" ht="12.75" x14ac:dyDescent="0.2">
      <c r="C435" s="8"/>
    </row>
    <row r="436" spans="3:3" ht="12.75" x14ac:dyDescent="0.2">
      <c r="C436" s="8"/>
    </row>
    <row r="437" spans="3:3" ht="12.75" x14ac:dyDescent="0.2">
      <c r="C437" s="8"/>
    </row>
    <row r="438" spans="3:3" ht="12.75" x14ac:dyDescent="0.2">
      <c r="C438" s="8"/>
    </row>
    <row r="439" spans="3:3" ht="12.75" x14ac:dyDescent="0.2">
      <c r="C439" s="8"/>
    </row>
    <row r="440" spans="3:3" ht="12.75" x14ac:dyDescent="0.2">
      <c r="C440" s="8"/>
    </row>
    <row r="441" spans="3:3" ht="12.75" x14ac:dyDescent="0.2">
      <c r="C441" s="8"/>
    </row>
    <row r="442" spans="3:3" ht="12.75" x14ac:dyDescent="0.2">
      <c r="C442" s="8"/>
    </row>
    <row r="443" spans="3:3" ht="12.75" x14ac:dyDescent="0.2">
      <c r="C443" s="8"/>
    </row>
    <row r="444" spans="3:3" ht="12.75" x14ac:dyDescent="0.2">
      <c r="C444" s="8"/>
    </row>
    <row r="445" spans="3:3" ht="12.75" x14ac:dyDescent="0.2">
      <c r="C445" s="8"/>
    </row>
    <row r="446" spans="3:3" ht="12.75" x14ac:dyDescent="0.2">
      <c r="C446" s="8"/>
    </row>
    <row r="447" spans="3:3" ht="12.75" x14ac:dyDescent="0.2">
      <c r="C447" s="8"/>
    </row>
    <row r="448" spans="3:3" ht="12.75" x14ac:dyDescent="0.2">
      <c r="C448" s="8"/>
    </row>
    <row r="449" spans="3:3" ht="12.75" x14ac:dyDescent="0.2">
      <c r="C449" s="8"/>
    </row>
    <row r="450" spans="3:3" ht="12.75" x14ac:dyDescent="0.2">
      <c r="C450" s="8"/>
    </row>
    <row r="451" spans="3:3" ht="12.75" x14ac:dyDescent="0.2">
      <c r="C451" s="8"/>
    </row>
    <row r="452" spans="3:3" ht="12.75" x14ac:dyDescent="0.2">
      <c r="C452" s="8"/>
    </row>
    <row r="453" spans="3:3" ht="12.75" x14ac:dyDescent="0.2">
      <c r="C453" s="8"/>
    </row>
    <row r="454" spans="3:3" ht="12.75" x14ac:dyDescent="0.2">
      <c r="C454" s="8"/>
    </row>
    <row r="455" spans="3:3" ht="12.75" x14ac:dyDescent="0.2">
      <c r="C455" s="8"/>
    </row>
    <row r="456" spans="3:3" ht="12.75" x14ac:dyDescent="0.2">
      <c r="C456" s="8"/>
    </row>
    <row r="457" spans="3:3" ht="12.75" x14ac:dyDescent="0.2">
      <c r="C457" s="8"/>
    </row>
    <row r="458" spans="3:3" ht="12.75" x14ac:dyDescent="0.2">
      <c r="C458" s="8"/>
    </row>
    <row r="459" spans="3:3" ht="12.75" x14ac:dyDescent="0.2">
      <c r="C459" s="8"/>
    </row>
    <row r="460" spans="3:3" ht="12.75" x14ac:dyDescent="0.2">
      <c r="C460" s="8"/>
    </row>
    <row r="461" spans="3:3" ht="12.75" x14ac:dyDescent="0.2">
      <c r="C461" s="8"/>
    </row>
    <row r="462" spans="3:3" ht="12.75" x14ac:dyDescent="0.2">
      <c r="C462" s="8"/>
    </row>
    <row r="463" spans="3:3" ht="12.75" x14ac:dyDescent="0.2">
      <c r="C463" s="8"/>
    </row>
    <row r="464" spans="3:3" ht="12.75" x14ac:dyDescent="0.2">
      <c r="C464" s="8"/>
    </row>
    <row r="465" spans="3:3" ht="12.75" x14ac:dyDescent="0.2">
      <c r="C465" s="8"/>
    </row>
    <row r="466" spans="3:3" ht="12.75" x14ac:dyDescent="0.2">
      <c r="C466" s="8"/>
    </row>
    <row r="467" spans="3:3" ht="12.75" x14ac:dyDescent="0.2">
      <c r="C467" s="8"/>
    </row>
    <row r="468" spans="3:3" ht="12.75" x14ac:dyDescent="0.2">
      <c r="C468" s="8"/>
    </row>
    <row r="469" spans="3:3" ht="12.75" x14ac:dyDescent="0.2">
      <c r="C469" s="8"/>
    </row>
    <row r="470" spans="3:3" ht="12.75" x14ac:dyDescent="0.2">
      <c r="C470" s="8"/>
    </row>
    <row r="471" spans="3:3" ht="12.75" x14ac:dyDescent="0.2">
      <c r="C471" s="8"/>
    </row>
    <row r="472" spans="3:3" ht="12.75" x14ac:dyDescent="0.2">
      <c r="C472" s="8"/>
    </row>
    <row r="473" spans="3:3" ht="12.75" x14ac:dyDescent="0.2">
      <c r="C473" s="8"/>
    </row>
    <row r="474" spans="3:3" ht="12.75" x14ac:dyDescent="0.2">
      <c r="C474" s="8"/>
    </row>
    <row r="475" spans="3:3" ht="12.75" x14ac:dyDescent="0.2">
      <c r="C475" s="8"/>
    </row>
    <row r="476" spans="3:3" ht="12.75" x14ac:dyDescent="0.2">
      <c r="C476" s="8"/>
    </row>
    <row r="477" spans="3:3" ht="12.75" x14ac:dyDescent="0.2">
      <c r="C477" s="8"/>
    </row>
    <row r="478" spans="3:3" ht="12.75" x14ac:dyDescent="0.2">
      <c r="C478" s="8"/>
    </row>
    <row r="479" spans="3:3" ht="12.75" x14ac:dyDescent="0.2">
      <c r="C479" s="8"/>
    </row>
    <row r="480" spans="3:3" ht="12.75" x14ac:dyDescent="0.2">
      <c r="C480" s="8"/>
    </row>
    <row r="481" spans="3:3" ht="12.75" x14ac:dyDescent="0.2">
      <c r="C481" s="8"/>
    </row>
    <row r="482" spans="3:3" ht="12.75" x14ac:dyDescent="0.2">
      <c r="C482" s="8"/>
    </row>
    <row r="483" spans="3:3" ht="12.75" x14ac:dyDescent="0.2">
      <c r="C483" s="8"/>
    </row>
    <row r="484" spans="3:3" ht="12.75" x14ac:dyDescent="0.2">
      <c r="C484" s="8"/>
    </row>
    <row r="485" spans="3:3" ht="12.75" x14ac:dyDescent="0.2">
      <c r="C485" s="8"/>
    </row>
    <row r="486" spans="3:3" ht="12.75" x14ac:dyDescent="0.2">
      <c r="C486" s="8"/>
    </row>
    <row r="487" spans="3:3" ht="12.75" x14ac:dyDescent="0.2">
      <c r="C487" s="8"/>
    </row>
    <row r="488" spans="3:3" ht="12.75" x14ac:dyDescent="0.2">
      <c r="C488" s="8"/>
    </row>
    <row r="489" spans="3:3" ht="12.75" x14ac:dyDescent="0.2">
      <c r="C489" s="8"/>
    </row>
    <row r="490" spans="3:3" ht="12.75" x14ac:dyDescent="0.2">
      <c r="C490" s="8"/>
    </row>
    <row r="491" spans="3:3" ht="12.75" x14ac:dyDescent="0.2">
      <c r="C491" s="8"/>
    </row>
    <row r="492" spans="3:3" ht="12.75" x14ac:dyDescent="0.2">
      <c r="C492" s="8"/>
    </row>
    <row r="493" spans="3:3" ht="12.75" x14ac:dyDescent="0.2">
      <c r="C493" s="8"/>
    </row>
    <row r="494" spans="3:3" ht="12.75" x14ac:dyDescent="0.2">
      <c r="C494" s="8"/>
    </row>
    <row r="495" spans="3:3" ht="12.75" x14ac:dyDescent="0.2">
      <c r="C495" s="8"/>
    </row>
    <row r="496" spans="3:3" ht="12.75" x14ac:dyDescent="0.2">
      <c r="C496" s="8"/>
    </row>
    <row r="497" spans="3:3" ht="12.75" x14ac:dyDescent="0.2">
      <c r="C497" s="8"/>
    </row>
    <row r="498" spans="3:3" ht="12.75" x14ac:dyDescent="0.2">
      <c r="C498" s="8"/>
    </row>
    <row r="499" spans="3:3" ht="12.75" x14ac:dyDescent="0.2">
      <c r="C499" s="8"/>
    </row>
    <row r="500" spans="3:3" ht="12.75" x14ac:dyDescent="0.2">
      <c r="C500" s="8"/>
    </row>
    <row r="501" spans="3:3" ht="12.75" x14ac:dyDescent="0.2">
      <c r="C501" s="8"/>
    </row>
    <row r="502" spans="3:3" ht="12.75" x14ac:dyDescent="0.2">
      <c r="C502" s="8"/>
    </row>
    <row r="503" spans="3:3" ht="12.75" x14ac:dyDescent="0.2">
      <c r="C503" s="8"/>
    </row>
    <row r="504" spans="3:3" ht="12.75" x14ac:dyDescent="0.2">
      <c r="C504" s="8"/>
    </row>
    <row r="505" spans="3:3" ht="12.75" x14ac:dyDescent="0.2">
      <c r="C505" s="8"/>
    </row>
    <row r="506" spans="3:3" ht="12.75" x14ac:dyDescent="0.2">
      <c r="C506" s="8"/>
    </row>
    <row r="507" spans="3:3" ht="12.75" x14ac:dyDescent="0.2">
      <c r="C507" s="8"/>
    </row>
    <row r="508" spans="3:3" ht="12.75" x14ac:dyDescent="0.2">
      <c r="C508" s="8"/>
    </row>
    <row r="509" spans="3:3" ht="12.75" x14ac:dyDescent="0.2">
      <c r="C509" s="8"/>
    </row>
    <row r="510" spans="3:3" ht="12.75" x14ac:dyDescent="0.2">
      <c r="C510" s="8"/>
    </row>
    <row r="511" spans="3:3" ht="12.75" x14ac:dyDescent="0.2">
      <c r="C511" s="8"/>
    </row>
    <row r="512" spans="3:3" ht="12.75" x14ac:dyDescent="0.2">
      <c r="C512" s="8"/>
    </row>
    <row r="513" spans="3:3" ht="12.75" x14ac:dyDescent="0.2">
      <c r="C513" s="8"/>
    </row>
    <row r="514" spans="3:3" ht="12.75" x14ac:dyDescent="0.2">
      <c r="C514" s="8"/>
    </row>
    <row r="515" spans="3:3" ht="12.75" x14ac:dyDescent="0.2">
      <c r="C515" s="8"/>
    </row>
    <row r="516" spans="3:3" ht="12.75" x14ac:dyDescent="0.2">
      <c r="C516" s="8"/>
    </row>
    <row r="517" spans="3:3" ht="12.75" x14ac:dyDescent="0.2">
      <c r="C517" s="8"/>
    </row>
    <row r="518" spans="3:3" ht="12.75" x14ac:dyDescent="0.2">
      <c r="C518" s="8"/>
    </row>
    <row r="519" spans="3:3" ht="12.75" x14ac:dyDescent="0.2">
      <c r="C519" s="8"/>
    </row>
    <row r="520" spans="3:3" ht="12.75" x14ac:dyDescent="0.2">
      <c r="C520" s="8"/>
    </row>
    <row r="521" spans="3:3" ht="12.75" x14ac:dyDescent="0.2">
      <c r="C521" s="8"/>
    </row>
    <row r="522" spans="3:3" ht="12.75" x14ac:dyDescent="0.2">
      <c r="C522" s="8"/>
    </row>
    <row r="523" spans="3:3" ht="12.75" x14ac:dyDescent="0.2">
      <c r="C523" s="8"/>
    </row>
    <row r="524" spans="3:3" ht="12.75" x14ac:dyDescent="0.2">
      <c r="C524" s="8"/>
    </row>
    <row r="525" spans="3:3" ht="12.75" x14ac:dyDescent="0.2">
      <c r="C525" s="8"/>
    </row>
    <row r="526" spans="3:3" ht="12.75" x14ac:dyDescent="0.2">
      <c r="C526" s="8"/>
    </row>
    <row r="527" spans="3:3" ht="12.75" x14ac:dyDescent="0.2">
      <c r="C527" s="8"/>
    </row>
    <row r="528" spans="3:3" ht="12.75" x14ac:dyDescent="0.2">
      <c r="C528" s="8"/>
    </row>
    <row r="529" spans="3:3" ht="12.75" x14ac:dyDescent="0.2">
      <c r="C529" s="8"/>
    </row>
    <row r="530" spans="3:3" ht="12.75" x14ac:dyDescent="0.2">
      <c r="C530" s="8"/>
    </row>
    <row r="531" spans="3:3" ht="12.75" x14ac:dyDescent="0.2">
      <c r="C531" s="8"/>
    </row>
    <row r="532" spans="3:3" ht="12.75" x14ac:dyDescent="0.2">
      <c r="C532" s="8"/>
    </row>
    <row r="533" spans="3:3" ht="12.75" x14ac:dyDescent="0.2">
      <c r="C533" s="8"/>
    </row>
    <row r="534" spans="3:3" ht="12.75" x14ac:dyDescent="0.2">
      <c r="C534" s="8"/>
    </row>
    <row r="535" spans="3:3" ht="12.75" x14ac:dyDescent="0.2">
      <c r="C535" s="8"/>
    </row>
    <row r="536" spans="3:3" ht="12.75" x14ac:dyDescent="0.2">
      <c r="C536" s="8"/>
    </row>
    <row r="537" spans="3:3" ht="12.75" x14ac:dyDescent="0.2">
      <c r="C537" s="8"/>
    </row>
    <row r="538" spans="3:3" ht="12.75" x14ac:dyDescent="0.2">
      <c r="C538" s="8"/>
    </row>
    <row r="539" spans="3:3" ht="12.75" x14ac:dyDescent="0.2">
      <c r="C539" s="8"/>
    </row>
    <row r="540" spans="3:3" ht="12.75" x14ac:dyDescent="0.2">
      <c r="C540" s="8"/>
    </row>
    <row r="541" spans="3:3" ht="12.75" x14ac:dyDescent="0.2">
      <c r="C541" s="8"/>
    </row>
    <row r="542" spans="3:3" ht="12.75" x14ac:dyDescent="0.2">
      <c r="C542" s="8"/>
    </row>
    <row r="543" spans="3:3" ht="12.75" x14ac:dyDescent="0.2">
      <c r="C543" s="8"/>
    </row>
    <row r="544" spans="3:3" ht="12.75" x14ac:dyDescent="0.2">
      <c r="C544" s="8"/>
    </row>
    <row r="545" spans="3:3" ht="12.75" x14ac:dyDescent="0.2">
      <c r="C545" s="8"/>
    </row>
    <row r="546" spans="3:3" ht="12.75" x14ac:dyDescent="0.2">
      <c r="C546" s="8"/>
    </row>
    <row r="547" spans="3:3" ht="12.75" x14ac:dyDescent="0.2">
      <c r="C547" s="8"/>
    </row>
    <row r="548" spans="3:3" ht="12.75" x14ac:dyDescent="0.2">
      <c r="C548" s="8"/>
    </row>
    <row r="549" spans="3:3" ht="12.75" x14ac:dyDescent="0.2">
      <c r="C549" s="8"/>
    </row>
    <row r="550" spans="3:3" ht="12.75" x14ac:dyDescent="0.2">
      <c r="C550" s="8"/>
    </row>
    <row r="551" spans="3:3" ht="12.75" x14ac:dyDescent="0.2">
      <c r="C551" s="8"/>
    </row>
    <row r="552" spans="3:3" ht="12.75" x14ac:dyDescent="0.2">
      <c r="C552" s="8"/>
    </row>
    <row r="553" spans="3:3" ht="12.75" x14ac:dyDescent="0.2">
      <c r="C553" s="8"/>
    </row>
    <row r="554" spans="3:3" ht="12.75" x14ac:dyDescent="0.2">
      <c r="C554" s="8"/>
    </row>
    <row r="555" spans="3:3" ht="12.75" x14ac:dyDescent="0.2">
      <c r="C555" s="8"/>
    </row>
    <row r="556" spans="3:3" ht="12.75" x14ac:dyDescent="0.2">
      <c r="C556" s="8"/>
    </row>
    <row r="557" spans="3:3" ht="12.75" x14ac:dyDescent="0.2">
      <c r="C557" s="8"/>
    </row>
    <row r="558" spans="3:3" ht="12.75" x14ac:dyDescent="0.2">
      <c r="C558" s="8"/>
    </row>
    <row r="559" spans="3:3" ht="12.75" x14ac:dyDescent="0.2">
      <c r="C559" s="8"/>
    </row>
    <row r="560" spans="3:3" ht="12.75" x14ac:dyDescent="0.2">
      <c r="C560" s="8"/>
    </row>
    <row r="561" spans="3:3" ht="12.75" x14ac:dyDescent="0.2">
      <c r="C561" s="8"/>
    </row>
    <row r="562" spans="3:3" ht="12.75" x14ac:dyDescent="0.2">
      <c r="C562" s="8"/>
    </row>
    <row r="563" spans="3:3" ht="12.75" x14ac:dyDescent="0.2">
      <c r="C563" s="8"/>
    </row>
    <row r="564" spans="3:3" ht="12.75" x14ac:dyDescent="0.2">
      <c r="C564" s="8"/>
    </row>
    <row r="565" spans="3:3" ht="12.75" x14ac:dyDescent="0.2">
      <c r="C565" s="8"/>
    </row>
    <row r="566" spans="3:3" ht="12.75" x14ac:dyDescent="0.2">
      <c r="C566" s="8"/>
    </row>
    <row r="567" spans="3:3" ht="12.75" x14ac:dyDescent="0.2">
      <c r="C567" s="8"/>
    </row>
    <row r="568" spans="3:3" ht="12.75" x14ac:dyDescent="0.2">
      <c r="C568" s="8"/>
    </row>
    <row r="569" spans="3:3" ht="12.75" x14ac:dyDescent="0.2">
      <c r="C569" s="8"/>
    </row>
    <row r="570" spans="3:3" ht="12.75" x14ac:dyDescent="0.2">
      <c r="C570" s="8"/>
    </row>
    <row r="571" spans="3:3" ht="12.75" x14ac:dyDescent="0.2">
      <c r="C571" s="8"/>
    </row>
    <row r="572" spans="3:3" ht="12.75" x14ac:dyDescent="0.2">
      <c r="C572" s="8"/>
    </row>
    <row r="573" spans="3:3" ht="12.75" x14ac:dyDescent="0.2">
      <c r="C573" s="8"/>
    </row>
    <row r="574" spans="3:3" ht="12.75" x14ac:dyDescent="0.2">
      <c r="C574" s="8"/>
    </row>
    <row r="575" spans="3:3" ht="12.75" x14ac:dyDescent="0.2">
      <c r="C575" s="8"/>
    </row>
    <row r="576" spans="3:3" ht="12.75" x14ac:dyDescent="0.2">
      <c r="C576" s="8"/>
    </row>
    <row r="577" spans="3:3" ht="12.75" x14ac:dyDescent="0.2">
      <c r="C577" s="8"/>
    </row>
    <row r="578" spans="3:3" ht="12.75" x14ac:dyDescent="0.2">
      <c r="C578" s="8"/>
    </row>
    <row r="579" spans="3:3" ht="12.75" x14ac:dyDescent="0.2">
      <c r="C579" s="8"/>
    </row>
    <row r="580" spans="3:3" ht="12.75" x14ac:dyDescent="0.2">
      <c r="C580" s="8"/>
    </row>
    <row r="581" spans="3:3" ht="12.75" x14ac:dyDescent="0.2">
      <c r="C581" s="8"/>
    </row>
    <row r="582" spans="3:3" ht="12.75" x14ac:dyDescent="0.2">
      <c r="C582" s="8"/>
    </row>
    <row r="583" spans="3:3" ht="12.75" x14ac:dyDescent="0.2">
      <c r="C583" s="8"/>
    </row>
    <row r="584" spans="3:3" ht="12.75" x14ac:dyDescent="0.2">
      <c r="C584" s="8"/>
    </row>
    <row r="585" spans="3:3" ht="12.75" x14ac:dyDescent="0.2">
      <c r="C585" s="8"/>
    </row>
    <row r="586" spans="3:3" ht="12.75" x14ac:dyDescent="0.2">
      <c r="C586" s="8"/>
    </row>
    <row r="587" spans="3:3" ht="12.75" x14ac:dyDescent="0.2">
      <c r="C587" s="8"/>
    </row>
    <row r="588" spans="3:3" ht="12.75" x14ac:dyDescent="0.2">
      <c r="C588" s="8"/>
    </row>
    <row r="589" spans="3:3" ht="12.75" x14ac:dyDescent="0.2">
      <c r="C589" s="8"/>
    </row>
    <row r="590" spans="3:3" ht="12.75" x14ac:dyDescent="0.2">
      <c r="C590" s="8"/>
    </row>
    <row r="591" spans="3:3" ht="12.75" x14ac:dyDescent="0.2">
      <c r="C591" s="8"/>
    </row>
    <row r="592" spans="3:3" ht="12.75" x14ac:dyDescent="0.2">
      <c r="C592" s="8"/>
    </row>
    <row r="593" spans="3:3" ht="12.75" x14ac:dyDescent="0.2">
      <c r="C593" s="8"/>
    </row>
    <row r="594" spans="3:3" ht="12.75" x14ac:dyDescent="0.2">
      <c r="C594" s="8"/>
    </row>
    <row r="595" spans="3:3" ht="12.75" x14ac:dyDescent="0.2">
      <c r="C595" s="8"/>
    </row>
    <row r="596" spans="3:3" ht="12.75" x14ac:dyDescent="0.2">
      <c r="C596" s="8"/>
    </row>
    <row r="597" spans="3:3" ht="12.75" x14ac:dyDescent="0.2">
      <c r="C597" s="8"/>
    </row>
    <row r="598" spans="3:3" ht="12.75" x14ac:dyDescent="0.2">
      <c r="C598" s="8"/>
    </row>
    <row r="599" spans="3:3" ht="12.75" x14ac:dyDescent="0.2">
      <c r="C599" s="8"/>
    </row>
    <row r="600" spans="3:3" ht="12.75" x14ac:dyDescent="0.2">
      <c r="C600" s="8"/>
    </row>
    <row r="601" spans="3:3" ht="12.75" x14ac:dyDescent="0.2">
      <c r="C601" s="8"/>
    </row>
    <row r="602" spans="3:3" ht="12.75" x14ac:dyDescent="0.2">
      <c r="C602" s="8"/>
    </row>
    <row r="603" spans="3:3" ht="12.75" x14ac:dyDescent="0.2">
      <c r="C603" s="8"/>
    </row>
    <row r="604" spans="3:3" ht="12.75" x14ac:dyDescent="0.2">
      <c r="C604" s="8"/>
    </row>
    <row r="605" spans="3:3" ht="12.75" x14ac:dyDescent="0.2">
      <c r="C605" s="8"/>
    </row>
    <row r="606" spans="3:3" ht="12.75" x14ac:dyDescent="0.2">
      <c r="C606" s="8"/>
    </row>
    <row r="607" spans="3:3" ht="12.75" x14ac:dyDescent="0.2">
      <c r="C607" s="8"/>
    </row>
    <row r="608" spans="3:3" ht="12.75" x14ac:dyDescent="0.2">
      <c r="C608" s="8"/>
    </row>
    <row r="609" spans="3:3" ht="12.75" x14ac:dyDescent="0.2">
      <c r="C609" s="8"/>
    </row>
    <row r="610" spans="3:3" ht="12.75" x14ac:dyDescent="0.2">
      <c r="C610" s="8"/>
    </row>
    <row r="611" spans="3:3" ht="12.75" x14ac:dyDescent="0.2">
      <c r="C611" s="8"/>
    </row>
    <row r="612" spans="3:3" ht="12.75" x14ac:dyDescent="0.2">
      <c r="C612" s="8"/>
    </row>
    <row r="613" spans="3:3" ht="12.75" x14ac:dyDescent="0.2">
      <c r="C613" s="8"/>
    </row>
    <row r="614" spans="3:3" ht="12.75" x14ac:dyDescent="0.2">
      <c r="C614" s="8"/>
    </row>
    <row r="615" spans="3:3" ht="12.75" x14ac:dyDescent="0.2">
      <c r="C615" s="8"/>
    </row>
    <row r="616" spans="3:3" ht="12.75" x14ac:dyDescent="0.2">
      <c r="C616" s="8"/>
    </row>
    <row r="617" spans="3:3" ht="12.75" x14ac:dyDescent="0.2">
      <c r="C617" s="8"/>
    </row>
    <row r="618" spans="3:3" ht="12.75" x14ac:dyDescent="0.2">
      <c r="C618" s="8"/>
    </row>
    <row r="619" spans="3:3" ht="12.75" x14ac:dyDescent="0.2">
      <c r="C619" s="8"/>
    </row>
    <row r="620" spans="3:3" ht="12.75" x14ac:dyDescent="0.2">
      <c r="C620" s="8"/>
    </row>
    <row r="621" spans="3:3" ht="12.75" x14ac:dyDescent="0.2">
      <c r="C621" s="8"/>
    </row>
    <row r="622" spans="3:3" ht="12.75" x14ac:dyDescent="0.2">
      <c r="C622" s="8"/>
    </row>
    <row r="623" spans="3:3" ht="12.75" x14ac:dyDescent="0.2">
      <c r="C623" s="8"/>
    </row>
    <row r="624" spans="3:3" ht="12.75" x14ac:dyDescent="0.2">
      <c r="C624" s="8"/>
    </row>
    <row r="625" spans="3:3" ht="12.75" x14ac:dyDescent="0.2">
      <c r="C625" s="8"/>
    </row>
    <row r="626" spans="3:3" ht="12.75" x14ac:dyDescent="0.2">
      <c r="C626" s="8"/>
    </row>
    <row r="627" spans="3:3" ht="12.75" x14ac:dyDescent="0.2">
      <c r="C627" s="8"/>
    </row>
    <row r="628" spans="3:3" ht="12.75" x14ac:dyDescent="0.2">
      <c r="C628" s="8"/>
    </row>
    <row r="629" spans="3:3" ht="12.75" x14ac:dyDescent="0.2">
      <c r="C629" s="8"/>
    </row>
    <row r="630" spans="3:3" ht="12.75" x14ac:dyDescent="0.2">
      <c r="C630" s="8"/>
    </row>
    <row r="631" spans="3:3" ht="12.75" x14ac:dyDescent="0.2">
      <c r="C631" s="8"/>
    </row>
    <row r="632" spans="3:3" ht="12.75" x14ac:dyDescent="0.2">
      <c r="C632" s="8"/>
    </row>
    <row r="633" spans="3:3" ht="12.75" x14ac:dyDescent="0.2">
      <c r="C633" s="8"/>
    </row>
    <row r="634" spans="3:3" ht="12.75" x14ac:dyDescent="0.2">
      <c r="C634" s="8"/>
    </row>
    <row r="635" spans="3:3" ht="12.75" x14ac:dyDescent="0.2">
      <c r="C635" s="8"/>
    </row>
    <row r="636" spans="3:3" ht="12.75" x14ac:dyDescent="0.2">
      <c r="C636" s="8"/>
    </row>
    <row r="637" spans="3:3" ht="12.75" x14ac:dyDescent="0.2">
      <c r="C637" s="8"/>
    </row>
    <row r="638" spans="3:3" ht="12.75" x14ac:dyDescent="0.2">
      <c r="C638" s="8"/>
    </row>
    <row r="639" spans="3:3" ht="12.75" x14ac:dyDescent="0.2">
      <c r="C639" s="8"/>
    </row>
    <row r="640" spans="3:3" ht="12.75" x14ac:dyDescent="0.2">
      <c r="C640" s="8"/>
    </row>
    <row r="641" spans="3:3" ht="12.75" x14ac:dyDescent="0.2">
      <c r="C641" s="8"/>
    </row>
    <row r="642" spans="3:3" ht="12.75" x14ac:dyDescent="0.2">
      <c r="C642" s="8"/>
    </row>
    <row r="643" spans="3:3" ht="12.75" x14ac:dyDescent="0.2">
      <c r="C643" s="8"/>
    </row>
    <row r="644" spans="3:3" ht="12.75" x14ac:dyDescent="0.2">
      <c r="C644" s="8"/>
    </row>
    <row r="645" spans="3:3" ht="12.75" x14ac:dyDescent="0.2">
      <c r="C645" s="8"/>
    </row>
    <row r="646" spans="3:3" ht="12.75" x14ac:dyDescent="0.2">
      <c r="C646" s="8"/>
    </row>
    <row r="647" spans="3:3" ht="12.75" x14ac:dyDescent="0.2">
      <c r="C647" s="8"/>
    </row>
    <row r="648" spans="3:3" ht="12.75" x14ac:dyDescent="0.2">
      <c r="C648" s="8"/>
    </row>
    <row r="649" spans="3:3" ht="12.75" x14ac:dyDescent="0.2">
      <c r="C649" s="8"/>
    </row>
    <row r="650" spans="3:3" ht="12.75" x14ac:dyDescent="0.2">
      <c r="C650" s="8"/>
    </row>
    <row r="651" spans="3:3" ht="12.75" x14ac:dyDescent="0.2">
      <c r="C651" s="8"/>
    </row>
    <row r="652" spans="3:3" ht="12.75" x14ac:dyDescent="0.2">
      <c r="C652" s="8"/>
    </row>
    <row r="653" spans="3:3" ht="12.75" x14ac:dyDescent="0.2">
      <c r="C653" s="8"/>
    </row>
    <row r="654" spans="3:3" ht="12.75" x14ac:dyDescent="0.2">
      <c r="C654" s="8"/>
    </row>
    <row r="655" spans="3:3" ht="12.75" x14ac:dyDescent="0.2">
      <c r="C655" s="8"/>
    </row>
    <row r="656" spans="3:3" ht="12.75" x14ac:dyDescent="0.2">
      <c r="C656" s="8"/>
    </row>
    <row r="657" spans="3:3" ht="12.75" x14ac:dyDescent="0.2">
      <c r="C657" s="8"/>
    </row>
    <row r="658" spans="3:3" ht="12.75" x14ac:dyDescent="0.2">
      <c r="C658" s="8"/>
    </row>
    <row r="659" spans="3:3" ht="12.75" x14ac:dyDescent="0.2">
      <c r="C659" s="8"/>
    </row>
    <row r="660" spans="3:3" ht="12.75" x14ac:dyDescent="0.2">
      <c r="C660" s="8"/>
    </row>
    <row r="661" spans="3:3" ht="12.75" x14ac:dyDescent="0.2">
      <c r="C661" s="8"/>
    </row>
    <row r="662" spans="3:3" ht="12.75" x14ac:dyDescent="0.2">
      <c r="C662" s="8"/>
    </row>
    <row r="663" spans="3:3" ht="12.75" x14ac:dyDescent="0.2">
      <c r="C663" s="8"/>
    </row>
    <row r="664" spans="3:3" ht="12.75" x14ac:dyDescent="0.2">
      <c r="C664" s="8"/>
    </row>
    <row r="665" spans="3:3" ht="12.75" x14ac:dyDescent="0.2">
      <c r="C665" s="8"/>
    </row>
    <row r="666" spans="3:3" ht="12.75" x14ac:dyDescent="0.2">
      <c r="C666" s="8"/>
    </row>
    <row r="667" spans="3:3" ht="12.75" x14ac:dyDescent="0.2">
      <c r="C667" s="8"/>
    </row>
    <row r="668" spans="3:3" ht="12.75" x14ac:dyDescent="0.2">
      <c r="C668" s="8"/>
    </row>
    <row r="669" spans="3:3" ht="12.75" x14ac:dyDescent="0.2">
      <c r="C669" s="8"/>
    </row>
    <row r="670" spans="3:3" ht="12.75" x14ac:dyDescent="0.2">
      <c r="C670" s="8"/>
    </row>
    <row r="671" spans="3:3" ht="12.75" x14ac:dyDescent="0.2">
      <c r="C671" s="8"/>
    </row>
    <row r="672" spans="3:3" ht="12.75" x14ac:dyDescent="0.2">
      <c r="C672" s="8"/>
    </row>
    <row r="673" spans="3:3" ht="12.75" x14ac:dyDescent="0.2">
      <c r="C673" s="8"/>
    </row>
    <row r="674" spans="3:3" ht="12.75" x14ac:dyDescent="0.2">
      <c r="C674" s="8"/>
    </row>
  </sheetData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Q78"/>
  <sheetViews>
    <sheetView workbookViewId="0">
      <pane xSplit="1" topLeftCell="B1" activePane="topRight" state="frozen"/>
      <selection pane="topRight" activeCell="C2" sqref="C2"/>
    </sheetView>
  </sheetViews>
  <sheetFormatPr defaultColWidth="14.42578125" defaultRowHeight="15.75" customHeight="1" outlineLevelRow="1" outlineLevelCol="1" x14ac:dyDescent="0.2"/>
  <cols>
    <col min="1" max="1" width="32.140625" customWidth="1"/>
    <col min="2" max="2" width="21" customWidth="1" outlineLevel="1"/>
    <col min="3" max="3" width="18.5703125" customWidth="1" outlineLevel="1"/>
    <col min="4" max="4" width="14.5703125" customWidth="1" outlineLevel="1"/>
    <col min="5" max="5" width="12.140625" customWidth="1" outlineLevel="1"/>
    <col min="6" max="6" width="14.42578125" outlineLevel="1"/>
    <col min="7" max="7" width="19.7109375" customWidth="1"/>
    <col min="8" max="8" width="18.28515625" customWidth="1"/>
    <col min="10" max="10" width="16" customWidth="1"/>
    <col min="14" max="14" width="18" customWidth="1"/>
  </cols>
  <sheetData>
    <row r="1" spans="1:17" ht="18" x14ac:dyDescent="0.25">
      <c r="A1" s="2" t="s">
        <v>0</v>
      </c>
      <c r="B1" s="3" t="s">
        <v>81</v>
      </c>
      <c r="C1" s="4"/>
    </row>
    <row r="2" spans="1:17" ht="15.75" customHeight="1" x14ac:dyDescent="0.2">
      <c r="A2" s="5"/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  <c r="L2" s="3" t="s">
        <v>20</v>
      </c>
      <c r="M2" s="3" t="s">
        <v>21</v>
      </c>
      <c r="N2" s="3" t="s">
        <v>22</v>
      </c>
      <c r="O2" s="3" t="s">
        <v>23</v>
      </c>
      <c r="P2" s="3" t="s">
        <v>24</v>
      </c>
      <c r="Q2" s="3" t="s">
        <v>25</v>
      </c>
    </row>
    <row r="3" spans="1:17" ht="15.75" customHeight="1" x14ac:dyDescent="0.2">
      <c r="A3" s="7"/>
      <c r="C3" s="3" t="s">
        <v>26</v>
      </c>
      <c r="D3" s="3" t="s">
        <v>82</v>
      </c>
      <c r="E3" s="3">
        <v>54442498</v>
      </c>
      <c r="F3" s="3">
        <v>102492</v>
      </c>
      <c r="G3" s="3">
        <v>0.19</v>
      </c>
      <c r="H3" s="3">
        <v>3523056.1</v>
      </c>
      <c r="I3" s="3">
        <v>34.369999999999997</v>
      </c>
      <c r="J3" s="3" t="s">
        <v>27</v>
      </c>
      <c r="K3" s="3" t="s">
        <v>27</v>
      </c>
      <c r="L3" s="3">
        <v>2.08</v>
      </c>
      <c r="M3" s="3">
        <v>19506</v>
      </c>
      <c r="N3" s="3">
        <v>19.03</v>
      </c>
      <c r="O3" s="3">
        <v>180.61</v>
      </c>
      <c r="P3" s="3" t="s">
        <v>27</v>
      </c>
      <c r="Q3" s="3">
        <v>0</v>
      </c>
    </row>
    <row r="4" spans="1:17" ht="15.75" customHeight="1" x14ac:dyDescent="0.2">
      <c r="A4" s="7"/>
      <c r="D4" s="3" t="s">
        <v>28</v>
      </c>
      <c r="E4" s="3">
        <v>54442498</v>
      </c>
      <c r="F4" s="3">
        <v>102492</v>
      </c>
      <c r="G4" s="3">
        <v>0.19</v>
      </c>
      <c r="H4" s="3">
        <v>3523056.1</v>
      </c>
      <c r="I4" s="3">
        <v>34.369999999999997</v>
      </c>
      <c r="J4" s="3" t="s">
        <v>27</v>
      </c>
      <c r="K4" s="3" t="s">
        <v>27</v>
      </c>
      <c r="L4" s="3">
        <v>2.08</v>
      </c>
      <c r="M4" s="3">
        <v>19506</v>
      </c>
      <c r="N4" s="3">
        <v>19.03</v>
      </c>
      <c r="O4" s="3">
        <v>180.61</v>
      </c>
      <c r="P4" s="3" t="s">
        <v>27</v>
      </c>
      <c r="Q4" s="3">
        <v>0</v>
      </c>
    </row>
    <row r="5" spans="1:17" ht="15.75" customHeight="1" x14ac:dyDescent="0.2">
      <c r="A5" s="7"/>
    </row>
    <row r="6" spans="1:17" ht="15.75" customHeight="1" x14ac:dyDescent="0.2">
      <c r="A6" s="9" t="s">
        <v>83</v>
      </c>
      <c r="B6" s="3" t="s">
        <v>83</v>
      </c>
      <c r="C6" s="3" t="s">
        <v>84</v>
      </c>
      <c r="D6" s="3" t="s">
        <v>82</v>
      </c>
      <c r="E6" s="3">
        <v>315278</v>
      </c>
      <c r="F6" s="3">
        <v>8489</v>
      </c>
      <c r="G6" s="3">
        <v>2.69</v>
      </c>
      <c r="H6" s="3">
        <v>154986.25</v>
      </c>
      <c r="I6" s="3">
        <v>18.260000000000002</v>
      </c>
      <c r="J6" s="3" t="s">
        <v>27</v>
      </c>
      <c r="K6" s="3" t="s">
        <v>27</v>
      </c>
      <c r="L6" s="3">
        <v>1.08</v>
      </c>
      <c r="M6" s="3">
        <v>303</v>
      </c>
      <c r="N6" s="3">
        <v>3.57</v>
      </c>
      <c r="O6" s="3">
        <v>511.51</v>
      </c>
      <c r="P6" s="3" t="s">
        <v>27</v>
      </c>
      <c r="Q6" s="3">
        <v>0</v>
      </c>
    </row>
    <row r="7" spans="1:17" ht="15.75" customHeight="1" x14ac:dyDescent="0.2">
      <c r="A7" s="7"/>
      <c r="D7" s="3" t="s">
        <v>28</v>
      </c>
      <c r="E7" s="3">
        <v>315278</v>
      </c>
      <c r="F7" s="3">
        <v>8489</v>
      </c>
      <c r="G7" s="3">
        <v>2.69</v>
      </c>
      <c r="H7" s="3">
        <v>154986.25</v>
      </c>
      <c r="I7" s="3">
        <v>18.260000000000002</v>
      </c>
      <c r="J7" s="3" t="s">
        <v>27</v>
      </c>
      <c r="K7" s="3" t="s">
        <v>27</v>
      </c>
      <c r="L7" s="3">
        <v>1.08</v>
      </c>
      <c r="M7" s="3">
        <v>303</v>
      </c>
      <c r="N7" s="3">
        <v>3.57</v>
      </c>
      <c r="O7" s="3">
        <v>511.51</v>
      </c>
      <c r="P7" s="3" t="s">
        <v>27</v>
      </c>
      <c r="Q7" s="3">
        <v>0</v>
      </c>
    </row>
    <row r="8" spans="1:17" ht="15.75" customHeight="1" x14ac:dyDescent="0.2">
      <c r="A8" s="7"/>
    </row>
    <row r="9" spans="1:17" ht="15.75" customHeight="1" x14ac:dyDescent="0.2">
      <c r="A9" s="9" t="s">
        <v>1</v>
      </c>
      <c r="B9" s="3" t="s">
        <v>1</v>
      </c>
      <c r="C9" s="3" t="s">
        <v>75</v>
      </c>
      <c r="D9" s="3" t="s">
        <v>82</v>
      </c>
      <c r="E9" s="3">
        <v>21429710</v>
      </c>
      <c r="F9" s="3">
        <v>24680</v>
      </c>
      <c r="G9" s="3">
        <v>0.12</v>
      </c>
      <c r="H9" s="3">
        <v>1204525.83</v>
      </c>
      <c r="I9" s="3">
        <v>48.81</v>
      </c>
      <c r="J9" s="3" t="s">
        <v>27</v>
      </c>
      <c r="K9" s="3" t="s">
        <v>27</v>
      </c>
      <c r="L9" s="3">
        <v>2.4500000000000002</v>
      </c>
      <c r="M9" s="3">
        <v>7727</v>
      </c>
      <c r="N9" s="3">
        <v>31.31</v>
      </c>
      <c r="O9" s="3">
        <v>155.88999999999999</v>
      </c>
      <c r="P9" s="3" t="s">
        <v>27</v>
      </c>
      <c r="Q9" s="3">
        <v>0</v>
      </c>
    </row>
    <row r="10" spans="1:17" ht="15.75" customHeight="1" x14ac:dyDescent="0.2">
      <c r="A10" s="7"/>
      <c r="D10" s="3" t="s">
        <v>28</v>
      </c>
      <c r="E10" s="3">
        <v>21429710</v>
      </c>
      <c r="F10" s="3">
        <v>24680</v>
      </c>
      <c r="G10" s="3">
        <v>0.12</v>
      </c>
      <c r="H10" s="3">
        <v>1204525.83</v>
      </c>
      <c r="I10" s="3">
        <v>48.81</v>
      </c>
      <c r="J10" s="3" t="s">
        <v>27</v>
      </c>
      <c r="K10" s="3" t="s">
        <v>27</v>
      </c>
      <c r="L10" s="3">
        <v>2.4500000000000002</v>
      </c>
      <c r="M10" s="3">
        <v>7727</v>
      </c>
      <c r="N10" s="3">
        <v>31.31</v>
      </c>
      <c r="O10" s="3">
        <v>155.88999999999999</v>
      </c>
      <c r="P10" s="3" t="s">
        <v>27</v>
      </c>
      <c r="Q10" s="3">
        <v>0</v>
      </c>
    </row>
    <row r="11" spans="1:17" ht="15.75" customHeight="1" x14ac:dyDescent="0.2">
      <c r="A11" s="7"/>
    </row>
    <row r="12" spans="1:17" ht="15.75" customHeight="1" x14ac:dyDescent="0.2">
      <c r="A12" s="9" t="s">
        <v>85</v>
      </c>
      <c r="B12" s="3" t="s">
        <v>85</v>
      </c>
      <c r="C12" s="3" t="s">
        <v>86</v>
      </c>
      <c r="D12" s="3" t="s">
        <v>82</v>
      </c>
      <c r="E12" s="3">
        <v>12864</v>
      </c>
      <c r="F12" s="3">
        <v>1152</v>
      </c>
      <c r="G12" s="3">
        <v>8.9600000000000009</v>
      </c>
      <c r="H12" s="3">
        <v>70349.02</v>
      </c>
      <c r="I12" s="3">
        <v>61.07</v>
      </c>
      <c r="J12" s="3" t="s">
        <v>27</v>
      </c>
      <c r="K12" s="3" t="s">
        <v>27</v>
      </c>
      <c r="L12" s="3">
        <v>4.8</v>
      </c>
      <c r="M12" s="3">
        <v>635</v>
      </c>
      <c r="N12" s="3">
        <v>55.12</v>
      </c>
      <c r="O12" s="3">
        <v>110.79</v>
      </c>
      <c r="P12" s="3" t="s">
        <v>27</v>
      </c>
      <c r="Q12" s="3">
        <v>0</v>
      </c>
    </row>
    <row r="13" spans="1:17" ht="15.75" customHeight="1" x14ac:dyDescent="0.2">
      <c r="A13" s="7"/>
      <c r="D13" s="3" t="s">
        <v>28</v>
      </c>
      <c r="E13" s="3">
        <v>12864</v>
      </c>
      <c r="F13" s="3">
        <v>1152</v>
      </c>
      <c r="G13" s="3">
        <v>8.9600000000000009</v>
      </c>
      <c r="H13" s="3">
        <v>70349.02</v>
      </c>
      <c r="I13" s="3">
        <v>61.07</v>
      </c>
      <c r="J13" s="3" t="s">
        <v>27</v>
      </c>
      <c r="K13" s="3" t="s">
        <v>27</v>
      </c>
      <c r="L13" s="3">
        <v>4.8</v>
      </c>
      <c r="M13" s="3">
        <v>635</v>
      </c>
      <c r="N13" s="3">
        <v>55.12</v>
      </c>
      <c r="O13" s="3">
        <v>110.79</v>
      </c>
      <c r="P13" s="3" t="s">
        <v>27</v>
      </c>
      <c r="Q13" s="3">
        <v>0</v>
      </c>
    </row>
    <row r="14" spans="1:17" ht="15.75" customHeight="1" x14ac:dyDescent="0.2">
      <c r="A14" s="7"/>
    </row>
    <row r="15" spans="1:17" ht="15.75" customHeight="1" x14ac:dyDescent="0.2">
      <c r="A15" s="9" t="s">
        <v>4</v>
      </c>
      <c r="B15" s="3" t="s">
        <v>4</v>
      </c>
      <c r="C15" s="3" t="s">
        <v>5</v>
      </c>
      <c r="D15" s="3" t="s">
        <v>82</v>
      </c>
      <c r="E15" s="3">
        <v>26034408</v>
      </c>
      <c r="F15" s="3">
        <v>54039</v>
      </c>
      <c r="G15" s="3">
        <v>0.21</v>
      </c>
      <c r="H15" s="3">
        <v>1364983.86</v>
      </c>
      <c r="I15" s="3">
        <v>25.26</v>
      </c>
      <c r="J15" s="3" t="s">
        <v>27</v>
      </c>
      <c r="K15" s="3" t="s">
        <v>27</v>
      </c>
      <c r="L15" s="3">
        <v>2.11</v>
      </c>
      <c r="M15" s="3">
        <v>8278</v>
      </c>
      <c r="N15" s="3">
        <v>15.32</v>
      </c>
      <c r="O15" s="3">
        <v>164.89</v>
      </c>
      <c r="P15" s="3" t="s">
        <v>27</v>
      </c>
      <c r="Q15" s="3">
        <v>0</v>
      </c>
    </row>
    <row r="16" spans="1:17" ht="15.75" customHeight="1" x14ac:dyDescent="0.2">
      <c r="D16" s="3" t="s">
        <v>28</v>
      </c>
      <c r="E16" s="3">
        <v>26034408</v>
      </c>
      <c r="F16" s="3">
        <v>54039</v>
      </c>
      <c r="G16" s="3">
        <v>0.21</v>
      </c>
      <c r="H16" s="3">
        <v>1364983.86</v>
      </c>
      <c r="I16" s="3">
        <v>25.26</v>
      </c>
      <c r="J16" s="3" t="s">
        <v>27</v>
      </c>
      <c r="K16" s="3" t="s">
        <v>27</v>
      </c>
      <c r="L16" s="3">
        <v>2.11</v>
      </c>
      <c r="M16" s="3">
        <v>8278</v>
      </c>
      <c r="N16" s="3">
        <v>15.32</v>
      </c>
      <c r="O16" s="3">
        <v>164.89</v>
      </c>
      <c r="P16" s="3" t="s">
        <v>27</v>
      </c>
      <c r="Q16" s="3">
        <v>0</v>
      </c>
    </row>
    <row r="18" spans="1:17" ht="15.75" customHeight="1" x14ac:dyDescent="0.2">
      <c r="A18" s="1" t="s">
        <v>7</v>
      </c>
      <c r="B18" s="3" t="s">
        <v>7</v>
      </c>
      <c r="C18" s="3" t="s">
        <v>8</v>
      </c>
      <c r="D18" s="3" t="s">
        <v>82</v>
      </c>
      <c r="E18" s="3">
        <v>6141819</v>
      </c>
      <c r="F18" s="3">
        <v>12168</v>
      </c>
      <c r="G18" s="3">
        <v>0.2</v>
      </c>
      <c r="H18" s="3">
        <v>543871.24</v>
      </c>
      <c r="I18" s="3">
        <v>44.7</v>
      </c>
      <c r="J18" s="3" t="s">
        <v>27</v>
      </c>
      <c r="K18" s="3" t="s">
        <v>27</v>
      </c>
      <c r="L18" s="3">
        <v>1.08</v>
      </c>
      <c r="M18" s="3">
        <v>1793</v>
      </c>
      <c r="N18" s="3">
        <v>14.74</v>
      </c>
      <c r="O18" s="3">
        <v>303.33</v>
      </c>
      <c r="P18" s="3" t="s">
        <v>27</v>
      </c>
      <c r="Q18" s="3">
        <v>0</v>
      </c>
    </row>
    <row r="19" spans="1:17" ht="15.75" customHeight="1" x14ac:dyDescent="0.2">
      <c r="D19" s="3" t="s">
        <v>28</v>
      </c>
      <c r="E19" s="3">
        <v>6141819</v>
      </c>
      <c r="F19" s="3">
        <v>12168</v>
      </c>
      <c r="G19" s="3">
        <v>0.2</v>
      </c>
      <c r="H19" s="3">
        <v>543871.24</v>
      </c>
      <c r="I19" s="3">
        <v>44.7</v>
      </c>
      <c r="J19" s="3" t="s">
        <v>27</v>
      </c>
      <c r="K19" s="3" t="s">
        <v>27</v>
      </c>
      <c r="L19" s="3">
        <v>1.08</v>
      </c>
      <c r="M19" s="3">
        <v>1793</v>
      </c>
      <c r="N19" s="3">
        <v>14.74</v>
      </c>
      <c r="O19" s="3">
        <v>303.33</v>
      </c>
      <c r="P19" s="3" t="s">
        <v>27</v>
      </c>
      <c r="Q19" s="3">
        <v>0</v>
      </c>
    </row>
    <row r="21" spans="1:17" ht="15.75" customHeight="1" x14ac:dyDescent="0.2">
      <c r="A21" s="1" t="s">
        <v>29</v>
      </c>
      <c r="B21" s="3" t="s">
        <v>29</v>
      </c>
      <c r="C21" s="3" t="s">
        <v>76</v>
      </c>
      <c r="D21" s="3" t="s">
        <v>82</v>
      </c>
      <c r="E21" s="3">
        <v>508419</v>
      </c>
      <c r="F21" s="3">
        <v>1964</v>
      </c>
      <c r="G21" s="3">
        <v>0.39</v>
      </c>
      <c r="H21" s="3">
        <v>184339.9</v>
      </c>
      <c r="I21" s="3">
        <v>93.86</v>
      </c>
      <c r="J21" s="3" t="s">
        <v>27</v>
      </c>
      <c r="K21" s="3" t="s">
        <v>27</v>
      </c>
      <c r="L21" s="3">
        <v>2.41</v>
      </c>
      <c r="M21" s="3">
        <v>770</v>
      </c>
      <c r="N21" s="3">
        <v>39.21</v>
      </c>
      <c r="O21" s="3">
        <v>239.4</v>
      </c>
      <c r="P21" s="3" t="s">
        <v>27</v>
      </c>
      <c r="Q21" s="3">
        <v>0</v>
      </c>
    </row>
    <row r="22" spans="1:17" ht="15.75" customHeight="1" x14ac:dyDescent="0.2">
      <c r="D22" s="3" t="s">
        <v>28</v>
      </c>
      <c r="E22" s="3">
        <v>508419</v>
      </c>
      <c r="F22" s="3">
        <v>1964</v>
      </c>
      <c r="G22" s="3">
        <v>0.39</v>
      </c>
      <c r="H22" s="3">
        <v>184339.9</v>
      </c>
      <c r="I22" s="3">
        <v>93.86</v>
      </c>
      <c r="J22" s="3" t="s">
        <v>27</v>
      </c>
      <c r="K22" s="3" t="s">
        <v>27</v>
      </c>
      <c r="L22" s="3">
        <v>2.41</v>
      </c>
      <c r="M22" s="3">
        <v>770</v>
      </c>
      <c r="N22" s="3">
        <v>39.21</v>
      </c>
      <c r="O22" s="3">
        <v>239.4</v>
      </c>
      <c r="P22" s="3" t="s">
        <v>27</v>
      </c>
      <c r="Q22" s="3">
        <v>0</v>
      </c>
    </row>
    <row r="24" spans="1:17" ht="18" x14ac:dyDescent="0.25">
      <c r="A24" s="10" t="s">
        <v>30</v>
      </c>
      <c r="B24" s="11" t="s">
        <v>31</v>
      </c>
      <c r="C24" s="11"/>
      <c r="D24" s="12"/>
      <c r="E24" s="11"/>
      <c r="F24" s="13"/>
      <c r="G24" s="11"/>
      <c r="H24" s="11"/>
      <c r="I24" s="11"/>
      <c r="J24" s="11"/>
      <c r="K24" s="11"/>
      <c r="L24" s="11"/>
      <c r="M24" s="11"/>
      <c r="N24" s="11"/>
      <c r="O24" s="14"/>
    </row>
    <row r="25" spans="1:17" ht="15.75" customHeight="1" x14ac:dyDescent="0.2">
      <c r="A25" s="15"/>
      <c r="B25" s="3" t="s">
        <v>87</v>
      </c>
      <c r="C25" s="3"/>
      <c r="D25" s="17"/>
      <c r="E25" s="3"/>
      <c r="F25" s="18"/>
      <c r="G25" s="3"/>
      <c r="H25" s="3"/>
      <c r="I25" s="3"/>
      <c r="J25" s="3"/>
      <c r="K25" s="3"/>
      <c r="L25" s="3"/>
      <c r="M25" s="3"/>
      <c r="N25" s="3"/>
      <c r="O25" s="19"/>
    </row>
    <row r="26" spans="1:17" ht="15.75" customHeight="1" x14ac:dyDescent="0.2">
      <c r="A26" s="15"/>
      <c r="B26" s="3" t="s">
        <v>32</v>
      </c>
      <c r="C26" s="3" t="s">
        <v>33</v>
      </c>
      <c r="D26" s="3" t="s">
        <v>34</v>
      </c>
      <c r="E26" s="3" t="s">
        <v>35</v>
      </c>
      <c r="F26" s="18" t="s">
        <v>36</v>
      </c>
      <c r="G26" s="3" t="s">
        <v>13</v>
      </c>
      <c r="H26" s="3" t="s">
        <v>37</v>
      </c>
      <c r="I26" s="3" t="s">
        <v>38</v>
      </c>
      <c r="J26" s="3" t="s">
        <v>39</v>
      </c>
      <c r="K26" s="3" t="s">
        <v>40</v>
      </c>
      <c r="L26" s="3" t="s">
        <v>21</v>
      </c>
      <c r="M26" s="3" t="s">
        <v>41</v>
      </c>
      <c r="N26" s="3" t="s">
        <v>42</v>
      </c>
      <c r="O26" s="20" t="s">
        <v>43</v>
      </c>
    </row>
    <row r="27" spans="1:17" ht="15.75" customHeight="1" x14ac:dyDescent="0.2">
      <c r="A27" s="64" t="s">
        <v>86</v>
      </c>
      <c r="B27" s="3" t="s">
        <v>86</v>
      </c>
      <c r="C27" s="3" t="s">
        <v>88</v>
      </c>
      <c r="D27" s="17">
        <v>43817</v>
      </c>
      <c r="E27" s="18" t="s">
        <v>45</v>
      </c>
      <c r="F27" s="18">
        <v>472</v>
      </c>
      <c r="G27" s="18">
        <v>3093</v>
      </c>
      <c r="H27" s="3" t="s">
        <v>89</v>
      </c>
      <c r="I27" s="22">
        <v>133.75</v>
      </c>
      <c r="J27" s="22">
        <v>63131.41</v>
      </c>
      <c r="K27" s="3">
        <v>2.2200000000000002</v>
      </c>
      <c r="L27" s="3">
        <v>5</v>
      </c>
      <c r="M27" s="22">
        <v>0</v>
      </c>
      <c r="N27" s="22">
        <v>12466.42</v>
      </c>
      <c r="O27" s="20" t="s">
        <v>90</v>
      </c>
    </row>
    <row r="28" spans="1:17" ht="15.75" customHeight="1" x14ac:dyDescent="0.2">
      <c r="A28" s="16" t="s">
        <v>8</v>
      </c>
      <c r="B28" s="3" t="s">
        <v>8</v>
      </c>
      <c r="C28" s="3" t="s">
        <v>44</v>
      </c>
      <c r="D28" s="17">
        <v>43817</v>
      </c>
      <c r="E28" s="18" t="s">
        <v>45</v>
      </c>
      <c r="F28" s="18">
        <v>1825</v>
      </c>
      <c r="G28" s="18">
        <v>32026</v>
      </c>
      <c r="H28" s="3" t="s">
        <v>91</v>
      </c>
      <c r="I28" s="22">
        <v>99.72</v>
      </c>
      <c r="J28" s="22">
        <v>181980.77</v>
      </c>
      <c r="K28" s="22">
        <v>2.04</v>
      </c>
      <c r="L28" s="22">
        <v>26.62</v>
      </c>
      <c r="M28" s="22">
        <v>0</v>
      </c>
      <c r="N28" s="22">
        <v>6468.6</v>
      </c>
      <c r="O28" s="20" t="s">
        <v>92</v>
      </c>
    </row>
    <row r="29" spans="1:17" ht="15.75" customHeight="1" x14ac:dyDescent="0.2">
      <c r="A29" s="16" t="s">
        <v>5</v>
      </c>
      <c r="B29" s="3" t="s">
        <v>5</v>
      </c>
      <c r="C29" s="3" t="s">
        <v>46</v>
      </c>
      <c r="D29" s="17">
        <v>43817</v>
      </c>
      <c r="E29" s="18" t="s">
        <v>45</v>
      </c>
      <c r="F29" s="18">
        <v>2805</v>
      </c>
      <c r="G29" s="18">
        <v>35222</v>
      </c>
      <c r="H29" s="3" t="s">
        <v>93</v>
      </c>
      <c r="I29" s="22">
        <v>156.13999999999999</v>
      </c>
      <c r="J29" s="22">
        <v>437977.77</v>
      </c>
      <c r="K29" s="3">
        <v>2.4700000000000002</v>
      </c>
      <c r="L29" s="22">
        <v>79.290000000000006</v>
      </c>
      <c r="M29" s="22">
        <v>0</v>
      </c>
      <c r="N29" s="22">
        <v>5521.28</v>
      </c>
      <c r="O29" s="20" t="s">
        <v>94</v>
      </c>
    </row>
    <row r="30" spans="1:17" ht="15.75" customHeight="1" x14ac:dyDescent="0.2">
      <c r="A30" s="16" t="s">
        <v>47</v>
      </c>
      <c r="B30" s="3" t="s">
        <v>47</v>
      </c>
      <c r="C30" s="3" t="s">
        <v>48</v>
      </c>
      <c r="D30" s="17">
        <v>43817</v>
      </c>
      <c r="E30" s="18" t="s">
        <v>45</v>
      </c>
      <c r="F30" s="18">
        <v>501</v>
      </c>
      <c r="G30" s="18">
        <v>2639</v>
      </c>
      <c r="H30" s="3" t="s">
        <v>95</v>
      </c>
      <c r="I30" s="22">
        <v>139.41</v>
      </c>
      <c r="J30" s="22">
        <v>69846.070000000007</v>
      </c>
      <c r="K30" s="3">
        <v>1.1000000000000001</v>
      </c>
      <c r="L30" s="3">
        <v>7.72</v>
      </c>
      <c r="M30" s="22">
        <v>0</v>
      </c>
      <c r="N30" s="22">
        <v>9046.4599999999991</v>
      </c>
      <c r="O30" s="20" t="s">
        <v>53</v>
      </c>
    </row>
    <row r="31" spans="1:17" ht="15.75" customHeight="1" x14ac:dyDescent="0.2">
      <c r="A31" s="57" t="s">
        <v>2</v>
      </c>
      <c r="B31" s="25" t="s">
        <v>2</v>
      </c>
      <c r="C31" s="25" t="s">
        <v>49</v>
      </c>
      <c r="D31" s="32">
        <v>43817</v>
      </c>
      <c r="E31" s="26" t="s">
        <v>45</v>
      </c>
      <c r="F31" s="26">
        <v>1691</v>
      </c>
      <c r="G31" s="26">
        <v>15046</v>
      </c>
      <c r="H31" s="25" t="s">
        <v>96</v>
      </c>
      <c r="I31" s="27">
        <v>125.79</v>
      </c>
      <c r="J31" s="27">
        <v>212716.79</v>
      </c>
      <c r="K31" s="25">
        <v>2.42</v>
      </c>
      <c r="L31" s="25">
        <v>11.5</v>
      </c>
      <c r="M31" s="27">
        <v>0</v>
      </c>
      <c r="N31" s="27">
        <v>18044.439999999999</v>
      </c>
      <c r="O31" s="28" t="s">
        <v>97</v>
      </c>
    </row>
    <row r="34" spans="1:15" ht="15.75" customHeight="1" outlineLevel="1" x14ac:dyDescent="0.2">
      <c r="B34" s="29" t="s">
        <v>0</v>
      </c>
      <c r="C34" s="73" t="s">
        <v>30</v>
      </c>
    </row>
    <row r="35" spans="1:15" ht="15.75" customHeight="1" outlineLevel="1" x14ac:dyDescent="0.2">
      <c r="A35" s="31" t="s">
        <v>32</v>
      </c>
      <c r="B35" s="33" t="s">
        <v>54</v>
      </c>
      <c r="C35" s="34" t="s">
        <v>54</v>
      </c>
    </row>
    <row r="36" spans="1:15" ht="12.75" outlineLevel="1" x14ac:dyDescent="0.2">
      <c r="A36" s="16" t="s">
        <v>98</v>
      </c>
      <c r="B36" s="35">
        <f>H6*1.18*1.2</f>
        <v>219460.53</v>
      </c>
      <c r="C36" s="74"/>
    </row>
    <row r="37" spans="1:15" ht="12.75" outlineLevel="1" x14ac:dyDescent="0.2">
      <c r="A37" s="37" t="s">
        <v>1</v>
      </c>
      <c r="B37" s="35">
        <f>H9*1.18</f>
        <v>1421340.4794000001</v>
      </c>
      <c r="C37" s="71">
        <f>J31*1.18*1.1</f>
        <v>276106.39341999998</v>
      </c>
    </row>
    <row r="38" spans="1:15" ht="12.75" outlineLevel="1" x14ac:dyDescent="0.2">
      <c r="A38" s="37" t="s">
        <v>85</v>
      </c>
      <c r="B38" s="35">
        <f>H12*1.18</f>
        <v>83011.843600000007</v>
      </c>
      <c r="C38" s="71">
        <f>J27*1.18*1.1</f>
        <v>81944.57018000001</v>
      </c>
    </row>
    <row r="39" spans="1:15" ht="12.75" outlineLevel="1" x14ac:dyDescent="0.2">
      <c r="A39" s="37" t="s">
        <v>4</v>
      </c>
      <c r="B39" s="35">
        <f>H15*1.18</f>
        <v>1610680.9547999999</v>
      </c>
      <c r="C39" s="71">
        <f t="shared" ref="C39:C40" si="0">J29*1.18*1.1</f>
        <v>568495.14546000003</v>
      </c>
    </row>
    <row r="40" spans="1:15" ht="12.75" outlineLevel="1" x14ac:dyDescent="0.2">
      <c r="A40" s="37" t="s">
        <v>29</v>
      </c>
      <c r="B40" s="35">
        <f>H21*1.18</f>
        <v>217521.08199999999</v>
      </c>
      <c r="C40" s="71">
        <f t="shared" si="0"/>
        <v>90660.198860000019</v>
      </c>
    </row>
    <row r="41" spans="1:15" ht="12.75" outlineLevel="1" x14ac:dyDescent="0.2">
      <c r="A41" s="39" t="s">
        <v>7</v>
      </c>
      <c r="B41" s="40">
        <f>H18*1.18*1.05</f>
        <v>673856.46635999996</v>
      </c>
      <c r="C41" s="75">
        <f>J28*1.18*1.1</f>
        <v>236211.03946</v>
      </c>
    </row>
    <row r="42" spans="1:15" ht="12.75" outlineLevel="1" x14ac:dyDescent="0.2"/>
    <row r="43" spans="1:15" ht="12.75" outlineLevel="1" x14ac:dyDescent="0.2"/>
    <row r="44" spans="1:15" ht="18" x14ac:dyDescent="0.2">
      <c r="A44" s="41" t="s">
        <v>55</v>
      </c>
      <c r="B44" s="77">
        <v>31</v>
      </c>
      <c r="C44" s="22"/>
      <c r="D44" s="43"/>
    </row>
    <row r="45" spans="1:15" ht="12.75" x14ac:dyDescent="0.2">
      <c r="A45" s="3" t="s">
        <v>56</v>
      </c>
      <c r="B45" s="6">
        <v>31</v>
      </c>
      <c r="D45" s="4"/>
    </row>
    <row r="46" spans="1:15" ht="12.75" x14ac:dyDescent="0.2">
      <c r="A46" s="21"/>
      <c r="D46" s="4"/>
    </row>
    <row r="47" spans="1:15" ht="63.75" x14ac:dyDescent="0.2">
      <c r="A47" s="44" t="s">
        <v>0</v>
      </c>
      <c r="B47" s="65" t="s">
        <v>58</v>
      </c>
      <c r="C47" s="66" t="s">
        <v>60</v>
      </c>
      <c r="D47" s="65" t="s">
        <v>64</v>
      </c>
      <c r="E47" s="65" t="s">
        <v>64</v>
      </c>
      <c r="F47" s="65" t="s">
        <v>78</v>
      </c>
      <c r="G47" s="65" t="s">
        <v>59</v>
      </c>
      <c r="H47" s="65" t="s">
        <v>61</v>
      </c>
      <c r="I47" s="65" t="s">
        <v>79</v>
      </c>
      <c r="J47" s="65" t="s">
        <v>99</v>
      </c>
      <c r="K47" s="65" t="s">
        <v>62</v>
      </c>
      <c r="L47" s="65" t="s">
        <v>80</v>
      </c>
      <c r="M47" s="65" t="s">
        <v>63</v>
      </c>
      <c r="N47" s="65" t="s">
        <v>100</v>
      </c>
      <c r="O47" s="67" t="s">
        <v>101</v>
      </c>
    </row>
    <row r="48" spans="1:15" ht="12.75" x14ac:dyDescent="0.2">
      <c r="A48" s="16" t="s">
        <v>98</v>
      </c>
      <c r="B48" s="35">
        <f t="shared" ref="B48:B53" si="1">B36</f>
        <v>219460.53</v>
      </c>
      <c r="C48" s="45">
        <f t="shared" ref="C48:C53" si="2">B48/G48</f>
        <v>0.99693595123741563</v>
      </c>
      <c r="D48" s="82" t="s">
        <v>27</v>
      </c>
      <c r="E48" s="84"/>
      <c r="F48" s="84"/>
      <c r="G48" s="35">
        <f>K48/B45*B44</f>
        <v>220135.03447999991</v>
      </c>
      <c r="H48" s="46">
        <f t="shared" ref="H48:H53" si="3">B48-G48</f>
        <v>-674.50447999991593</v>
      </c>
      <c r="I48" s="70">
        <f t="shared" ref="I48:I53" si="4">100%-C48</f>
        <v>3.0640487625843704E-3</v>
      </c>
      <c r="J48" s="47">
        <v>220000</v>
      </c>
      <c r="K48" s="48">
        <f>J48+Ноябрь2018!H48</f>
        <v>220135.03447999991</v>
      </c>
      <c r="L48" s="72" t="s">
        <v>27</v>
      </c>
      <c r="M48" s="46">
        <f t="shared" ref="M48:M53" si="5">K48-B48</f>
        <v>674.50447999991593</v>
      </c>
      <c r="N48" t="e">
        <f>M48/(B45-B44)/1.18/1.2</f>
        <v>#DIV/0!</v>
      </c>
      <c r="O48" s="71">
        <f>B48/B44/1.18/1.2</f>
        <v>4999.5564516129043</v>
      </c>
    </row>
    <row r="49" spans="1:15" ht="12.75" x14ac:dyDescent="0.2">
      <c r="A49" s="37" t="s">
        <v>1</v>
      </c>
      <c r="B49" s="35">
        <f t="shared" si="1"/>
        <v>1421340.4794000001</v>
      </c>
      <c r="C49" s="45">
        <f t="shared" ca="1" si="2"/>
        <v>1.0001646660575474</v>
      </c>
      <c r="D49" s="69" t="s">
        <v>27</v>
      </c>
      <c r="E49" s="68" t="e">
        <f t="shared" ref="E49:E53" ca="1" si="6">D49/F49</f>
        <v>#VALUE!</v>
      </c>
      <c r="F49" s="69">
        <f ca="1">L49/B45*B44</f>
        <v>115</v>
      </c>
      <c r="G49" s="35">
        <f t="shared" ref="G49:G52" ca="1" si="7">K49/$B$45*$B$44</f>
        <v>1421106.4713999997</v>
      </c>
      <c r="H49" s="46">
        <f t="shared" ca="1" si="3"/>
        <v>234.00800000037998</v>
      </c>
      <c r="I49" s="70">
        <f t="shared" ca="1" si="4"/>
        <v>-1.6466605754739128E-4</v>
      </c>
      <c r="J49" s="47">
        <f ca="1">IFERROR(__xludf.DUMMYFUNCTION("IMPORTRANGE(""https://docs.google.com/spreadsheets/d/1ijrZGUuAMwbgWAQ2i-HT-MaaE31Q_mJkXszOCviigQE/edit#gid=2137253623"",""Медиаплан декабрь!B4"")"),1421807)</f>
        <v>1421807</v>
      </c>
      <c r="K49" s="48">
        <f ca="1">J49+Ноябрь2018!H49</f>
        <v>1421106.4713999997</v>
      </c>
      <c r="L49" s="88">
        <f ca="1">IFERROR(__xludf.DUMMYFUNCTION("IMPORTRANGE(""https://docs.google.com/spreadsheets/d/1ijrZGUuAMwbgWAQ2i-HT-MaaE31Q_mJkXszOCviigQE/edit#gid=2137253623"",""Медиаплан Декабрь!C4"")"),115)</f>
        <v>115</v>
      </c>
      <c r="M49" s="46">
        <f t="shared" ca="1" si="5"/>
        <v>-234.00800000037998</v>
      </c>
      <c r="N49" t="e">
        <f t="shared" ref="N49:N52" ca="1" si="8">M49/($B$45-$B$44)/1.18</f>
        <v>#DIV/0!</v>
      </c>
      <c r="O49" s="71">
        <f t="shared" ref="O49:O53" si="9">B49/$B$44/1.18</f>
        <v>38855.671935483879</v>
      </c>
    </row>
    <row r="50" spans="1:15" ht="12.75" x14ac:dyDescent="0.2">
      <c r="A50" s="37" t="s">
        <v>85</v>
      </c>
      <c r="B50" s="35">
        <f t="shared" si="1"/>
        <v>83011.843600000007</v>
      </c>
      <c r="C50" s="45">
        <f t="shared" si="2"/>
        <v>0.55317367219629887</v>
      </c>
      <c r="D50" s="69" t="s">
        <v>27</v>
      </c>
      <c r="E50" s="68" t="e">
        <f t="shared" ca="1" si="6"/>
        <v>#VALUE!</v>
      </c>
      <c r="F50" s="69">
        <f ca="1">L50/B45*B44</f>
        <v>77</v>
      </c>
      <c r="G50" s="35">
        <f t="shared" si="7"/>
        <v>150064.70439999984</v>
      </c>
      <c r="H50" s="46">
        <f t="shared" si="3"/>
        <v>-67052.860799999835</v>
      </c>
      <c r="I50" s="70">
        <f t="shared" si="4"/>
        <v>0.44682632780370113</v>
      </c>
      <c r="J50" s="47">
        <v>150000</v>
      </c>
      <c r="K50" s="48">
        <f>J50+Ноябрь2018!H50</f>
        <v>150064.70439999984</v>
      </c>
      <c r="L50" s="88">
        <f ca="1">IFERROR(__xludf.DUMMYFUNCTION("IMPORTRANGE(""https://docs.google.com/spreadsheets/d/1etyJgBhSzQSHMqbu2wdOKURMor-XpGjLbX3qqM4Refc/edit#gid=2137253623"",""Медиаплан Декабрь!C4"")"),77)</f>
        <v>77</v>
      </c>
      <c r="M50" s="46">
        <f t="shared" si="5"/>
        <v>67052.860799999835</v>
      </c>
      <c r="N50" t="e">
        <f t="shared" si="8"/>
        <v>#DIV/0!</v>
      </c>
      <c r="O50" s="71">
        <f t="shared" si="9"/>
        <v>2269.3232258064522</v>
      </c>
    </row>
    <row r="51" spans="1:15" ht="12.75" x14ac:dyDescent="0.2">
      <c r="A51" s="37" t="s">
        <v>4</v>
      </c>
      <c r="B51" s="35">
        <f t="shared" si="1"/>
        <v>1610680.9547999999</v>
      </c>
      <c r="C51" s="45">
        <f t="shared" ca="1" si="2"/>
        <v>0.99753240945315547</v>
      </c>
      <c r="D51" s="69" t="s">
        <v>27</v>
      </c>
      <c r="E51" s="68" t="e">
        <f t="shared" ca="1" si="6"/>
        <v>#VALUE!</v>
      </c>
      <c r="F51" s="69">
        <f ca="1">L51/B45*B44</f>
        <v>146</v>
      </c>
      <c r="G51" s="35">
        <f t="shared" ca="1" si="7"/>
        <v>1614665.2875999997</v>
      </c>
      <c r="H51" s="46">
        <f t="shared" ca="1" si="3"/>
        <v>-3984.3327999997418</v>
      </c>
      <c r="I51" s="70">
        <f t="shared" ca="1" si="4"/>
        <v>2.4675905468445336E-3</v>
      </c>
      <c r="J51" s="47">
        <v>1610533.5</v>
      </c>
      <c r="K51" s="48">
        <f ca="1">J51+Ноябрь2018!H51</f>
        <v>1614665.2875999997</v>
      </c>
      <c r="L51" s="88">
        <f ca="1">IFERROR(__xludf.DUMMYFUNCTION("IMPORTRANGE(""https://docs.google.com/spreadsheets/d/137m5ANDUVmoNsjZiMV2vulxsGWlll1w8x_u_hcSge7E/edit?ts=5bacd778#gid=2137253623"",""Медиаплан Декабрь!C4"")"),146)</f>
        <v>146</v>
      </c>
      <c r="M51" s="46">
        <f t="shared" ca="1" si="5"/>
        <v>3984.3327999997418</v>
      </c>
      <c r="N51" t="e">
        <f t="shared" ca="1" si="8"/>
        <v>#DIV/0!</v>
      </c>
      <c r="O51" s="71">
        <f t="shared" si="9"/>
        <v>44031.737419354838</v>
      </c>
    </row>
    <row r="52" spans="1:15" ht="12.75" x14ac:dyDescent="0.2">
      <c r="A52" s="37" t="s">
        <v>29</v>
      </c>
      <c r="B52" s="35">
        <f t="shared" si="1"/>
        <v>217521.08199999999</v>
      </c>
      <c r="C52" s="45">
        <f t="shared" ca="1" si="2"/>
        <v>0.9877256768939584</v>
      </c>
      <c r="D52" s="69" t="s">
        <v>27</v>
      </c>
      <c r="E52" s="68" t="e">
        <f t="shared" ca="1" si="6"/>
        <v>#VALUE!</v>
      </c>
      <c r="F52" s="69">
        <f ca="1">L52/B45*B44</f>
        <v>27</v>
      </c>
      <c r="G52" s="35">
        <f t="shared" ca="1" si="7"/>
        <v>220224.18479999981</v>
      </c>
      <c r="H52" s="46">
        <f t="shared" ca="1" si="3"/>
        <v>-2703.1027999998187</v>
      </c>
      <c r="I52" s="70">
        <f t="shared" ca="1" si="4"/>
        <v>1.2274323106041596E-2</v>
      </c>
      <c r="J52" s="89">
        <v>218500</v>
      </c>
      <c r="K52" s="48">
        <f ca="1">J52+Ноябрь2018!H52</f>
        <v>220224.18479999981</v>
      </c>
      <c r="L52" s="88">
        <f ca="1">IFERROR(__xludf.DUMMYFUNCTION("IMPORTRANGE(""https://docs.google.com/spreadsheets/d/1sG6pP6nNN4RN6oZZdS730TeUN2W7p-vv_R5qTWRfukc/edit#gid=2137253623"",""Медиаплан Декабрь!C4"")"),27)</f>
        <v>27</v>
      </c>
      <c r="M52" s="46">
        <f t="shared" ca="1" si="5"/>
        <v>2703.1027999998187</v>
      </c>
      <c r="N52" t="e">
        <f t="shared" ca="1" si="8"/>
        <v>#DIV/0!</v>
      </c>
      <c r="O52" s="71">
        <f t="shared" si="9"/>
        <v>5946.4483870967742</v>
      </c>
    </row>
    <row r="53" spans="1:15" ht="12.75" x14ac:dyDescent="0.2">
      <c r="A53" s="57" t="s">
        <v>7</v>
      </c>
      <c r="B53" s="40">
        <f t="shared" si="1"/>
        <v>673856.46635999996</v>
      </c>
      <c r="C53" s="76">
        <f t="shared" si="2"/>
        <v>0.99951964724548281</v>
      </c>
      <c r="D53" s="78" t="s">
        <v>27</v>
      </c>
      <c r="E53" s="79" t="e">
        <f t="shared" ca="1" si="6"/>
        <v>#VALUE!</v>
      </c>
      <c r="F53" s="78">
        <f ca="1">L53/B45*B44</f>
        <v>84</v>
      </c>
      <c r="G53" s="40">
        <f>K53/B45*B44</f>
        <v>674180.31072930002</v>
      </c>
      <c r="H53" s="80">
        <f t="shared" si="3"/>
        <v>-323.84436930005904</v>
      </c>
      <c r="I53" s="81">
        <f t="shared" si="4"/>
        <v>4.8035275451718817E-4</v>
      </c>
      <c r="J53" s="83">
        <v>675000</v>
      </c>
      <c r="K53" s="85">
        <f>J53+Ноябрь2018!M53</f>
        <v>674180.31072930002</v>
      </c>
      <c r="L53" s="90">
        <f ca="1">IFERROR(__xludf.DUMMYFUNCTION("IMPORTRANGE(""https://docs.google.com/spreadsheets/d/1p1L4G2mxr7595uh-ReZUhIVIwqpviT1ZLAW6zkToejA/edit?ts=5bd86e8e#gid=2137253623"",""Медиаплан Декабрь!C4"")"),84)</f>
        <v>84</v>
      </c>
      <c r="M53" s="80">
        <f t="shared" si="5"/>
        <v>323.84436930005904</v>
      </c>
      <c r="N53" s="86" t="e">
        <f>M53/($B$45-$B$44)/1.18/1.05</f>
        <v>#DIV/0!</v>
      </c>
      <c r="O53" s="75">
        <f t="shared" si="9"/>
        <v>18421.445225806452</v>
      </c>
    </row>
    <row r="54" spans="1:15" ht="12.75" x14ac:dyDescent="0.2">
      <c r="A54" s="21"/>
      <c r="D54" s="49"/>
      <c r="E54" s="49"/>
      <c r="F54" s="49"/>
      <c r="G54" s="4"/>
      <c r="J54" s="35">
        <f ca="1">SUM(J48:J53)</f>
        <v>4295840.5</v>
      </c>
      <c r="L54" s="4"/>
    </row>
    <row r="55" spans="1:15" ht="12.75" x14ac:dyDescent="0.2">
      <c r="A55" s="21"/>
      <c r="D55" s="49"/>
      <c r="E55" s="49"/>
      <c r="F55" s="49"/>
      <c r="G55" s="4"/>
      <c r="J55" s="87"/>
      <c r="K55" s="87"/>
      <c r="L55" s="4"/>
    </row>
    <row r="56" spans="1:15" ht="63.75" x14ac:dyDescent="0.2">
      <c r="A56" s="50" t="s">
        <v>30</v>
      </c>
      <c r="B56" s="65" t="s">
        <v>58</v>
      </c>
      <c r="C56" s="66" t="s">
        <v>60</v>
      </c>
      <c r="D56" s="65" t="s">
        <v>64</v>
      </c>
      <c r="E56" s="65" t="s">
        <v>64</v>
      </c>
      <c r="F56" s="65" t="s">
        <v>78</v>
      </c>
      <c r="G56" s="65" t="s">
        <v>59</v>
      </c>
      <c r="H56" s="65" t="s">
        <v>61</v>
      </c>
      <c r="I56" s="65" t="s">
        <v>79</v>
      </c>
      <c r="J56" s="65" t="s">
        <v>102</v>
      </c>
      <c r="K56" s="65" t="s">
        <v>62</v>
      </c>
      <c r="L56" s="65" t="s">
        <v>80</v>
      </c>
      <c r="M56" s="65" t="s">
        <v>63</v>
      </c>
      <c r="N56" s="65" t="s">
        <v>100</v>
      </c>
      <c r="O56" s="67" t="s">
        <v>101</v>
      </c>
    </row>
    <row r="57" spans="1:15" ht="12.75" x14ac:dyDescent="0.2">
      <c r="A57" s="37" t="s">
        <v>1</v>
      </c>
      <c r="B57" s="35">
        <f t="shared" ref="B57:B61" si="10">C37</f>
        <v>276106.39341999998</v>
      </c>
      <c r="C57" s="45">
        <f t="shared" ref="C57:C61" ca="1" si="11">B57/G57</f>
        <v>1.0016338966683112</v>
      </c>
      <c r="D57" s="69" t="s">
        <v>27</v>
      </c>
      <c r="E57" s="68" t="e">
        <f t="shared" ref="E57:E61" ca="1" si="12">D57/F57</f>
        <v>#VALUE!</v>
      </c>
      <c r="F57" s="69">
        <f ca="1">L57/B45*B44</f>
        <v>56</v>
      </c>
      <c r="G57" s="35">
        <f t="shared" ref="G57:G61" ca="1" si="13">K57/$B$45*$B$44</f>
        <v>275656</v>
      </c>
      <c r="H57" s="46">
        <f t="shared" ref="H57:H61" ca="1" si="14">B57-G57</f>
        <v>450.39341999997851</v>
      </c>
      <c r="I57" s="70">
        <f t="shared" ref="I57:I61" ca="1" si="15">100%-C57</f>
        <v>-1.6338966683111522E-3</v>
      </c>
      <c r="J57" s="47">
        <f ca="1">IFERROR(__xludf.DUMMYFUNCTION("IMPORTRANGE(""https://docs.google.com/spreadsheets/d/1ijrZGUuAMwbgWAQ2i-HT-MaaE31Q_mJkXszOCviigQE/edit#gid=1790968506"",""Медиаплан Декабрь!B5"")"),275656)</f>
        <v>275656</v>
      </c>
      <c r="K57" s="48">
        <f t="shared" ref="K57:K61" ca="1" si="16">J57</f>
        <v>275656</v>
      </c>
      <c r="L57" s="88">
        <f ca="1">IFERROR(__xludf.DUMMYFUNCTION("IMPORTRANGE(""https://docs.google.com/spreadsheets/d/1ijrZGUuAMwbgWAQ2i-HT-MaaE31Q_mJkXszOCviigQE/edit#gid=2133684585"",""Медиаплан Декабрь!C5"")"),56)</f>
        <v>56</v>
      </c>
      <c r="M57" s="46">
        <f t="shared" ref="M57:M61" ca="1" si="17">K57-B57</f>
        <v>-450.39341999997851</v>
      </c>
      <c r="N57" t="e">
        <f t="shared" ref="N57:N61" ca="1" si="18">M57/($B$45-$B$44)/1.18/1.1</f>
        <v>#DIV/0!</v>
      </c>
      <c r="O57" s="71">
        <f t="shared" ref="O57:O61" si="19">B57/$B$44/1.1/1.18</f>
        <v>6861.8319354838704</v>
      </c>
    </row>
    <row r="58" spans="1:15" ht="12.75" x14ac:dyDescent="0.2">
      <c r="A58" s="37" t="s">
        <v>85</v>
      </c>
      <c r="B58" s="35">
        <f t="shared" si="10"/>
        <v>81944.57018000001</v>
      </c>
      <c r="C58" s="45">
        <f t="shared" si="11"/>
        <v>0.58531835842857149</v>
      </c>
      <c r="D58" s="69" t="s">
        <v>27</v>
      </c>
      <c r="E58" s="68" t="e">
        <f t="shared" ca="1" si="12"/>
        <v>#VALUE!</v>
      </c>
      <c r="F58" s="69">
        <f ca="1">L58/B45*B44</f>
        <v>17</v>
      </c>
      <c r="G58" s="35">
        <f t="shared" si="13"/>
        <v>140000</v>
      </c>
      <c r="H58" s="46">
        <f t="shared" si="14"/>
        <v>-58055.42981999999</v>
      </c>
      <c r="I58" s="70">
        <f t="shared" si="15"/>
        <v>0.41468164157142851</v>
      </c>
      <c r="J58" s="92">
        <v>140000</v>
      </c>
      <c r="K58" s="48">
        <f t="shared" si="16"/>
        <v>140000</v>
      </c>
      <c r="L58" s="88">
        <f ca="1">IFERROR(__xludf.DUMMYFUNCTION("IMPORTRANGE(""https://docs.google.com/spreadsheets/d/1etyJgBhSzQSHMqbu2wdOKURMor-XpGjLbX3qqM4Refc/edit#gid=2137253623"",""Медиаплан Декабрь!C5"")"),17)</f>
        <v>17</v>
      </c>
      <c r="M58" s="46">
        <f t="shared" si="17"/>
        <v>58055.42981999999</v>
      </c>
      <c r="N58" t="e">
        <f t="shared" si="18"/>
        <v>#DIV/0!</v>
      </c>
      <c r="O58" s="71">
        <f t="shared" si="19"/>
        <v>2036.4970967741938</v>
      </c>
    </row>
    <row r="59" spans="1:15" ht="12.75" x14ac:dyDescent="0.2">
      <c r="A59" s="37" t="s">
        <v>4</v>
      </c>
      <c r="B59" s="35">
        <f t="shared" si="10"/>
        <v>568495.14546000003</v>
      </c>
      <c r="C59" s="45">
        <f t="shared" si="11"/>
        <v>1.0336275372000001</v>
      </c>
      <c r="D59" s="69" t="s">
        <v>27</v>
      </c>
      <c r="E59" s="68" t="e">
        <f t="shared" ca="1" si="12"/>
        <v>#VALUE!</v>
      </c>
      <c r="F59" s="69">
        <f ca="1">L59/B45*B44</f>
        <v>73</v>
      </c>
      <c r="G59" s="35">
        <f t="shared" si="13"/>
        <v>550000</v>
      </c>
      <c r="H59" s="46">
        <f t="shared" si="14"/>
        <v>18495.145460000029</v>
      </c>
      <c r="I59" s="70">
        <f t="shared" si="15"/>
        <v>-3.3627537200000113E-2</v>
      </c>
      <c r="J59" s="47">
        <v>550000</v>
      </c>
      <c r="K59" s="48">
        <f t="shared" si="16"/>
        <v>550000</v>
      </c>
      <c r="L59" s="88">
        <f ca="1">IFERROR(__xludf.DUMMYFUNCTION("IMPORTRANGE(""https://docs.google.com/spreadsheets/d/137m5ANDUVmoNsjZiMV2vulxsGWlll1w8x_u_hcSge7E/edit?ts=5bacd778#gid=2137253623"",""Медиаплан Декабрь!C5"")"),73)</f>
        <v>73</v>
      </c>
      <c r="M59" s="46">
        <f t="shared" si="17"/>
        <v>-18495.145460000029</v>
      </c>
      <c r="N59" t="e">
        <f t="shared" si="18"/>
        <v>#DIV/0!</v>
      </c>
      <c r="O59" s="71">
        <f t="shared" si="19"/>
        <v>14128.315161290322</v>
      </c>
    </row>
    <row r="60" spans="1:15" ht="12.75" x14ac:dyDescent="0.2">
      <c r="A60" s="37" t="s">
        <v>29</v>
      </c>
      <c r="B60" s="35">
        <f t="shared" si="10"/>
        <v>90660.198860000019</v>
      </c>
      <c r="C60" s="45">
        <f t="shared" si="11"/>
        <v>1.0244090266666668</v>
      </c>
      <c r="D60" s="69" t="s">
        <v>27</v>
      </c>
      <c r="E60" s="68" t="e">
        <f t="shared" ca="1" si="12"/>
        <v>#VALUE!</v>
      </c>
      <c r="F60" s="69">
        <f ca="1">L60/B45*B44</f>
        <v>14</v>
      </c>
      <c r="G60" s="35">
        <f t="shared" si="13"/>
        <v>88500</v>
      </c>
      <c r="H60" s="46">
        <f t="shared" si="14"/>
        <v>2160.1988600000186</v>
      </c>
      <c r="I60" s="70">
        <f t="shared" si="15"/>
        <v>-2.4409026666666778E-2</v>
      </c>
      <c r="J60" s="89">
        <v>88500</v>
      </c>
      <c r="K60" s="48">
        <f t="shared" si="16"/>
        <v>88500</v>
      </c>
      <c r="L60" s="88">
        <f ca="1">IFERROR(__xludf.DUMMYFUNCTION("IMPORTRANGE(""https://docs.google.com/spreadsheets/d/1sG6pP6nNN4RN6oZZdS730TeUN2W7p-vv_R5qTWRfukc/edit#gid=2137253623"",""Медиаплан Декабрь!C5"")"),14)</f>
        <v>14</v>
      </c>
      <c r="M60" s="46">
        <f t="shared" si="17"/>
        <v>-2160.1988600000186</v>
      </c>
      <c r="N60" t="e">
        <f t="shared" si="18"/>
        <v>#DIV/0!</v>
      </c>
      <c r="O60" s="71">
        <f t="shared" si="19"/>
        <v>2253.0990322580651</v>
      </c>
    </row>
    <row r="61" spans="1:15" ht="12.75" x14ac:dyDescent="0.2">
      <c r="A61" s="57" t="s">
        <v>7</v>
      </c>
      <c r="B61" s="40">
        <f t="shared" si="10"/>
        <v>236211.03946</v>
      </c>
      <c r="C61" s="76">
        <f t="shared" si="11"/>
        <v>1.1810551973000001</v>
      </c>
      <c r="D61" s="78" t="s">
        <v>27</v>
      </c>
      <c r="E61" s="79" t="e">
        <f t="shared" ca="1" si="12"/>
        <v>#VALUE!</v>
      </c>
      <c r="F61" s="78">
        <f ca="1">L61/B45*B44</f>
        <v>25</v>
      </c>
      <c r="G61" s="40">
        <f t="shared" si="13"/>
        <v>200000</v>
      </c>
      <c r="H61" s="80">
        <f t="shared" si="14"/>
        <v>36211.03946</v>
      </c>
      <c r="I61" s="81">
        <f t="shared" si="15"/>
        <v>-0.18105519730000008</v>
      </c>
      <c r="J61" s="95">
        <v>200000</v>
      </c>
      <c r="K61" s="85">
        <f t="shared" si="16"/>
        <v>200000</v>
      </c>
      <c r="L61" s="90">
        <f ca="1">IFERROR(__xludf.DUMMYFUNCTION("IMPORTRANGE(""https://docs.google.com/spreadsheets/d/1p1L4G2mxr7595uh-ReZUhIVIwqpviT1ZLAW6zkToejA/edit?ts=5bd86e8e#gid=2137253623"",""Медиаплан Декабрь!C5"")"),25)</f>
        <v>25</v>
      </c>
      <c r="M61" s="80">
        <f t="shared" si="17"/>
        <v>-36211.03946</v>
      </c>
      <c r="N61" s="86" t="e">
        <f t="shared" si="18"/>
        <v>#DIV/0!</v>
      </c>
      <c r="O61" s="75">
        <f t="shared" si="19"/>
        <v>5870.3474193548391</v>
      </c>
    </row>
    <row r="62" spans="1:15" ht="12.75" x14ac:dyDescent="0.2">
      <c r="J62" s="35">
        <f ca="1">SUM(J57:J61)</f>
        <v>1254156</v>
      </c>
    </row>
    <row r="65" spans="1:10" ht="12.75" x14ac:dyDescent="0.2">
      <c r="C65" s="18"/>
      <c r="F65" s="22"/>
      <c r="J65" s="22">
        <f>J53-B53</f>
        <v>1143.5336400000378</v>
      </c>
    </row>
    <row r="66" spans="1:10" ht="12.75" x14ac:dyDescent="0.2">
      <c r="B66" s="18"/>
      <c r="C66" s="18"/>
      <c r="F66" s="22"/>
      <c r="J66" s="35">
        <f>B61-J61</f>
        <v>36211.03946</v>
      </c>
    </row>
    <row r="67" spans="1:10" ht="12.75" x14ac:dyDescent="0.2">
      <c r="B67" s="18"/>
      <c r="C67" s="18"/>
      <c r="F67" s="22"/>
      <c r="J67" s="98">
        <f>J65+J66</f>
        <v>37354.573100000038</v>
      </c>
    </row>
    <row r="68" spans="1:10" ht="12.75" x14ac:dyDescent="0.2">
      <c r="J68">
        <v>37354.573100000038</v>
      </c>
    </row>
    <row r="70" spans="1:10" ht="12.75" x14ac:dyDescent="0.2">
      <c r="A70" s="30" t="s">
        <v>67</v>
      </c>
      <c r="B70" s="53"/>
      <c r="C70" s="54" t="s">
        <v>68</v>
      </c>
      <c r="D70" s="55"/>
      <c r="E70" s="137" t="s">
        <v>21</v>
      </c>
      <c r="F70" s="138"/>
    </row>
    <row r="71" spans="1:10" ht="25.5" x14ac:dyDescent="0.2">
      <c r="A71" s="30" t="s">
        <v>69</v>
      </c>
      <c r="B71" s="30" t="s">
        <v>70</v>
      </c>
      <c r="C71" s="56" t="s">
        <v>71</v>
      </c>
      <c r="D71" s="56" t="s">
        <v>72</v>
      </c>
      <c r="E71" s="51" t="s">
        <v>65</v>
      </c>
      <c r="F71" s="51" t="s">
        <v>66</v>
      </c>
    </row>
    <row r="72" spans="1:10" ht="12.75" x14ac:dyDescent="0.2">
      <c r="A72" s="37" t="str">
        <f t="shared" ref="A72:A73" si="20">A36</f>
        <v>mr-filicity RTB</v>
      </c>
      <c r="B72" s="3" t="s">
        <v>104</v>
      </c>
      <c r="C72" s="99">
        <f>B36</f>
        <v>219460.53</v>
      </c>
      <c r="D72" s="99">
        <f>J48</f>
        <v>220000</v>
      </c>
      <c r="E72" s="100"/>
      <c r="F72" s="91" t="str">
        <f>L48</f>
        <v>-</v>
      </c>
    </row>
    <row r="73" spans="1:10" ht="12.75" x14ac:dyDescent="0.2">
      <c r="A73" s="37" t="str">
        <f t="shared" si="20"/>
        <v>mr-filicity</v>
      </c>
      <c r="B73" s="3" t="s">
        <v>3</v>
      </c>
      <c r="C73" s="36">
        <f t="shared" ref="C73:C77" si="21">B37+C37</f>
        <v>1697446.8728200002</v>
      </c>
      <c r="D73" s="36">
        <f t="shared" ref="D73:D75" ca="1" si="22">J49+J57</f>
        <v>1697463</v>
      </c>
      <c r="E73" s="101" t="e">
        <f t="shared" ref="E73:E77" si="23">D49+D57</f>
        <v>#VALUE!</v>
      </c>
      <c r="F73" s="91">
        <f t="shared" ref="F73:F77" ca="1" si="24">L49+L57</f>
        <v>171</v>
      </c>
      <c r="G73" t="e">
        <f t="shared" ref="G73:G75" ca="1" si="25">F73-E73</f>
        <v>#VALUE!</v>
      </c>
      <c r="H73">
        <f ca="1">C73/D73*100</f>
        <v>99.999049924504988</v>
      </c>
    </row>
    <row r="74" spans="1:10" ht="12.75" x14ac:dyDescent="0.2">
      <c r="A74" s="37" t="str">
        <f>A50</f>
        <v>mr-filigrad1</v>
      </c>
      <c r="B74" s="3" t="s">
        <v>103</v>
      </c>
      <c r="C74" s="36">
        <f t="shared" si="21"/>
        <v>164956.41378</v>
      </c>
      <c r="D74" s="36">
        <f t="shared" si="22"/>
        <v>290000</v>
      </c>
      <c r="E74" s="101" t="e">
        <f t="shared" si="23"/>
        <v>#VALUE!</v>
      </c>
      <c r="F74" s="91">
        <f t="shared" ca="1" si="24"/>
        <v>94</v>
      </c>
      <c r="G74" t="e">
        <f t="shared" ca="1" si="25"/>
        <v>#VALUE!</v>
      </c>
    </row>
    <row r="75" spans="1:10" ht="12.75" x14ac:dyDescent="0.2">
      <c r="A75" s="37" t="str">
        <f t="shared" ref="A75:A77" si="26">A39</f>
        <v>mr-savcity-apart</v>
      </c>
      <c r="B75" s="3" t="s">
        <v>6</v>
      </c>
      <c r="C75" s="36">
        <f t="shared" si="21"/>
        <v>2179176.1002599997</v>
      </c>
      <c r="D75" s="36">
        <f t="shared" si="22"/>
        <v>2160533.5</v>
      </c>
      <c r="E75" s="101" t="e">
        <f t="shared" si="23"/>
        <v>#VALUE!</v>
      </c>
      <c r="F75" s="91">
        <f t="shared" ca="1" si="24"/>
        <v>219</v>
      </c>
      <c r="G75" t="e">
        <f t="shared" ca="1" si="25"/>
        <v>#VALUE!</v>
      </c>
    </row>
    <row r="76" spans="1:10" ht="12.75" x14ac:dyDescent="0.2">
      <c r="A76" s="37" t="str">
        <f t="shared" si="26"/>
        <v>perovsky-media108</v>
      </c>
      <c r="B76" s="3" t="s">
        <v>73</v>
      </c>
      <c r="C76" s="36">
        <f t="shared" si="21"/>
        <v>308181.28086</v>
      </c>
      <c r="D76" s="36">
        <f t="shared" ref="D76:D77" ca="1" si="27">K52+K60</f>
        <v>308724.18479999981</v>
      </c>
      <c r="E76" s="101" t="e">
        <f t="shared" si="23"/>
        <v>#VALUE!</v>
      </c>
      <c r="F76" s="91">
        <f t="shared" ca="1" si="24"/>
        <v>41</v>
      </c>
    </row>
    <row r="77" spans="1:10" ht="12.75" x14ac:dyDescent="0.2">
      <c r="A77" s="62" t="str">
        <f t="shared" si="26"/>
        <v>mrgroup-d1</v>
      </c>
      <c r="B77" s="3" t="s">
        <v>9</v>
      </c>
      <c r="C77" s="58">
        <f t="shared" si="21"/>
        <v>910067.50581999996</v>
      </c>
      <c r="D77" s="58">
        <f t="shared" si="27"/>
        <v>874180.31072930002</v>
      </c>
      <c r="E77" s="102" t="e">
        <f t="shared" si="23"/>
        <v>#VALUE!</v>
      </c>
      <c r="F77" s="103">
        <f t="shared" ca="1" si="24"/>
        <v>109</v>
      </c>
    </row>
    <row r="78" spans="1:10" ht="12.75" x14ac:dyDescent="0.2">
      <c r="A78" s="59" t="s">
        <v>74</v>
      </c>
      <c r="B78" s="53"/>
      <c r="C78" s="60">
        <f t="shared" ref="C78:D78" si="28">SUM(C72:C77)</f>
        <v>5479288.7035400001</v>
      </c>
      <c r="D78" s="60">
        <f t="shared" ca="1" si="28"/>
        <v>5550900.9955292996</v>
      </c>
      <c r="E78" s="96" t="e">
        <f>SUM(E73:E77)</f>
        <v>#VALUE!</v>
      </c>
      <c r="F78" s="97">
        <f ca="1">SUM(F72:F77)</f>
        <v>634</v>
      </c>
    </row>
  </sheetData>
  <mergeCells count="1">
    <mergeCell ref="E70:F70"/>
  </mergeCells>
  <conditionalFormatting sqref="A6 A9 A12 A15 A27:A30">
    <cfRule type="cellIs" dxfId="65" priority="1" operator="equal">
      <formula>B6</formula>
    </cfRule>
  </conditionalFormatting>
  <conditionalFormatting sqref="B6 B9 B12 B15 B27:B31 A28:A31">
    <cfRule type="cellIs" dxfId="64" priority="2" operator="equal">
      <formula>A6</formula>
    </cfRule>
  </conditionalFormatting>
  <conditionalFormatting sqref="A6 A27:A30">
    <cfRule type="expression" dxfId="63" priority="3">
      <formula>ISERROR(SEARCH((B6),(A6)))</formula>
    </cfRule>
  </conditionalFormatting>
  <conditionalFormatting sqref="B6 B9 B12 B15 B27:B31 A28:A31">
    <cfRule type="cellIs" dxfId="62" priority="4" operator="notEqual">
      <formula>A6</formula>
    </cfRule>
  </conditionalFormatting>
  <conditionalFormatting sqref="A18">
    <cfRule type="cellIs" dxfId="61" priority="5" operator="equal">
      <formula>B18</formula>
    </cfRule>
  </conditionalFormatting>
  <conditionalFormatting sqref="B18">
    <cfRule type="cellIs" dxfId="60" priority="6" operator="equal">
      <formula>A18</formula>
    </cfRule>
  </conditionalFormatting>
  <conditionalFormatting sqref="A21">
    <cfRule type="cellIs" dxfId="59" priority="7" operator="equal">
      <formula>B21</formula>
    </cfRule>
  </conditionalFormatting>
  <conditionalFormatting sqref="B21">
    <cfRule type="cellIs" dxfId="58" priority="8" operator="equal">
      <formula>A21</formula>
    </cfRule>
  </conditionalFormatting>
  <conditionalFormatting sqref="A31">
    <cfRule type="cellIs" dxfId="57" priority="9" operator="equal">
      <formula>B31</formula>
    </cfRule>
  </conditionalFormatting>
  <conditionalFormatting sqref="A31:B31">
    <cfRule type="cellIs" dxfId="56" priority="10" operator="equal">
      <formula>#REF!</formula>
    </cfRule>
  </conditionalFormatting>
  <conditionalFormatting sqref="C48:C53 C57:C61">
    <cfRule type="cellIs" dxfId="55" priority="11" operator="lessThan">
      <formula>"90%"</formula>
    </cfRule>
  </conditionalFormatting>
  <conditionalFormatting sqref="C48:C53 C57:C61">
    <cfRule type="cellIs" dxfId="54" priority="12" operator="lessThan">
      <formula>"95%"</formula>
    </cfRule>
  </conditionalFormatting>
  <conditionalFormatting sqref="C48:C53 C57:C61">
    <cfRule type="cellIs" dxfId="53" priority="13" operator="greaterThan">
      <formula>"105%"</formula>
    </cfRule>
  </conditionalFormatting>
  <conditionalFormatting sqref="C48:C53 C57:C61">
    <cfRule type="cellIs" dxfId="52" priority="14" operator="greaterThan">
      <formula>"100%"</formula>
    </cfRule>
  </conditionalFormatting>
  <conditionalFormatting sqref="E49:E53 E57:E61">
    <cfRule type="cellIs" dxfId="51" priority="15" operator="lessThan">
      <formula>"85%"</formula>
    </cfRule>
  </conditionalFormatting>
  <conditionalFormatting sqref="E49:E53 E57:E61">
    <cfRule type="cellIs" dxfId="50" priority="16" operator="lessThan">
      <formula>"95%"</formula>
    </cfRule>
  </conditionalFormatting>
  <conditionalFormatting sqref="E49:E53 E57:E61">
    <cfRule type="cellIs" dxfId="49" priority="17" operator="greaterThan">
      <formula>"90%"</formula>
    </cfRule>
  </conditionalFormatting>
  <conditionalFormatting sqref="C48:C53 C57:C61">
    <cfRule type="cellIs" dxfId="48" priority="18" operator="between">
      <formula>"95%"</formula>
      <formula>"105%"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Q78"/>
  <sheetViews>
    <sheetView workbookViewId="0">
      <pane xSplit="1" topLeftCell="B1" activePane="topRight" state="frozen"/>
      <selection pane="topRight" activeCell="C2" sqref="C2"/>
    </sheetView>
  </sheetViews>
  <sheetFormatPr defaultColWidth="14.42578125" defaultRowHeight="15.75" customHeight="1" outlineLevelRow="1" outlineLevelCol="1" x14ac:dyDescent="0.2"/>
  <cols>
    <col min="1" max="1" width="32.140625" customWidth="1"/>
    <col min="2" max="2" width="21" customWidth="1" outlineLevel="1"/>
    <col min="3" max="3" width="18.5703125" customWidth="1" outlineLevel="1"/>
    <col min="4" max="4" width="14.5703125" customWidth="1" outlineLevel="1"/>
    <col min="5" max="5" width="12.140625" customWidth="1" outlineLevel="1"/>
    <col min="6" max="6" width="14.42578125" outlineLevel="1"/>
    <col min="7" max="7" width="19.7109375" customWidth="1"/>
    <col min="8" max="8" width="18.28515625" customWidth="1"/>
    <col min="10" max="10" width="16" customWidth="1"/>
    <col min="14" max="14" width="18" customWidth="1"/>
  </cols>
  <sheetData>
    <row r="1" spans="1:17" ht="18" x14ac:dyDescent="0.25">
      <c r="A1" s="2" t="s">
        <v>0</v>
      </c>
      <c r="B1" s="3" t="s">
        <v>105</v>
      </c>
      <c r="C1" s="4"/>
    </row>
    <row r="2" spans="1:17" ht="15.75" customHeight="1" x14ac:dyDescent="0.2">
      <c r="A2" s="5"/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  <c r="L2" s="3" t="s">
        <v>20</v>
      </c>
      <c r="M2" s="3" t="s">
        <v>21</v>
      </c>
      <c r="N2" s="3" t="s">
        <v>22</v>
      </c>
      <c r="O2" s="3" t="s">
        <v>23</v>
      </c>
      <c r="P2" s="3" t="s">
        <v>24</v>
      </c>
      <c r="Q2" s="3" t="s">
        <v>25</v>
      </c>
    </row>
    <row r="3" spans="1:17" ht="15.75" customHeight="1" x14ac:dyDescent="0.2">
      <c r="A3" s="7"/>
      <c r="C3" s="3" t="s">
        <v>26</v>
      </c>
      <c r="D3" s="3" t="s">
        <v>82</v>
      </c>
      <c r="E3" s="3">
        <v>28850080</v>
      </c>
      <c r="F3" s="3">
        <v>70956</v>
      </c>
      <c r="G3" s="3">
        <v>0.25</v>
      </c>
      <c r="H3" s="3">
        <v>3290158.76</v>
      </c>
      <c r="I3" s="3">
        <v>46.37</v>
      </c>
      <c r="J3" s="3" t="s">
        <v>27</v>
      </c>
      <c r="K3" s="3" t="s">
        <v>27</v>
      </c>
      <c r="L3" s="3">
        <v>2.5</v>
      </c>
      <c r="M3" s="3">
        <v>18416</v>
      </c>
      <c r="N3" s="3">
        <v>25.95</v>
      </c>
      <c r="O3" s="3">
        <v>178.66</v>
      </c>
      <c r="P3" s="3" t="s">
        <v>27</v>
      </c>
      <c r="Q3" s="3">
        <v>0</v>
      </c>
    </row>
    <row r="4" spans="1:17" ht="15.75" customHeight="1" x14ac:dyDescent="0.2">
      <c r="A4" s="7"/>
      <c r="D4" s="3" t="s">
        <v>28</v>
      </c>
      <c r="E4" s="3">
        <v>28850080</v>
      </c>
      <c r="F4" s="3">
        <v>70956</v>
      </c>
      <c r="G4" s="3">
        <v>0.25</v>
      </c>
      <c r="H4" s="3">
        <v>3290158.76</v>
      </c>
      <c r="I4" s="3">
        <v>46.37</v>
      </c>
      <c r="J4" s="3" t="s">
        <v>27</v>
      </c>
      <c r="K4" s="3" t="s">
        <v>27</v>
      </c>
      <c r="L4" s="3">
        <v>2.5</v>
      </c>
      <c r="M4" s="3">
        <v>18416</v>
      </c>
      <c r="N4" s="3">
        <v>25.95</v>
      </c>
      <c r="O4" s="3">
        <v>178.66</v>
      </c>
      <c r="P4" s="3" t="s">
        <v>27</v>
      </c>
      <c r="Q4" s="3">
        <v>0</v>
      </c>
    </row>
    <row r="5" spans="1:17" ht="15.75" customHeight="1" x14ac:dyDescent="0.2">
      <c r="A5" s="7"/>
    </row>
    <row r="6" spans="1:17" ht="15.75" customHeight="1" x14ac:dyDescent="0.2">
      <c r="A6" s="9" t="s">
        <v>83</v>
      </c>
      <c r="B6" s="3" t="s">
        <v>83</v>
      </c>
      <c r="C6" s="3" t="s">
        <v>84</v>
      </c>
      <c r="D6" s="3" t="s">
        <v>82</v>
      </c>
      <c r="E6" s="3">
        <v>164413</v>
      </c>
      <c r="F6" s="3">
        <v>6381</v>
      </c>
      <c r="G6" s="3">
        <v>3.88</v>
      </c>
      <c r="H6" s="3">
        <v>175214.8</v>
      </c>
      <c r="I6" s="3">
        <v>27.46</v>
      </c>
      <c r="J6" s="3" t="s">
        <v>27</v>
      </c>
      <c r="K6" s="3" t="s">
        <v>27</v>
      </c>
      <c r="L6" s="3">
        <v>1.0900000000000001</v>
      </c>
      <c r="M6" s="3">
        <v>223</v>
      </c>
      <c r="N6" s="3">
        <v>3.49</v>
      </c>
      <c r="O6" s="3">
        <v>785.72</v>
      </c>
      <c r="P6" s="3" t="s">
        <v>27</v>
      </c>
      <c r="Q6" s="3">
        <v>0</v>
      </c>
    </row>
    <row r="7" spans="1:17" ht="15.75" customHeight="1" x14ac:dyDescent="0.2">
      <c r="A7" s="7"/>
      <c r="D7" s="3" t="s">
        <v>28</v>
      </c>
      <c r="E7" s="3">
        <v>164413</v>
      </c>
      <c r="F7" s="3">
        <v>6381</v>
      </c>
      <c r="G7" s="3">
        <v>3.88</v>
      </c>
      <c r="H7" s="3">
        <v>175214.8</v>
      </c>
      <c r="I7" s="3">
        <v>27.46</v>
      </c>
      <c r="J7" s="3" t="s">
        <v>27</v>
      </c>
      <c r="K7" s="3" t="s">
        <v>27</v>
      </c>
      <c r="L7" s="3">
        <v>1.0900000000000001</v>
      </c>
      <c r="M7" s="3">
        <v>223</v>
      </c>
      <c r="N7" s="3">
        <v>3.49</v>
      </c>
      <c r="O7" s="3">
        <v>785.72</v>
      </c>
      <c r="P7" s="3" t="s">
        <v>27</v>
      </c>
      <c r="Q7" s="3">
        <v>0</v>
      </c>
    </row>
    <row r="8" spans="1:17" ht="15.75" customHeight="1" x14ac:dyDescent="0.2">
      <c r="A8" s="7"/>
    </row>
    <row r="9" spans="1:17" ht="15.75" customHeight="1" x14ac:dyDescent="0.2">
      <c r="A9" s="9" t="s">
        <v>1</v>
      </c>
      <c r="B9" s="3" t="s">
        <v>1</v>
      </c>
      <c r="C9" s="3" t="s">
        <v>75</v>
      </c>
      <c r="D9" s="3" t="s">
        <v>82</v>
      </c>
      <c r="E9" s="3">
        <v>7133731</v>
      </c>
      <c r="F9" s="3">
        <v>19427</v>
      </c>
      <c r="G9" s="3">
        <v>0.27</v>
      </c>
      <c r="H9" s="3">
        <v>865552.15</v>
      </c>
      <c r="I9" s="3">
        <v>44.55</v>
      </c>
      <c r="J9" s="3" t="s">
        <v>27</v>
      </c>
      <c r="K9" s="3" t="s">
        <v>27</v>
      </c>
      <c r="L9" s="3">
        <v>2.76</v>
      </c>
      <c r="M9" s="3">
        <v>5837</v>
      </c>
      <c r="N9" s="3">
        <v>30.05</v>
      </c>
      <c r="O9" s="3">
        <v>148.29</v>
      </c>
      <c r="P9" s="3" t="s">
        <v>27</v>
      </c>
      <c r="Q9" s="3">
        <v>0</v>
      </c>
    </row>
    <row r="10" spans="1:17" ht="15.75" customHeight="1" x14ac:dyDescent="0.2">
      <c r="A10" s="7"/>
      <c r="D10" s="3" t="s">
        <v>28</v>
      </c>
      <c r="E10" s="3">
        <v>7133731</v>
      </c>
      <c r="F10" s="3">
        <v>19427</v>
      </c>
      <c r="G10" s="3">
        <v>0.27</v>
      </c>
      <c r="H10" s="3">
        <v>865552.15</v>
      </c>
      <c r="I10" s="3">
        <v>44.55</v>
      </c>
      <c r="J10" s="3" t="s">
        <v>27</v>
      </c>
      <c r="K10" s="3" t="s">
        <v>27</v>
      </c>
      <c r="L10" s="3">
        <v>2.76</v>
      </c>
      <c r="M10" s="3">
        <v>5837</v>
      </c>
      <c r="N10" s="3">
        <v>30.05</v>
      </c>
      <c r="O10" s="3">
        <v>148.29</v>
      </c>
      <c r="P10" s="3" t="s">
        <v>27</v>
      </c>
      <c r="Q10" s="3">
        <v>0</v>
      </c>
    </row>
    <row r="11" spans="1:17" ht="15.75" customHeight="1" x14ac:dyDescent="0.2">
      <c r="A11" s="7"/>
    </row>
    <row r="12" spans="1:17" ht="15.75" customHeight="1" x14ac:dyDescent="0.2">
      <c r="A12" s="9" t="s">
        <v>85</v>
      </c>
      <c r="B12" s="3" t="s">
        <v>85</v>
      </c>
      <c r="C12" s="3" t="s">
        <v>86</v>
      </c>
      <c r="D12" s="3" t="s">
        <v>82</v>
      </c>
      <c r="E12" s="3">
        <v>209273</v>
      </c>
      <c r="F12" s="3">
        <v>2435</v>
      </c>
      <c r="G12" s="3">
        <v>1.1599999999999999</v>
      </c>
      <c r="H12" s="3">
        <v>152015.35999999999</v>
      </c>
      <c r="I12" s="3">
        <v>62.43</v>
      </c>
      <c r="J12" s="3" t="s">
        <v>27</v>
      </c>
      <c r="K12" s="3" t="s">
        <v>27</v>
      </c>
      <c r="L12" s="3">
        <v>4.58</v>
      </c>
      <c r="M12" s="3">
        <v>1235</v>
      </c>
      <c r="N12" s="3">
        <v>50.72</v>
      </c>
      <c r="O12" s="3">
        <v>123.09</v>
      </c>
      <c r="P12" s="3" t="s">
        <v>27</v>
      </c>
      <c r="Q12" s="3">
        <v>0</v>
      </c>
    </row>
    <row r="13" spans="1:17" ht="15.75" customHeight="1" x14ac:dyDescent="0.2">
      <c r="A13" s="7"/>
      <c r="D13" s="3" t="s">
        <v>28</v>
      </c>
      <c r="E13" s="3">
        <v>209273</v>
      </c>
      <c r="F13" s="3">
        <v>2435</v>
      </c>
      <c r="G13" s="3">
        <v>1.1599999999999999</v>
      </c>
      <c r="H13" s="3">
        <v>152015.35999999999</v>
      </c>
      <c r="I13" s="3">
        <v>62.43</v>
      </c>
      <c r="J13" s="3" t="s">
        <v>27</v>
      </c>
      <c r="K13" s="3" t="s">
        <v>27</v>
      </c>
      <c r="L13" s="3">
        <v>4.58</v>
      </c>
      <c r="M13" s="3">
        <v>1235</v>
      </c>
      <c r="N13" s="3">
        <v>50.72</v>
      </c>
      <c r="O13" s="3">
        <v>123.09</v>
      </c>
      <c r="P13" s="3" t="s">
        <v>27</v>
      </c>
      <c r="Q13" s="3">
        <v>0</v>
      </c>
    </row>
    <row r="14" spans="1:17" ht="15.75" customHeight="1" x14ac:dyDescent="0.2">
      <c r="A14" s="7"/>
    </row>
    <row r="15" spans="1:17" ht="15.75" customHeight="1" x14ac:dyDescent="0.2">
      <c r="A15" s="9" t="s">
        <v>4</v>
      </c>
      <c r="B15" s="3" t="s">
        <v>4</v>
      </c>
      <c r="C15" s="3" t="s">
        <v>5</v>
      </c>
      <c r="D15" s="3" t="s">
        <v>82</v>
      </c>
      <c r="E15" s="3">
        <v>15308433</v>
      </c>
      <c r="F15" s="3">
        <v>30413</v>
      </c>
      <c r="G15" s="3">
        <v>0.2</v>
      </c>
      <c r="H15" s="3">
        <v>1370510.15</v>
      </c>
      <c r="I15" s="3">
        <v>45.06</v>
      </c>
      <c r="J15" s="3" t="s">
        <v>27</v>
      </c>
      <c r="K15" s="3" t="s">
        <v>27</v>
      </c>
      <c r="L15" s="3">
        <v>2.84</v>
      </c>
      <c r="M15" s="3">
        <v>8342</v>
      </c>
      <c r="N15" s="3">
        <v>27.43</v>
      </c>
      <c r="O15" s="3">
        <v>164.29</v>
      </c>
      <c r="P15" s="3" t="s">
        <v>27</v>
      </c>
      <c r="Q15" s="3">
        <v>0</v>
      </c>
    </row>
    <row r="16" spans="1:17" ht="15.75" customHeight="1" x14ac:dyDescent="0.2">
      <c r="D16" s="3" t="s">
        <v>28</v>
      </c>
      <c r="E16" s="3">
        <v>15308433</v>
      </c>
      <c r="F16" s="3">
        <v>30413</v>
      </c>
      <c r="G16" s="3">
        <v>0.2</v>
      </c>
      <c r="H16" s="3">
        <v>1370510.15</v>
      </c>
      <c r="I16" s="3">
        <v>45.06</v>
      </c>
      <c r="J16" s="3" t="s">
        <v>27</v>
      </c>
      <c r="K16" s="3" t="s">
        <v>27</v>
      </c>
      <c r="L16" s="3">
        <v>2.84</v>
      </c>
      <c r="M16" s="3">
        <v>8342</v>
      </c>
      <c r="N16" s="3">
        <v>27.43</v>
      </c>
      <c r="O16" s="3">
        <v>164.29</v>
      </c>
      <c r="P16" s="3" t="s">
        <v>27</v>
      </c>
      <c r="Q16" s="3">
        <v>0</v>
      </c>
    </row>
    <row r="18" spans="1:17" ht="15.75" customHeight="1" x14ac:dyDescent="0.2">
      <c r="A18" s="1" t="s">
        <v>7</v>
      </c>
      <c r="B18" s="3" t="s">
        <v>7</v>
      </c>
      <c r="C18" s="3" t="s">
        <v>8</v>
      </c>
      <c r="D18" s="3" t="s">
        <v>82</v>
      </c>
      <c r="E18" s="3">
        <v>5779199</v>
      </c>
      <c r="F18" s="3">
        <v>9816</v>
      </c>
      <c r="G18" s="3">
        <v>0.17</v>
      </c>
      <c r="H18" s="3">
        <v>545577.16</v>
      </c>
      <c r="I18" s="3">
        <v>55.58</v>
      </c>
      <c r="J18" s="3" t="s">
        <v>27</v>
      </c>
      <c r="K18" s="3" t="s">
        <v>27</v>
      </c>
      <c r="L18" s="3">
        <v>1.08</v>
      </c>
      <c r="M18" s="3">
        <v>1915</v>
      </c>
      <c r="N18" s="3">
        <v>19.510000000000002</v>
      </c>
      <c r="O18" s="3">
        <v>284.89999999999998</v>
      </c>
      <c r="P18" s="3" t="s">
        <v>27</v>
      </c>
      <c r="Q18" s="3">
        <v>0</v>
      </c>
    </row>
    <row r="19" spans="1:17" ht="15.75" customHeight="1" x14ac:dyDescent="0.2">
      <c r="D19" s="3" t="s">
        <v>28</v>
      </c>
      <c r="E19" s="3">
        <v>5779199</v>
      </c>
      <c r="F19" s="3">
        <v>9816</v>
      </c>
      <c r="G19" s="3">
        <v>0.17</v>
      </c>
      <c r="H19" s="3">
        <v>545577.16</v>
      </c>
      <c r="I19" s="3">
        <v>55.58</v>
      </c>
      <c r="J19" s="3" t="s">
        <v>27</v>
      </c>
      <c r="K19" s="3" t="s">
        <v>27</v>
      </c>
      <c r="L19" s="3">
        <v>1.08</v>
      </c>
      <c r="M19" s="3">
        <v>1915</v>
      </c>
      <c r="N19" s="3">
        <v>19.510000000000002</v>
      </c>
      <c r="O19" s="3">
        <v>284.89999999999998</v>
      </c>
      <c r="P19" s="3" t="s">
        <v>27</v>
      </c>
      <c r="Q19" s="3">
        <v>0</v>
      </c>
    </row>
    <row r="21" spans="1:17" ht="15.75" customHeight="1" x14ac:dyDescent="0.2">
      <c r="A21" s="1" t="s">
        <v>29</v>
      </c>
      <c r="B21" s="3" t="s">
        <v>29</v>
      </c>
      <c r="C21" s="3" t="s">
        <v>76</v>
      </c>
      <c r="D21" s="3" t="s">
        <v>82</v>
      </c>
      <c r="E21" s="3">
        <v>255031</v>
      </c>
      <c r="F21" s="3">
        <v>2484</v>
      </c>
      <c r="G21" s="3">
        <v>0.97</v>
      </c>
      <c r="H21" s="3">
        <v>181289.14</v>
      </c>
      <c r="I21" s="3">
        <v>72.98</v>
      </c>
      <c r="J21" s="3" t="s">
        <v>27</v>
      </c>
      <c r="K21" s="3" t="s">
        <v>27</v>
      </c>
      <c r="L21" s="3">
        <v>2.4900000000000002</v>
      </c>
      <c r="M21" s="3">
        <v>864</v>
      </c>
      <c r="N21" s="3">
        <v>34.78</v>
      </c>
      <c r="O21" s="3">
        <v>209.83</v>
      </c>
      <c r="P21" s="3" t="s">
        <v>27</v>
      </c>
      <c r="Q21" s="3">
        <v>0</v>
      </c>
    </row>
    <row r="22" spans="1:17" ht="15.75" customHeight="1" x14ac:dyDescent="0.2">
      <c r="D22" s="3" t="s">
        <v>28</v>
      </c>
      <c r="E22" s="3">
        <v>255031</v>
      </c>
      <c r="F22" s="3">
        <v>2484</v>
      </c>
      <c r="G22" s="3">
        <v>0.97</v>
      </c>
      <c r="H22" s="3">
        <v>181289.14</v>
      </c>
      <c r="I22" s="3">
        <v>72.98</v>
      </c>
      <c r="J22" s="3" t="s">
        <v>27</v>
      </c>
      <c r="K22" s="3" t="s">
        <v>27</v>
      </c>
      <c r="L22" s="3">
        <v>2.4900000000000002</v>
      </c>
      <c r="M22" s="3">
        <v>864</v>
      </c>
      <c r="N22" s="3">
        <v>34.78</v>
      </c>
      <c r="O22" s="3">
        <v>209.83</v>
      </c>
      <c r="P22" s="3" t="s">
        <v>27</v>
      </c>
      <c r="Q22" s="3">
        <v>0</v>
      </c>
    </row>
    <row r="24" spans="1:17" ht="18" x14ac:dyDescent="0.25">
      <c r="A24" s="10" t="s">
        <v>30</v>
      </c>
      <c r="B24" s="11" t="s">
        <v>31</v>
      </c>
      <c r="C24" s="11"/>
      <c r="D24" s="12"/>
      <c r="E24" s="11"/>
      <c r="F24" s="13"/>
      <c r="G24" s="11"/>
      <c r="H24" s="11"/>
      <c r="I24" s="11"/>
      <c r="J24" s="11"/>
      <c r="K24" s="11"/>
      <c r="L24" s="11"/>
      <c r="M24" s="11"/>
      <c r="N24" s="11"/>
      <c r="O24" s="14"/>
    </row>
    <row r="25" spans="1:17" ht="15.75" customHeight="1" x14ac:dyDescent="0.2">
      <c r="A25" s="15"/>
      <c r="B25" s="3" t="s">
        <v>109</v>
      </c>
      <c r="C25" s="3"/>
      <c r="D25" s="17"/>
      <c r="E25" s="3"/>
      <c r="F25" s="18"/>
      <c r="G25" s="3"/>
      <c r="H25" s="3"/>
      <c r="I25" s="3"/>
      <c r="J25" s="3"/>
      <c r="K25" s="3"/>
      <c r="L25" s="3"/>
      <c r="M25" s="3"/>
      <c r="N25" s="3"/>
      <c r="O25" s="19"/>
    </row>
    <row r="26" spans="1:17" ht="15.75" customHeight="1" x14ac:dyDescent="0.2">
      <c r="A26" s="15"/>
      <c r="B26" s="3" t="s">
        <v>32</v>
      </c>
      <c r="C26" s="3" t="s">
        <v>33</v>
      </c>
      <c r="D26" s="3" t="s">
        <v>34</v>
      </c>
      <c r="E26" s="3" t="s">
        <v>35</v>
      </c>
      <c r="F26" s="18" t="s">
        <v>36</v>
      </c>
      <c r="G26" s="3" t="s">
        <v>13</v>
      </c>
      <c r="H26" s="3" t="s">
        <v>37</v>
      </c>
      <c r="I26" s="3" t="s">
        <v>38</v>
      </c>
      <c r="J26" s="3" t="s">
        <v>39</v>
      </c>
      <c r="K26" s="3" t="s">
        <v>40</v>
      </c>
      <c r="L26" s="3" t="s">
        <v>21</v>
      </c>
      <c r="M26" s="3" t="s">
        <v>41</v>
      </c>
      <c r="N26" s="3" t="s">
        <v>42</v>
      </c>
      <c r="O26" s="20" t="s">
        <v>43</v>
      </c>
    </row>
    <row r="27" spans="1:17" ht="15.75" customHeight="1" x14ac:dyDescent="0.2">
      <c r="A27" s="64" t="s">
        <v>86</v>
      </c>
      <c r="B27" s="3" t="s">
        <v>86</v>
      </c>
      <c r="C27" s="3" t="s">
        <v>88</v>
      </c>
      <c r="D27" s="3" t="s">
        <v>111</v>
      </c>
      <c r="E27" s="18" t="s">
        <v>45</v>
      </c>
      <c r="F27" s="18">
        <v>1192</v>
      </c>
      <c r="G27" s="18">
        <v>6592</v>
      </c>
      <c r="H27" s="3" t="s">
        <v>112</v>
      </c>
      <c r="I27" s="22">
        <v>102.25</v>
      </c>
      <c r="J27" s="22">
        <v>121878.04</v>
      </c>
      <c r="K27" s="3">
        <v>1.95</v>
      </c>
      <c r="L27" s="3">
        <v>220</v>
      </c>
      <c r="M27" s="22">
        <v>0</v>
      </c>
      <c r="N27" s="3">
        <v>551.29999999999995</v>
      </c>
      <c r="O27" s="20" t="s">
        <v>113</v>
      </c>
    </row>
    <row r="28" spans="1:17" ht="15.75" customHeight="1" x14ac:dyDescent="0.2">
      <c r="A28" s="16" t="s">
        <v>8</v>
      </c>
      <c r="B28" s="3" t="s">
        <v>8</v>
      </c>
      <c r="C28" s="3" t="s">
        <v>44</v>
      </c>
      <c r="D28" s="3" t="s">
        <v>111</v>
      </c>
      <c r="E28" s="18" t="s">
        <v>45</v>
      </c>
      <c r="F28" s="18">
        <v>1724</v>
      </c>
      <c r="G28" s="18">
        <v>60996</v>
      </c>
      <c r="H28" s="3" t="s">
        <v>94</v>
      </c>
      <c r="I28" s="22">
        <v>88.36</v>
      </c>
      <c r="J28" s="22">
        <v>152330.78</v>
      </c>
      <c r="K28" s="22">
        <v>1.53</v>
      </c>
      <c r="L28" s="22">
        <v>31.36</v>
      </c>
      <c r="M28" s="22">
        <v>0</v>
      </c>
      <c r="N28" s="22">
        <v>4851.29</v>
      </c>
      <c r="O28" s="20" t="s">
        <v>115</v>
      </c>
    </row>
    <row r="29" spans="1:17" ht="15.75" customHeight="1" x14ac:dyDescent="0.2">
      <c r="A29" s="16" t="s">
        <v>5</v>
      </c>
      <c r="B29" s="3" t="s">
        <v>5</v>
      </c>
      <c r="C29" s="3" t="s">
        <v>46</v>
      </c>
      <c r="D29" s="3" t="s">
        <v>111</v>
      </c>
      <c r="E29" s="18" t="s">
        <v>45</v>
      </c>
      <c r="F29" s="18">
        <v>4340</v>
      </c>
      <c r="G29" s="18">
        <v>309463</v>
      </c>
      <c r="H29" s="3" t="s">
        <v>117</v>
      </c>
      <c r="I29" s="22">
        <v>98.11</v>
      </c>
      <c r="J29" s="22">
        <v>425780.98</v>
      </c>
      <c r="K29" s="3">
        <v>1.55</v>
      </c>
      <c r="L29" s="22">
        <v>5554.98</v>
      </c>
      <c r="M29" s="22">
        <v>0</v>
      </c>
      <c r="N29" s="22">
        <v>75.900000000000006</v>
      </c>
      <c r="O29" s="20" t="s">
        <v>118</v>
      </c>
    </row>
    <row r="30" spans="1:17" ht="15.75" customHeight="1" x14ac:dyDescent="0.2">
      <c r="A30" s="16" t="s">
        <v>47</v>
      </c>
      <c r="B30" s="3" t="s">
        <v>47</v>
      </c>
      <c r="C30" s="3" t="s">
        <v>48</v>
      </c>
      <c r="D30" s="3" t="s">
        <v>111</v>
      </c>
      <c r="E30" s="18" t="s">
        <v>45</v>
      </c>
      <c r="F30" s="18">
        <v>685</v>
      </c>
      <c r="G30" s="18">
        <v>3090</v>
      </c>
      <c r="H30" s="3" t="s">
        <v>120</v>
      </c>
      <c r="I30" s="22">
        <v>97.45</v>
      </c>
      <c r="J30" s="22">
        <v>66752.06</v>
      </c>
      <c r="K30" s="3">
        <v>1.26</v>
      </c>
      <c r="L30" s="3">
        <v>100</v>
      </c>
      <c r="M30" s="22">
        <v>0</v>
      </c>
      <c r="N30" s="22">
        <v>666.51</v>
      </c>
      <c r="O30" s="20" t="s">
        <v>122</v>
      </c>
    </row>
    <row r="31" spans="1:17" ht="15.75" customHeight="1" x14ac:dyDescent="0.2">
      <c r="A31" s="57" t="s">
        <v>2</v>
      </c>
      <c r="B31" s="25" t="s">
        <v>2</v>
      </c>
      <c r="C31" s="25" t="s">
        <v>49</v>
      </c>
      <c r="D31" s="25" t="s">
        <v>111</v>
      </c>
      <c r="E31" s="26" t="s">
        <v>45</v>
      </c>
      <c r="F31" s="26">
        <v>2148</v>
      </c>
      <c r="G31" s="26">
        <v>25994</v>
      </c>
      <c r="H31" s="25" t="s">
        <v>124</v>
      </c>
      <c r="I31" s="27">
        <v>117.48</v>
      </c>
      <c r="J31" s="27">
        <v>252342.48</v>
      </c>
      <c r="K31" s="25">
        <v>2.38</v>
      </c>
      <c r="L31" s="25">
        <v>0</v>
      </c>
      <c r="M31" s="27">
        <v>0</v>
      </c>
      <c r="N31" s="27">
        <v>0</v>
      </c>
      <c r="O31" s="28" t="s">
        <v>51</v>
      </c>
    </row>
    <row r="34" spans="1:15" ht="15.75" customHeight="1" outlineLevel="1" x14ac:dyDescent="0.2">
      <c r="B34" s="29" t="s">
        <v>0</v>
      </c>
      <c r="C34" s="73" t="s">
        <v>30</v>
      </c>
    </row>
    <row r="35" spans="1:15" ht="15.75" customHeight="1" outlineLevel="1" x14ac:dyDescent="0.2">
      <c r="A35" s="31" t="s">
        <v>32</v>
      </c>
      <c r="B35" s="33" t="s">
        <v>54</v>
      </c>
      <c r="C35" s="34" t="s">
        <v>54</v>
      </c>
    </row>
    <row r="36" spans="1:15" ht="12.75" outlineLevel="1" x14ac:dyDescent="0.2">
      <c r="A36" s="16" t="s">
        <v>98</v>
      </c>
      <c r="B36" s="35">
        <f>H6*1.18*1.2</f>
        <v>248104.15679999997</v>
      </c>
      <c r="C36" s="74"/>
    </row>
    <row r="37" spans="1:15" ht="12.75" outlineLevel="1" x14ac:dyDescent="0.2">
      <c r="A37" s="37" t="s">
        <v>1</v>
      </c>
      <c r="B37" s="35">
        <f>H9*1.18</f>
        <v>1021351.537</v>
      </c>
      <c r="C37" s="71">
        <f>J31*1.18*1.1</f>
        <v>327540.53904000006</v>
      </c>
    </row>
    <row r="38" spans="1:15" ht="12.75" outlineLevel="1" x14ac:dyDescent="0.2">
      <c r="A38" s="37" t="s">
        <v>85</v>
      </c>
      <c r="B38" s="35">
        <f>H12*1.18</f>
        <v>179378.12479999996</v>
      </c>
      <c r="C38" s="71">
        <f>J27*1.18*1.1</f>
        <v>158197.69592</v>
      </c>
    </row>
    <row r="39" spans="1:15" ht="12.75" outlineLevel="1" x14ac:dyDescent="0.2">
      <c r="A39" s="37" t="s">
        <v>4</v>
      </c>
      <c r="B39" s="35">
        <f>H15*1.18</f>
        <v>1617201.9769999997</v>
      </c>
      <c r="C39" s="71">
        <f t="shared" ref="C39:C40" si="0">J29*1.18*1.1</f>
        <v>552663.71204000001</v>
      </c>
    </row>
    <row r="40" spans="1:15" ht="12.75" outlineLevel="1" x14ac:dyDescent="0.2">
      <c r="A40" s="37" t="s">
        <v>29</v>
      </c>
      <c r="B40" s="35">
        <f>H21*1.18</f>
        <v>213921.18520000001</v>
      </c>
      <c r="C40" s="71">
        <f t="shared" si="0"/>
        <v>86644.173879999988</v>
      </c>
    </row>
    <row r="41" spans="1:15" ht="12.75" outlineLevel="1" x14ac:dyDescent="0.2">
      <c r="A41" s="39" t="s">
        <v>7</v>
      </c>
      <c r="B41" s="40">
        <f>H18*1.18*1.05</f>
        <v>675970.10123999999</v>
      </c>
      <c r="C41" s="75">
        <f>J28*1.18*1.1</f>
        <v>197725.35244000002</v>
      </c>
    </row>
    <row r="42" spans="1:15" ht="12.75" outlineLevel="1" x14ac:dyDescent="0.2"/>
    <row r="43" spans="1:15" ht="12.75" outlineLevel="1" x14ac:dyDescent="0.2"/>
    <row r="44" spans="1:15" ht="18" x14ac:dyDescent="0.2">
      <c r="A44" s="41" t="s">
        <v>55</v>
      </c>
      <c r="B44" s="77">
        <v>30</v>
      </c>
      <c r="C44" s="21"/>
      <c r="D44" s="43"/>
    </row>
    <row r="45" spans="1:15" ht="12.75" x14ac:dyDescent="0.2">
      <c r="A45" s="3" t="s">
        <v>56</v>
      </c>
      <c r="B45" s="6">
        <v>30</v>
      </c>
      <c r="D45" s="4"/>
    </row>
    <row r="46" spans="1:15" ht="12.75" x14ac:dyDescent="0.2">
      <c r="A46" s="21"/>
      <c r="D46" s="4"/>
    </row>
    <row r="47" spans="1:15" ht="63.75" x14ac:dyDescent="0.2">
      <c r="A47" s="44" t="s">
        <v>0</v>
      </c>
      <c r="B47" s="65" t="s">
        <v>58</v>
      </c>
      <c r="C47" s="66" t="s">
        <v>60</v>
      </c>
      <c r="D47" s="65" t="s">
        <v>64</v>
      </c>
      <c r="E47" s="65" t="s">
        <v>64</v>
      </c>
      <c r="F47" s="65" t="s">
        <v>78</v>
      </c>
      <c r="G47" s="65" t="s">
        <v>59</v>
      </c>
      <c r="H47" s="65" t="s">
        <v>61</v>
      </c>
      <c r="I47" s="65" t="s">
        <v>79</v>
      </c>
      <c r="J47" s="65" t="s">
        <v>139</v>
      </c>
      <c r="K47" s="65" t="s">
        <v>62</v>
      </c>
      <c r="L47" s="65" t="s">
        <v>80</v>
      </c>
      <c r="M47" s="65" t="s">
        <v>63</v>
      </c>
      <c r="N47" s="65" t="s">
        <v>100</v>
      </c>
      <c r="O47" s="67" t="s">
        <v>101</v>
      </c>
    </row>
    <row r="48" spans="1:15" ht="12.75" x14ac:dyDescent="0.2">
      <c r="A48" s="16" t="s">
        <v>98</v>
      </c>
      <c r="B48" s="35">
        <f t="shared" ref="B48:B53" si="1">B36</f>
        <v>248104.15679999997</v>
      </c>
      <c r="C48" s="45">
        <f t="shared" ref="C48:C53" si="2">B48/G48</f>
        <v>1.0005445616725845</v>
      </c>
      <c r="D48" s="82">
        <v>3</v>
      </c>
      <c r="E48" s="84"/>
      <c r="F48" s="84"/>
      <c r="G48" s="35">
        <f>K48/B45*B44</f>
        <v>247969.12232000005</v>
      </c>
      <c r="H48" s="46">
        <f t="shared" ref="H48:H53" si="3">B48-G48</f>
        <v>135.03447999991477</v>
      </c>
      <c r="I48" s="70">
        <f t="shared" ref="I48:I53" si="4">100%-C48</f>
        <v>-5.4456167258454258E-4</v>
      </c>
      <c r="J48" s="47">
        <f>415000-166895.8432</f>
        <v>248104.1568</v>
      </c>
      <c r="K48" s="48">
        <f>J48+Октябрь2018!H48</f>
        <v>247969.12232000002</v>
      </c>
      <c r="L48" s="72">
        <v>1</v>
      </c>
      <c r="M48" s="46">
        <f t="shared" ref="M48:M53" si="5">K48-B48</f>
        <v>-135.03447999994387</v>
      </c>
      <c r="N48" t="e">
        <f>M48/(B45-B44)/1.18/1.2</f>
        <v>#DIV/0!</v>
      </c>
      <c r="O48" s="71">
        <f>B48/B44/1.18/1.2</f>
        <v>5840.4933333333329</v>
      </c>
    </row>
    <row r="49" spans="1:15" ht="12.75" x14ac:dyDescent="0.2">
      <c r="A49" s="37" t="s">
        <v>1</v>
      </c>
      <c r="B49" s="35">
        <f t="shared" si="1"/>
        <v>1021351.537</v>
      </c>
      <c r="C49" s="45">
        <f t="shared" ca="1" si="2"/>
        <v>0.99931458619029434</v>
      </c>
      <c r="D49" s="69">
        <v>101</v>
      </c>
      <c r="E49" s="68">
        <f t="shared" ref="E49:E53" ca="1" si="6">D49/F49</f>
        <v>0.92660550458715596</v>
      </c>
      <c r="F49" s="69">
        <f ca="1">L49/B45*B44</f>
        <v>109</v>
      </c>
      <c r="G49" s="35">
        <f t="shared" ref="G49:G52" ca="1" si="7">K49/$B$45*$B$44</f>
        <v>1022052.0656000004</v>
      </c>
      <c r="H49" s="46">
        <f t="shared" ca="1" si="3"/>
        <v>-700.5286000004271</v>
      </c>
      <c r="I49" s="70">
        <f t="shared" ca="1" si="4"/>
        <v>6.8541380970565946E-4</v>
      </c>
      <c r="J49" s="47">
        <f ca="1">IFERROR(__xludf.DUMMYFUNCTION("IMPORTRANGE(""https://docs.google.com/spreadsheets/d/1ijrZGUuAMwbgWAQ2i-HT-MaaE31Q_mJkXszOCviigQE/edit#gid=2137253623"",""Медиаплан Ноябрь!B4"")"),1020000)</f>
        <v>1020000</v>
      </c>
      <c r="K49" s="48">
        <f ca="1">J49+Октябрь2018!H49</f>
        <v>1022052.0656000003</v>
      </c>
      <c r="L49" s="88">
        <f ca="1">IFERROR(__xludf.DUMMYFUNCTION("IMPORTRANGE(""https://docs.google.com/spreadsheets/d/1ijrZGUuAMwbgWAQ2i-HT-MaaE31Q_mJkXszOCviigQE/edit#gid=2137253623"",""Медиаплан Ноябрь!C4"")"),109)</f>
        <v>109</v>
      </c>
      <c r="M49" s="46">
        <f t="shared" ca="1" si="5"/>
        <v>700.52860000031069</v>
      </c>
      <c r="N49" t="e">
        <f t="shared" ref="N49:N52" ca="1" si="8">M49/($B$45-$B$44)/1.18</f>
        <v>#DIV/0!</v>
      </c>
      <c r="O49" s="71">
        <f t="shared" ref="O49:O53" si="9">B49/$B$44/1.18</f>
        <v>28851.738333333335</v>
      </c>
    </row>
    <row r="50" spans="1:15" ht="12.75" x14ac:dyDescent="0.2">
      <c r="A50" s="37" t="s">
        <v>85</v>
      </c>
      <c r="B50" s="35">
        <f t="shared" si="1"/>
        <v>179378.12479999996</v>
      </c>
      <c r="C50" s="45">
        <f t="shared" si="2"/>
        <v>1.0003608452722361</v>
      </c>
      <c r="D50" s="69">
        <v>77</v>
      </c>
      <c r="E50" s="68">
        <f t="shared" ca="1" si="6"/>
        <v>1.0694444444444444</v>
      </c>
      <c r="F50" s="69">
        <f ca="1">L50/B45*B44</f>
        <v>72</v>
      </c>
      <c r="G50" s="35">
        <f t="shared" si="7"/>
        <v>179313.42040000012</v>
      </c>
      <c r="H50" s="46">
        <f t="shared" si="3"/>
        <v>64.704399999842281</v>
      </c>
      <c r="I50" s="70">
        <f t="shared" si="4"/>
        <v>-3.6084527223612106E-4</v>
      </c>
      <c r="J50" s="47">
        <v>175000</v>
      </c>
      <c r="K50" s="48">
        <f>J50+Октябрь2018!H50</f>
        <v>179313.42040000012</v>
      </c>
      <c r="L50" s="88">
        <f ca="1">IFERROR(__xludf.DUMMYFUNCTION("IMPORTRANGE(""https://docs.google.com/spreadsheets/d/1etyJgBhSzQSHMqbu2wdOKURMor-XpGjLbX3qqM4Refc/edit#gid=2137253623"",""Медиаплан Ноябрь!C4"")"),72)</f>
        <v>72</v>
      </c>
      <c r="M50" s="46">
        <f t="shared" si="5"/>
        <v>-64.704399999842281</v>
      </c>
      <c r="N50" t="e">
        <f t="shared" si="8"/>
        <v>#DIV/0!</v>
      </c>
      <c r="O50" s="71">
        <f t="shared" si="9"/>
        <v>5067.1786666666658</v>
      </c>
    </row>
    <row r="51" spans="1:15" ht="12.75" x14ac:dyDescent="0.2">
      <c r="A51" s="37" t="s">
        <v>4</v>
      </c>
      <c r="B51" s="35">
        <f t="shared" si="1"/>
        <v>1617201.9769999997</v>
      </c>
      <c r="C51" s="45">
        <f t="shared" ca="1" si="2"/>
        <v>1.0025614431579921</v>
      </c>
      <c r="D51" s="69">
        <v>175</v>
      </c>
      <c r="E51" s="68">
        <f t="shared" ca="1" si="6"/>
        <v>1.0606060606060606</v>
      </c>
      <c r="F51" s="69">
        <f ca="1">L51/B45*B44</f>
        <v>165</v>
      </c>
      <c r="G51" s="35">
        <f t="shared" ca="1" si="7"/>
        <v>1613070.1894</v>
      </c>
      <c r="H51" s="46">
        <f t="shared" ca="1" si="3"/>
        <v>4131.7875999996904</v>
      </c>
      <c r="I51" s="70">
        <f t="shared" ca="1" si="4"/>
        <v>-2.561443157992116E-3</v>
      </c>
      <c r="J51" s="47">
        <f ca="1">IFERROR(__xludf.DUMMYFUNCTION("IMPORTRANGE(""https://docs.google.com/spreadsheets/d/137m5ANDUVmoNsjZiMV2vulxsGWlll1w8x_u_hcSge7E/edit?ts=5bacd778#gid=2137253623"",""Медиаплан Ноябрь!B4"")"),1610000)</f>
        <v>1610000</v>
      </c>
      <c r="K51" s="48">
        <f ca="1">J51+Октябрь2018!H51</f>
        <v>1613070.1894</v>
      </c>
      <c r="L51" s="88">
        <f ca="1">IFERROR(__xludf.DUMMYFUNCTION("IMPORTRANGE(""https://docs.google.com/spreadsheets/d/137m5ANDUVmoNsjZiMV2vulxsGWlll1w8x_u_hcSge7E/edit?ts=5bacd778#gid=2137253623"",""Медиаплан Ноябрь!C4"")"),165)</f>
        <v>165</v>
      </c>
      <c r="M51" s="46">
        <f t="shared" ca="1" si="5"/>
        <v>-4131.7875999996904</v>
      </c>
      <c r="N51" t="e">
        <f t="shared" ca="1" si="8"/>
        <v>#DIV/0!</v>
      </c>
      <c r="O51" s="71">
        <f t="shared" si="9"/>
        <v>45683.671666666662</v>
      </c>
    </row>
    <row r="52" spans="1:15" ht="12.75" x14ac:dyDescent="0.2">
      <c r="A52" s="37" t="s">
        <v>29</v>
      </c>
      <c r="B52" s="35">
        <f t="shared" si="1"/>
        <v>213921.18520000001</v>
      </c>
      <c r="C52" s="45">
        <f t="shared" ca="1" si="2"/>
        <v>1.0081253966679531</v>
      </c>
      <c r="D52" s="69">
        <v>39</v>
      </c>
      <c r="E52" s="68">
        <f t="shared" ca="1" si="6"/>
        <v>1.6956521739130435</v>
      </c>
      <c r="F52" s="69">
        <f ca="1">L52/B45*B44</f>
        <v>23</v>
      </c>
      <c r="G52" s="35">
        <f t="shared" ca="1" si="7"/>
        <v>212197.00040000019</v>
      </c>
      <c r="H52" s="46">
        <f t="shared" ca="1" si="3"/>
        <v>1724.1847999998135</v>
      </c>
      <c r="I52" s="70">
        <f t="shared" ca="1" si="4"/>
        <v>-8.1253966679530887E-3</v>
      </c>
      <c r="J52" s="111">
        <f ca="1">IFERROR(__xludf.DUMMYFUNCTION("IMPORTRANGE(""https://docs.google.com/spreadsheets/d/1sG6pP6nNN4RN6oZZdS730TeUN2W7p-vv_R5qTWRfukc/edit#gid=2137253623"",""Медиаплан Ноябрь!B4"")"),210000)</f>
        <v>210000</v>
      </c>
      <c r="K52" s="48">
        <f ca="1">J52+Октябрь2018!H52</f>
        <v>212197.00040000019</v>
      </c>
      <c r="L52" s="88">
        <f ca="1">IFERROR(__xludf.DUMMYFUNCTION("IMPORTRANGE(""https://docs.google.com/spreadsheets/d/1sG6pP6nNN4RN6oZZdS730TeUN2W7p-vv_R5qTWRfukc/edit#gid=2137253623"",""Медиаплан Ноябрь!C4"")"),23)</f>
        <v>23</v>
      </c>
      <c r="M52" s="46">
        <f t="shared" ca="1" si="5"/>
        <v>-1724.1847999998135</v>
      </c>
      <c r="N52" t="e">
        <f t="shared" ca="1" si="8"/>
        <v>#DIV/0!</v>
      </c>
      <c r="O52" s="71">
        <f t="shared" si="9"/>
        <v>6042.9713333333339</v>
      </c>
    </row>
    <row r="53" spans="1:15" ht="12.75" x14ac:dyDescent="0.2">
      <c r="A53" s="57" t="s">
        <v>7</v>
      </c>
      <c r="B53" s="40">
        <f t="shared" si="1"/>
        <v>675970.10123999999</v>
      </c>
      <c r="C53" s="45">
        <f t="shared" si="2"/>
        <v>1.0012140839376948</v>
      </c>
      <c r="D53" s="78">
        <v>131</v>
      </c>
      <c r="E53" s="79">
        <f t="shared" ca="1" si="6"/>
        <v>1.3789473684210527</v>
      </c>
      <c r="F53" s="78">
        <f ca="1">L53/B45*B44</f>
        <v>95</v>
      </c>
      <c r="G53" s="40">
        <f>K53/B45*B44</f>
        <v>675150.41196930001</v>
      </c>
      <c r="H53" s="80">
        <f t="shared" si="3"/>
        <v>819.68927069997881</v>
      </c>
      <c r="I53" s="81">
        <f t="shared" si="4"/>
        <v>-1.2140839376948431E-3</v>
      </c>
      <c r="J53" s="83">
        <v>674999.99</v>
      </c>
      <c r="K53" s="85">
        <f>J53+150.4219693</f>
        <v>675150.41196930001</v>
      </c>
      <c r="L53" s="90">
        <f ca="1">IFERROR(__xludf.DUMMYFUNCTION("IMPORTRANGE(""https://docs.google.com/spreadsheets/d/1p1L4G2mxr7595uh-ReZUhIVIwqpviT1ZLAW6zkToejA/edit?ts=5bd86e8e#gid=2137253623"",""Медиаплан Ноябрь!C4"")"),95)</f>
        <v>95</v>
      </c>
      <c r="M53" s="80">
        <f t="shared" si="5"/>
        <v>-819.68927069997881</v>
      </c>
      <c r="N53" s="86" t="e">
        <f>M53/($B$45-$B$44)/1.18/1.05</f>
        <v>#DIV/0!</v>
      </c>
      <c r="O53" s="75">
        <f t="shared" si="9"/>
        <v>19095.2006</v>
      </c>
    </row>
    <row r="54" spans="1:15" ht="12.75" x14ac:dyDescent="0.2">
      <c r="A54" s="21"/>
      <c r="D54" s="49"/>
      <c r="E54" s="49"/>
      <c r="F54" s="49"/>
      <c r="G54" s="4"/>
      <c r="J54" s="35">
        <f ca="1">SUM(J48:J53)</f>
        <v>3938104.1468000002</v>
      </c>
      <c r="L54" s="4"/>
    </row>
    <row r="55" spans="1:15" ht="12.75" x14ac:dyDescent="0.2">
      <c r="A55" s="21"/>
      <c r="D55" s="49"/>
      <c r="E55" s="49"/>
      <c r="F55" s="49"/>
      <c r="G55" s="4"/>
      <c r="J55" s="87"/>
      <c r="K55" s="87"/>
      <c r="L55" s="4"/>
    </row>
    <row r="56" spans="1:15" ht="63.75" x14ac:dyDescent="0.2">
      <c r="A56" s="50" t="s">
        <v>30</v>
      </c>
      <c r="B56" s="65" t="s">
        <v>58</v>
      </c>
      <c r="C56" s="66" t="s">
        <v>60</v>
      </c>
      <c r="D56" s="65" t="s">
        <v>64</v>
      </c>
      <c r="E56" s="65" t="s">
        <v>64</v>
      </c>
      <c r="F56" s="65" t="s">
        <v>78</v>
      </c>
      <c r="G56" s="65" t="s">
        <v>59</v>
      </c>
      <c r="H56" s="65" t="s">
        <v>61</v>
      </c>
      <c r="I56" s="65" t="s">
        <v>79</v>
      </c>
      <c r="J56" s="65" t="s">
        <v>142</v>
      </c>
      <c r="K56" s="65" t="s">
        <v>62</v>
      </c>
      <c r="L56" s="65" t="s">
        <v>80</v>
      </c>
      <c r="M56" s="65" t="s">
        <v>63</v>
      </c>
      <c r="N56" s="65" t="s">
        <v>100</v>
      </c>
      <c r="O56" s="67" t="s">
        <v>101</v>
      </c>
    </row>
    <row r="57" spans="1:15" ht="12.75" x14ac:dyDescent="0.2">
      <c r="A57" s="37" t="s">
        <v>1</v>
      </c>
      <c r="B57" s="35">
        <f t="shared" ref="B57:B61" si="10">C37</f>
        <v>327540.53904000006</v>
      </c>
      <c r="C57" s="45">
        <f t="shared" ref="C57:C61" ca="1" si="11">B57/G57</f>
        <v>0.99835570299926868</v>
      </c>
      <c r="D57" s="69">
        <v>32</v>
      </c>
      <c r="E57" s="68">
        <f t="shared" ref="E57:E61" ca="1" si="12">D57/F57</f>
        <v>1.28</v>
      </c>
      <c r="F57" s="69">
        <f ca="1">L57/B45*B44</f>
        <v>25</v>
      </c>
      <c r="G57" s="35">
        <f t="shared" ref="G57:G61" ca="1" si="13">K57/$B$45*$B$44</f>
        <v>328080</v>
      </c>
      <c r="H57" s="46">
        <f t="shared" ref="H57:H61" ca="1" si="14">B57-G57</f>
        <v>-539.4609599999385</v>
      </c>
      <c r="I57" s="70">
        <f t="shared" ref="I57:I61" ca="1" si="15">100%-C57</f>
        <v>1.6442970007313207E-3</v>
      </c>
      <c r="J57" s="47">
        <f ca="1">IFERROR(__xludf.DUMMYFUNCTION("IMPORTRANGE(""https://docs.google.com/spreadsheets/d/1ijrZGUuAMwbgWAQ2i-HT-MaaE31Q_mJkXszOCviigQE/edit#gid=1790968506"",""Медиаплан Ноябрь!B5"")"),328080)</f>
        <v>328080</v>
      </c>
      <c r="K57" s="48">
        <f ca="1">J57</f>
        <v>328080</v>
      </c>
      <c r="L57" s="88">
        <f ca="1">IFERROR(__xludf.DUMMYFUNCTION("IMPORTRANGE(""https://docs.google.com/spreadsheets/d/1ijrZGUuAMwbgWAQ2i-HT-MaaE31Q_mJkXszOCviigQE/edit#gid=2133684585"",""Медиаплан Ноябрь!C5"")"),25)</f>
        <v>25</v>
      </c>
      <c r="M57" s="46">
        <f t="shared" ref="M57:M61" ca="1" si="16">K57-B57</f>
        <v>539.4609599999385</v>
      </c>
      <c r="N57" t="e">
        <f t="shared" ref="N57:N61" ca="1" si="17">M57/($B$45-$B$44)/1.18/1.1</f>
        <v>#DIV/0!</v>
      </c>
      <c r="O57" s="71">
        <f t="shared" ref="O57:O61" si="18">B57/$B$44/1.1/1.18</f>
        <v>8411.4160000000011</v>
      </c>
    </row>
    <row r="58" spans="1:15" ht="12.75" x14ac:dyDescent="0.2">
      <c r="A58" s="37" t="s">
        <v>85</v>
      </c>
      <c r="B58" s="35">
        <f t="shared" si="10"/>
        <v>158197.69592</v>
      </c>
      <c r="C58" s="45">
        <f t="shared" si="11"/>
        <v>1.0058642081253175</v>
      </c>
      <c r="D58" s="69">
        <v>41</v>
      </c>
      <c r="E58" s="68">
        <f t="shared" ca="1" si="12"/>
        <v>0.93181818181818177</v>
      </c>
      <c r="F58" s="69">
        <f ca="1">L58/B45*B44</f>
        <v>44</v>
      </c>
      <c r="G58" s="35">
        <f t="shared" si="13"/>
        <v>157275.40024000002</v>
      </c>
      <c r="H58" s="46">
        <f t="shared" si="14"/>
        <v>922.29567999998108</v>
      </c>
      <c r="I58" s="70">
        <f t="shared" si="15"/>
        <v>-5.864208125317516E-3</v>
      </c>
      <c r="J58" s="92">
        <v>150000</v>
      </c>
      <c r="K58" s="48">
        <f>J58+Октябрь2018!H58</f>
        <v>157275.40024000002</v>
      </c>
      <c r="L58" s="88">
        <f ca="1">IFERROR(__xludf.DUMMYFUNCTION("IMPORTRANGE(""https://docs.google.com/spreadsheets/d/1etyJgBhSzQSHMqbu2wdOKURMor-XpGjLbX3qqM4Refc/edit#gid=2137253623"",""Медиаплан Ноябрь!C5"")"),44)</f>
        <v>44</v>
      </c>
      <c r="M58" s="46">
        <f t="shared" si="16"/>
        <v>-922.29567999998108</v>
      </c>
      <c r="N58" t="e">
        <f t="shared" si="17"/>
        <v>#DIV/0!</v>
      </c>
      <c r="O58" s="71">
        <f t="shared" si="18"/>
        <v>4062.6013333333326</v>
      </c>
    </row>
    <row r="59" spans="1:15" ht="12.75" x14ac:dyDescent="0.2">
      <c r="A59" s="37" t="s">
        <v>4</v>
      </c>
      <c r="B59" s="35">
        <f t="shared" si="10"/>
        <v>552663.71204000001</v>
      </c>
      <c r="C59" s="45">
        <f t="shared" ca="1" si="11"/>
        <v>1.0048431127999999</v>
      </c>
      <c r="D59" s="69">
        <v>94</v>
      </c>
      <c r="E59" s="68">
        <f t="shared" ca="1" si="12"/>
        <v>0.96907216494845361</v>
      </c>
      <c r="F59" s="69">
        <f ca="1">L59/B45*B44</f>
        <v>97</v>
      </c>
      <c r="G59" s="35">
        <f t="shared" ca="1" si="13"/>
        <v>550000</v>
      </c>
      <c r="H59" s="46">
        <f t="shared" ca="1" si="14"/>
        <v>2663.7120400000131</v>
      </c>
      <c r="I59" s="70">
        <f t="shared" ca="1" si="15"/>
        <v>-4.8431127999999379E-3</v>
      </c>
      <c r="J59" s="47">
        <f ca="1">IFERROR(__xludf.DUMMYFUNCTION("IMPORTRANGE(""https://docs.google.com/spreadsheets/d/137m5ANDUVmoNsjZiMV2vulxsGWlll1w8x_u_hcSge7E/edit?ts=5bacd778#gid=2137253623"",""Медиаплан Ноябрь!B5"")"),550000)</f>
        <v>550000</v>
      </c>
      <c r="K59" s="48">
        <f t="shared" ref="K59:K61" ca="1" si="19">J59</f>
        <v>550000</v>
      </c>
      <c r="L59" s="88">
        <f ca="1">IFERROR(__xludf.DUMMYFUNCTION("IMPORTRANGE(""https://docs.google.com/spreadsheets/d/137m5ANDUVmoNsjZiMV2vulxsGWlll1w8x_u_hcSge7E/edit?ts=5bacd778#gid=2137253623"",""Медиаплан Ноябрь!C5"")"),97)</f>
        <v>97</v>
      </c>
      <c r="M59" s="46">
        <f t="shared" ca="1" si="16"/>
        <v>-2663.7120400000131</v>
      </c>
      <c r="N59" t="e">
        <f t="shared" ca="1" si="17"/>
        <v>#DIV/0!</v>
      </c>
      <c r="O59" s="71">
        <f t="shared" si="18"/>
        <v>14192.699333333332</v>
      </c>
    </row>
    <row r="60" spans="1:15" ht="12.75" x14ac:dyDescent="0.2">
      <c r="A60" s="37" t="s">
        <v>29</v>
      </c>
      <c r="B60" s="35">
        <f t="shared" si="10"/>
        <v>86644.173879999988</v>
      </c>
      <c r="C60" s="45">
        <f t="shared" ca="1" si="11"/>
        <v>0.98291745751559823</v>
      </c>
      <c r="D60" s="69">
        <v>19</v>
      </c>
      <c r="E60" s="68">
        <f t="shared" ca="1" si="12"/>
        <v>2.7142857142857144</v>
      </c>
      <c r="F60" s="69">
        <f ca="1">L60/B45*B44</f>
        <v>7</v>
      </c>
      <c r="G60" s="35">
        <f t="shared" ca="1" si="13"/>
        <v>88150</v>
      </c>
      <c r="H60" s="46">
        <f t="shared" ca="1" si="14"/>
        <v>-1505.8261200000125</v>
      </c>
      <c r="I60" s="70">
        <f t="shared" ca="1" si="15"/>
        <v>1.7082542484401775E-2</v>
      </c>
      <c r="J60" s="111">
        <f ca="1">IFERROR(__xludf.DUMMYFUNCTION("IMPORTRANGE(""https://docs.google.com/spreadsheets/d/1sG6pP6nNN4RN6oZZdS730TeUN2W7p-vv_R5qTWRfukc/edit#gid=2137253623"",""Медиаплан Ноябрь!B5"")"),88150)</f>
        <v>88150</v>
      </c>
      <c r="K60" s="48">
        <f t="shared" ca="1" si="19"/>
        <v>88150</v>
      </c>
      <c r="L60" s="88">
        <f ca="1">IFERROR(__xludf.DUMMYFUNCTION("IMPORTRANGE(""https://docs.google.com/spreadsheets/d/1sG6pP6nNN4RN6oZZdS730TeUN2W7p-vv_R5qTWRfukc/edit#gid=2137253623"",""Медиаплан Ноябрь!C5"")"),7)</f>
        <v>7</v>
      </c>
      <c r="M60" s="46">
        <f t="shared" ca="1" si="16"/>
        <v>1505.8261200000125</v>
      </c>
      <c r="N60" t="e">
        <f t="shared" ca="1" si="17"/>
        <v>#DIV/0!</v>
      </c>
      <c r="O60" s="71">
        <f t="shared" si="18"/>
        <v>2225.0686666666666</v>
      </c>
    </row>
    <row r="61" spans="1:15" ht="12.75" x14ac:dyDescent="0.2">
      <c r="A61" s="57" t="s">
        <v>7</v>
      </c>
      <c r="B61" s="40">
        <f t="shared" si="10"/>
        <v>197725.35244000002</v>
      </c>
      <c r="C61" s="45">
        <f t="shared" si="11"/>
        <v>0.98862676220000012</v>
      </c>
      <c r="D61" s="78">
        <v>50</v>
      </c>
      <c r="E61" s="79">
        <f t="shared" ca="1" si="12"/>
        <v>2.0833333333333335</v>
      </c>
      <c r="F61" s="78">
        <f ca="1">L61/B45*B44</f>
        <v>24</v>
      </c>
      <c r="G61" s="40">
        <f t="shared" si="13"/>
        <v>200000</v>
      </c>
      <c r="H61" s="80">
        <f t="shared" si="14"/>
        <v>-2274.6475599999831</v>
      </c>
      <c r="I61" s="81">
        <f t="shared" si="15"/>
        <v>1.137323779999988E-2</v>
      </c>
      <c r="J61" s="95">
        <v>200000</v>
      </c>
      <c r="K61" s="85">
        <f t="shared" si="19"/>
        <v>200000</v>
      </c>
      <c r="L61" s="90">
        <f ca="1">IFERROR(__xludf.DUMMYFUNCTION("IMPORTRANGE(""https://docs.google.com/spreadsheets/d/1p1L4G2mxr7595uh-ReZUhIVIwqpviT1ZLAW6zkToejA/edit?ts=5bd86e8e#gid=2137253623"",""Медиаплан Ноябрь!C5"")"),24)</f>
        <v>24</v>
      </c>
      <c r="M61" s="80">
        <f t="shared" si="16"/>
        <v>2274.6475599999831</v>
      </c>
      <c r="N61" s="86" t="e">
        <f t="shared" si="17"/>
        <v>#DIV/0!</v>
      </c>
      <c r="O61" s="75">
        <f t="shared" si="18"/>
        <v>5077.6926666666668</v>
      </c>
    </row>
    <row r="62" spans="1:15" ht="12.75" x14ac:dyDescent="0.2">
      <c r="J62" s="35">
        <f ca="1">SUM(J57:J61)</f>
        <v>1316230</v>
      </c>
    </row>
    <row r="65" spans="1:10" ht="12.75" x14ac:dyDescent="0.2">
      <c r="C65" s="18"/>
      <c r="F65" s="22"/>
      <c r="J65" s="22"/>
    </row>
    <row r="66" spans="1:10" ht="12.75" x14ac:dyDescent="0.2">
      <c r="B66" s="18"/>
      <c r="C66" s="18"/>
      <c r="F66" s="22"/>
    </row>
    <row r="67" spans="1:10" ht="12.75" x14ac:dyDescent="0.2">
      <c r="B67" s="18"/>
      <c r="C67" s="18"/>
      <c r="F67" s="22"/>
    </row>
    <row r="70" spans="1:10" ht="12.75" x14ac:dyDescent="0.2">
      <c r="A70" s="30" t="s">
        <v>67</v>
      </c>
      <c r="B70" s="53"/>
      <c r="C70" s="54" t="s">
        <v>68</v>
      </c>
      <c r="D70" s="55"/>
      <c r="E70" s="137" t="s">
        <v>21</v>
      </c>
      <c r="F70" s="138"/>
    </row>
    <row r="71" spans="1:10" ht="25.5" x14ac:dyDescent="0.2">
      <c r="A71" s="30" t="s">
        <v>69</v>
      </c>
      <c r="B71" s="30" t="s">
        <v>70</v>
      </c>
      <c r="C71" s="56" t="s">
        <v>71</v>
      </c>
      <c r="D71" s="56" t="s">
        <v>72</v>
      </c>
      <c r="E71" s="51" t="s">
        <v>65</v>
      </c>
      <c r="F71" s="51" t="s">
        <v>66</v>
      </c>
    </row>
    <row r="72" spans="1:10" ht="12.75" x14ac:dyDescent="0.2">
      <c r="A72" s="37" t="str">
        <f t="shared" ref="A72:A73" si="20">A36</f>
        <v>mr-filicity RTB</v>
      </c>
      <c r="B72" s="3" t="s">
        <v>104</v>
      </c>
      <c r="C72" s="113">
        <f>B36</f>
        <v>248104.15679999997</v>
      </c>
      <c r="D72" s="113">
        <f>J48</f>
        <v>248104.1568</v>
      </c>
      <c r="E72" s="100"/>
      <c r="F72" s="91">
        <f>L48</f>
        <v>1</v>
      </c>
    </row>
    <row r="73" spans="1:10" ht="12.75" x14ac:dyDescent="0.2">
      <c r="A73" s="37" t="str">
        <f t="shared" si="20"/>
        <v>mr-filicity</v>
      </c>
      <c r="B73" s="3" t="s">
        <v>3</v>
      </c>
      <c r="C73" s="115">
        <f t="shared" ref="C73:C77" si="21">B37+C37</f>
        <v>1348892.0760400002</v>
      </c>
      <c r="D73" s="115">
        <f t="shared" ref="D73:D75" ca="1" si="22">J49+J57</f>
        <v>1348080</v>
      </c>
      <c r="E73" s="101">
        <f t="shared" ref="E73:E77" si="23">D49+D57</f>
        <v>133</v>
      </c>
      <c r="F73" s="91">
        <f t="shared" ref="F73:F77" ca="1" si="24">L49+L57</f>
        <v>134</v>
      </c>
      <c r="G73" s="117">
        <f t="shared" ref="G73:G75" ca="1" si="25">F73-E73</f>
        <v>1</v>
      </c>
    </row>
    <row r="74" spans="1:10" ht="12.75" x14ac:dyDescent="0.2">
      <c r="A74" s="37" t="str">
        <f>A50</f>
        <v>mr-filigrad1</v>
      </c>
      <c r="B74" s="3" t="s">
        <v>103</v>
      </c>
      <c r="C74" s="115">
        <f t="shared" si="21"/>
        <v>337575.82071999996</v>
      </c>
      <c r="D74" s="115">
        <f t="shared" si="22"/>
        <v>325000</v>
      </c>
      <c r="E74" s="101">
        <f t="shared" si="23"/>
        <v>118</v>
      </c>
      <c r="F74" s="91">
        <f t="shared" ca="1" si="24"/>
        <v>116</v>
      </c>
      <c r="G74" s="117">
        <f t="shared" ca="1" si="25"/>
        <v>-2</v>
      </c>
    </row>
    <row r="75" spans="1:10" ht="12.75" x14ac:dyDescent="0.2">
      <c r="A75" s="37" t="str">
        <f t="shared" ref="A75:A77" si="26">A39</f>
        <v>mr-savcity-apart</v>
      </c>
      <c r="B75" s="3" t="s">
        <v>6</v>
      </c>
      <c r="C75" s="115">
        <f t="shared" si="21"/>
        <v>2169865.6890399996</v>
      </c>
      <c r="D75" s="115">
        <f t="shared" ca="1" si="22"/>
        <v>2160000</v>
      </c>
      <c r="E75" s="101">
        <f t="shared" si="23"/>
        <v>269</v>
      </c>
      <c r="F75" s="91">
        <f t="shared" ca="1" si="24"/>
        <v>262</v>
      </c>
      <c r="G75" s="117">
        <f t="shared" ca="1" si="25"/>
        <v>-7</v>
      </c>
    </row>
    <row r="76" spans="1:10" ht="12.75" x14ac:dyDescent="0.2">
      <c r="A76" s="37" t="str">
        <f t="shared" si="26"/>
        <v>perovsky-media108</v>
      </c>
      <c r="B76" s="3" t="s">
        <v>73</v>
      </c>
      <c r="C76" s="115">
        <f t="shared" si="21"/>
        <v>300565.35907999997</v>
      </c>
      <c r="D76" s="115">
        <f t="shared" ref="D76:D77" ca="1" si="27">K52+K60</f>
        <v>300347.00040000019</v>
      </c>
      <c r="E76" s="101">
        <f t="shared" si="23"/>
        <v>58</v>
      </c>
      <c r="F76" s="91">
        <f t="shared" ca="1" si="24"/>
        <v>30</v>
      </c>
    </row>
    <row r="77" spans="1:10" ht="12.75" x14ac:dyDescent="0.2">
      <c r="A77" s="62" t="str">
        <f t="shared" si="26"/>
        <v>mrgroup-d1</v>
      </c>
      <c r="B77" s="3" t="s">
        <v>9</v>
      </c>
      <c r="C77" s="119">
        <f t="shared" si="21"/>
        <v>873695.45368000004</v>
      </c>
      <c r="D77" s="119">
        <f t="shared" si="27"/>
        <v>875150.41196930001</v>
      </c>
      <c r="E77" s="102">
        <f t="shared" si="23"/>
        <v>181</v>
      </c>
      <c r="F77" s="103">
        <f t="shared" ca="1" si="24"/>
        <v>119</v>
      </c>
    </row>
    <row r="78" spans="1:10" ht="12.75" x14ac:dyDescent="0.2">
      <c r="A78" s="59" t="s">
        <v>74</v>
      </c>
      <c r="B78" s="53"/>
      <c r="C78" s="121">
        <f t="shared" ref="C78:D78" si="28">SUM(C72:C77)</f>
        <v>5278698.5553599996</v>
      </c>
      <c r="D78" s="121">
        <f t="shared" ca="1" si="28"/>
        <v>5256681.5691693006</v>
      </c>
      <c r="E78" s="123">
        <f>SUM(E73:E77)</f>
        <v>759</v>
      </c>
      <c r="F78" s="97">
        <f ca="1">SUM(F72:F77)</f>
        <v>662</v>
      </c>
    </row>
  </sheetData>
  <mergeCells count="1">
    <mergeCell ref="E70:F70"/>
  </mergeCells>
  <conditionalFormatting sqref="A6 A9 A12 A15 A27:A30">
    <cfRule type="cellIs" dxfId="47" priority="1" operator="equal">
      <formula>B6</formula>
    </cfRule>
  </conditionalFormatting>
  <conditionalFormatting sqref="B6 B9 B12 B15 B27:B31 A28:A31">
    <cfRule type="cellIs" dxfId="46" priority="2" operator="equal">
      <formula>A6</formula>
    </cfRule>
  </conditionalFormatting>
  <conditionalFormatting sqref="A6 A27:A30">
    <cfRule type="expression" dxfId="45" priority="3">
      <formula>ISERROR(SEARCH((B6),(A6)))</formula>
    </cfRule>
  </conditionalFormatting>
  <conditionalFormatting sqref="B6 B9 B12 B15 B27:B31 A28:A31">
    <cfRule type="cellIs" dxfId="44" priority="4" operator="notEqual">
      <formula>A6</formula>
    </cfRule>
  </conditionalFormatting>
  <conditionalFormatting sqref="A18">
    <cfRule type="cellIs" dxfId="43" priority="5" operator="equal">
      <formula>B18</formula>
    </cfRule>
  </conditionalFormatting>
  <conditionalFormatting sqref="B18">
    <cfRule type="cellIs" dxfId="42" priority="6" operator="equal">
      <formula>A18</formula>
    </cfRule>
  </conditionalFormatting>
  <conditionalFormatting sqref="A21">
    <cfRule type="cellIs" dxfId="41" priority="7" operator="equal">
      <formula>B21</formula>
    </cfRule>
  </conditionalFormatting>
  <conditionalFormatting sqref="B21">
    <cfRule type="cellIs" dxfId="40" priority="8" operator="equal">
      <formula>A21</formula>
    </cfRule>
  </conditionalFormatting>
  <conditionalFormatting sqref="A31">
    <cfRule type="cellIs" dxfId="39" priority="9" operator="equal">
      <formula>B31</formula>
    </cfRule>
  </conditionalFormatting>
  <conditionalFormatting sqref="A31:B31">
    <cfRule type="cellIs" dxfId="38" priority="10" operator="equal">
      <formula>#REF!</formula>
    </cfRule>
  </conditionalFormatting>
  <conditionalFormatting sqref="C48:C53 C57:C61">
    <cfRule type="cellIs" dxfId="37" priority="11" operator="lessThan">
      <formula>"90%"</formula>
    </cfRule>
  </conditionalFormatting>
  <conditionalFormatting sqref="C48:C53 C57:C61">
    <cfRule type="cellIs" dxfId="36" priority="12" operator="lessThan">
      <formula>"95%"</formula>
    </cfRule>
  </conditionalFormatting>
  <conditionalFormatting sqref="C48:C53 C57:C61">
    <cfRule type="cellIs" dxfId="35" priority="13" operator="greaterThan">
      <formula>"105%"</formula>
    </cfRule>
  </conditionalFormatting>
  <conditionalFormatting sqref="C48:C53 C57:C61">
    <cfRule type="cellIs" dxfId="34" priority="14" operator="greaterThan">
      <formula>"100%"</formula>
    </cfRule>
  </conditionalFormatting>
  <conditionalFormatting sqref="E49:E53 E57:E61">
    <cfRule type="cellIs" dxfId="33" priority="15" operator="lessThan">
      <formula>"85%"</formula>
    </cfRule>
  </conditionalFormatting>
  <conditionalFormatting sqref="E49:E53 E57:E61">
    <cfRule type="cellIs" dxfId="32" priority="16" operator="lessThan">
      <formula>"95%"</formula>
    </cfRule>
  </conditionalFormatting>
  <conditionalFormatting sqref="E49:E53 E57:E61">
    <cfRule type="cellIs" dxfId="31" priority="17" operator="greaterThan">
      <formula>"90%"</formula>
    </cfRule>
  </conditionalFormatting>
  <conditionalFormatting sqref="C48:C53 C57:C61">
    <cfRule type="cellIs" dxfId="30" priority="18" operator="between">
      <formula>"95%"</formula>
      <formula>"105%"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Q77"/>
  <sheetViews>
    <sheetView workbookViewId="0"/>
  </sheetViews>
  <sheetFormatPr defaultColWidth="14.42578125" defaultRowHeight="15.75" customHeight="1" outlineLevelRow="1" outlineLevelCol="1" x14ac:dyDescent="0.2"/>
  <cols>
    <col min="1" max="1" width="41.42578125" customWidth="1"/>
    <col min="2" max="2" width="41.7109375" customWidth="1" outlineLevel="1"/>
    <col min="3" max="3" width="42.140625" customWidth="1" outlineLevel="1"/>
    <col min="4" max="4" width="25.5703125" customWidth="1" outlineLevel="1"/>
    <col min="5" max="5" width="25" customWidth="1" outlineLevel="1"/>
    <col min="6" max="6" width="14.42578125" outlineLevel="1"/>
    <col min="14" max="14" width="18" customWidth="1"/>
  </cols>
  <sheetData>
    <row r="1" spans="1:17" ht="18" x14ac:dyDescent="0.25">
      <c r="A1" s="2" t="s">
        <v>0</v>
      </c>
      <c r="B1" s="3" t="s">
        <v>106</v>
      </c>
      <c r="C1" s="4"/>
    </row>
    <row r="2" spans="1:17" ht="15.75" customHeight="1" x14ac:dyDescent="0.2">
      <c r="A2" s="5"/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  <c r="L2" s="3" t="s">
        <v>20</v>
      </c>
      <c r="M2" s="3" t="s">
        <v>21</v>
      </c>
      <c r="N2" s="3" t="s">
        <v>22</v>
      </c>
      <c r="O2" s="3" t="s">
        <v>23</v>
      </c>
      <c r="P2" s="3" t="s">
        <v>24</v>
      </c>
      <c r="Q2" s="3" t="s">
        <v>25</v>
      </c>
    </row>
    <row r="3" spans="1:17" ht="15.75" customHeight="1" x14ac:dyDescent="0.2">
      <c r="A3" s="7"/>
      <c r="C3" s="3" t="s">
        <v>26</v>
      </c>
      <c r="D3" s="3" t="s">
        <v>82</v>
      </c>
      <c r="E3" s="3">
        <v>25764392</v>
      </c>
      <c r="F3" s="3">
        <v>42989</v>
      </c>
      <c r="G3" s="3">
        <v>0.17</v>
      </c>
      <c r="H3" s="3">
        <v>2643265.0099999998</v>
      </c>
      <c r="I3" s="3">
        <v>61.49</v>
      </c>
      <c r="J3" s="3" t="s">
        <v>27</v>
      </c>
      <c r="K3" s="3" t="s">
        <v>27</v>
      </c>
      <c r="L3" s="3">
        <v>2.95</v>
      </c>
      <c r="M3" s="3">
        <v>20391</v>
      </c>
      <c r="N3" s="3">
        <v>47.43</v>
      </c>
      <c r="O3" s="3">
        <v>129.63</v>
      </c>
      <c r="P3" s="3" t="s">
        <v>27</v>
      </c>
      <c r="Q3" s="3">
        <v>0</v>
      </c>
    </row>
    <row r="4" spans="1:17" ht="15.75" customHeight="1" x14ac:dyDescent="0.2">
      <c r="A4" s="7"/>
      <c r="D4" s="3" t="s">
        <v>28</v>
      </c>
      <c r="E4" s="3">
        <v>25764392</v>
      </c>
      <c r="F4" s="3">
        <v>42989</v>
      </c>
      <c r="G4" s="3">
        <v>0.17</v>
      </c>
      <c r="H4" s="3">
        <v>2643265.0099999998</v>
      </c>
      <c r="I4" s="3">
        <v>61.49</v>
      </c>
      <c r="J4" s="3" t="s">
        <v>27</v>
      </c>
      <c r="K4" s="3" t="s">
        <v>27</v>
      </c>
      <c r="L4" s="3">
        <v>2.95</v>
      </c>
      <c r="M4" s="3">
        <v>20391</v>
      </c>
      <c r="N4" s="3">
        <v>47.43</v>
      </c>
      <c r="O4" s="3">
        <v>129.63</v>
      </c>
      <c r="P4" s="3" t="s">
        <v>27</v>
      </c>
      <c r="Q4" s="3">
        <v>0</v>
      </c>
    </row>
    <row r="5" spans="1:17" ht="15.75" customHeight="1" x14ac:dyDescent="0.2">
      <c r="A5" s="7"/>
    </row>
    <row r="6" spans="1:17" ht="15.75" customHeight="1" x14ac:dyDescent="0.2">
      <c r="A6" s="9" t="s">
        <v>83</v>
      </c>
      <c r="B6" s="3" t="s">
        <v>83</v>
      </c>
      <c r="C6" s="3" t="s">
        <v>84</v>
      </c>
      <c r="D6" s="3" t="s">
        <v>82</v>
      </c>
      <c r="E6" s="3">
        <v>3189470</v>
      </c>
      <c r="F6" s="3">
        <v>747</v>
      </c>
      <c r="G6" s="3">
        <v>0.02</v>
      </c>
      <c r="H6" s="3">
        <v>86909.72</v>
      </c>
      <c r="I6" s="3">
        <v>116.35</v>
      </c>
      <c r="J6" s="3" t="s">
        <v>27</v>
      </c>
      <c r="K6" s="3" t="s">
        <v>27</v>
      </c>
      <c r="L6" s="3">
        <v>1.1200000000000001</v>
      </c>
      <c r="M6" s="3">
        <v>77</v>
      </c>
      <c r="N6" s="3">
        <v>10.31</v>
      </c>
      <c r="O6" s="3">
        <v>1128.7</v>
      </c>
      <c r="P6" s="3" t="s">
        <v>27</v>
      </c>
      <c r="Q6" s="3">
        <v>0</v>
      </c>
    </row>
    <row r="7" spans="1:17" ht="15.75" customHeight="1" x14ac:dyDescent="0.2">
      <c r="A7" s="7"/>
      <c r="D7" s="3" t="s">
        <v>28</v>
      </c>
      <c r="E7" s="3">
        <v>3189470</v>
      </c>
      <c r="F7" s="3">
        <v>747</v>
      </c>
      <c r="G7" s="3">
        <v>0.02</v>
      </c>
      <c r="H7" s="3">
        <v>86909.72</v>
      </c>
      <c r="I7" s="3">
        <v>116.35</v>
      </c>
      <c r="J7" s="3" t="s">
        <v>27</v>
      </c>
      <c r="K7" s="3" t="s">
        <v>27</v>
      </c>
      <c r="L7" s="3">
        <v>1.1200000000000001</v>
      </c>
      <c r="M7" s="3">
        <v>77</v>
      </c>
      <c r="N7" s="3">
        <v>10.31</v>
      </c>
      <c r="O7" s="3">
        <v>1128.7</v>
      </c>
      <c r="P7" s="3" t="s">
        <v>27</v>
      </c>
      <c r="Q7" s="3">
        <v>0</v>
      </c>
    </row>
    <row r="8" spans="1:17" ht="15.75" customHeight="1" x14ac:dyDescent="0.2">
      <c r="A8" s="7"/>
    </row>
    <row r="9" spans="1:17" ht="15.75" customHeight="1" x14ac:dyDescent="0.2">
      <c r="A9" s="9" t="s">
        <v>1</v>
      </c>
      <c r="B9" s="3" t="s">
        <v>1</v>
      </c>
      <c r="C9" s="3" t="s">
        <v>75</v>
      </c>
      <c r="D9" s="3" t="s">
        <v>82</v>
      </c>
      <c r="E9" s="3">
        <v>17533242</v>
      </c>
      <c r="F9" s="3">
        <v>18531</v>
      </c>
      <c r="G9" s="3">
        <v>0.11</v>
      </c>
      <c r="H9" s="3">
        <v>998153.73</v>
      </c>
      <c r="I9" s="3">
        <v>53.86</v>
      </c>
      <c r="J9" s="3" t="s">
        <v>27</v>
      </c>
      <c r="K9" s="3" t="s">
        <v>27</v>
      </c>
      <c r="L9" s="3">
        <v>1.61</v>
      </c>
      <c r="M9" s="3">
        <v>8665</v>
      </c>
      <c r="N9" s="3">
        <v>46.76</v>
      </c>
      <c r="O9" s="3">
        <v>115.19</v>
      </c>
      <c r="P9" s="3" t="s">
        <v>27</v>
      </c>
      <c r="Q9" s="3">
        <v>0</v>
      </c>
    </row>
    <row r="10" spans="1:17" ht="15.75" customHeight="1" x14ac:dyDescent="0.2">
      <c r="A10" s="7"/>
      <c r="D10" s="3" t="s">
        <v>28</v>
      </c>
      <c r="E10" s="3">
        <v>17533242</v>
      </c>
      <c r="F10" s="3">
        <v>18531</v>
      </c>
      <c r="G10" s="3">
        <v>0.11</v>
      </c>
      <c r="H10" s="3">
        <v>998153.73</v>
      </c>
      <c r="I10" s="3">
        <v>53.86</v>
      </c>
      <c r="J10" s="3" t="s">
        <v>27</v>
      </c>
      <c r="K10" s="3" t="s">
        <v>27</v>
      </c>
      <c r="L10" s="3">
        <v>1.61</v>
      </c>
      <c r="M10" s="3">
        <v>8665</v>
      </c>
      <c r="N10" s="3">
        <v>46.76</v>
      </c>
      <c r="O10" s="3">
        <v>115.19</v>
      </c>
      <c r="P10" s="3" t="s">
        <v>27</v>
      </c>
      <c r="Q10" s="3">
        <v>0</v>
      </c>
    </row>
    <row r="11" spans="1:17" ht="15.75" customHeight="1" x14ac:dyDescent="0.2">
      <c r="A11" s="7"/>
    </row>
    <row r="12" spans="1:17" ht="15.75" customHeight="1" x14ac:dyDescent="0.2">
      <c r="A12" s="9" t="s">
        <v>85</v>
      </c>
      <c r="B12" s="3" t="s">
        <v>85</v>
      </c>
      <c r="C12" s="3" t="s">
        <v>86</v>
      </c>
      <c r="D12" s="3" t="s">
        <v>82</v>
      </c>
      <c r="E12" s="3">
        <v>616095</v>
      </c>
      <c r="F12" s="3">
        <v>3637</v>
      </c>
      <c r="G12" s="3">
        <v>0.59</v>
      </c>
      <c r="H12" s="3">
        <v>272848.73</v>
      </c>
      <c r="I12" s="3">
        <v>75.02</v>
      </c>
      <c r="J12" s="3" t="s">
        <v>27</v>
      </c>
      <c r="K12" s="3" t="s">
        <v>27</v>
      </c>
      <c r="L12" s="3">
        <v>4.22</v>
      </c>
      <c r="M12" s="3">
        <v>1841</v>
      </c>
      <c r="N12" s="3">
        <v>50.62</v>
      </c>
      <c r="O12" s="3">
        <v>148.21</v>
      </c>
      <c r="P12" s="3" t="s">
        <v>27</v>
      </c>
      <c r="Q12" s="3">
        <v>0</v>
      </c>
    </row>
    <row r="13" spans="1:17" ht="15.75" customHeight="1" x14ac:dyDescent="0.2">
      <c r="A13" s="7"/>
      <c r="D13" s="3" t="s">
        <v>28</v>
      </c>
      <c r="E13" s="3">
        <v>616095</v>
      </c>
      <c r="F13" s="3">
        <v>3637</v>
      </c>
      <c r="G13" s="3">
        <v>0.59</v>
      </c>
      <c r="H13" s="3">
        <v>272848.73</v>
      </c>
      <c r="I13" s="3">
        <v>75.02</v>
      </c>
      <c r="J13" s="3" t="s">
        <v>27</v>
      </c>
      <c r="K13" s="3" t="s">
        <v>27</v>
      </c>
      <c r="L13" s="3">
        <v>4.22</v>
      </c>
      <c r="M13" s="3">
        <v>1841</v>
      </c>
      <c r="N13" s="3">
        <v>50.62</v>
      </c>
      <c r="O13" s="3">
        <v>148.21</v>
      </c>
      <c r="P13" s="3" t="s">
        <v>27</v>
      </c>
      <c r="Q13" s="3">
        <v>0</v>
      </c>
    </row>
    <row r="14" spans="1:17" ht="15.75" customHeight="1" x14ac:dyDescent="0.2">
      <c r="A14" s="7"/>
    </row>
    <row r="15" spans="1:17" ht="15.75" customHeight="1" x14ac:dyDescent="0.2">
      <c r="A15" s="9" t="s">
        <v>107</v>
      </c>
      <c r="B15" s="3" t="s">
        <v>107</v>
      </c>
      <c r="C15" s="3" t="s">
        <v>108</v>
      </c>
      <c r="D15" s="3" t="s">
        <v>82</v>
      </c>
      <c r="E15" s="3">
        <v>1628443</v>
      </c>
      <c r="F15" s="3">
        <v>7385</v>
      </c>
      <c r="G15" s="3">
        <v>0.45</v>
      </c>
      <c r="H15" s="3">
        <v>360787.91</v>
      </c>
      <c r="I15" s="3">
        <v>48.85</v>
      </c>
      <c r="J15" s="3" t="s">
        <v>27</v>
      </c>
      <c r="K15" s="3" t="s">
        <v>27</v>
      </c>
      <c r="L15" s="3">
        <v>4.43</v>
      </c>
      <c r="M15" s="3">
        <v>3205</v>
      </c>
      <c r="N15" s="3">
        <v>43.4</v>
      </c>
      <c r="O15" s="3">
        <v>112.57</v>
      </c>
      <c r="P15" s="3" t="s">
        <v>27</v>
      </c>
      <c r="Q15" s="3">
        <v>0</v>
      </c>
    </row>
    <row r="16" spans="1:17" ht="15.75" customHeight="1" x14ac:dyDescent="0.2">
      <c r="D16" s="3" t="s">
        <v>28</v>
      </c>
      <c r="E16" s="3">
        <v>1628443</v>
      </c>
      <c r="F16" s="3">
        <v>7385</v>
      </c>
      <c r="G16" s="3">
        <v>0.45</v>
      </c>
      <c r="H16" s="3">
        <v>360787.91</v>
      </c>
      <c r="I16" s="3">
        <v>48.85</v>
      </c>
      <c r="J16" s="3" t="s">
        <v>27</v>
      </c>
      <c r="K16" s="3" t="s">
        <v>27</v>
      </c>
      <c r="L16" s="3">
        <v>4.43</v>
      </c>
      <c r="M16" s="3">
        <v>3205</v>
      </c>
      <c r="N16" s="3">
        <v>43.4</v>
      </c>
      <c r="O16" s="3">
        <v>112.57</v>
      </c>
      <c r="P16" s="3" t="s">
        <v>27</v>
      </c>
      <c r="Q16" s="3">
        <v>0</v>
      </c>
    </row>
    <row r="18" spans="1:17" ht="15.75" customHeight="1" x14ac:dyDescent="0.2">
      <c r="A18" s="1" t="s">
        <v>4</v>
      </c>
      <c r="B18" s="3" t="s">
        <v>4</v>
      </c>
      <c r="C18" s="3" t="s">
        <v>5</v>
      </c>
      <c r="D18" s="3" t="s">
        <v>82</v>
      </c>
      <c r="E18" s="3">
        <v>2420783</v>
      </c>
      <c r="F18" s="3">
        <v>7760</v>
      </c>
      <c r="G18" s="3">
        <v>0.32</v>
      </c>
      <c r="H18" s="3">
        <v>574831.62</v>
      </c>
      <c r="I18" s="3">
        <v>74.08</v>
      </c>
      <c r="J18" s="3" t="s">
        <v>27</v>
      </c>
      <c r="K18" s="3" t="s">
        <v>27</v>
      </c>
      <c r="L18" s="3">
        <v>4.46</v>
      </c>
      <c r="M18" s="3">
        <v>4859</v>
      </c>
      <c r="N18" s="3">
        <v>62.62</v>
      </c>
      <c r="O18" s="3">
        <v>118.3</v>
      </c>
      <c r="P18" s="3" t="s">
        <v>27</v>
      </c>
      <c r="Q18" s="3">
        <v>0</v>
      </c>
    </row>
    <row r="19" spans="1:17" ht="15.75" customHeight="1" x14ac:dyDescent="0.2">
      <c r="D19" s="3" t="s">
        <v>28</v>
      </c>
      <c r="E19" s="3">
        <v>2420783</v>
      </c>
      <c r="F19" s="3">
        <v>7760</v>
      </c>
      <c r="G19" s="3">
        <v>0.32</v>
      </c>
      <c r="H19" s="3">
        <v>574831.62</v>
      </c>
      <c r="I19" s="3">
        <v>74.08</v>
      </c>
      <c r="J19" s="3" t="s">
        <v>27</v>
      </c>
      <c r="K19" s="3" t="s">
        <v>27</v>
      </c>
      <c r="L19" s="3">
        <v>4.46</v>
      </c>
      <c r="M19" s="3">
        <v>4859</v>
      </c>
      <c r="N19" s="3">
        <v>62.62</v>
      </c>
      <c r="O19" s="3">
        <v>118.3</v>
      </c>
      <c r="P19" s="3" t="s">
        <v>27</v>
      </c>
      <c r="Q19" s="3">
        <v>0</v>
      </c>
    </row>
    <row r="21" spans="1:17" ht="15.75" customHeight="1" x14ac:dyDescent="0.2">
      <c r="A21" s="1" t="s">
        <v>29</v>
      </c>
      <c r="B21" s="3" t="s">
        <v>29</v>
      </c>
      <c r="C21" s="3" t="s">
        <v>76</v>
      </c>
      <c r="D21" s="3" t="s">
        <v>82</v>
      </c>
      <c r="E21" s="3">
        <v>376359</v>
      </c>
      <c r="F21" s="3">
        <v>4929</v>
      </c>
      <c r="G21" s="3">
        <v>1.31</v>
      </c>
      <c r="H21" s="3">
        <v>349733.3</v>
      </c>
      <c r="I21" s="3">
        <v>70.95</v>
      </c>
      <c r="J21" s="3" t="s">
        <v>27</v>
      </c>
      <c r="K21" s="3" t="s">
        <v>27</v>
      </c>
      <c r="L21" s="3">
        <v>2.33</v>
      </c>
      <c r="M21" s="3">
        <v>1744</v>
      </c>
      <c r="N21" s="3">
        <v>35.380000000000003</v>
      </c>
      <c r="O21" s="3">
        <v>200.54</v>
      </c>
      <c r="P21" s="3" t="s">
        <v>27</v>
      </c>
      <c r="Q21" s="3">
        <v>0</v>
      </c>
    </row>
    <row r="22" spans="1:17" ht="15.75" customHeight="1" x14ac:dyDescent="0.2">
      <c r="D22" s="3" t="s">
        <v>28</v>
      </c>
      <c r="E22" s="3">
        <v>376359</v>
      </c>
      <c r="F22" s="3">
        <v>4929</v>
      </c>
      <c r="G22" s="3">
        <v>1.31</v>
      </c>
      <c r="H22" s="3">
        <v>349733.3</v>
      </c>
      <c r="I22" s="3">
        <v>70.95</v>
      </c>
      <c r="J22" s="3" t="s">
        <v>27</v>
      </c>
      <c r="K22" s="3" t="s">
        <v>27</v>
      </c>
      <c r="L22" s="3">
        <v>2.33</v>
      </c>
      <c r="M22" s="3">
        <v>1744</v>
      </c>
      <c r="N22" s="3">
        <v>35.380000000000003</v>
      </c>
      <c r="O22" s="3">
        <v>200.54</v>
      </c>
      <c r="P22" s="3" t="s">
        <v>27</v>
      </c>
      <c r="Q22" s="3">
        <v>0</v>
      </c>
    </row>
    <row r="24" spans="1:17" ht="18" x14ac:dyDescent="0.25">
      <c r="A24" s="10" t="s">
        <v>30</v>
      </c>
      <c r="B24" s="11" t="s">
        <v>31</v>
      </c>
      <c r="C24" s="11"/>
      <c r="D24" s="12"/>
      <c r="E24" s="11"/>
      <c r="F24" s="13"/>
      <c r="G24" s="11"/>
      <c r="H24" s="11"/>
      <c r="I24" s="11"/>
      <c r="J24" s="11"/>
      <c r="K24" s="11"/>
      <c r="L24" s="11"/>
      <c r="M24" s="11"/>
      <c r="N24" s="104"/>
    </row>
    <row r="25" spans="1:17" ht="15.75" customHeight="1" x14ac:dyDescent="0.2">
      <c r="A25" s="15"/>
      <c r="B25" s="3" t="s">
        <v>110</v>
      </c>
      <c r="C25" s="3"/>
      <c r="D25" s="17"/>
      <c r="E25" s="3"/>
      <c r="F25" s="18"/>
      <c r="G25" s="3"/>
      <c r="H25" s="3"/>
      <c r="I25" s="3"/>
      <c r="J25" s="3"/>
      <c r="K25" s="3"/>
      <c r="L25" s="3"/>
      <c r="M25" s="3"/>
      <c r="N25" s="20"/>
    </row>
    <row r="26" spans="1:17" ht="15.75" customHeight="1" x14ac:dyDescent="0.2">
      <c r="A26" s="15"/>
      <c r="B26" s="3" t="s">
        <v>32</v>
      </c>
      <c r="C26" s="3" t="s">
        <v>33</v>
      </c>
      <c r="D26" s="3" t="s">
        <v>34</v>
      </c>
      <c r="E26" s="3" t="s">
        <v>35</v>
      </c>
      <c r="F26" s="18" t="s">
        <v>36</v>
      </c>
      <c r="G26" s="3" t="s">
        <v>13</v>
      </c>
      <c r="H26" s="3" t="s">
        <v>37</v>
      </c>
      <c r="I26" s="3" t="s">
        <v>38</v>
      </c>
      <c r="J26" s="3" t="s">
        <v>39</v>
      </c>
      <c r="K26" s="3" t="s">
        <v>40</v>
      </c>
      <c r="L26" s="3" t="s">
        <v>21</v>
      </c>
      <c r="M26" s="3" t="s">
        <v>41</v>
      </c>
      <c r="N26" s="20" t="s">
        <v>42</v>
      </c>
      <c r="O26" s="3" t="s">
        <v>43</v>
      </c>
    </row>
    <row r="27" spans="1:17" ht="15.75" customHeight="1" x14ac:dyDescent="0.2">
      <c r="A27" s="64" t="s">
        <v>86</v>
      </c>
      <c r="B27" s="3" t="s">
        <v>86</v>
      </c>
      <c r="C27" s="3" t="s">
        <v>88</v>
      </c>
      <c r="D27" s="17">
        <v>43391</v>
      </c>
      <c r="E27" s="18" t="s">
        <v>45</v>
      </c>
      <c r="F27" s="18">
        <v>1554</v>
      </c>
      <c r="G27" s="18">
        <v>51048</v>
      </c>
      <c r="H27" s="3" t="s">
        <v>116</v>
      </c>
      <c r="I27" s="22">
        <v>95.55</v>
      </c>
      <c r="J27" s="22">
        <v>148478.12</v>
      </c>
      <c r="K27" s="3">
        <v>1.1499999999999999</v>
      </c>
      <c r="L27" s="3">
        <v>422</v>
      </c>
      <c r="M27" s="22">
        <v>0</v>
      </c>
      <c r="N27" s="20">
        <v>350.85</v>
      </c>
      <c r="O27" s="3" t="s">
        <v>119</v>
      </c>
    </row>
    <row r="28" spans="1:17" ht="15.75" customHeight="1" x14ac:dyDescent="0.2">
      <c r="A28" s="64" t="s">
        <v>5</v>
      </c>
      <c r="B28" s="3" t="s">
        <v>5</v>
      </c>
      <c r="C28" s="3" t="s">
        <v>46</v>
      </c>
      <c r="D28" s="17">
        <v>43391</v>
      </c>
      <c r="E28" s="18" t="s">
        <v>45</v>
      </c>
      <c r="F28" s="18">
        <v>3960</v>
      </c>
      <c r="G28" s="18">
        <v>356960</v>
      </c>
      <c r="H28" s="3" t="s">
        <v>121</v>
      </c>
      <c r="I28" s="22">
        <v>77.89</v>
      </c>
      <c r="J28" s="22">
        <v>308428.07</v>
      </c>
      <c r="K28" s="22">
        <v>1.23</v>
      </c>
      <c r="L28" s="22">
        <v>5891</v>
      </c>
      <c r="M28" s="22">
        <v>0</v>
      </c>
      <c r="N28" s="20">
        <v>51.84</v>
      </c>
      <c r="O28" s="3" t="s">
        <v>123</v>
      </c>
    </row>
    <row r="29" spans="1:17" ht="15.75" customHeight="1" x14ac:dyDescent="0.2">
      <c r="A29" s="64" t="s">
        <v>47</v>
      </c>
      <c r="B29" s="3" t="s">
        <v>47</v>
      </c>
      <c r="C29" s="3" t="s">
        <v>48</v>
      </c>
      <c r="D29" s="17">
        <v>43391</v>
      </c>
      <c r="E29" s="18" t="s">
        <v>45</v>
      </c>
      <c r="F29" s="18">
        <v>1370</v>
      </c>
      <c r="G29" s="18">
        <v>173390</v>
      </c>
      <c r="H29" s="3" t="s">
        <v>125</v>
      </c>
      <c r="I29" s="22">
        <v>62.52</v>
      </c>
      <c r="J29" s="22">
        <v>85658.8</v>
      </c>
      <c r="K29" s="3">
        <v>1.03</v>
      </c>
      <c r="L29" s="3">
        <v>170</v>
      </c>
      <c r="M29" s="22">
        <v>0</v>
      </c>
      <c r="N29" s="38">
        <v>502.15</v>
      </c>
      <c r="O29" s="3" t="s">
        <v>126</v>
      </c>
    </row>
    <row r="30" spans="1:17" ht="15.75" customHeight="1" x14ac:dyDescent="0.2">
      <c r="A30" s="64" t="s">
        <v>2</v>
      </c>
      <c r="B30" s="3" t="s">
        <v>2</v>
      </c>
      <c r="C30" s="3" t="s">
        <v>49</v>
      </c>
      <c r="D30" s="17">
        <v>43391</v>
      </c>
      <c r="E30" s="18" t="s">
        <v>45</v>
      </c>
      <c r="F30" s="18">
        <v>3427</v>
      </c>
      <c r="G30" s="18">
        <v>387306</v>
      </c>
      <c r="H30" s="3" t="s">
        <v>127</v>
      </c>
      <c r="I30" s="22">
        <v>112.74</v>
      </c>
      <c r="J30" s="22">
        <v>386352.31</v>
      </c>
      <c r="K30" s="3">
        <v>1.18</v>
      </c>
      <c r="L30" s="3">
        <v>129</v>
      </c>
      <c r="M30" s="22">
        <v>0</v>
      </c>
      <c r="N30" s="38">
        <v>2988.2</v>
      </c>
      <c r="O30" s="3" t="s">
        <v>128</v>
      </c>
    </row>
    <row r="31" spans="1:17" ht="15.75" customHeight="1" x14ac:dyDescent="0.2">
      <c r="A31" s="39" t="s">
        <v>108</v>
      </c>
      <c r="B31" s="25" t="s">
        <v>108</v>
      </c>
      <c r="C31" s="25" t="s">
        <v>129</v>
      </c>
      <c r="D31" s="32">
        <v>43391</v>
      </c>
      <c r="E31" s="26" t="s">
        <v>45</v>
      </c>
      <c r="F31" s="26">
        <v>2320</v>
      </c>
      <c r="G31" s="26">
        <v>110818</v>
      </c>
      <c r="H31" s="25" t="s">
        <v>130</v>
      </c>
      <c r="I31" s="27">
        <v>65.709999999999994</v>
      </c>
      <c r="J31" s="27">
        <v>152444.10999999999</v>
      </c>
      <c r="K31" s="25">
        <v>1.23</v>
      </c>
      <c r="L31" s="25">
        <v>22.75</v>
      </c>
      <c r="M31" s="27">
        <v>0</v>
      </c>
      <c r="N31" s="42">
        <v>6690.15</v>
      </c>
      <c r="O31" s="3" t="s">
        <v>50</v>
      </c>
    </row>
    <row r="34" spans="1:10" ht="15.75" customHeight="1" outlineLevel="1" x14ac:dyDescent="0.2">
      <c r="B34" s="29" t="s">
        <v>0</v>
      </c>
      <c r="C34" s="73" t="s">
        <v>30</v>
      </c>
    </row>
    <row r="35" spans="1:10" ht="15.75" customHeight="1" outlineLevel="1" x14ac:dyDescent="0.2">
      <c r="A35" s="31" t="s">
        <v>32</v>
      </c>
      <c r="B35" s="33" t="s">
        <v>54</v>
      </c>
      <c r="C35" s="34" t="s">
        <v>54</v>
      </c>
    </row>
    <row r="36" spans="1:10" ht="12.75" outlineLevel="1" x14ac:dyDescent="0.2">
      <c r="A36" s="16" t="s">
        <v>98</v>
      </c>
      <c r="B36" s="35">
        <f>H6*1.18*1.2</f>
        <v>123064.16351999999</v>
      </c>
      <c r="C36" s="74"/>
    </row>
    <row r="37" spans="1:10" ht="12.75" outlineLevel="1" x14ac:dyDescent="0.2">
      <c r="A37" s="37" t="s">
        <v>1</v>
      </c>
      <c r="B37" s="35">
        <f>H9*1.18</f>
        <v>1177821.4013999999</v>
      </c>
      <c r="C37" s="71">
        <f>J30*1.18*1.1</f>
        <v>501485.29837999999</v>
      </c>
    </row>
    <row r="38" spans="1:10" ht="12.75" outlineLevel="1" x14ac:dyDescent="0.2">
      <c r="A38" s="37" t="s">
        <v>85</v>
      </c>
      <c r="B38" s="35">
        <f>H12*1.18</f>
        <v>321961.50139999995</v>
      </c>
      <c r="C38" s="71">
        <f t="shared" ref="C38:C40" si="0">J27*1.18*1.1</f>
        <v>192724.59975999998</v>
      </c>
      <c r="E38">
        <f ca="1">IFERROR(__xludf.DUMMYFUNCTION("importrange(""https://docs.google.com/spreadsheets/d/1ijrZGUuAMwbgWAQ2i-HT-MaaE31Q_mJkXszOCviigQE/edit#gid=2133684585"",""Базовые показатели!B9:B10"")"),171)</f>
        <v>171</v>
      </c>
    </row>
    <row r="39" spans="1:10" ht="12.75" outlineLevel="1" x14ac:dyDescent="0.2">
      <c r="A39" s="37" t="s">
        <v>4</v>
      </c>
      <c r="B39" s="35">
        <f>H18*1.18</f>
        <v>678301.31160000002</v>
      </c>
      <c r="C39" s="71">
        <f t="shared" si="0"/>
        <v>400339.63486000005</v>
      </c>
      <c r="E39">
        <f ca="1">IFERROR(__xludf.DUMMYFUNCTION("""COMPUTED_VALUE"""),66)</f>
        <v>66</v>
      </c>
    </row>
    <row r="40" spans="1:10" ht="12.75" outlineLevel="1" x14ac:dyDescent="0.2">
      <c r="A40" s="37" t="s">
        <v>29</v>
      </c>
      <c r="B40" s="35">
        <f>H21*1.18</f>
        <v>412685.29399999994</v>
      </c>
      <c r="C40" s="71">
        <f t="shared" si="0"/>
        <v>111185.12239999999</v>
      </c>
    </row>
    <row r="41" spans="1:10" ht="12.75" outlineLevel="1" x14ac:dyDescent="0.2">
      <c r="A41" s="39" t="s">
        <v>108</v>
      </c>
      <c r="B41" s="40">
        <f>H15*1.18</f>
        <v>425729.73379999993</v>
      </c>
      <c r="C41" s="75">
        <f>J31*1.18*1.1</f>
        <v>197872.45478</v>
      </c>
    </row>
    <row r="42" spans="1:10" ht="12.75" outlineLevel="1" x14ac:dyDescent="0.2"/>
    <row r="43" spans="1:10" ht="12.75" outlineLevel="1" x14ac:dyDescent="0.2"/>
    <row r="44" spans="1:10" ht="18" x14ac:dyDescent="0.2">
      <c r="A44" s="41" t="s">
        <v>55</v>
      </c>
      <c r="B44" s="77">
        <v>31</v>
      </c>
      <c r="C44" s="21"/>
    </row>
    <row r="45" spans="1:10" ht="12.75" x14ac:dyDescent="0.2">
      <c r="A45" s="3" t="s">
        <v>56</v>
      </c>
      <c r="B45" s="6">
        <v>31</v>
      </c>
      <c r="D45" s="4"/>
    </row>
    <row r="46" spans="1:10" ht="12.75" x14ac:dyDescent="0.2">
      <c r="A46" s="21"/>
      <c r="D46" s="4"/>
    </row>
    <row r="47" spans="1:10" ht="51" x14ac:dyDescent="0.2">
      <c r="A47" s="105" t="s">
        <v>0</v>
      </c>
      <c r="B47" s="33" t="s">
        <v>58</v>
      </c>
      <c r="C47" s="106" t="s">
        <v>60</v>
      </c>
      <c r="D47" s="33" t="s">
        <v>59</v>
      </c>
      <c r="E47" s="107" t="s">
        <v>61</v>
      </c>
      <c r="F47" s="107" t="s">
        <v>79</v>
      </c>
      <c r="G47" s="108" t="s">
        <v>140</v>
      </c>
      <c r="H47" s="108" t="s">
        <v>63</v>
      </c>
      <c r="I47" s="108" t="s">
        <v>100</v>
      </c>
      <c r="J47" s="109" t="s">
        <v>101</v>
      </c>
    </row>
    <row r="48" spans="1:10" ht="12.75" x14ac:dyDescent="0.2">
      <c r="A48" s="16" t="s">
        <v>98</v>
      </c>
      <c r="B48" s="35">
        <f t="shared" ref="B48:B53" si="1">B36</f>
        <v>123064.16351999999</v>
      </c>
      <c r="C48" s="45">
        <f t="shared" ref="C48:C53" si="2">B48/D48</f>
        <v>1.0010984742270161</v>
      </c>
      <c r="D48" s="35">
        <f>G48/B45*B44</f>
        <v>122929.12904</v>
      </c>
      <c r="E48" s="46">
        <f t="shared" ref="E48:E53" si="3">B48-D48</f>
        <v>135.03447999998752</v>
      </c>
      <c r="F48" s="70">
        <f t="shared" ref="F48:F53" si="4">100%-C48</f>
        <v>-1.0984742270161441E-3</v>
      </c>
      <c r="G48" s="48">
        <f>117056+5873.12904</f>
        <v>122929.12904</v>
      </c>
      <c r="H48" s="46">
        <f t="shared" ref="H48:H53" si="5">G48-B48</f>
        <v>-135.03447999998752</v>
      </c>
      <c r="I48" t="e">
        <f>H48/(B45-B44)/1.18/1.2</f>
        <v>#DIV/0!</v>
      </c>
      <c r="J48" s="71">
        <f>B48/B44/1.18/1.2</f>
        <v>2803.5393548387101</v>
      </c>
    </row>
    <row r="49" spans="1:10" ht="12.75" x14ac:dyDescent="0.2">
      <c r="A49" s="37" t="s">
        <v>1</v>
      </c>
      <c r="B49" s="35">
        <f t="shared" si="1"/>
        <v>1177821.4013999999</v>
      </c>
      <c r="C49" s="45">
        <f t="shared" si="2"/>
        <v>0.99826077485646147</v>
      </c>
      <c r="D49" s="35">
        <f t="shared" ref="D49:D52" si="6">G49/$B$45*$B$44</f>
        <v>1179873.4670000002</v>
      </c>
      <c r="E49" s="46">
        <f t="shared" si="3"/>
        <v>-2052.0656000003219</v>
      </c>
      <c r="F49" s="70">
        <f t="shared" si="4"/>
        <v>1.7392251435385253E-3</v>
      </c>
      <c r="G49" s="48">
        <f>1128080+Сентябрь2018!H47+46679.17</f>
        <v>1179873.4670000002</v>
      </c>
      <c r="H49" s="46">
        <f t="shared" si="5"/>
        <v>2052.0656000003219</v>
      </c>
      <c r="I49" t="e">
        <f t="shared" ref="I49:I53" si="7">H49/($B$45-$B$44)/1.18</f>
        <v>#DIV/0!</v>
      </c>
      <c r="J49" s="71">
        <f t="shared" ref="J49:J53" si="8">B49/$B$44/1.18</f>
        <v>32198.507419354835</v>
      </c>
    </row>
    <row r="50" spans="1:10" ht="12.75" x14ac:dyDescent="0.2">
      <c r="A50" s="37" t="s">
        <v>85</v>
      </c>
      <c r="B50" s="35">
        <f t="shared" si="1"/>
        <v>321961.50139999995</v>
      </c>
      <c r="C50" s="45">
        <f t="shared" si="2"/>
        <v>0.98677979791948534</v>
      </c>
      <c r="D50" s="35">
        <f t="shared" si="6"/>
        <v>326274.92180000007</v>
      </c>
      <c r="E50" s="46">
        <f t="shared" si="3"/>
        <v>-4313.4204000001191</v>
      </c>
      <c r="F50" s="70">
        <f t="shared" si="4"/>
        <v>1.3220202080514665E-2</v>
      </c>
      <c r="G50" s="48">
        <f>325000+Сентябрь2018!H48</f>
        <v>326274.92180000007</v>
      </c>
      <c r="H50" s="46">
        <f t="shared" si="5"/>
        <v>4313.4204000001191</v>
      </c>
      <c r="I50" t="e">
        <f t="shared" si="7"/>
        <v>#DIV/0!</v>
      </c>
      <c r="J50" s="71">
        <f t="shared" si="8"/>
        <v>8801.5719354838711</v>
      </c>
    </row>
    <row r="51" spans="1:10" ht="12.75" x14ac:dyDescent="0.2">
      <c r="A51" s="37" t="s">
        <v>4</v>
      </c>
      <c r="B51" s="35">
        <f t="shared" si="1"/>
        <v>678301.31160000002</v>
      </c>
      <c r="C51" s="45">
        <f t="shared" si="2"/>
        <v>0.99549410359034074</v>
      </c>
      <c r="D51" s="35">
        <f t="shared" si="6"/>
        <v>681371.50100000005</v>
      </c>
      <c r="E51" s="46">
        <f t="shared" si="3"/>
        <v>-3070.189400000032</v>
      </c>
      <c r="F51" s="70">
        <f t="shared" si="4"/>
        <v>4.5058964096592602E-3</v>
      </c>
      <c r="G51" s="48">
        <f>675000+Сентябрь2018!H49</f>
        <v>681371.50100000005</v>
      </c>
      <c r="H51" s="46">
        <f t="shared" si="5"/>
        <v>3070.189400000032</v>
      </c>
      <c r="I51" t="e">
        <f t="shared" si="7"/>
        <v>#DIV/0!</v>
      </c>
      <c r="J51" s="71">
        <f t="shared" si="8"/>
        <v>18542.95548387097</v>
      </c>
    </row>
    <row r="52" spans="1:10" ht="12.75" x14ac:dyDescent="0.2">
      <c r="A52" s="37" t="s">
        <v>29</v>
      </c>
      <c r="B52" s="35">
        <f t="shared" si="1"/>
        <v>412685.29399999994</v>
      </c>
      <c r="C52" s="45">
        <f t="shared" si="2"/>
        <v>0.99470452118672004</v>
      </c>
      <c r="D52" s="35">
        <f t="shared" si="6"/>
        <v>414882.29440000013</v>
      </c>
      <c r="E52" s="46">
        <f t="shared" si="3"/>
        <v>-2197.0004000001936</v>
      </c>
      <c r="F52" s="70">
        <f t="shared" si="4"/>
        <v>5.2954788132799635E-3</v>
      </c>
      <c r="G52" s="48">
        <f>400000+Сентябрь2018!H50</f>
        <v>414882.29440000013</v>
      </c>
      <c r="H52" s="46">
        <f t="shared" si="5"/>
        <v>2197.0004000001936</v>
      </c>
      <c r="I52" t="e">
        <f t="shared" si="7"/>
        <v>#DIV/0!</v>
      </c>
      <c r="J52" s="71">
        <f t="shared" si="8"/>
        <v>11281.719354838708</v>
      </c>
    </row>
    <row r="53" spans="1:10" ht="12.75" x14ac:dyDescent="0.2">
      <c r="A53" s="39" t="s">
        <v>107</v>
      </c>
      <c r="B53" s="40">
        <f t="shared" si="1"/>
        <v>425729.73379999993</v>
      </c>
      <c r="C53" s="76">
        <f t="shared" si="2"/>
        <v>0.97685515239464338</v>
      </c>
      <c r="D53" s="40">
        <f>G53/B45*B44</f>
        <v>435816.64359999995</v>
      </c>
      <c r="E53" s="80">
        <f t="shared" si="3"/>
        <v>-10086.909800000023</v>
      </c>
      <c r="F53" s="81">
        <f t="shared" si="4"/>
        <v>2.3144847605356622E-2</v>
      </c>
      <c r="G53" s="85">
        <f>550000+Сентябрь2018!H51-114432.63</f>
        <v>435816.64359999995</v>
      </c>
      <c r="H53" s="80">
        <f t="shared" si="5"/>
        <v>10086.909800000023</v>
      </c>
      <c r="I53" s="86" t="e">
        <f t="shared" si="7"/>
        <v>#DIV/0!</v>
      </c>
      <c r="J53" s="75">
        <f t="shared" si="8"/>
        <v>11638.319677419353</v>
      </c>
    </row>
    <row r="54" spans="1:10" ht="12.75" x14ac:dyDescent="0.2">
      <c r="A54" s="21"/>
      <c r="D54" s="4"/>
    </row>
    <row r="55" spans="1:10" ht="12.75" x14ac:dyDescent="0.2">
      <c r="A55" s="21"/>
      <c r="D55" s="4"/>
      <c r="G55" s="87"/>
    </row>
    <row r="56" spans="1:10" ht="51" x14ac:dyDescent="0.2">
      <c r="A56" s="110" t="s">
        <v>30</v>
      </c>
      <c r="B56" s="33" t="s">
        <v>58</v>
      </c>
      <c r="C56" s="106" t="s">
        <v>60</v>
      </c>
      <c r="D56" s="33" t="s">
        <v>59</v>
      </c>
      <c r="E56" s="107" t="s">
        <v>61</v>
      </c>
      <c r="F56" s="107" t="s">
        <v>79</v>
      </c>
      <c r="G56" s="108" t="s">
        <v>140</v>
      </c>
      <c r="H56" s="108" t="s">
        <v>63</v>
      </c>
      <c r="I56" s="108" t="s">
        <v>100</v>
      </c>
      <c r="J56" s="109" t="s">
        <v>101</v>
      </c>
    </row>
    <row r="57" spans="1:10" ht="12.75" x14ac:dyDescent="0.2">
      <c r="A57" s="37" t="s">
        <v>1</v>
      </c>
      <c r="B57" s="35">
        <f t="shared" ref="B57:B61" si="9">C37</f>
        <v>501485.29837999999</v>
      </c>
      <c r="C57" s="45">
        <f t="shared" ref="C57:C61" si="10">B57/D57</f>
        <v>0.9963531578456627</v>
      </c>
      <c r="D57" s="35">
        <f t="shared" ref="D57:D61" si="11">G57/$B$45*$B$44</f>
        <v>503320.83</v>
      </c>
      <c r="E57" s="46">
        <f t="shared" ref="E57:E61" si="12">B57-D57</f>
        <v>-1835.5316200000234</v>
      </c>
      <c r="F57" s="70">
        <f t="shared" ref="F57:F61" si="13">100%-C57</f>
        <v>3.6468421543373042E-3</v>
      </c>
      <c r="G57" s="48">
        <f>550000-46679.17</f>
        <v>503320.83</v>
      </c>
      <c r="H57" s="46">
        <f t="shared" ref="H57:H61" si="14">G57-B57</f>
        <v>1835.5316200000234</v>
      </c>
      <c r="I57" t="e">
        <f t="shared" ref="I57:I61" si="15">H57/($B$45-$B$44)/1.18/1.1</f>
        <v>#DIV/0!</v>
      </c>
      <c r="J57" s="71">
        <f t="shared" ref="J57:J61" si="16">B57/$B$44/1.1/1.18</f>
        <v>12462.977741935483</v>
      </c>
    </row>
    <row r="58" spans="1:10" ht="12.75" x14ac:dyDescent="0.2">
      <c r="A58" s="37" t="s">
        <v>85</v>
      </c>
      <c r="B58" s="35">
        <f t="shared" si="9"/>
        <v>192724.59975999998</v>
      </c>
      <c r="C58" s="45">
        <f t="shared" si="10"/>
        <v>0.96362299879999991</v>
      </c>
      <c r="D58" s="35">
        <f t="shared" si="11"/>
        <v>200000</v>
      </c>
      <c r="E58" s="46">
        <f t="shared" si="12"/>
        <v>-7275.4002400000172</v>
      </c>
      <c r="F58" s="70">
        <f t="shared" si="13"/>
        <v>3.6377001200000092E-2</v>
      </c>
      <c r="G58" s="48">
        <v>200000</v>
      </c>
      <c r="H58" s="46">
        <f t="shared" si="14"/>
        <v>7275.4002400000172</v>
      </c>
      <c r="I58" t="e">
        <f t="shared" si="15"/>
        <v>#DIV/0!</v>
      </c>
      <c r="J58" s="71">
        <f t="shared" si="16"/>
        <v>4789.6167741935478</v>
      </c>
    </row>
    <row r="59" spans="1:10" ht="12.75" x14ac:dyDescent="0.2">
      <c r="A59" s="37" t="s">
        <v>4</v>
      </c>
      <c r="B59" s="35">
        <f t="shared" si="9"/>
        <v>400339.63486000005</v>
      </c>
      <c r="C59" s="45">
        <f t="shared" si="10"/>
        <v>1.0008490871500002</v>
      </c>
      <c r="D59" s="35">
        <f t="shared" si="11"/>
        <v>400000</v>
      </c>
      <c r="E59" s="46">
        <f t="shared" si="12"/>
        <v>339.63486000004923</v>
      </c>
      <c r="F59" s="70">
        <f t="shared" si="13"/>
        <v>-8.4908715000020507E-4</v>
      </c>
      <c r="G59" s="48">
        <v>400000</v>
      </c>
      <c r="H59" s="46">
        <f t="shared" si="14"/>
        <v>-339.63486000004923</v>
      </c>
      <c r="I59" t="e">
        <f t="shared" si="15"/>
        <v>#DIV/0!</v>
      </c>
      <c r="J59" s="71">
        <f t="shared" si="16"/>
        <v>9949.2925806451622</v>
      </c>
    </row>
    <row r="60" spans="1:10" ht="12.75" x14ac:dyDescent="0.2">
      <c r="A60" s="37" t="s">
        <v>29</v>
      </c>
      <c r="B60" s="35">
        <f t="shared" si="9"/>
        <v>111185.12239999999</v>
      </c>
      <c r="C60" s="45">
        <f t="shared" si="10"/>
        <v>0.99032021639610768</v>
      </c>
      <c r="D60" s="35">
        <f t="shared" si="11"/>
        <v>112271.89</v>
      </c>
      <c r="E60" s="46">
        <f t="shared" si="12"/>
        <v>-1086.7676000000065</v>
      </c>
      <c r="F60" s="70">
        <f t="shared" si="13"/>
        <v>9.6797836038923224E-3</v>
      </c>
      <c r="G60" s="48">
        <f>100000+12271.89</f>
        <v>112271.89</v>
      </c>
      <c r="H60" s="46">
        <f t="shared" si="14"/>
        <v>1086.7676000000065</v>
      </c>
      <c r="I60" t="e">
        <f t="shared" si="15"/>
        <v>#DIV/0!</v>
      </c>
      <c r="J60" s="71">
        <f t="shared" si="16"/>
        <v>2763.1870967741934</v>
      </c>
    </row>
    <row r="61" spans="1:10" ht="12.75" x14ac:dyDescent="0.2">
      <c r="A61" s="39" t="s">
        <v>108</v>
      </c>
      <c r="B61" s="40">
        <f t="shared" si="9"/>
        <v>197872.45478</v>
      </c>
      <c r="C61" s="76">
        <f t="shared" si="10"/>
        <v>0.98936227389999998</v>
      </c>
      <c r="D61" s="40">
        <f t="shared" si="11"/>
        <v>200000</v>
      </c>
      <c r="E61" s="80">
        <f t="shared" si="12"/>
        <v>-2127.54522</v>
      </c>
      <c r="F61" s="81">
        <f t="shared" si="13"/>
        <v>1.0637726100000022E-2</v>
      </c>
      <c r="G61" s="85">
        <v>200000</v>
      </c>
      <c r="H61" s="80">
        <f t="shared" si="14"/>
        <v>2127.54522</v>
      </c>
      <c r="I61" s="86" t="e">
        <f t="shared" si="15"/>
        <v>#DIV/0!</v>
      </c>
      <c r="J61" s="75">
        <f t="shared" si="16"/>
        <v>4917.5519354838707</v>
      </c>
    </row>
    <row r="65" spans="1:10" ht="12.75" x14ac:dyDescent="0.2">
      <c r="C65" s="18"/>
      <c r="F65" s="22"/>
      <c r="J65" s="22"/>
    </row>
    <row r="66" spans="1:10" ht="12.75" x14ac:dyDescent="0.2">
      <c r="B66" s="18"/>
      <c r="C66" s="18"/>
      <c r="F66" s="22"/>
      <c r="J66" s="22"/>
    </row>
    <row r="67" spans="1:10" ht="12.75" x14ac:dyDescent="0.2">
      <c r="B67" s="18"/>
      <c r="C67" s="18"/>
      <c r="F67" s="22"/>
      <c r="J67" s="22"/>
    </row>
    <row r="68" spans="1:10" ht="12.75" x14ac:dyDescent="0.2">
      <c r="B68" s="18"/>
      <c r="C68" s="18"/>
      <c r="F68" s="22"/>
      <c r="J68" s="22"/>
    </row>
    <row r="70" spans="1:10" ht="12.75" x14ac:dyDescent="0.2">
      <c r="A70" s="30" t="s">
        <v>67</v>
      </c>
      <c r="B70" s="137" t="s">
        <v>68</v>
      </c>
      <c r="C70" s="138"/>
      <c r="D70" s="137" t="s">
        <v>21</v>
      </c>
      <c r="E70" s="138"/>
    </row>
    <row r="71" spans="1:10" ht="12.75" x14ac:dyDescent="0.2">
      <c r="A71" s="30" t="s">
        <v>70</v>
      </c>
      <c r="B71" s="52" t="s">
        <v>71</v>
      </c>
      <c r="C71" s="52" t="s">
        <v>72</v>
      </c>
      <c r="D71" s="51" t="s">
        <v>65</v>
      </c>
      <c r="E71" s="51" t="s">
        <v>66</v>
      </c>
    </row>
    <row r="72" spans="1:10" ht="12.75" x14ac:dyDescent="0.2">
      <c r="A72" s="37" t="str">
        <f>A37</f>
        <v>mr-filicity</v>
      </c>
      <c r="B72" s="112">
        <f>B37+C37+B36</f>
        <v>1802370.8632999999</v>
      </c>
      <c r="C72" s="114">
        <f>1128080+550000+117056</f>
        <v>1795136</v>
      </c>
      <c r="D72" s="93">
        <f>174+65</f>
        <v>239</v>
      </c>
      <c r="E72" s="116">
        <f>162+70</f>
        <v>232</v>
      </c>
    </row>
    <row r="73" spans="1:10" ht="12.75" x14ac:dyDescent="0.2">
      <c r="A73" s="37" t="str">
        <f>A50</f>
        <v>mr-filigrad1</v>
      </c>
      <c r="B73" s="112">
        <f t="shared" ref="B73:B76" si="17">B38+C38</f>
        <v>514686.10115999996</v>
      </c>
      <c r="C73" s="114">
        <f>325000+200000</f>
        <v>525000</v>
      </c>
      <c r="D73" s="94">
        <f>96+66</f>
        <v>162</v>
      </c>
      <c r="E73" s="118">
        <f>93+52</f>
        <v>145</v>
      </c>
    </row>
    <row r="74" spans="1:10" ht="12.75" x14ac:dyDescent="0.2">
      <c r="A74" s="37" t="str">
        <f t="shared" ref="A74:A76" si="18">A39</f>
        <v>mr-savcity-apart</v>
      </c>
      <c r="B74" s="112">
        <f t="shared" si="17"/>
        <v>1078640.94646</v>
      </c>
      <c r="C74" s="114">
        <f>675000+G59</f>
        <v>1075000</v>
      </c>
      <c r="D74" s="93">
        <f>147+85</f>
        <v>232</v>
      </c>
      <c r="E74" s="116">
        <f>135+51</f>
        <v>186</v>
      </c>
    </row>
    <row r="75" spans="1:10" ht="12.75" x14ac:dyDescent="0.2">
      <c r="A75" s="37" t="str">
        <f t="shared" si="18"/>
        <v>perovsky-media108</v>
      </c>
      <c r="B75" s="112">
        <f t="shared" si="17"/>
        <v>523870.41639999993</v>
      </c>
      <c r="C75" s="114">
        <f>400000+100000</f>
        <v>500000</v>
      </c>
      <c r="D75" s="93">
        <f>62+10</f>
        <v>72</v>
      </c>
      <c r="E75" s="116">
        <f>48+11</f>
        <v>59</v>
      </c>
    </row>
    <row r="76" spans="1:10" ht="12.75" x14ac:dyDescent="0.2">
      <c r="A76" s="62" t="str">
        <f t="shared" si="18"/>
        <v>Сампо - MR GROUP - Бугаенко</v>
      </c>
      <c r="B76" s="120">
        <f t="shared" si="17"/>
        <v>623602.18857999996</v>
      </c>
      <c r="C76" s="114">
        <f>550000+200000-114432.63</f>
        <v>635567.37</v>
      </c>
      <c r="D76" s="63">
        <f t="shared" ref="D76:E76" si="19">55+20</f>
        <v>75</v>
      </c>
      <c r="E76" s="122">
        <f t="shared" si="19"/>
        <v>75</v>
      </c>
    </row>
    <row r="77" spans="1:10" ht="12.75" x14ac:dyDescent="0.2">
      <c r="A77" s="59" t="s">
        <v>74</v>
      </c>
      <c r="B77" s="124">
        <f t="shared" ref="B77:E77" si="20">SUM(B72:B76)</f>
        <v>4543170.5159</v>
      </c>
      <c r="C77" s="125">
        <f t="shared" si="20"/>
        <v>4530703.37</v>
      </c>
      <c r="D77" s="96">
        <f t="shared" si="20"/>
        <v>780</v>
      </c>
      <c r="E77" s="126">
        <f t="shared" si="20"/>
        <v>697</v>
      </c>
    </row>
  </sheetData>
  <mergeCells count="2">
    <mergeCell ref="B70:C70"/>
    <mergeCell ref="D70:E70"/>
  </mergeCells>
  <conditionalFormatting sqref="A6 A9 A12 A15 A27:A30">
    <cfRule type="cellIs" dxfId="29" priority="1" operator="equal">
      <formula>B6</formula>
    </cfRule>
  </conditionalFormatting>
  <conditionalFormatting sqref="B6 B9 B12 B15 B27:B30">
    <cfRule type="cellIs" dxfId="28" priority="2" operator="equal">
      <formula>A6</formula>
    </cfRule>
  </conditionalFormatting>
  <conditionalFormatting sqref="A6 A27:A30">
    <cfRule type="expression" dxfId="27" priority="3">
      <formula>ISERROR(SEARCH((B6),(A6)))</formula>
    </cfRule>
  </conditionalFormatting>
  <conditionalFormatting sqref="B6 B9 B12 B15 B27:B30">
    <cfRule type="cellIs" dxfId="26" priority="4" operator="notEqual">
      <formula>A6</formula>
    </cfRule>
  </conditionalFormatting>
  <conditionalFormatting sqref="A18">
    <cfRule type="cellIs" dxfId="25" priority="5" operator="equal">
      <formula>B18</formula>
    </cfRule>
  </conditionalFormatting>
  <conditionalFormatting sqref="B18">
    <cfRule type="cellIs" dxfId="24" priority="6" operator="equal">
      <formula>A18</formula>
    </cfRule>
  </conditionalFormatting>
  <conditionalFormatting sqref="A21">
    <cfRule type="cellIs" dxfId="23" priority="7" operator="equal">
      <formula>B21</formula>
    </cfRule>
  </conditionalFormatting>
  <conditionalFormatting sqref="B21">
    <cfRule type="cellIs" dxfId="22" priority="8" operator="equal">
      <formula>A21</formula>
    </cfRule>
  </conditionalFormatting>
  <conditionalFormatting sqref="A31">
    <cfRule type="cellIs" dxfId="21" priority="9" operator="equal">
      <formula>B31</formula>
    </cfRule>
  </conditionalFormatting>
  <conditionalFormatting sqref="B31">
    <cfRule type="cellIs" dxfId="20" priority="10" operator="equal">
      <formula>A31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Q68"/>
  <sheetViews>
    <sheetView workbookViewId="0"/>
  </sheetViews>
  <sheetFormatPr defaultColWidth="14.42578125" defaultRowHeight="15.75" customHeight="1" outlineLevelRow="1" x14ac:dyDescent="0.2"/>
  <cols>
    <col min="1" max="1" width="41.42578125" customWidth="1"/>
    <col min="2" max="2" width="41.7109375" customWidth="1"/>
    <col min="3" max="3" width="42.140625" customWidth="1"/>
    <col min="4" max="4" width="25.5703125" customWidth="1"/>
    <col min="5" max="5" width="25" customWidth="1"/>
    <col min="14" max="14" width="18" customWidth="1"/>
  </cols>
  <sheetData>
    <row r="1" spans="1:17" ht="18" x14ac:dyDescent="0.25">
      <c r="A1" s="2" t="s">
        <v>0</v>
      </c>
      <c r="B1" s="3" t="s">
        <v>114</v>
      </c>
      <c r="C1" s="4"/>
    </row>
    <row r="2" spans="1:17" ht="15.75" customHeight="1" x14ac:dyDescent="0.2">
      <c r="A2" s="5"/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  <c r="L2" s="3" t="s">
        <v>20</v>
      </c>
      <c r="M2" s="3" t="s">
        <v>21</v>
      </c>
      <c r="N2" s="3" t="s">
        <v>22</v>
      </c>
      <c r="O2" s="3" t="s">
        <v>23</v>
      </c>
      <c r="P2" s="3" t="s">
        <v>24</v>
      </c>
      <c r="Q2" s="3" t="s">
        <v>25</v>
      </c>
    </row>
    <row r="3" spans="1:17" ht="15.75" customHeight="1" x14ac:dyDescent="0.2">
      <c r="A3" s="7"/>
      <c r="C3" s="3" t="s">
        <v>26</v>
      </c>
      <c r="D3" s="3" t="s">
        <v>82</v>
      </c>
      <c r="E3" s="3">
        <v>26077270</v>
      </c>
      <c r="F3" s="3">
        <v>37885</v>
      </c>
      <c r="G3" s="3">
        <v>0.15</v>
      </c>
      <c r="H3" s="3">
        <v>2495467.59</v>
      </c>
      <c r="I3" s="3">
        <v>65.87</v>
      </c>
      <c r="J3" s="3" t="s">
        <v>27</v>
      </c>
      <c r="K3" s="3" t="s">
        <v>27</v>
      </c>
      <c r="L3" s="3">
        <v>3.31</v>
      </c>
      <c r="M3" s="3">
        <v>16169</v>
      </c>
      <c r="N3" s="3">
        <v>42.68</v>
      </c>
      <c r="O3" s="3">
        <v>154.34</v>
      </c>
      <c r="P3" s="3" t="s">
        <v>27</v>
      </c>
      <c r="Q3" s="3">
        <v>0</v>
      </c>
    </row>
    <row r="4" spans="1:17" ht="15.75" customHeight="1" x14ac:dyDescent="0.2">
      <c r="A4" s="7"/>
      <c r="D4" s="3" t="s">
        <v>28</v>
      </c>
      <c r="E4" s="3">
        <v>26077270</v>
      </c>
      <c r="F4" s="3">
        <v>37885</v>
      </c>
      <c r="G4" s="3">
        <v>0.15</v>
      </c>
      <c r="H4" s="3">
        <v>2495467.59</v>
      </c>
      <c r="I4" s="3">
        <v>65.87</v>
      </c>
      <c r="J4" s="3" t="s">
        <v>27</v>
      </c>
      <c r="K4" s="3" t="s">
        <v>27</v>
      </c>
      <c r="L4" s="3">
        <v>3.31</v>
      </c>
      <c r="M4" s="3">
        <v>16169</v>
      </c>
      <c r="N4" s="3">
        <v>42.68</v>
      </c>
      <c r="O4" s="3">
        <v>154.34</v>
      </c>
      <c r="P4" s="3" t="s">
        <v>27</v>
      </c>
      <c r="Q4" s="3">
        <v>0</v>
      </c>
    </row>
    <row r="5" spans="1:17" ht="15.75" customHeight="1" x14ac:dyDescent="0.2">
      <c r="A5" s="7"/>
    </row>
    <row r="6" spans="1:17" ht="15.75" customHeight="1" x14ac:dyDescent="0.2">
      <c r="A6" s="9" t="s">
        <v>83</v>
      </c>
      <c r="B6" s="3" t="s">
        <v>83</v>
      </c>
      <c r="C6" s="3" t="s">
        <v>84</v>
      </c>
      <c r="D6" s="3" t="s">
        <v>82</v>
      </c>
      <c r="E6" s="3">
        <v>1057949</v>
      </c>
      <c r="F6" s="3">
        <v>413</v>
      </c>
      <c r="G6" s="3">
        <v>0.04</v>
      </c>
      <c r="H6" s="3">
        <v>57852.31</v>
      </c>
      <c r="I6" s="3">
        <v>140.08000000000001</v>
      </c>
      <c r="J6" s="3" t="s">
        <v>27</v>
      </c>
      <c r="K6" s="3" t="s">
        <v>27</v>
      </c>
      <c r="L6" s="3">
        <v>1.03</v>
      </c>
      <c r="M6" s="3">
        <v>81</v>
      </c>
      <c r="N6" s="3">
        <v>19.61</v>
      </c>
      <c r="O6" s="3">
        <v>714.23</v>
      </c>
      <c r="P6" s="3" t="s">
        <v>27</v>
      </c>
      <c r="Q6" s="3">
        <v>0</v>
      </c>
    </row>
    <row r="7" spans="1:17" ht="15.75" customHeight="1" x14ac:dyDescent="0.2">
      <c r="A7" s="7"/>
      <c r="D7" s="3" t="s">
        <v>28</v>
      </c>
      <c r="E7" s="3">
        <v>1057949</v>
      </c>
      <c r="F7" s="3">
        <v>413</v>
      </c>
      <c r="G7" s="3">
        <v>0.04</v>
      </c>
      <c r="H7" s="3">
        <v>57852.31</v>
      </c>
      <c r="I7" s="3">
        <v>140.08000000000001</v>
      </c>
      <c r="J7" s="3" t="s">
        <v>27</v>
      </c>
      <c r="K7" s="3" t="s">
        <v>27</v>
      </c>
      <c r="L7" s="3">
        <v>1.03</v>
      </c>
      <c r="M7" s="3">
        <v>81</v>
      </c>
      <c r="N7" s="3">
        <v>19.61</v>
      </c>
      <c r="O7" s="3">
        <v>714.23</v>
      </c>
      <c r="P7" s="3" t="s">
        <v>27</v>
      </c>
      <c r="Q7" s="3">
        <v>0</v>
      </c>
    </row>
    <row r="8" spans="1:17" ht="15.75" customHeight="1" x14ac:dyDescent="0.2">
      <c r="A8" s="7"/>
    </row>
    <row r="9" spans="1:17" ht="15.75" customHeight="1" x14ac:dyDescent="0.2">
      <c r="A9" s="9" t="s">
        <v>1</v>
      </c>
      <c r="B9" s="3" t="s">
        <v>1</v>
      </c>
      <c r="C9" s="3" t="s">
        <v>75</v>
      </c>
      <c r="D9" s="3" t="s">
        <v>82</v>
      </c>
      <c r="E9" s="3">
        <v>21457036</v>
      </c>
      <c r="F9" s="3">
        <v>17261</v>
      </c>
      <c r="G9" s="3">
        <v>0.08</v>
      </c>
      <c r="H9" s="3">
        <v>993672.15</v>
      </c>
      <c r="I9" s="3">
        <v>57.57</v>
      </c>
      <c r="J9" s="3" t="s">
        <v>27</v>
      </c>
      <c r="K9" s="3" t="s">
        <v>27</v>
      </c>
      <c r="L9" s="3">
        <v>1.74</v>
      </c>
      <c r="M9" s="3">
        <v>6862</v>
      </c>
      <c r="N9" s="3">
        <v>39.75</v>
      </c>
      <c r="O9" s="3">
        <v>144.81</v>
      </c>
      <c r="P9" s="3" t="s">
        <v>27</v>
      </c>
      <c r="Q9" s="3">
        <v>0</v>
      </c>
    </row>
    <row r="10" spans="1:17" ht="15.75" customHeight="1" x14ac:dyDescent="0.2">
      <c r="A10" s="7"/>
      <c r="D10" s="3" t="s">
        <v>28</v>
      </c>
      <c r="E10" s="3">
        <v>21457036</v>
      </c>
      <c r="F10" s="3">
        <v>17261</v>
      </c>
      <c r="G10" s="3">
        <v>0.08</v>
      </c>
      <c r="H10" s="3">
        <v>993672.15</v>
      </c>
      <c r="I10" s="3">
        <v>57.57</v>
      </c>
      <c r="J10" s="3" t="s">
        <v>27</v>
      </c>
      <c r="K10" s="3" t="s">
        <v>27</v>
      </c>
      <c r="L10" s="3">
        <v>1.74</v>
      </c>
      <c r="M10" s="3">
        <v>6862</v>
      </c>
      <c r="N10" s="3">
        <v>39.75</v>
      </c>
      <c r="O10" s="3">
        <v>144.81</v>
      </c>
      <c r="P10" s="3" t="s">
        <v>27</v>
      </c>
      <c r="Q10" s="3">
        <v>0</v>
      </c>
    </row>
    <row r="11" spans="1:17" ht="15.75" customHeight="1" x14ac:dyDescent="0.2">
      <c r="A11" s="7"/>
    </row>
    <row r="12" spans="1:17" ht="15.75" customHeight="1" x14ac:dyDescent="0.2">
      <c r="A12" s="9" t="s">
        <v>85</v>
      </c>
      <c r="B12" s="3" t="s">
        <v>85</v>
      </c>
      <c r="C12" s="3" t="s">
        <v>86</v>
      </c>
      <c r="D12" s="3" t="s">
        <v>82</v>
      </c>
      <c r="E12" s="3">
        <v>559454</v>
      </c>
      <c r="F12" s="3">
        <v>3728</v>
      </c>
      <c r="G12" s="3">
        <v>0.67</v>
      </c>
      <c r="H12" s="3">
        <v>326125.59999999998</v>
      </c>
      <c r="I12" s="3">
        <v>87.48</v>
      </c>
      <c r="J12" s="3" t="s">
        <v>27</v>
      </c>
      <c r="K12" s="3" t="s">
        <v>27</v>
      </c>
      <c r="L12" s="3">
        <v>4.79</v>
      </c>
      <c r="M12" s="3">
        <v>2233</v>
      </c>
      <c r="N12" s="3">
        <v>59.9</v>
      </c>
      <c r="O12" s="3">
        <v>146.05000000000001</v>
      </c>
      <c r="P12" s="3" t="s">
        <v>27</v>
      </c>
      <c r="Q12" s="3">
        <v>0</v>
      </c>
    </row>
    <row r="13" spans="1:17" ht="15.75" customHeight="1" x14ac:dyDescent="0.2">
      <c r="A13" s="7"/>
      <c r="D13" s="3" t="s">
        <v>28</v>
      </c>
      <c r="E13" s="3">
        <v>559454</v>
      </c>
      <c r="F13" s="3">
        <v>3728</v>
      </c>
      <c r="G13" s="3">
        <v>0.67</v>
      </c>
      <c r="H13" s="3">
        <v>326125.59999999998</v>
      </c>
      <c r="I13" s="3">
        <v>87.48</v>
      </c>
      <c r="J13" s="3" t="s">
        <v>27</v>
      </c>
      <c r="K13" s="3" t="s">
        <v>27</v>
      </c>
      <c r="L13" s="3">
        <v>4.79</v>
      </c>
      <c r="M13" s="3">
        <v>2233</v>
      </c>
      <c r="N13" s="3">
        <v>59.9</v>
      </c>
      <c r="O13" s="3">
        <v>146.05000000000001</v>
      </c>
      <c r="P13" s="3" t="s">
        <v>27</v>
      </c>
      <c r="Q13" s="3">
        <v>0</v>
      </c>
    </row>
    <row r="14" spans="1:17" ht="15.75" customHeight="1" x14ac:dyDescent="0.2">
      <c r="A14" s="7"/>
    </row>
    <row r="15" spans="1:17" ht="15.75" customHeight="1" x14ac:dyDescent="0.2">
      <c r="A15" s="9" t="s">
        <v>107</v>
      </c>
      <c r="B15" s="3" t="s">
        <v>107</v>
      </c>
      <c r="C15" s="3" t="s">
        <v>108</v>
      </c>
      <c r="D15" s="3" t="s">
        <v>82</v>
      </c>
      <c r="E15" s="3">
        <v>1186179</v>
      </c>
      <c r="F15" s="3">
        <v>5753</v>
      </c>
      <c r="G15" s="3">
        <v>0.49</v>
      </c>
      <c r="H15" s="3">
        <v>275212.48</v>
      </c>
      <c r="I15" s="3">
        <v>47.84</v>
      </c>
      <c r="J15" s="3" t="s">
        <v>27</v>
      </c>
      <c r="K15" s="3" t="s">
        <v>27</v>
      </c>
      <c r="L15" s="3">
        <v>5.15</v>
      </c>
      <c r="M15" s="3">
        <v>1566</v>
      </c>
      <c r="N15" s="3">
        <v>27.22</v>
      </c>
      <c r="O15" s="3">
        <v>175.74</v>
      </c>
      <c r="P15" s="3" t="s">
        <v>27</v>
      </c>
      <c r="Q15" s="3">
        <v>0</v>
      </c>
    </row>
    <row r="16" spans="1:17" ht="15.75" customHeight="1" x14ac:dyDescent="0.2">
      <c r="D16" s="3" t="s">
        <v>28</v>
      </c>
      <c r="E16" s="3">
        <v>1186179</v>
      </c>
      <c r="F16" s="3">
        <v>5753</v>
      </c>
      <c r="G16" s="3">
        <v>0.49</v>
      </c>
      <c r="H16" s="3">
        <v>275212.48</v>
      </c>
      <c r="I16" s="3">
        <v>47.84</v>
      </c>
      <c r="J16" s="3" t="s">
        <v>27</v>
      </c>
      <c r="K16" s="3" t="s">
        <v>27</v>
      </c>
      <c r="L16" s="3">
        <v>5.15</v>
      </c>
      <c r="M16" s="3">
        <v>1566</v>
      </c>
      <c r="N16" s="3">
        <v>27.22</v>
      </c>
      <c r="O16" s="3">
        <v>175.74</v>
      </c>
      <c r="P16" s="3" t="s">
        <v>27</v>
      </c>
      <c r="Q16" s="3">
        <v>0</v>
      </c>
    </row>
    <row r="18" spans="1:17" ht="15.75" customHeight="1" x14ac:dyDescent="0.2">
      <c r="A18" s="1" t="s">
        <v>4</v>
      </c>
      <c r="B18" s="3" t="s">
        <v>4</v>
      </c>
      <c r="C18" s="3" t="s">
        <v>5</v>
      </c>
      <c r="D18" s="3" t="s">
        <v>82</v>
      </c>
      <c r="E18" s="3">
        <v>782641</v>
      </c>
      <c r="F18" s="3">
        <v>5316</v>
      </c>
      <c r="G18" s="3">
        <v>0.68</v>
      </c>
      <c r="H18" s="3">
        <v>391883.48</v>
      </c>
      <c r="I18" s="3">
        <v>73.72</v>
      </c>
      <c r="J18" s="3" t="s">
        <v>27</v>
      </c>
      <c r="K18" s="3" t="s">
        <v>27</v>
      </c>
      <c r="L18" s="3">
        <v>5.21</v>
      </c>
      <c r="M18" s="3">
        <v>3722</v>
      </c>
      <c r="N18" s="3">
        <v>70.02</v>
      </c>
      <c r="O18" s="3">
        <v>105.29</v>
      </c>
      <c r="P18" s="3" t="s">
        <v>27</v>
      </c>
      <c r="Q18" s="3">
        <v>0</v>
      </c>
    </row>
    <row r="19" spans="1:17" ht="15.75" customHeight="1" x14ac:dyDescent="0.2">
      <c r="D19" s="3" t="s">
        <v>28</v>
      </c>
      <c r="E19" s="3">
        <v>782641</v>
      </c>
      <c r="F19" s="3">
        <v>5316</v>
      </c>
      <c r="G19" s="3">
        <v>0.68</v>
      </c>
      <c r="H19" s="3">
        <v>391883.48</v>
      </c>
      <c r="I19" s="3">
        <v>73.72</v>
      </c>
      <c r="J19" s="3" t="s">
        <v>27</v>
      </c>
      <c r="K19" s="3" t="s">
        <v>27</v>
      </c>
      <c r="L19" s="3">
        <v>5.21</v>
      </c>
      <c r="M19" s="3">
        <v>3722</v>
      </c>
      <c r="N19" s="3">
        <v>70.02</v>
      </c>
      <c r="O19" s="3">
        <v>105.29</v>
      </c>
      <c r="P19" s="3" t="s">
        <v>27</v>
      </c>
      <c r="Q19" s="3">
        <v>0</v>
      </c>
    </row>
    <row r="21" spans="1:17" ht="15.75" customHeight="1" x14ac:dyDescent="0.2">
      <c r="A21" s="1" t="s">
        <v>29</v>
      </c>
      <c r="B21" s="3" t="s">
        <v>29</v>
      </c>
      <c r="C21" s="3" t="s">
        <v>76</v>
      </c>
      <c r="D21" s="3" t="s">
        <v>82</v>
      </c>
      <c r="E21" s="3">
        <v>1034011</v>
      </c>
      <c r="F21" s="3">
        <v>5414</v>
      </c>
      <c r="G21" s="3">
        <v>0.52</v>
      </c>
      <c r="H21" s="3">
        <v>450721.57</v>
      </c>
      <c r="I21" s="3">
        <v>83.25</v>
      </c>
      <c r="J21" s="3" t="s">
        <v>27</v>
      </c>
      <c r="K21" s="3" t="s">
        <v>27</v>
      </c>
      <c r="L21" s="3">
        <v>2.56</v>
      </c>
      <c r="M21" s="3">
        <v>1705</v>
      </c>
      <c r="N21" s="3">
        <v>31.49</v>
      </c>
      <c r="O21" s="3">
        <v>264.35000000000002</v>
      </c>
      <c r="P21" s="3" t="s">
        <v>27</v>
      </c>
      <c r="Q21" s="3">
        <v>0</v>
      </c>
    </row>
    <row r="22" spans="1:17" ht="15.75" customHeight="1" x14ac:dyDescent="0.2">
      <c r="D22" s="3" t="s">
        <v>28</v>
      </c>
      <c r="E22" s="3">
        <v>1034011</v>
      </c>
      <c r="F22" s="3">
        <v>5414</v>
      </c>
      <c r="G22" s="3">
        <v>0.52</v>
      </c>
      <c r="H22" s="3">
        <v>450721.57</v>
      </c>
      <c r="I22" s="3">
        <v>83.25</v>
      </c>
      <c r="J22" s="3" t="s">
        <v>27</v>
      </c>
      <c r="K22" s="3" t="s">
        <v>27</v>
      </c>
      <c r="L22" s="3">
        <v>2.56</v>
      </c>
      <c r="M22" s="3">
        <v>1705</v>
      </c>
      <c r="N22" s="3">
        <v>31.49</v>
      </c>
      <c r="O22" s="3">
        <v>264.35000000000002</v>
      </c>
      <c r="P22" s="3" t="s">
        <v>27</v>
      </c>
      <c r="Q22" s="3">
        <v>0</v>
      </c>
    </row>
    <row r="24" spans="1:17" ht="18" x14ac:dyDescent="0.25">
      <c r="A24" s="10" t="s">
        <v>30</v>
      </c>
      <c r="B24" s="11" t="s">
        <v>31</v>
      </c>
      <c r="C24" s="11"/>
      <c r="D24" s="12"/>
      <c r="E24" s="11"/>
      <c r="F24" s="13"/>
      <c r="G24" s="11"/>
      <c r="H24" s="11"/>
      <c r="I24" s="11"/>
      <c r="J24" s="11"/>
      <c r="K24" s="11"/>
      <c r="L24" s="11"/>
      <c r="M24" s="11"/>
      <c r="N24" s="104"/>
    </row>
    <row r="25" spans="1:17" ht="15.75" customHeight="1" x14ac:dyDescent="0.2">
      <c r="A25" s="15"/>
      <c r="B25" s="3" t="s">
        <v>131</v>
      </c>
      <c r="C25" s="3"/>
      <c r="D25" s="17"/>
      <c r="E25" s="3"/>
      <c r="F25" s="18"/>
      <c r="G25" s="3"/>
      <c r="H25" s="3"/>
      <c r="I25" s="3"/>
      <c r="J25" s="3"/>
      <c r="K25" s="3"/>
      <c r="L25" s="3"/>
      <c r="M25" s="3"/>
      <c r="N25" s="20"/>
    </row>
    <row r="26" spans="1:17" ht="15.75" customHeight="1" x14ac:dyDescent="0.2">
      <c r="A26" s="15"/>
      <c r="B26" s="3" t="s">
        <v>32</v>
      </c>
      <c r="C26" s="3" t="s">
        <v>33</v>
      </c>
      <c r="D26" s="3" t="s">
        <v>34</v>
      </c>
      <c r="E26" s="3" t="s">
        <v>35</v>
      </c>
      <c r="F26" s="18" t="s">
        <v>36</v>
      </c>
      <c r="G26" s="3" t="s">
        <v>13</v>
      </c>
      <c r="H26" s="3" t="s">
        <v>37</v>
      </c>
      <c r="I26" s="3" t="s">
        <v>38</v>
      </c>
      <c r="J26" s="3" t="s">
        <v>39</v>
      </c>
      <c r="K26" s="3" t="s">
        <v>40</v>
      </c>
      <c r="L26" s="3" t="s">
        <v>21</v>
      </c>
      <c r="M26" s="3" t="s">
        <v>41</v>
      </c>
      <c r="N26" s="20" t="s">
        <v>42</v>
      </c>
      <c r="O26" s="3" t="s">
        <v>43</v>
      </c>
    </row>
    <row r="27" spans="1:17" ht="15.75" customHeight="1" x14ac:dyDescent="0.2">
      <c r="A27" s="64" t="s">
        <v>86</v>
      </c>
      <c r="B27" s="3" t="s">
        <v>86</v>
      </c>
      <c r="C27" s="3" t="s">
        <v>88</v>
      </c>
      <c r="D27" s="3" t="s">
        <v>132</v>
      </c>
      <c r="E27" s="18" t="s">
        <v>45</v>
      </c>
      <c r="F27" s="18">
        <v>2136</v>
      </c>
      <c r="G27" s="18">
        <v>139092</v>
      </c>
      <c r="H27" s="3" t="s">
        <v>53</v>
      </c>
      <c r="I27" s="22">
        <v>150.04</v>
      </c>
      <c r="J27" s="22">
        <v>320493.28999999998</v>
      </c>
      <c r="K27" s="3">
        <v>1.1599999999999999</v>
      </c>
      <c r="L27" s="3">
        <v>489</v>
      </c>
      <c r="M27" s="22">
        <v>0</v>
      </c>
      <c r="N27" s="20">
        <v>650.67999999999995</v>
      </c>
      <c r="O27" s="3" t="s">
        <v>133</v>
      </c>
    </row>
    <row r="28" spans="1:17" ht="15.75" customHeight="1" x14ac:dyDescent="0.2">
      <c r="A28" s="64" t="s">
        <v>5</v>
      </c>
      <c r="B28" s="3" t="s">
        <v>5</v>
      </c>
      <c r="C28" s="3" t="s">
        <v>46</v>
      </c>
      <c r="D28" s="3" t="s">
        <v>132</v>
      </c>
      <c r="E28" s="18" t="s">
        <v>45</v>
      </c>
      <c r="F28" s="18">
        <v>3237</v>
      </c>
      <c r="G28" s="18">
        <v>322343</v>
      </c>
      <c r="H28" s="3" t="s">
        <v>52</v>
      </c>
      <c r="I28" s="22">
        <v>95.23</v>
      </c>
      <c r="J28" s="22">
        <v>308273.71999999997</v>
      </c>
      <c r="K28" s="22">
        <v>1</v>
      </c>
      <c r="L28" s="22">
        <v>4955</v>
      </c>
      <c r="M28" s="22">
        <v>0</v>
      </c>
      <c r="N28" s="20">
        <v>62.16</v>
      </c>
      <c r="O28" s="3" t="s">
        <v>134</v>
      </c>
    </row>
    <row r="29" spans="1:17" ht="15.75" customHeight="1" x14ac:dyDescent="0.2">
      <c r="A29" s="64" t="s">
        <v>47</v>
      </c>
      <c r="B29" s="3" t="s">
        <v>47</v>
      </c>
      <c r="C29" s="3" t="s">
        <v>48</v>
      </c>
      <c r="D29" s="3" t="s">
        <v>132</v>
      </c>
      <c r="E29" s="18" t="s">
        <v>45</v>
      </c>
      <c r="F29" s="18">
        <v>2122</v>
      </c>
      <c r="G29" s="18">
        <v>401913</v>
      </c>
      <c r="H29" s="3" t="s">
        <v>77</v>
      </c>
      <c r="I29" s="22">
        <v>91.01</v>
      </c>
      <c r="J29" s="22">
        <v>193114.09</v>
      </c>
      <c r="K29" s="3">
        <v>1.04</v>
      </c>
      <c r="L29" s="3">
        <v>90</v>
      </c>
      <c r="M29" s="22">
        <v>0</v>
      </c>
      <c r="N29" s="38">
        <v>2123.75</v>
      </c>
      <c r="O29" s="3" t="s">
        <v>135</v>
      </c>
    </row>
    <row r="30" spans="1:17" ht="15.75" customHeight="1" x14ac:dyDescent="0.2">
      <c r="A30" s="64" t="s">
        <v>2</v>
      </c>
      <c r="B30" s="3" t="s">
        <v>2</v>
      </c>
      <c r="C30" s="3" t="s">
        <v>49</v>
      </c>
      <c r="D30" s="3" t="s">
        <v>132</v>
      </c>
      <c r="E30" s="18" t="s">
        <v>45</v>
      </c>
      <c r="F30" s="18">
        <v>2979</v>
      </c>
      <c r="G30" s="18">
        <v>361644</v>
      </c>
      <c r="H30" s="3" t="s">
        <v>136</v>
      </c>
      <c r="I30" s="22">
        <v>138.66999999999999</v>
      </c>
      <c r="J30" s="22">
        <v>413086.9</v>
      </c>
      <c r="K30" s="3">
        <v>1.21</v>
      </c>
      <c r="L30" s="3">
        <v>335.4</v>
      </c>
      <c r="M30" s="22">
        <v>0</v>
      </c>
      <c r="N30" s="38">
        <v>1219.6099999999999</v>
      </c>
      <c r="O30" s="3" t="s">
        <v>137</v>
      </c>
    </row>
    <row r="31" spans="1:17" ht="15.75" customHeight="1" x14ac:dyDescent="0.2">
      <c r="A31" s="39" t="s">
        <v>108</v>
      </c>
      <c r="B31" s="25" t="s">
        <v>108</v>
      </c>
      <c r="C31" s="25" t="s">
        <v>129</v>
      </c>
      <c r="D31" s="25" t="s">
        <v>132</v>
      </c>
      <c r="E31" s="26" t="s">
        <v>45</v>
      </c>
      <c r="F31" s="26">
        <v>1863</v>
      </c>
      <c r="G31" s="26">
        <v>51516</v>
      </c>
      <c r="H31" s="25" t="s">
        <v>138</v>
      </c>
      <c r="I31" s="27">
        <v>70.86</v>
      </c>
      <c r="J31" s="27">
        <v>132008.67000000001</v>
      </c>
      <c r="K31" s="25">
        <v>1.62</v>
      </c>
      <c r="L31" s="25">
        <v>13</v>
      </c>
      <c r="M31" s="27">
        <v>0</v>
      </c>
      <c r="N31" s="42">
        <v>10114.43</v>
      </c>
      <c r="O31" s="3" t="s">
        <v>97</v>
      </c>
    </row>
    <row r="34" spans="1:10" ht="15.75" customHeight="1" outlineLevel="1" x14ac:dyDescent="0.2">
      <c r="B34" s="29" t="s">
        <v>0</v>
      </c>
      <c r="C34" s="73" t="s">
        <v>30</v>
      </c>
    </row>
    <row r="35" spans="1:10" ht="15.75" customHeight="1" outlineLevel="1" x14ac:dyDescent="0.2">
      <c r="A35" s="31" t="s">
        <v>32</v>
      </c>
      <c r="B35" s="33" t="s">
        <v>54</v>
      </c>
      <c r="C35" s="34" t="s">
        <v>54</v>
      </c>
    </row>
    <row r="36" spans="1:10" ht="15.75" customHeight="1" outlineLevel="1" x14ac:dyDescent="0.2">
      <c r="A36" s="37" t="s">
        <v>1</v>
      </c>
      <c r="B36" s="35">
        <f>H9*1.18</f>
        <v>1172533.1369999999</v>
      </c>
      <c r="C36" s="71">
        <f>J30*1.18*1.1</f>
        <v>536186.7962000001</v>
      </c>
      <c r="D36" s="46"/>
    </row>
    <row r="37" spans="1:10" ht="15.75" customHeight="1" outlineLevel="1" x14ac:dyDescent="0.2">
      <c r="A37" s="37" t="s">
        <v>85</v>
      </c>
      <c r="B37" s="35">
        <f>H12*1.18</f>
        <v>384828.20799999993</v>
      </c>
      <c r="C37" s="71">
        <f t="shared" ref="C37:C39" si="0">J27*1.18*1.1</f>
        <v>416000.29041999998</v>
      </c>
    </row>
    <row r="38" spans="1:10" ht="12.75" outlineLevel="1" x14ac:dyDescent="0.2">
      <c r="A38" s="37" t="s">
        <v>4</v>
      </c>
      <c r="B38" s="35">
        <f>H18*1.18</f>
        <v>462422.50639999995</v>
      </c>
      <c r="C38" s="71">
        <f t="shared" si="0"/>
        <v>400139.28856000002</v>
      </c>
    </row>
    <row r="39" spans="1:10" ht="12.75" outlineLevel="1" x14ac:dyDescent="0.2">
      <c r="A39" s="37" t="s">
        <v>29</v>
      </c>
      <c r="B39" s="35">
        <f>H21*1.18</f>
        <v>531851.45259999996</v>
      </c>
      <c r="C39" s="71">
        <f t="shared" si="0"/>
        <v>250662.08881999998</v>
      </c>
    </row>
    <row r="40" spans="1:10" ht="12.75" outlineLevel="1" x14ac:dyDescent="0.2">
      <c r="A40" s="39" t="s">
        <v>108</v>
      </c>
      <c r="B40" s="40">
        <f>H15*1.18</f>
        <v>324750.72639999999</v>
      </c>
      <c r="C40" s="75">
        <f>J31*1.18*1.1</f>
        <v>171347.25366000002</v>
      </c>
    </row>
    <row r="41" spans="1:10" ht="12.75" outlineLevel="1" x14ac:dyDescent="0.2"/>
    <row r="42" spans="1:10" ht="12.75" outlineLevel="1" x14ac:dyDescent="0.2"/>
    <row r="43" spans="1:10" ht="18" x14ac:dyDescent="0.2">
      <c r="A43" s="41" t="s">
        <v>55</v>
      </c>
      <c r="B43" s="77">
        <v>30</v>
      </c>
      <c r="C43" s="21"/>
    </row>
    <row r="44" spans="1:10" ht="12.75" x14ac:dyDescent="0.2">
      <c r="A44" s="3" t="s">
        <v>56</v>
      </c>
      <c r="B44" s="6">
        <v>30</v>
      </c>
      <c r="D44" s="4"/>
    </row>
    <row r="45" spans="1:10" ht="12.75" x14ac:dyDescent="0.2">
      <c r="A45" s="21"/>
      <c r="D45" s="4"/>
    </row>
    <row r="46" spans="1:10" ht="38.25" x14ac:dyDescent="0.2">
      <c r="A46" s="105" t="s">
        <v>0</v>
      </c>
      <c r="B46" s="33" t="s">
        <v>58</v>
      </c>
      <c r="C46" s="106" t="s">
        <v>60</v>
      </c>
      <c r="D46" s="33" t="s">
        <v>59</v>
      </c>
      <c r="E46" s="107" t="s">
        <v>61</v>
      </c>
      <c r="F46" s="107" t="s">
        <v>79</v>
      </c>
      <c r="G46" s="108" t="s">
        <v>140</v>
      </c>
      <c r="H46" s="108" t="s">
        <v>63</v>
      </c>
      <c r="I46" s="108" t="s">
        <v>141</v>
      </c>
      <c r="J46" s="109" t="s">
        <v>101</v>
      </c>
    </row>
    <row r="47" spans="1:10" ht="12.75" x14ac:dyDescent="0.2">
      <c r="A47" s="37" t="s">
        <v>1</v>
      </c>
      <c r="B47" s="35">
        <f t="shared" ref="B47:B51" si="1">B36</f>
        <v>1172533.1369999999</v>
      </c>
      <c r="C47" s="45">
        <f t="shared" ref="C47:C51" si="2">B47/D47</f>
        <v>0.99565719174317813</v>
      </c>
      <c r="D47" s="35">
        <f t="shared" ref="D47:D50" si="3">G47/$B$44*$B$43</f>
        <v>1177647.4340000001</v>
      </c>
      <c r="E47" s="46">
        <f t="shared" ref="E47:E51" si="4">B47-D47</f>
        <v>-5114.2970000002533</v>
      </c>
      <c r="F47" s="70">
        <f t="shared" ref="F47:F51" si="5">100%-C47</f>
        <v>4.3428082568218729E-3</v>
      </c>
      <c r="G47" s="46">
        <f>1128080+Август2018!H43</f>
        <v>1177647.4340000001</v>
      </c>
      <c r="H47" s="46">
        <f t="shared" ref="H47:H51" si="6">G47-B47</f>
        <v>5114.2970000002533</v>
      </c>
      <c r="I47" t="e">
        <f t="shared" ref="I47:I51" si="7">H47/($B$44-$B$43)/1.18</f>
        <v>#DIV/0!</v>
      </c>
      <c r="J47" s="71">
        <f t="shared" ref="J47:J51" si="8">B47/$B$43/1.18</f>
        <v>33122.404999999999</v>
      </c>
    </row>
    <row r="48" spans="1:10" ht="12.75" x14ac:dyDescent="0.2">
      <c r="A48" s="37" t="s">
        <v>85</v>
      </c>
      <c r="B48" s="35">
        <f t="shared" si="1"/>
        <v>384828.20799999993</v>
      </c>
      <c r="C48" s="45">
        <f t="shared" si="2"/>
        <v>0.99669797600278331</v>
      </c>
      <c r="D48" s="35">
        <f t="shared" si="3"/>
        <v>386103.1298</v>
      </c>
      <c r="E48" s="46">
        <f t="shared" si="4"/>
        <v>-1274.9218000000692</v>
      </c>
      <c r="F48" s="70">
        <f t="shared" si="5"/>
        <v>3.3020239972166854E-3</v>
      </c>
      <c r="G48" s="46">
        <f>338079.99+Август2018!H44</f>
        <v>386103.1298</v>
      </c>
      <c r="H48" s="46">
        <f t="shared" si="6"/>
        <v>1274.9218000000692</v>
      </c>
      <c r="I48" t="e">
        <f t="shared" si="7"/>
        <v>#DIV/0!</v>
      </c>
      <c r="J48" s="71">
        <f t="shared" si="8"/>
        <v>10870.853333333333</v>
      </c>
    </row>
    <row r="49" spans="1:10" ht="12.75" x14ac:dyDescent="0.2">
      <c r="A49" s="37" t="s">
        <v>4</v>
      </c>
      <c r="B49" s="35">
        <f t="shared" si="1"/>
        <v>462422.50639999995</v>
      </c>
      <c r="C49" s="45">
        <f t="shared" si="2"/>
        <v>0.98640874051411764</v>
      </c>
      <c r="D49" s="35">
        <f t="shared" si="3"/>
        <v>468794.0074</v>
      </c>
      <c r="E49" s="46">
        <f t="shared" si="4"/>
        <v>-6371.5010000000475</v>
      </c>
      <c r="F49" s="70">
        <f t="shared" si="5"/>
        <v>1.3591259485882357E-2</v>
      </c>
      <c r="G49" s="46">
        <f>450900+Август2018!H45</f>
        <v>468794.0074</v>
      </c>
      <c r="H49" s="46">
        <f t="shared" si="6"/>
        <v>6371.5010000000475</v>
      </c>
      <c r="I49" t="e">
        <f t="shared" si="7"/>
        <v>#DIV/0!</v>
      </c>
      <c r="J49" s="71">
        <f t="shared" si="8"/>
        <v>13062.782666666666</v>
      </c>
    </row>
    <row r="50" spans="1:10" ht="12.75" x14ac:dyDescent="0.2">
      <c r="A50" s="37" t="s">
        <v>29</v>
      </c>
      <c r="B50" s="35">
        <f t="shared" si="1"/>
        <v>531851.45259999996</v>
      </c>
      <c r="C50" s="45">
        <f t="shared" si="2"/>
        <v>0.97277963088676844</v>
      </c>
      <c r="D50" s="35">
        <f t="shared" si="3"/>
        <v>546733.74700000009</v>
      </c>
      <c r="E50" s="46">
        <f t="shared" si="4"/>
        <v>-14882.29440000013</v>
      </c>
      <c r="F50" s="70">
        <f t="shared" si="5"/>
        <v>2.7220369113231557E-2</v>
      </c>
      <c r="G50" s="46">
        <f>548800+Август2018!H46</f>
        <v>546733.74700000009</v>
      </c>
      <c r="H50" s="46">
        <f t="shared" si="6"/>
        <v>14882.29440000013</v>
      </c>
      <c r="I50" t="e">
        <f t="shared" si="7"/>
        <v>#DIV/0!</v>
      </c>
      <c r="J50" s="71">
        <f t="shared" si="8"/>
        <v>15024.052333333333</v>
      </c>
    </row>
    <row r="51" spans="1:10" ht="12.75" x14ac:dyDescent="0.2">
      <c r="A51" s="39" t="s">
        <v>107</v>
      </c>
      <c r="B51" s="40">
        <f t="shared" si="1"/>
        <v>324750.72639999999</v>
      </c>
      <c r="C51" s="76">
        <f t="shared" si="2"/>
        <v>0.99923300430769224</v>
      </c>
      <c r="D51" s="40">
        <f>G51/B44*B43</f>
        <v>325000</v>
      </c>
      <c r="E51" s="80">
        <f t="shared" si="4"/>
        <v>-249.27360000001499</v>
      </c>
      <c r="F51" s="81">
        <f t="shared" si="5"/>
        <v>7.6699569230775921E-4</v>
      </c>
      <c r="G51" s="80">
        <f>355000-30000</f>
        <v>325000</v>
      </c>
      <c r="H51" s="80">
        <f t="shared" si="6"/>
        <v>249.27360000001499</v>
      </c>
      <c r="I51" s="86" t="e">
        <f t="shared" si="7"/>
        <v>#DIV/0!</v>
      </c>
      <c r="J51" s="75">
        <f t="shared" si="8"/>
        <v>9173.7493333333332</v>
      </c>
    </row>
    <row r="52" spans="1:10" ht="12.75" x14ac:dyDescent="0.2">
      <c r="A52" s="21"/>
      <c r="D52" s="4"/>
    </row>
    <row r="53" spans="1:10" ht="12.75" x14ac:dyDescent="0.2">
      <c r="A53" s="21"/>
      <c r="D53" s="4"/>
      <c r="G53" s="87"/>
    </row>
    <row r="54" spans="1:10" ht="38.25" x14ac:dyDescent="0.2">
      <c r="A54" s="110" t="s">
        <v>30</v>
      </c>
      <c r="B54" s="33" t="s">
        <v>58</v>
      </c>
      <c r="C54" s="106" t="s">
        <v>60</v>
      </c>
      <c r="D54" s="33" t="s">
        <v>59</v>
      </c>
      <c r="E54" s="107" t="s">
        <v>61</v>
      </c>
      <c r="F54" s="107" t="s">
        <v>79</v>
      </c>
      <c r="G54" s="108" t="s">
        <v>140</v>
      </c>
      <c r="H54" s="108" t="s">
        <v>63</v>
      </c>
      <c r="I54" s="108" t="s">
        <v>141</v>
      </c>
      <c r="J54" s="109" t="s">
        <v>101</v>
      </c>
    </row>
    <row r="55" spans="1:10" ht="12.75" x14ac:dyDescent="0.2">
      <c r="A55" s="37" t="s">
        <v>1</v>
      </c>
      <c r="B55" s="35">
        <f t="shared" ref="B55:B59" si="9">C36</f>
        <v>536186.7962000001</v>
      </c>
      <c r="C55" s="45">
        <f t="shared" ref="C55:C59" si="10">B55/D55</f>
        <v>0.97488508400000018</v>
      </c>
      <c r="D55" s="35">
        <f t="shared" ref="D55:D59" si="11">G55/$B$44*$B$43</f>
        <v>550000</v>
      </c>
      <c r="E55" s="46">
        <f t="shared" ref="E55:E59" si="12">B55-D55</f>
        <v>-13813.203799999901</v>
      </c>
      <c r="F55" s="70">
        <f t="shared" ref="F55:F59" si="13">100%-C55</f>
        <v>2.5114915999999821E-2</v>
      </c>
      <c r="G55" s="46">
        <v>550000</v>
      </c>
      <c r="H55" s="46">
        <f t="shared" ref="H55:H59" si="14">G55-B55</f>
        <v>13813.203799999901</v>
      </c>
      <c r="I55" t="e">
        <f t="shared" ref="I55:I59" si="15">H55/($B$44-$B$43)/1.18/1.1</f>
        <v>#DIV/0!</v>
      </c>
      <c r="J55" s="71">
        <f t="shared" ref="J55:J59" si="16">B55/$B$43/1.1/1.18</f>
        <v>13769.563333333337</v>
      </c>
    </row>
    <row r="56" spans="1:10" ht="12.75" x14ac:dyDescent="0.2">
      <c r="A56" s="37" t="s">
        <v>85</v>
      </c>
      <c r="B56" s="35">
        <f t="shared" si="9"/>
        <v>416000.29041999998</v>
      </c>
      <c r="C56" s="45">
        <f t="shared" si="10"/>
        <v>1.0024103142069802</v>
      </c>
      <c r="D56" s="35">
        <f t="shared" si="11"/>
        <v>415000.01</v>
      </c>
      <c r="E56" s="46">
        <f t="shared" si="12"/>
        <v>1000.2804199999664</v>
      </c>
      <c r="F56" s="70">
        <f t="shared" si="13"/>
        <v>-2.4103142069802352E-3</v>
      </c>
      <c r="G56" s="46">
        <v>415000.01</v>
      </c>
      <c r="H56" s="46">
        <f t="shared" si="14"/>
        <v>-1000.2804199999664</v>
      </c>
      <c r="I56" t="e">
        <f t="shared" si="15"/>
        <v>#DIV/0!</v>
      </c>
      <c r="J56" s="71">
        <f t="shared" si="16"/>
        <v>10683.109666666665</v>
      </c>
    </row>
    <row r="57" spans="1:10" ht="12.75" x14ac:dyDescent="0.2">
      <c r="A57" s="37" t="s">
        <v>4</v>
      </c>
      <c r="B57" s="35">
        <f t="shared" si="9"/>
        <v>400139.28856000002</v>
      </c>
      <c r="C57" s="45">
        <f t="shared" si="10"/>
        <v>1.000348196391295</v>
      </c>
      <c r="D57" s="35">
        <f t="shared" si="11"/>
        <v>400000.01</v>
      </c>
      <c r="E57" s="46">
        <f t="shared" si="12"/>
        <v>139.27856000000611</v>
      </c>
      <c r="F57" s="70">
        <f t="shared" si="13"/>
        <v>-3.4819639129501923E-4</v>
      </c>
      <c r="G57" s="46">
        <v>400000.01</v>
      </c>
      <c r="H57" s="46">
        <f t="shared" si="14"/>
        <v>-139.27856000000611</v>
      </c>
      <c r="I57" t="e">
        <f t="shared" si="15"/>
        <v>#DIV/0!</v>
      </c>
      <c r="J57" s="71">
        <f t="shared" si="16"/>
        <v>10275.790666666668</v>
      </c>
    </row>
    <row r="58" spans="1:10" ht="12.75" x14ac:dyDescent="0.2">
      <c r="A58" s="37" t="s">
        <v>29</v>
      </c>
      <c r="B58" s="35">
        <f t="shared" si="9"/>
        <v>250662.08881999998</v>
      </c>
      <c r="C58" s="45">
        <f t="shared" si="10"/>
        <v>1.0598819823255814</v>
      </c>
      <c r="D58" s="35">
        <f t="shared" si="11"/>
        <v>236500</v>
      </c>
      <c r="E58" s="46">
        <f t="shared" si="12"/>
        <v>14162.088819999975</v>
      </c>
      <c r="F58" s="70">
        <f t="shared" si="13"/>
        <v>-5.9881982325581395E-2</v>
      </c>
      <c r="G58" s="46">
        <f>316500-80000</f>
        <v>236500</v>
      </c>
      <c r="H58" s="46">
        <f t="shared" si="14"/>
        <v>-14162.088819999975</v>
      </c>
      <c r="I58" t="e">
        <f t="shared" si="15"/>
        <v>#DIV/0!</v>
      </c>
      <c r="J58" s="71">
        <f t="shared" si="16"/>
        <v>6437.1363333333329</v>
      </c>
    </row>
    <row r="59" spans="1:10" ht="12.75" x14ac:dyDescent="0.2">
      <c r="A59" s="39" t="s">
        <v>108</v>
      </c>
      <c r="B59" s="40">
        <f t="shared" si="9"/>
        <v>171347.25366000002</v>
      </c>
      <c r="C59" s="76">
        <f t="shared" si="10"/>
        <v>0.95192918700000007</v>
      </c>
      <c r="D59" s="40">
        <f t="shared" si="11"/>
        <v>180000</v>
      </c>
      <c r="E59" s="80">
        <f t="shared" si="12"/>
        <v>-8652.7463399999833</v>
      </c>
      <c r="F59" s="81">
        <f t="shared" si="13"/>
        <v>4.8070812999999935E-2</v>
      </c>
      <c r="G59" s="80">
        <f>150000+30000</f>
        <v>180000</v>
      </c>
      <c r="H59" s="80">
        <f t="shared" si="14"/>
        <v>8652.7463399999833</v>
      </c>
      <c r="I59" s="86" t="e">
        <f t="shared" si="15"/>
        <v>#DIV/0!</v>
      </c>
      <c r="J59" s="75">
        <f t="shared" si="16"/>
        <v>4400.2889999999998</v>
      </c>
    </row>
    <row r="63" spans="1:10" ht="12.75" x14ac:dyDescent="0.2">
      <c r="A63" s="3" t="s">
        <v>143</v>
      </c>
      <c r="B63" s="3" t="s">
        <v>14</v>
      </c>
      <c r="C63" s="3" t="s">
        <v>144</v>
      </c>
      <c r="D63" s="3" t="s">
        <v>145</v>
      </c>
      <c r="E63" s="3" t="s">
        <v>146</v>
      </c>
      <c r="F63" s="3" t="s">
        <v>147</v>
      </c>
      <c r="G63" s="3" t="s">
        <v>148</v>
      </c>
      <c r="H63" s="3" t="s">
        <v>149</v>
      </c>
      <c r="I63" s="3" t="s">
        <v>150</v>
      </c>
      <c r="J63" s="3" t="s">
        <v>151</v>
      </c>
    </row>
    <row r="64" spans="1:10" ht="12.75" x14ac:dyDescent="0.2">
      <c r="A64" s="3" t="s">
        <v>152</v>
      </c>
      <c r="B64" s="3">
        <v>223</v>
      </c>
      <c r="C64" s="3" t="s">
        <v>153</v>
      </c>
      <c r="D64" s="3" t="s">
        <v>154</v>
      </c>
      <c r="E64" s="3" t="s">
        <v>155</v>
      </c>
      <c r="F64" s="3">
        <v>3</v>
      </c>
      <c r="G64" s="3">
        <v>1</v>
      </c>
      <c r="H64" s="3">
        <v>4</v>
      </c>
      <c r="I64" s="70">
        <v>1.7899999999999999E-2</v>
      </c>
      <c r="J64" s="3" t="s">
        <v>156</v>
      </c>
    </row>
    <row r="65" spans="1:14" ht="12.75" x14ac:dyDescent="0.2">
      <c r="A65" s="3" t="s">
        <v>157</v>
      </c>
      <c r="B65" s="3">
        <v>173</v>
      </c>
      <c r="C65" s="3" t="s">
        <v>158</v>
      </c>
      <c r="D65" s="3" t="s">
        <v>159</v>
      </c>
      <c r="E65" s="3" t="s">
        <v>160</v>
      </c>
      <c r="F65" s="3">
        <v>3</v>
      </c>
      <c r="G65" s="3">
        <v>2</v>
      </c>
      <c r="H65" s="3">
        <v>5</v>
      </c>
      <c r="I65" s="70">
        <v>2.8899999999999999E-2</v>
      </c>
      <c r="J65" s="3" t="s">
        <v>161</v>
      </c>
    </row>
    <row r="66" spans="1:14" ht="12.75" x14ac:dyDescent="0.2">
      <c r="G66" s="18"/>
      <c r="J66" s="22"/>
      <c r="N66" s="22"/>
    </row>
    <row r="67" spans="1:14" ht="12.75" x14ac:dyDescent="0.2">
      <c r="F67" s="18"/>
      <c r="G67" s="18"/>
      <c r="J67" s="22"/>
      <c r="N67" s="22"/>
    </row>
    <row r="68" spans="1:14" ht="12.75" x14ac:dyDescent="0.2">
      <c r="F68" s="18"/>
      <c r="G68" s="18"/>
      <c r="J68" s="22"/>
      <c r="N68" s="22"/>
    </row>
  </sheetData>
  <conditionalFormatting sqref="A6 A9 A12 A15 A27:A30">
    <cfRule type="cellIs" dxfId="19" priority="1" operator="equal">
      <formula>B6</formula>
    </cfRule>
  </conditionalFormatting>
  <conditionalFormatting sqref="B6 B9 B12 B15 B27:B30">
    <cfRule type="cellIs" dxfId="18" priority="2" operator="equal">
      <formula>A6</formula>
    </cfRule>
  </conditionalFormatting>
  <conditionalFormatting sqref="A6 A27:A30">
    <cfRule type="expression" dxfId="17" priority="3">
      <formula>ISERROR(SEARCH((B6),(A6)))</formula>
    </cfRule>
  </conditionalFormatting>
  <conditionalFormatting sqref="B6 B9 B12 B15 B27:B30">
    <cfRule type="cellIs" dxfId="16" priority="4" operator="notEqual">
      <formula>A6</formula>
    </cfRule>
  </conditionalFormatting>
  <conditionalFormatting sqref="A18">
    <cfRule type="cellIs" dxfId="15" priority="5" operator="equal">
      <formula>B18</formula>
    </cfRule>
  </conditionalFormatting>
  <conditionalFormatting sqref="B18">
    <cfRule type="cellIs" dxfId="14" priority="6" operator="equal">
      <formula>A18</formula>
    </cfRule>
  </conditionalFormatting>
  <conditionalFormatting sqref="A21">
    <cfRule type="cellIs" dxfId="13" priority="7" operator="equal">
      <formula>B21</formula>
    </cfRule>
  </conditionalFormatting>
  <conditionalFormatting sqref="B21">
    <cfRule type="cellIs" dxfId="12" priority="8" operator="equal">
      <formula>A21</formula>
    </cfRule>
  </conditionalFormatting>
  <conditionalFormatting sqref="A31">
    <cfRule type="cellIs" dxfId="11" priority="9" operator="equal">
      <formula>B31</formula>
    </cfRule>
  </conditionalFormatting>
  <conditionalFormatting sqref="B31">
    <cfRule type="cellIs" dxfId="10" priority="10" operator="equal">
      <formula>A31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Q53"/>
  <sheetViews>
    <sheetView workbookViewId="0">
      <pane xSplit="1" topLeftCell="B1" activePane="topRight" state="frozen"/>
      <selection pane="topRight" activeCell="C2" sqref="C2"/>
    </sheetView>
  </sheetViews>
  <sheetFormatPr defaultColWidth="14.42578125" defaultRowHeight="15.75" customHeight="1" outlineLevelRow="1" x14ac:dyDescent="0.2"/>
  <cols>
    <col min="1" max="1" width="41.42578125" customWidth="1"/>
    <col min="2" max="2" width="41.7109375" customWidth="1"/>
    <col min="3" max="3" width="42.140625" customWidth="1"/>
    <col min="4" max="4" width="25.5703125" customWidth="1"/>
    <col min="5" max="5" width="25" customWidth="1"/>
    <col min="14" max="14" width="18" customWidth="1"/>
  </cols>
  <sheetData>
    <row r="1" spans="1:17" ht="18" x14ac:dyDescent="0.25">
      <c r="A1" s="2" t="s">
        <v>0</v>
      </c>
      <c r="B1" s="3" t="s">
        <v>162</v>
      </c>
      <c r="C1" s="4"/>
    </row>
    <row r="2" spans="1:17" ht="15.75" customHeight="1" x14ac:dyDescent="0.2">
      <c r="A2" s="5"/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  <c r="L2" s="3" t="s">
        <v>20</v>
      </c>
      <c r="M2" s="3" t="s">
        <v>21</v>
      </c>
      <c r="N2" s="3" t="s">
        <v>22</v>
      </c>
      <c r="O2" s="3" t="s">
        <v>23</v>
      </c>
      <c r="P2" s="3" t="s">
        <v>24</v>
      </c>
      <c r="Q2" s="3" t="s">
        <v>25</v>
      </c>
    </row>
    <row r="3" spans="1:17" ht="15.75" customHeight="1" x14ac:dyDescent="0.2">
      <c r="A3" s="7"/>
      <c r="C3" s="3" t="s">
        <v>26</v>
      </c>
      <c r="D3" s="3" t="s">
        <v>82</v>
      </c>
      <c r="E3" s="3">
        <v>19132504</v>
      </c>
      <c r="F3" s="3">
        <v>31351</v>
      </c>
      <c r="G3" s="3">
        <v>0.16</v>
      </c>
      <c r="H3" s="3">
        <v>2208967.5</v>
      </c>
      <c r="I3" s="3">
        <v>70.459999999999994</v>
      </c>
      <c r="J3" s="3" t="s">
        <v>27</v>
      </c>
      <c r="K3" s="3" t="s">
        <v>27</v>
      </c>
      <c r="L3" s="3">
        <v>3.39</v>
      </c>
      <c r="M3" s="3">
        <v>15640</v>
      </c>
      <c r="N3" s="3">
        <v>49.89</v>
      </c>
      <c r="O3" s="3">
        <v>141.24</v>
      </c>
      <c r="P3" s="3" t="s">
        <v>27</v>
      </c>
      <c r="Q3" s="3">
        <v>0</v>
      </c>
    </row>
    <row r="4" spans="1:17" ht="15.75" customHeight="1" x14ac:dyDescent="0.2">
      <c r="A4" s="7"/>
      <c r="D4" s="3" t="s">
        <v>28</v>
      </c>
      <c r="E4" s="3">
        <v>19132504</v>
      </c>
      <c r="F4" s="3">
        <v>31351</v>
      </c>
      <c r="G4" s="3">
        <v>0.16</v>
      </c>
      <c r="H4" s="3">
        <v>2208967.5</v>
      </c>
      <c r="I4" s="3">
        <v>70.459999999999994</v>
      </c>
      <c r="J4" s="3" t="s">
        <v>27</v>
      </c>
      <c r="K4" s="3" t="s">
        <v>27</v>
      </c>
      <c r="L4" s="3">
        <v>3.39</v>
      </c>
      <c r="M4" s="3">
        <v>15640</v>
      </c>
      <c r="N4" s="3">
        <v>49.89</v>
      </c>
      <c r="O4" s="3">
        <v>141.24</v>
      </c>
      <c r="P4" s="3" t="s">
        <v>27</v>
      </c>
      <c r="Q4" s="3">
        <v>0</v>
      </c>
    </row>
    <row r="5" spans="1:17" ht="15.75" customHeight="1" x14ac:dyDescent="0.2">
      <c r="A5" s="7"/>
    </row>
    <row r="6" spans="1:17" ht="15.75" customHeight="1" x14ac:dyDescent="0.2">
      <c r="A6" s="5" t="s">
        <v>1</v>
      </c>
      <c r="B6" s="3" t="s">
        <v>1</v>
      </c>
      <c r="C6" s="3" t="s">
        <v>75</v>
      </c>
      <c r="D6" s="3" t="s">
        <v>82</v>
      </c>
      <c r="E6" s="3">
        <v>15668845</v>
      </c>
      <c r="F6" s="3">
        <v>16347</v>
      </c>
      <c r="G6" s="3">
        <v>0.1</v>
      </c>
      <c r="H6" s="3">
        <v>957993.7</v>
      </c>
      <c r="I6" s="3">
        <v>58.6</v>
      </c>
      <c r="J6" s="3" t="s">
        <v>27</v>
      </c>
      <c r="K6" s="3" t="s">
        <v>27</v>
      </c>
      <c r="L6" s="3">
        <v>1.78</v>
      </c>
      <c r="M6" s="3">
        <v>7073</v>
      </c>
      <c r="N6" s="3">
        <v>43.27</v>
      </c>
      <c r="O6" s="3">
        <v>135.44</v>
      </c>
      <c r="P6" s="3" t="s">
        <v>27</v>
      </c>
      <c r="Q6" s="3">
        <v>0</v>
      </c>
    </row>
    <row r="7" spans="1:17" ht="15.75" customHeight="1" x14ac:dyDescent="0.2">
      <c r="A7" s="7"/>
      <c r="D7" s="3" t="s">
        <v>28</v>
      </c>
      <c r="E7" s="3">
        <v>15668845</v>
      </c>
      <c r="F7" s="3">
        <v>16347</v>
      </c>
      <c r="G7" s="3">
        <v>0.1</v>
      </c>
      <c r="H7" s="3">
        <v>957993.7</v>
      </c>
      <c r="I7" s="3">
        <v>58.6</v>
      </c>
      <c r="J7" s="3" t="s">
        <v>27</v>
      </c>
      <c r="K7" s="3" t="s">
        <v>27</v>
      </c>
      <c r="L7" s="3">
        <v>1.78</v>
      </c>
      <c r="M7" s="3">
        <v>7073</v>
      </c>
      <c r="N7" s="3">
        <v>43.27</v>
      </c>
      <c r="O7" s="3">
        <v>135.44</v>
      </c>
      <c r="P7" s="3" t="s">
        <v>27</v>
      </c>
      <c r="Q7" s="3">
        <v>0</v>
      </c>
    </row>
    <row r="8" spans="1:17" ht="15.75" customHeight="1" x14ac:dyDescent="0.2">
      <c r="A8" s="7"/>
    </row>
    <row r="9" spans="1:17" ht="15.75" customHeight="1" x14ac:dyDescent="0.2">
      <c r="A9" s="5" t="s">
        <v>85</v>
      </c>
      <c r="B9" s="3" t="s">
        <v>85</v>
      </c>
      <c r="C9" s="3" t="s">
        <v>86</v>
      </c>
      <c r="D9" s="3" t="s">
        <v>82</v>
      </c>
      <c r="E9" s="3">
        <v>581284</v>
      </c>
      <c r="F9" s="3">
        <v>3744</v>
      </c>
      <c r="G9" s="3">
        <v>0.64</v>
      </c>
      <c r="H9" s="3">
        <v>289810.89</v>
      </c>
      <c r="I9" s="3">
        <v>77.41</v>
      </c>
      <c r="J9" s="3" t="s">
        <v>27</v>
      </c>
      <c r="K9" s="3" t="s">
        <v>27</v>
      </c>
      <c r="L9" s="3">
        <v>5.31</v>
      </c>
      <c r="M9" s="3">
        <v>2364</v>
      </c>
      <c r="N9" s="3">
        <v>63.14</v>
      </c>
      <c r="O9" s="3">
        <v>122.59</v>
      </c>
      <c r="P9" s="3" t="s">
        <v>27</v>
      </c>
      <c r="Q9" s="3">
        <v>0</v>
      </c>
    </row>
    <row r="10" spans="1:17" ht="15.75" customHeight="1" x14ac:dyDescent="0.2">
      <c r="A10" s="7"/>
      <c r="D10" s="3" t="s">
        <v>28</v>
      </c>
      <c r="E10" s="3">
        <v>581284</v>
      </c>
      <c r="F10" s="3">
        <v>3744</v>
      </c>
      <c r="G10" s="3">
        <v>0.64</v>
      </c>
      <c r="H10" s="3">
        <v>289810.89</v>
      </c>
      <c r="I10" s="3">
        <v>77.41</v>
      </c>
      <c r="J10" s="3" t="s">
        <v>27</v>
      </c>
      <c r="K10" s="3" t="s">
        <v>27</v>
      </c>
      <c r="L10" s="3">
        <v>5.31</v>
      </c>
      <c r="M10" s="3">
        <v>2364</v>
      </c>
      <c r="N10" s="3">
        <v>63.14</v>
      </c>
      <c r="O10" s="3">
        <v>122.59</v>
      </c>
      <c r="P10" s="3" t="s">
        <v>27</v>
      </c>
      <c r="Q10" s="3">
        <v>0</v>
      </c>
    </row>
    <row r="11" spans="1:17" ht="15.75" customHeight="1" x14ac:dyDescent="0.2">
      <c r="A11" s="7"/>
    </row>
    <row r="12" spans="1:17" ht="15.75" customHeight="1" x14ac:dyDescent="0.2">
      <c r="A12" s="5" t="s">
        <v>4</v>
      </c>
      <c r="B12" s="3" t="s">
        <v>4</v>
      </c>
      <c r="C12" s="3" t="s">
        <v>5</v>
      </c>
      <c r="D12" s="3" t="s">
        <v>82</v>
      </c>
      <c r="E12" s="3">
        <v>1694052</v>
      </c>
      <c r="F12" s="3">
        <v>6649</v>
      </c>
      <c r="G12" s="3">
        <v>0.39</v>
      </c>
      <c r="H12" s="3">
        <v>505174.57</v>
      </c>
      <c r="I12" s="3">
        <v>75.98</v>
      </c>
      <c r="J12" s="3" t="s">
        <v>27</v>
      </c>
      <c r="K12" s="3" t="s">
        <v>27</v>
      </c>
      <c r="L12" s="3">
        <v>5.79</v>
      </c>
      <c r="M12" s="3">
        <v>4507</v>
      </c>
      <c r="N12" s="3">
        <v>67.78</v>
      </c>
      <c r="O12" s="3">
        <v>112.09</v>
      </c>
      <c r="P12" s="3" t="s">
        <v>27</v>
      </c>
      <c r="Q12" s="3">
        <v>0</v>
      </c>
    </row>
    <row r="13" spans="1:17" ht="15.75" customHeight="1" x14ac:dyDescent="0.2">
      <c r="A13" s="7"/>
      <c r="D13" s="3" t="s">
        <v>28</v>
      </c>
      <c r="E13" s="3">
        <v>1694052</v>
      </c>
      <c r="F13" s="3">
        <v>6649</v>
      </c>
      <c r="G13" s="3">
        <v>0.39</v>
      </c>
      <c r="H13" s="3">
        <v>505174.57</v>
      </c>
      <c r="I13" s="3">
        <v>75.98</v>
      </c>
      <c r="J13" s="3" t="s">
        <v>27</v>
      </c>
      <c r="K13" s="3" t="s">
        <v>27</v>
      </c>
      <c r="L13" s="3">
        <v>5.79</v>
      </c>
      <c r="M13" s="3">
        <v>4507</v>
      </c>
      <c r="N13" s="3">
        <v>67.78</v>
      </c>
      <c r="O13" s="3">
        <v>112.09</v>
      </c>
      <c r="P13" s="3" t="s">
        <v>27</v>
      </c>
      <c r="Q13" s="3">
        <v>0</v>
      </c>
    </row>
    <row r="14" spans="1:17" ht="15.75" customHeight="1" x14ac:dyDescent="0.2">
      <c r="A14" s="7"/>
    </row>
    <row r="15" spans="1:17" ht="15.75" customHeight="1" x14ac:dyDescent="0.2">
      <c r="A15" s="5" t="s">
        <v>29</v>
      </c>
      <c r="B15" s="3" t="s">
        <v>29</v>
      </c>
      <c r="C15" s="3" t="s">
        <v>76</v>
      </c>
      <c r="D15" s="3" t="s">
        <v>82</v>
      </c>
      <c r="E15" s="3">
        <v>1188323</v>
      </c>
      <c r="F15" s="3">
        <v>4611</v>
      </c>
      <c r="G15" s="3">
        <v>0.39</v>
      </c>
      <c r="H15" s="3">
        <v>455988.35</v>
      </c>
      <c r="I15" s="3">
        <v>98.89</v>
      </c>
      <c r="J15" s="3" t="s">
        <v>27</v>
      </c>
      <c r="K15" s="3" t="s">
        <v>27</v>
      </c>
      <c r="L15" s="3">
        <v>3.65</v>
      </c>
      <c r="M15" s="3">
        <v>1696</v>
      </c>
      <c r="N15" s="3">
        <v>36.78</v>
      </c>
      <c r="O15" s="3">
        <v>268.86</v>
      </c>
      <c r="P15" s="3" t="s">
        <v>27</v>
      </c>
      <c r="Q15" s="3">
        <v>0</v>
      </c>
    </row>
    <row r="16" spans="1:17" ht="15.75" customHeight="1" x14ac:dyDescent="0.2">
      <c r="D16" s="3" t="s">
        <v>28</v>
      </c>
      <c r="E16" s="3">
        <v>1188323</v>
      </c>
      <c r="F16" s="3">
        <v>4611</v>
      </c>
      <c r="G16" s="3">
        <v>0.39</v>
      </c>
      <c r="H16" s="3">
        <v>455988.35</v>
      </c>
      <c r="I16" s="3">
        <v>98.89</v>
      </c>
      <c r="J16" s="3" t="s">
        <v>27</v>
      </c>
      <c r="K16" s="3" t="s">
        <v>27</v>
      </c>
      <c r="L16" s="3">
        <v>3.65</v>
      </c>
      <c r="M16" s="3">
        <v>1696</v>
      </c>
      <c r="N16" s="3">
        <v>36.78</v>
      </c>
      <c r="O16" s="3">
        <v>268.86</v>
      </c>
      <c r="P16" s="3" t="s">
        <v>27</v>
      </c>
      <c r="Q16" s="3">
        <v>0</v>
      </c>
    </row>
    <row r="22" spans="1:14" ht="18" x14ac:dyDescent="0.25">
      <c r="A22" s="10" t="s">
        <v>30</v>
      </c>
      <c r="B22" s="11" t="s">
        <v>31</v>
      </c>
      <c r="C22" s="11"/>
      <c r="D22" s="12"/>
      <c r="E22" s="11"/>
      <c r="F22" s="13"/>
      <c r="G22" s="11"/>
      <c r="H22" s="11"/>
      <c r="I22" s="11"/>
      <c r="J22" s="11"/>
      <c r="K22" s="11"/>
      <c r="L22" s="11"/>
      <c r="M22" s="11"/>
      <c r="N22" s="104"/>
    </row>
    <row r="23" spans="1:14" ht="15.75" customHeight="1" x14ac:dyDescent="0.2">
      <c r="A23" s="15"/>
      <c r="B23" s="3" t="s">
        <v>163</v>
      </c>
      <c r="C23" s="3"/>
      <c r="D23" s="17"/>
      <c r="E23" s="3"/>
      <c r="F23" s="18"/>
      <c r="G23" s="3"/>
      <c r="H23" s="3"/>
      <c r="I23" s="3"/>
      <c r="J23" s="3"/>
      <c r="K23" s="3"/>
      <c r="L23" s="3"/>
      <c r="M23" s="3"/>
      <c r="N23" s="20"/>
    </row>
    <row r="24" spans="1:14" ht="15.75" customHeight="1" x14ac:dyDescent="0.2">
      <c r="A24" s="15"/>
      <c r="B24" s="3" t="s">
        <v>32</v>
      </c>
      <c r="C24" s="3" t="s">
        <v>33</v>
      </c>
      <c r="D24" s="3" t="s">
        <v>34</v>
      </c>
      <c r="E24" s="3" t="s">
        <v>36</v>
      </c>
      <c r="F24" s="18" t="s">
        <v>13</v>
      </c>
      <c r="G24" s="3" t="s">
        <v>37</v>
      </c>
      <c r="H24" s="3" t="s">
        <v>38</v>
      </c>
      <c r="I24" s="3" t="s">
        <v>39</v>
      </c>
      <c r="J24" s="3" t="s">
        <v>40</v>
      </c>
      <c r="K24" s="3" t="s">
        <v>21</v>
      </c>
      <c r="L24" s="3" t="s">
        <v>41</v>
      </c>
      <c r="M24" s="3" t="s">
        <v>42</v>
      </c>
      <c r="N24" s="20" t="s">
        <v>43</v>
      </c>
    </row>
    <row r="25" spans="1:14" ht="15.75" customHeight="1" x14ac:dyDescent="0.2">
      <c r="A25" s="64" t="s">
        <v>86</v>
      </c>
      <c r="B25" s="3" t="s">
        <v>86</v>
      </c>
      <c r="C25" s="3" t="s">
        <v>88</v>
      </c>
      <c r="D25" s="17">
        <v>43330</v>
      </c>
      <c r="E25" s="18">
        <v>1305</v>
      </c>
      <c r="F25" s="18">
        <v>7807</v>
      </c>
      <c r="G25" s="3" t="s">
        <v>164</v>
      </c>
      <c r="H25" s="3" t="s">
        <v>165</v>
      </c>
      <c r="I25" s="22">
        <v>293827.26</v>
      </c>
      <c r="J25" s="3">
        <v>1.86</v>
      </c>
      <c r="K25" s="3">
        <v>51</v>
      </c>
      <c r="L25" s="3">
        <v>0</v>
      </c>
      <c r="M25" s="22" t="s">
        <v>166</v>
      </c>
      <c r="N25" s="20" t="s">
        <v>167</v>
      </c>
    </row>
    <row r="26" spans="1:14" ht="15.75" customHeight="1" x14ac:dyDescent="0.2">
      <c r="A26" s="64" t="s">
        <v>5</v>
      </c>
      <c r="B26" s="3" t="s">
        <v>5</v>
      </c>
      <c r="C26" s="3" t="s">
        <v>46</v>
      </c>
      <c r="D26" s="17">
        <v>43330</v>
      </c>
      <c r="E26" s="18">
        <v>2572</v>
      </c>
      <c r="F26" s="18">
        <v>9336</v>
      </c>
      <c r="G26" s="3" t="s">
        <v>168</v>
      </c>
      <c r="H26" s="3" t="s">
        <v>169</v>
      </c>
      <c r="I26" s="22">
        <v>364104.3</v>
      </c>
      <c r="J26" s="3">
        <v>1.1399999999999999</v>
      </c>
      <c r="K26" s="22">
        <v>196</v>
      </c>
      <c r="L26" s="3">
        <v>0</v>
      </c>
      <c r="M26" s="22" t="s">
        <v>170</v>
      </c>
      <c r="N26" s="20" t="s">
        <v>171</v>
      </c>
    </row>
    <row r="27" spans="1:14" ht="15.75" customHeight="1" x14ac:dyDescent="0.2">
      <c r="A27" s="64" t="s">
        <v>47</v>
      </c>
      <c r="B27" s="3" t="s">
        <v>47</v>
      </c>
      <c r="C27" s="3" t="s">
        <v>48</v>
      </c>
      <c r="D27" s="17">
        <v>43330</v>
      </c>
      <c r="E27" s="18">
        <v>2452</v>
      </c>
      <c r="F27" s="18">
        <v>106235</v>
      </c>
      <c r="G27" s="3" t="s">
        <v>172</v>
      </c>
      <c r="H27" s="3" t="s">
        <v>173</v>
      </c>
      <c r="I27" s="22">
        <v>180454.08</v>
      </c>
      <c r="J27" s="3">
        <v>1.05</v>
      </c>
      <c r="K27" s="3">
        <v>38</v>
      </c>
      <c r="L27" s="3">
        <v>0</v>
      </c>
      <c r="M27" s="22" t="s">
        <v>174</v>
      </c>
      <c r="N27" s="20" t="s">
        <v>175</v>
      </c>
    </row>
    <row r="28" spans="1:14" ht="15.75" customHeight="1" x14ac:dyDescent="0.2">
      <c r="A28" s="127" t="s">
        <v>2</v>
      </c>
      <c r="B28" s="25" t="s">
        <v>2</v>
      </c>
      <c r="C28" s="25" t="s">
        <v>49</v>
      </c>
      <c r="D28" s="32">
        <v>43330</v>
      </c>
      <c r="E28" s="26">
        <v>3131</v>
      </c>
      <c r="F28" s="26">
        <v>2101400</v>
      </c>
      <c r="G28" s="25" t="s">
        <v>176</v>
      </c>
      <c r="H28" s="25" t="s">
        <v>177</v>
      </c>
      <c r="I28" s="27">
        <v>432337.48</v>
      </c>
      <c r="J28" s="25">
        <v>1.03</v>
      </c>
      <c r="K28" s="25">
        <v>100</v>
      </c>
      <c r="L28" s="25">
        <v>0</v>
      </c>
      <c r="M28" s="27" t="s">
        <v>178</v>
      </c>
      <c r="N28" s="28" t="s">
        <v>179</v>
      </c>
    </row>
    <row r="31" spans="1:14" ht="15.75" customHeight="1" outlineLevel="1" x14ac:dyDescent="0.2">
      <c r="B31" s="29" t="s">
        <v>0</v>
      </c>
      <c r="C31" s="73" t="s">
        <v>30</v>
      </c>
    </row>
    <row r="32" spans="1:14" ht="15.75" customHeight="1" outlineLevel="1" x14ac:dyDescent="0.2">
      <c r="A32" s="31" t="s">
        <v>32</v>
      </c>
      <c r="B32" s="33" t="s">
        <v>54</v>
      </c>
      <c r="C32" s="34" t="s">
        <v>54</v>
      </c>
    </row>
    <row r="33" spans="1:10" ht="15.75" customHeight="1" outlineLevel="1" x14ac:dyDescent="0.2">
      <c r="A33" s="37" t="s">
        <v>1</v>
      </c>
      <c r="B33" s="35">
        <f>H6*1.18</f>
        <v>1130432.5659999999</v>
      </c>
      <c r="C33" s="71">
        <f>I28*1.18*1.1</f>
        <v>561174.04903999995</v>
      </c>
      <c r="D33" s="46"/>
    </row>
    <row r="34" spans="1:10" ht="15.75" customHeight="1" outlineLevel="1" x14ac:dyDescent="0.2">
      <c r="A34" s="37" t="s">
        <v>85</v>
      </c>
      <c r="B34" s="35">
        <f>H9*1.18</f>
        <v>341976.85019999999</v>
      </c>
      <c r="C34" s="71">
        <f t="shared" ref="C34:C36" si="0">I25*1.18*1.1</f>
        <v>381387.78348000004</v>
      </c>
    </row>
    <row r="35" spans="1:10" ht="15.75" customHeight="1" outlineLevel="1" x14ac:dyDescent="0.2">
      <c r="A35" s="37" t="s">
        <v>4</v>
      </c>
      <c r="B35" s="35">
        <f>H12*1.18</f>
        <v>596105.9926</v>
      </c>
      <c r="C35" s="71">
        <f t="shared" si="0"/>
        <v>472607.38140000001</v>
      </c>
    </row>
    <row r="36" spans="1:10" ht="15.75" customHeight="1" outlineLevel="1" x14ac:dyDescent="0.2">
      <c r="A36" s="62" t="s">
        <v>29</v>
      </c>
      <c r="B36" s="40">
        <f>H15*1.18</f>
        <v>538066.25299999991</v>
      </c>
      <c r="C36" s="75">
        <f t="shared" si="0"/>
        <v>234229.39583999998</v>
      </c>
    </row>
    <row r="37" spans="1:10" ht="15.75" customHeight="1" outlineLevel="1" x14ac:dyDescent="0.2"/>
    <row r="38" spans="1:10" ht="12.75" outlineLevel="1" x14ac:dyDescent="0.2"/>
    <row r="39" spans="1:10" ht="15" x14ac:dyDescent="0.2">
      <c r="A39" s="41" t="s">
        <v>55</v>
      </c>
      <c r="B39" s="128">
        <v>31</v>
      </c>
      <c r="C39" s="21"/>
    </row>
    <row r="40" spans="1:10" ht="12.75" x14ac:dyDescent="0.2">
      <c r="A40" s="21"/>
      <c r="D40" s="4"/>
    </row>
    <row r="41" spans="1:10" ht="12.75" x14ac:dyDescent="0.2">
      <c r="A41" s="21"/>
      <c r="D41" s="4"/>
    </row>
    <row r="42" spans="1:10" ht="25.5" x14ac:dyDescent="0.2">
      <c r="A42" s="105" t="s">
        <v>0</v>
      </c>
      <c r="B42" s="33" t="s">
        <v>58</v>
      </c>
      <c r="C42" s="106" t="s">
        <v>60</v>
      </c>
      <c r="D42" s="33" t="s">
        <v>59</v>
      </c>
      <c r="E42" s="107" t="s">
        <v>61</v>
      </c>
      <c r="F42" s="107" t="s">
        <v>79</v>
      </c>
      <c r="G42" s="108" t="s">
        <v>140</v>
      </c>
      <c r="H42" s="109" t="s">
        <v>63</v>
      </c>
      <c r="I42" s="129" t="s">
        <v>180</v>
      </c>
      <c r="J42" s="130" t="s">
        <v>181</v>
      </c>
    </row>
    <row r="43" spans="1:10" ht="12.75" x14ac:dyDescent="0.2">
      <c r="A43" s="37" t="s">
        <v>1</v>
      </c>
      <c r="B43" s="35">
        <f t="shared" ref="B43:B46" si="1">B33</f>
        <v>1130432.5659999999</v>
      </c>
      <c r="C43" s="45">
        <f t="shared" ref="C43:C46" si="2">B43/D43</f>
        <v>0.95799369999999995</v>
      </c>
      <c r="D43" s="35">
        <f>G43/31*B39</f>
        <v>1180000</v>
      </c>
      <c r="E43" s="46">
        <f t="shared" ref="E43:E46" si="3">B43-D43</f>
        <v>-49567.434000000125</v>
      </c>
      <c r="F43" s="70">
        <f t="shared" ref="F43:F46" si="4">100%-C43</f>
        <v>4.2006300000000052E-2</v>
      </c>
      <c r="G43" s="46">
        <v>1180000</v>
      </c>
      <c r="H43" s="131">
        <f t="shared" ref="H43:H46" si="5">G43-B43</f>
        <v>49567.434000000125</v>
      </c>
      <c r="I43" s="132"/>
      <c r="J43" s="116"/>
    </row>
    <row r="44" spans="1:10" ht="12.75" x14ac:dyDescent="0.2">
      <c r="A44" s="37" t="s">
        <v>85</v>
      </c>
      <c r="B44" s="35">
        <f t="shared" si="1"/>
        <v>341976.85019999999</v>
      </c>
      <c r="C44" s="45">
        <f t="shared" si="2"/>
        <v>0.87686374094522412</v>
      </c>
      <c r="D44" s="35">
        <f>G44/31*B39</f>
        <v>389999.99</v>
      </c>
      <c r="E44" s="46">
        <f t="shared" si="3"/>
        <v>-48023.139800000004</v>
      </c>
      <c r="F44" s="70">
        <f t="shared" si="4"/>
        <v>0.12313625905477588</v>
      </c>
      <c r="G44" s="35">
        <v>389999.99</v>
      </c>
      <c r="H44" s="131">
        <f t="shared" si="5"/>
        <v>48023.139800000004</v>
      </c>
      <c r="I44" s="132"/>
      <c r="J44" s="116"/>
    </row>
    <row r="45" spans="1:10" ht="12.75" x14ac:dyDescent="0.2">
      <c r="A45" s="37" t="s">
        <v>4</v>
      </c>
      <c r="B45" s="35">
        <f t="shared" si="1"/>
        <v>596105.9926</v>
      </c>
      <c r="C45" s="45">
        <f t="shared" si="2"/>
        <v>0.97085666547231275</v>
      </c>
      <c r="D45" s="35">
        <f>G45/31*B39</f>
        <v>614000</v>
      </c>
      <c r="E45" s="46">
        <f t="shared" si="3"/>
        <v>-17894.007400000002</v>
      </c>
      <c r="F45" s="70">
        <f t="shared" si="4"/>
        <v>2.9143334527687248E-2</v>
      </c>
      <c r="G45" s="35">
        <v>614000</v>
      </c>
      <c r="H45" s="131">
        <f t="shared" si="5"/>
        <v>17894.007400000002</v>
      </c>
      <c r="I45" s="132"/>
      <c r="J45" s="116"/>
    </row>
    <row r="46" spans="1:10" ht="12.75" x14ac:dyDescent="0.2">
      <c r="A46" s="62" t="s">
        <v>29</v>
      </c>
      <c r="B46" s="40">
        <f t="shared" si="1"/>
        <v>538066.25299999991</v>
      </c>
      <c r="C46" s="76">
        <f t="shared" si="2"/>
        <v>1.0038549496268656</v>
      </c>
      <c r="D46" s="40">
        <f>G46/31*B39</f>
        <v>536000</v>
      </c>
      <c r="E46" s="80">
        <f t="shared" si="3"/>
        <v>2066.2529999999097</v>
      </c>
      <c r="F46" s="81">
        <f t="shared" si="4"/>
        <v>-3.8549496268656114E-3</v>
      </c>
      <c r="G46" s="40">
        <v>536000</v>
      </c>
      <c r="H46" s="133">
        <f t="shared" si="5"/>
        <v>-2066.2529999999097</v>
      </c>
      <c r="I46" s="134"/>
      <c r="J46" s="122"/>
    </row>
    <row r="47" spans="1:10" ht="12.75" x14ac:dyDescent="0.2">
      <c r="I47" s="61"/>
      <c r="J47" s="61"/>
    </row>
    <row r="48" spans="1:10" ht="12.75" x14ac:dyDescent="0.2">
      <c r="A48" s="21"/>
      <c r="D48" s="4"/>
      <c r="I48" s="61"/>
      <c r="J48" s="61"/>
    </row>
    <row r="49" spans="1:10" ht="25.5" x14ac:dyDescent="0.2">
      <c r="A49" s="110" t="s">
        <v>30</v>
      </c>
      <c r="B49" s="33" t="s">
        <v>58</v>
      </c>
      <c r="C49" s="106" t="s">
        <v>60</v>
      </c>
      <c r="D49" s="33" t="s">
        <v>59</v>
      </c>
      <c r="E49" s="107" t="s">
        <v>61</v>
      </c>
      <c r="F49" s="107" t="s">
        <v>79</v>
      </c>
      <c r="G49" s="108" t="s">
        <v>140</v>
      </c>
      <c r="H49" s="109" t="s">
        <v>63</v>
      </c>
      <c r="I49" s="129" t="s">
        <v>180</v>
      </c>
      <c r="J49" s="130" t="s">
        <v>181</v>
      </c>
    </row>
    <row r="50" spans="1:10" ht="12.75" x14ac:dyDescent="0.2">
      <c r="A50" s="37" t="s">
        <v>1</v>
      </c>
      <c r="B50" s="35">
        <f t="shared" ref="B50:B53" si="6">C33</f>
        <v>561174.04903999995</v>
      </c>
      <c r="C50" s="45">
        <f t="shared" ref="C50:C53" si="7">B50/D50</f>
        <v>1.0203164527999999</v>
      </c>
      <c r="D50" s="35">
        <f>G50/31*B39</f>
        <v>550000</v>
      </c>
      <c r="E50" s="46">
        <f t="shared" ref="E50:E53" si="8">B50-D50</f>
        <v>11174.049039999954</v>
      </c>
      <c r="F50" s="70">
        <f t="shared" ref="F50:F53" si="9">100%-C50</f>
        <v>-2.031645279999994E-2</v>
      </c>
      <c r="G50" s="46">
        <v>550000</v>
      </c>
      <c r="H50" s="131">
        <f t="shared" ref="H50:H53" si="10">G50-B50</f>
        <v>-11174.049039999954</v>
      </c>
      <c r="I50" s="37"/>
      <c r="J50" s="19"/>
    </row>
    <row r="51" spans="1:10" ht="12.75" x14ac:dyDescent="0.2">
      <c r="A51" s="37" t="s">
        <v>85</v>
      </c>
      <c r="B51" s="35">
        <f t="shared" si="6"/>
        <v>381387.78348000004</v>
      </c>
      <c r="C51" s="45">
        <f t="shared" si="7"/>
        <v>0.97791741861326731</v>
      </c>
      <c r="D51" s="35">
        <f>G51/31*B39</f>
        <v>389999.99</v>
      </c>
      <c r="E51" s="46">
        <f t="shared" si="8"/>
        <v>-8612.2065199999488</v>
      </c>
      <c r="F51" s="70">
        <f t="shared" si="9"/>
        <v>2.2082581386732691E-2</v>
      </c>
      <c r="G51" s="46">
        <v>389999.99</v>
      </c>
      <c r="H51" s="131">
        <f t="shared" si="10"/>
        <v>8612.2065199999488</v>
      </c>
      <c r="I51" s="37"/>
      <c r="J51" s="19"/>
    </row>
    <row r="52" spans="1:10" ht="12.75" x14ac:dyDescent="0.2">
      <c r="A52" s="37" t="s">
        <v>4</v>
      </c>
      <c r="B52" s="35">
        <f t="shared" si="6"/>
        <v>472607.38140000001</v>
      </c>
      <c r="C52" s="45">
        <f t="shared" si="7"/>
        <v>0.96234055608935509</v>
      </c>
      <c r="D52" s="35">
        <f>G52/31*B39</f>
        <v>491102.01</v>
      </c>
      <c r="E52" s="46">
        <f t="shared" si="8"/>
        <v>-18494.628599999996</v>
      </c>
      <c r="F52" s="70">
        <f t="shared" si="9"/>
        <v>3.7659443910644907E-2</v>
      </c>
      <c r="G52" s="46">
        <f>242050.01+69052+180000</f>
        <v>491102.01</v>
      </c>
      <c r="H52" s="131">
        <f t="shared" si="10"/>
        <v>18494.628599999996</v>
      </c>
      <c r="I52" s="37"/>
      <c r="J52" s="19"/>
    </row>
    <row r="53" spans="1:10" ht="12.75" x14ac:dyDescent="0.2">
      <c r="A53" s="62" t="s">
        <v>29</v>
      </c>
      <c r="B53" s="40">
        <f t="shared" si="6"/>
        <v>234229.39583999998</v>
      </c>
      <c r="C53" s="76">
        <f t="shared" si="7"/>
        <v>0.95022067277890454</v>
      </c>
      <c r="D53" s="40">
        <f>G53/31*B39</f>
        <v>246500</v>
      </c>
      <c r="E53" s="80">
        <f t="shared" si="8"/>
        <v>-12270.604160000017</v>
      </c>
      <c r="F53" s="81">
        <f t="shared" si="9"/>
        <v>4.977932722109546E-2</v>
      </c>
      <c r="G53" s="80">
        <f>316500-70000</f>
        <v>246500</v>
      </c>
      <c r="H53" s="133">
        <f t="shared" si="10"/>
        <v>12270.604160000017</v>
      </c>
      <c r="I53" s="62"/>
      <c r="J53" s="135"/>
    </row>
  </sheetData>
  <conditionalFormatting sqref="A6 A9 A12 A15 A25:A28">
    <cfRule type="cellIs" dxfId="9" priority="1" operator="equal">
      <formula>B6</formula>
    </cfRule>
  </conditionalFormatting>
  <conditionalFormatting sqref="B6 B9 B12 B15 B25:B28">
    <cfRule type="cellIs" dxfId="8" priority="2" operator="equal">
      <formula>A6</formula>
    </cfRule>
  </conditionalFormatting>
  <conditionalFormatting sqref="A6 A25:A28">
    <cfRule type="expression" dxfId="7" priority="3">
      <formula>ISERROR(SEARCH((B6),(A6)))</formula>
    </cfRule>
  </conditionalFormatting>
  <conditionalFormatting sqref="B6 B9 B12 B15 B25:B28">
    <cfRule type="cellIs" dxfId="6" priority="4" operator="notEqual">
      <formula>A6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Расходы2019</vt:lpstr>
      <vt:lpstr>Расходы2019 (2)</vt:lpstr>
      <vt:lpstr>Декабрь2018</vt:lpstr>
      <vt:lpstr>Ноябрь2018</vt:lpstr>
      <vt:lpstr>Октябрь2018</vt:lpstr>
      <vt:lpstr>Сентябрь2018</vt:lpstr>
      <vt:lpstr>Август2018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Черепанов Алексей Викторович</dc:creator>
  <cp:lastModifiedBy>Черепанов Алексей Викторович</cp:lastModifiedBy>
  <dcterms:created xsi:type="dcterms:W3CDTF">2019-04-25T07:32:04Z</dcterms:created>
  <dcterms:modified xsi:type="dcterms:W3CDTF">2019-04-25T07:54:04Z</dcterms:modified>
</cp:coreProperties>
</file>