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 activeTab="1"/>
  </bookViews>
  <sheets>
    <sheet name="Таблица" sheetId="2" r:id="rId1"/>
    <sheet name="Шаблон АОСР" sheetId="1" r:id="rId2"/>
    <sheet name="Лист3" sheetId="3" r:id="rId3"/>
  </sheets>
  <definedNames>
    <definedName name="_xlnm.Print_Area" localSheetId="1">'Шаблон АОСР'!$A$1:$Q$124</definedName>
  </definedNames>
  <calcPr calcId="152511"/>
</workbook>
</file>

<file path=xl/calcChain.xml><?xml version="1.0" encoding="utf-8"?>
<calcChain xmlns="http://schemas.openxmlformats.org/spreadsheetml/2006/main">
  <c r="A72" i="1" l="1"/>
  <c r="A73" i="1" s="1"/>
  <c r="P4" i="2"/>
  <c r="A79" i="1" l="1"/>
  <c r="A76" i="1"/>
  <c r="F62" i="3"/>
  <c r="F61" i="3"/>
  <c r="F60" i="3"/>
  <c r="F53" i="3"/>
  <c r="F52" i="3"/>
  <c r="F51" i="3"/>
  <c r="F45" i="3"/>
  <c r="F44" i="3"/>
  <c r="F43" i="3"/>
  <c r="F37" i="3"/>
  <c r="F36" i="3"/>
  <c r="F35" i="3"/>
  <c r="F28" i="3"/>
  <c r="F29" i="3"/>
  <c r="F27" i="3"/>
  <c r="F21" i="3"/>
  <c r="F20" i="3"/>
  <c r="F19" i="3"/>
  <c r="F11" i="3"/>
  <c r="F57" i="3" s="1"/>
  <c r="F5" i="3"/>
  <c r="F59" i="3" s="1"/>
  <c r="F4" i="3"/>
  <c r="F58" i="3" s="1"/>
  <c r="F3" i="3"/>
  <c r="A63" i="1" l="1"/>
  <c r="A58" i="1"/>
  <c r="K120" i="1" s="1"/>
  <c r="A60" i="1"/>
  <c r="A49" i="1"/>
  <c r="A55" i="1"/>
  <c r="A53" i="1"/>
  <c r="A51" i="1"/>
  <c r="A43" i="1"/>
  <c r="A45" i="1"/>
  <c r="A39" i="1"/>
  <c r="A33" i="1"/>
  <c r="A35" i="1"/>
  <c r="A20" i="1"/>
  <c r="A24" i="1"/>
  <c r="A22" i="1"/>
  <c r="A13" i="1"/>
  <c r="A17" i="1"/>
  <c r="A15" i="1"/>
  <c r="A6" i="1"/>
  <c r="A10" i="1"/>
  <c r="A8" i="1"/>
  <c r="A2" i="1"/>
  <c r="A3" i="1"/>
  <c r="F66" i="1" l="1"/>
  <c r="A83" i="1"/>
  <c r="A96" i="1"/>
  <c r="A91" i="1"/>
  <c r="F88" i="1"/>
  <c r="F87" i="1"/>
  <c r="E98" i="1"/>
  <c r="A108" i="1"/>
  <c r="M108" i="1"/>
  <c r="M111" i="1"/>
  <c r="A111" i="1"/>
  <c r="A114" i="1"/>
  <c r="A117" i="1"/>
  <c r="A120" i="1"/>
  <c r="A123" i="1"/>
  <c r="N123" i="1"/>
  <c r="N117" i="1"/>
  <c r="N114" i="1"/>
</calcChain>
</file>

<file path=xl/sharedStrings.xml><?xml version="1.0" encoding="utf-8"?>
<sst xmlns="http://schemas.openxmlformats.org/spreadsheetml/2006/main" count="226" uniqueCount="119">
  <si>
    <t xml:space="preserve">Объект капитального строительства: </t>
  </si>
  <si>
    <t>Застройщик  или  технический заказчик:</t>
  </si>
  <si>
    <t>Лицо,  осуществляющее  строительство:</t>
  </si>
  <si>
    <t>АКТ</t>
  </si>
  <si>
    <t>№</t>
  </si>
  <si>
    <t>Представитель застройщика или заказчика по вопросам строительного контроля:</t>
  </si>
  <si>
    <t>Представитель лица, осуществляющего подготовку проектной документации:</t>
  </si>
  <si>
    <t>Представитель лица, осуществляющего строительство:</t>
  </si>
  <si>
    <t>Представитель лица, осуществляющего строительство, по вопросам строительного контроля:</t>
  </si>
  <si>
    <t>Представитель лица, выполнившего  работы, подлежащие освидетельствованию:</t>
  </si>
  <si>
    <t>а  также  иные  представители  лиц,  участвующих  в  освидетельствовании:</t>
  </si>
  <si>
    <t xml:space="preserve"> </t>
  </si>
  <si>
    <t>и составили настоящий акт о нижеследующем:</t>
  </si>
  <si>
    <t>(наименование скрытых работ)</t>
  </si>
  <si>
    <t>2. Работы выполнены по проектной документации:</t>
  </si>
  <si>
    <t>3. При выполнении работ применены:</t>
  </si>
  <si>
    <t>(наименование строительных материалов (изделий) со ссылкой на сертификаты или другие документы, подтверждающие качество)</t>
  </si>
  <si>
    <t>4. Предъявлены документы, подтверждающие соответствие работ предъявляемым к ним требованиям:</t>
  </si>
  <si>
    <t>(исполнительные схемы и чертежи, результаты экспертиз, обследований, лабораторных и иных испытаний выполненных работ, проведенных в процессе строительного контроля)</t>
  </si>
  <si>
    <t xml:space="preserve">5. Даты: </t>
  </si>
  <si>
    <t>6. Работы выполнены в соответствии с:</t>
  </si>
  <si>
    <t>(указываются наименование, статьи (пункты) технического регламента (норм и правил), иных нормативных правовых актов, разделы проектной документации)</t>
  </si>
  <si>
    <t>7. Разрешается производство последующих работ по:</t>
  </si>
  <si>
    <t>(наименование работ, конструкций, участков инженерно-технического обеспечения)</t>
  </si>
  <si>
    <t>Дополнительные сведения:</t>
  </si>
  <si>
    <t xml:space="preserve">Акт составлен в </t>
  </si>
  <si>
    <t>5-ти</t>
  </si>
  <si>
    <t xml:space="preserve">экземплярах. </t>
  </si>
  <si>
    <t>Приложения:</t>
  </si>
  <si>
    <t>(должность, фамилия, инициалы, подпись)</t>
  </si>
  <si>
    <t>(номер, другие реквизиты чертежа, наименование проектной документации, сведения о лицах, осуществляющих подготовку  раздела проектной документации)</t>
  </si>
  <si>
    <t>освидетельствования скрытых работ</t>
  </si>
  <si>
    <t>(наименование проектной документации, почтовый или строительный адрес объекта капитального строительства)</t>
  </si>
  <si>
    <t>(наименование, ОГРН, ИНН, саморегулируемой организации, членом которой является)</t>
  </si>
  <si>
    <t xml:space="preserve">(фамилия, имя ,отчество,адрес места жительства, ОГРНИП, ИНН индивидуального </t>
  </si>
  <si>
    <t>предпринимателя,наименование,ОГРН,ИНН,место нахождения юридического лица, телефон/факс)</t>
  </si>
  <si>
    <t>(должность, фамилия, инициалы, идентификационный номер в национальном реестре специалистов в области строительства,</t>
  </si>
  <si>
    <t>реквизиты распорядительного документа, подтверждающего полномочия)</t>
  </si>
  <si>
    <t>(должность, фамилия, инициалы,  реквизиты распорядительного документа, подтверждающие полномочия)</t>
  </si>
  <si>
    <t xml:space="preserve"> идентификационный номер в национальном реестре специалистов в области строительства)</t>
  </si>
  <si>
    <t>(должность, фамилия, инициалы, реквизиты распорядительного документа,</t>
  </si>
  <si>
    <t>ОГРН,ИНН,место нахождения юридического лица, фамилия, имя, отчества, адреса места жительства, ОГРНИП, ИНН индивидуального предпринимателя)</t>
  </si>
  <si>
    <t>(наименование, ОГРН, ИНН, саморегулируемой организации, членом которой является указанное юридическое лицо, индивидуальный предприниматель)</t>
  </si>
  <si>
    <t>( должность, с указанием наименования организации, фамилия, инициалы, реквизиты распорядительного документа, подтверждающего полномочия)</t>
  </si>
  <si>
    <t>ООО "ЭлинАльфа"</t>
  </si>
  <si>
    <t>(наименование лица, выполнившего работы, подлежащие освидетельствованию)</t>
  </si>
  <si>
    <t xml:space="preserve"> саморегулируемой организации фамилия, имя, отчество, паспортные данные, место проживания, телефон/факс - для физических лиц)</t>
  </si>
  <si>
    <t>2019 г.</t>
  </si>
  <si>
    <t>июня</t>
  </si>
  <si>
    <t>(фамилия, имя ,отчество,адрес места жительства, ОГРНИП, ИНН индивидуального предпринимателя,наименование, ОГРН, ИНН,</t>
  </si>
  <si>
    <t>Лицо, осуществляющее подготовку проектной документации:</t>
  </si>
  <si>
    <r>
      <rPr>
        <b/>
        <sz val="16"/>
        <rFont val="Times New Roman"/>
        <family val="1"/>
        <charset val="204"/>
      </rPr>
      <t xml:space="preserve">« </t>
    </r>
    <r>
      <rPr>
        <b/>
        <u/>
        <sz val="16"/>
        <rFont val="Times New Roman"/>
        <family val="1"/>
        <charset val="204"/>
      </rPr>
      <t>13</t>
    </r>
    <r>
      <rPr>
        <b/>
        <sz val="16"/>
        <rFont val="Times New Roman"/>
        <family val="1"/>
        <charset val="204"/>
      </rPr>
      <t xml:space="preserve"> </t>
    </r>
    <r>
      <rPr>
        <b/>
        <sz val="16"/>
        <rFont val="Calibri"/>
        <family val="2"/>
        <charset val="204"/>
      </rPr>
      <t>»</t>
    </r>
  </si>
  <si>
    <t>(должность, фамилия, инициалы, реквизиты распорядительного документа, подтверждающего полномочия с указанием наименования,</t>
  </si>
  <si>
    <t>ОГРН,ИНН, место нахождения юридического лица, Ф.И.О, адреса места жительства, ОГРНИП, ИНН индивидуального предпринимателя)</t>
  </si>
  <si>
    <t>ОГРН,ИНН,место нахождения юридического лица, Ф.И.О, адреса места жительства, ОГРНИП, ИНН индивидуального предпринимателя)</t>
  </si>
  <si>
    <t xml:space="preserve">(фамилия,имя,отчество,адрес места жительства,ОГРНИП,ИНН индивидуального предпринимателя,наименование,ОГРН,ИНН, место нахождения </t>
  </si>
  <si>
    <t xml:space="preserve">юридического лица, телефон/факс наименование,ОГРН,ИНН саморегулируемой организации,членом которой является-для индивидуальных 
</t>
  </si>
  <si>
    <t xml:space="preserve">предпринимателей и юридических лиц; Ф.И.О, паспортные данные,адрес места жительства,телефон/факс-для физических лиц,не являющих индивидуальными предпринимателями)
</t>
  </si>
  <si>
    <r>
      <t>1. К освидетельствованию предъявлены следующие работы</t>
    </r>
    <r>
      <rPr>
        <i/>
        <sz val="16"/>
        <rFont val="Times New Roman"/>
        <family val="1"/>
        <charset val="204"/>
      </rPr>
      <t>:</t>
    </r>
    <r>
      <rPr>
        <i/>
        <u/>
        <sz val="16"/>
        <rFont val="Times New Roman"/>
        <family val="1"/>
        <charset val="204"/>
      </rPr>
      <t xml:space="preserve">                                                                                              </t>
    </r>
  </si>
  <si>
    <t>произвели осмотр выполненных:</t>
  </si>
  <si>
    <t>Отсутствуют</t>
  </si>
  <si>
    <r>
      <t xml:space="preserve">начало работ: </t>
    </r>
    <r>
      <rPr>
        <i/>
        <sz val="10"/>
        <rFont val="Times New Roman"/>
        <family val="1"/>
        <charset val="204"/>
      </rPr>
      <t/>
    </r>
  </si>
  <si>
    <t>окончание работ:</t>
  </si>
  <si>
    <t>место нахождения юридического лица, телефон/факс, наименование, ОГРН, ИНН,</t>
  </si>
  <si>
    <t>Руководитель проекта ООО "Строй-Система" Хабибуллин И.М., (приказ №16-СС/5 от 01.12.2017г.)</t>
  </si>
  <si>
    <t>Начальник участка ООО "Строймонтаж" Мусалиев О.А., (приказ №07-05-03-18 от 05.03.2018г.)</t>
  </si>
  <si>
    <t xml:space="preserve">Казенное предприятие города Москвы "Большая спортивная арена"Лужники" (КП "БСА "Лужники");  ИНН 7704844540, ОГРН 1137746846852, 119270, г.Москва  ул.Лужники д.24 стр.1.   СРО   АС "СТРОЙ-АЛЬЯНС", ОГРН 1097799005864, ИНН 7714062057.   </t>
  </si>
  <si>
    <t xml:space="preserve">ООО «Строй-Система», ИНН 7729703237, ОГРН 1127746111481, 119048, г. Москва, ул.  Лужники, д.24,  стр.9, 3 этаж, пом. II, ком. 25. СРО Ассоциация проектировщиков  «Содействия организациям строительной отрасли», ОГРН 1097799011177, ИНН 7701054053.   </t>
  </si>
  <si>
    <t>Инженер по надзору за строительством 1-й категории КП "БСА "Лужники" Ризуненко А.И., (приказ №213 от 26.09.2016г.), №С-77-13292 от 31.01.2018г.</t>
  </si>
  <si>
    <t>Руководитель проекта ООО "Строй-Система" Гуськов Д.А., (приказ №14-СС от 19.12.2018г.), №С-77-178687 от 18.12.2018г.</t>
  </si>
  <si>
    <t>Руководитель проекта ООО "ЭлинАльфа" Маннапов У.А., (приказ №22-02 от 11.02.2019г.), ОГРН 1057812713090, ИНН 7802336417, 117246, г. Москва, Научный проезд, д.19, пом. 26, офис 2а.</t>
  </si>
  <si>
    <t>№
 Акта</t>
  </si>
  <si>
    <t>ОТ</t>
  </si>
  <si>
    <t>Осмотр</t>
  </si>
  <si>
    <t>п.1
Виды работ</t>
  </si>
  <si>
    <t>п.2
Работы выполненны по</t>
  </si>
  <si>
    <t>п.3
Применены</t>
  </si>
  <si>
    <t>п.4
Предъявлены документы</t>
  </si>
  <si>
    <t>начало
работ</t>
  </si>
  <si>
    <t>окончание
работ</t>
  </si>
  <si>
    <t xml:space="preserve">п.6
Работы выполненны в соответствии с  </t>
  </si>
  <si>
    <t>п.7
Последующие виды работ</t>
  </si>
  <si>
    <t>Дополнительные сведения</t>
  </si>
  <si>
    <t>Тип
Акта</t>
  </si>
  <si>
    <t>«06» июня 2019г.</t>
  </si>
  <si>
    <t>Приложения</t>
  </si>
  <si>
    <t>АОСР</t>
  </si>
  <si>
    <t>=Таблица!L3</t>
  </si>
  <si>
    <t>Спортивный комплекс ГБПОУ «МССУОР №2» Москомспорта расположенный  по адресу: г.Москва,  ЗАО,  ул.  Малая Филевская,  д.34,  корп.2.</t>
  </si>
  <si>
    <t>ООО «Строй-Система», ИНН 7729703237, ОГРН 112774611148, 119048, г. Москва, ул. Лужники, д.24, корп.9, пом. II, ком.25, СРО Ассоциация проектировщиков «Содействия организациям проектной отрасли», ОГРН 1107799034287, ИНН 7701063065.</t>
  </si>
  <si>
    <t xml:space="preserve">Главный инженер проекта  ООО "ЭлинАльфа" Деркач А.В., (приказ №05-11 от 19.03.2019г.), 117246, г.Москва, ул. Научный проезд, д.19, пом.26, офис 2а. ОГРН 1157746613683 ИНН 7802336417 Ассоциация "Объединение градостроительных проектных организаций", ОГРН 1177700014051, ИНН 7706450371.         </t>
  </si>
  <si>
    <t xml:space="preserve">ПН-4(75*40), ПН-2(50*40), ПС-4(75*50),– профиль, Сертификат соответствия №РОСС.RU.АГ39.Н01397 №1752709, №РОСС.RU.АГ43.Н02921 №2207656, Информационное письмо, Паспорт качества от 5.06.2018г., Паспорт качества №00У0-283332; Дюбель, Сертификат соответствия №РОСС.RU.АГ66.Н06047,  №2150901,  №0990278,  №0990279,  Паспорт качества №127/19; Лента уплотнительная, Паспорт качества №015 от 05.03.2018г.; Анкер-клин 6х37,  Паспорт качества от 06.02.2018г.; Саморезы, Сертификат соответствия №РОСС CN.MГ11.Н00269 №0125073, №0026071, №0026072; ГСП типы Н2 “Knauf”, Сертификат соответствия №РОСС RU.НА34.Н01589, Экспертное заключение №100, Сертификат соответствия пожарной безопасности №С-RU.ПБ37.В.01469; ГСП Тип DFH2 Паспорт качества от 05.05.17, ГСП Тип Н2 Паспорт качества №53 от 15-16.02.18, ГСП Тип А Паспорт качества №309 от 09.08.18; Лента уплотнительная, Лента бумажная, Отписное письмо №038/ОС-12; Саморезы,  Паспорт качества, Сертификат соответствия №РОСС TW.АГ66.Н06049 №2150903, приложение №0990280, Сертификат соответствия №РОСС CN.МГ11.Н00269 №0125073, приложение №0026071, приложение №0026072, №0026073.  </t>
  </si>
  <si>
    <t>Исполнительный чертёж  ПИ/77-77/16-063-АР1,  лист  1, 3; Исполнительный чертёж  ПИ/77-77/16-063-АР2,  лист  1, 3; Исполнительный чертёж  ПИ/77-77/16-063-АР3,  лист  1, 3.</t>
  </si>
  <si>
    <r>
      <rPr>
        <sz val="10"/>
        <color theme="1"/>
        <rFont val="Calibri"/>
        <family val="2"/>
      </rPr>
      <t>«</t>
    </r>
    <r>
      <rPr>
        <sz val="10"/>
        <color theme="1"/>
        <rFont val="Calibri"/>
        <family val="2"/>
        <scheme val="minor"/>
      </rPr>
      <t>01» июня 2019г.</t>
    </r>
  </si>
  <si>
    <t>Рабочей документацией шифр ПИ/77-77/16-063-АР1; СП 48.13330.2011 «Организация строительства»;  СП 70.13330.2012 «Несущие и ограждающие конструкции»; СП 163.1325800.2014 «Конструкции с применением гипсокартонных и гипсоволокнистых  листов. Правила проектирования и монтажа»</t>
  </si>
  <si>
    <t>Устройство защитного экрана</t>
  </si>
  <si>
    <t>Вносу ковыряние и наружу выкладывание в/о апчих с отм. верхней до отм. а ещё не всё? Авпавпвапвпавапвпав па впвпв пв пвп вп впв ап в</t>
  </si>
  <si>
    <t>Я так подумал, и что то вдруг захотелось. Я в книгу глядел и фигу видел, српосил у друзей и так пойдёт ответил он мнев вп впа впвпавапвп вп вп вп в</t>
  </si>
  <si>
    <t>Лист 19</t>
  </si>
  <si>
    <t>АЛ.панель</t>
  </si>
  <si>
    <t>Профнастис С-8х подшивка</t>
  </si>
  <si>
    <t>Профнастис Н75</t>
  </si>
  <si>
    <t>Лист 17</t>
  </si>
  <si>
    <t>Лист 16</t>
  </si>
  <si>
    <t>Лист 15</t>
  </si>
  <si>
    <t>Лист 14</t>
  </si>
  <si>
    <t>Лист 13</t>
  </si>
  <si>
    <t>Лист 12</t>
  </si>
  <si>
    <t>Обрамление парапета из оцинкованной стали</t>
  </si>
  <si>
    <t>м2</t>
  </si>
  <si>
    <t>мП</t>
  </si>
  <si>
    <t>Желоб водосточный стальной оцинкованный</t>
  </si>
  <si>
    <t>Нащельник стальной  оцинкованный, окрашенный</t>
  </si>
  <si>
    <t>Желоб водосточный стальной оцинкованный t=0,7мм, L=0,735м</t>
  </si>
  <si>
    <t>Обрамление парапета из оцинкованной стали, L=0,220м</t>
  </si>
  <si>
    <t>Нащельник стальной  оцинкованный, окрашенный, L=0,220м</t>
  </si>
  <si>
    <t>Профнастис Н75х750х0,7</t>
  </si>
  <si>
    <t>Алюминиевая компазитная панель на вертикальные конструкции крыльца по металлическим стойкам</t>
  </si>
  <si>
    <t>Профнастис С-8х1150х0,5,  подшивка потолка крыльца по металлическим балкам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</si>
</sst>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i/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9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theme="1"/>
      <name val="Calibri"/>
      <family val="2"/>
      <scheme val="minor"/>
    </font>
    <font>
      <b/>
      <u/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6"/>
      <name val="Calibri"/>
      <family val="2"/>
      <charset val="204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/>
    <xf numFmtId="0" fontId="0" fillId="2" borderId="0" xfId="0" applyFill="1"/>
    <xf numFmtId="0" fontId="12" fillId="0" borderId="0" xfId="0" applyFont="1"/>
    <xf numFmtId="0" fontId="12" fillId="2" borderId="0" xfId="0" applyFont="1" applyFill="1"/>
    <xf numFmtId="0" fontId="16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3" fillId="0" borderId="0" xfId="0" applyFont="1"/>
    <xf numFmtId="0" fontId="3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top"/>
    </xf>
    <xf numFmtId="0" fontId="25" fillId="0" borderId="1" xfId="0" applyFont="1" applyFill="1" applyBorder="1" applyAlignment="1">
      <alignment horizontal="right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 vertical="center" textRotation="90" wrapText="1"/>
    </xf>
    <xf numFmtId="0" fontId="39" fillId="0" borderId="4" xfId="0" applyFont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 textRotation="90" wrapText="1"/>
    </xf>
    <xf numFmtId="0" fontId="0" fillId="0" borderId="4" xfId="0" applyBorder="1"/>
    <xf numFmtId="0" fontId="0" fillId="0" borderId="4" xfId="0" applyBorder="1" applyAlignment="1">
      <alignment vertical="center"/>
    </xf>
    <xf numFmtId="0" fontId="41" fillId="0" borderId="7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41" fillId="0" borderId="7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top"/>
    </xf>
    <xf numFmtId="0" fontId="29" fillId="0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left" vertical="top" indent="43"/>
    </xf>
    <xf numFmtId="0" fontId="15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36" fillId="0" borderId="1" xfId="0" applyFont="1" applyFill="1" applyBorder="1" applyAlignment="1">
      <alignment horizontal="center" wrapText="1"/>
    </xf>
    <xf numFmtId="0" fontId="37" fillId="0" borderId="3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right" vertical="top" indent="8"/>
    </xf>
    <xf numFmtId="0" fontId="25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6" fillId="2" borderId="1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right"/>
    </xf>
    <xf numFmtId="0" fontId="28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2" fillId="5" borderId="1" xfId="0" applyFont="1" applyFill="1" applyBorder="1" applyAlignment="1">
      <alignment horizontal="center" wrapText="1"/>
    </xf>
    <xf numFmtId="0" fontId="25" fillId="5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B4"/>
  <sheetViews>
    <sheetView topLeftCell="O1" workbookViewId="0">
      <selection activeCell="P3" sqref="P3"/>
    </sheetView>
  </sheetViews>
  <sheetFormatPr defaultRowHeight="15" outlineLevelCol="1" x14ac:dyDescent="0.25"/>
  <cols>
    <col min="1" max="1" width="14.42578125" hidden="1" customWidth="1" outlineLevel="1"/>
    <col min="2" max="2" width="18" hidden="1" customWidth="1" outlineLevel="1"/>
    <col min="3" max="3" width="19.140625" hidden="1" customWidth="1" outlineLevel="1"/>
    <col min="4" max="4" width="17.5703125" hidden="1" customWidth="1" outlineLevel="1"/>
    <col min="5" max="5" width="24" hidden="1" customWidth="1" outlineLevel="1"/>
    <col min="6" max="7" width="16.85546875" hidden="1" customWidth="1" outlineLevel="1"/>
    <col min="8" max="8" width="20" hidden="1" customWidth="1" outlineLevel="1"/>
    <col min="9" max="9" width="18" hidden="1" customWidth="1" outlineLevel="1"/>
    <col min="10" max="10" width="16.85546875" hidden="1" customWidth="1" outlineLevel="1"/>
    <col min="11" max="11" width="4.140625" customWidth="1" collapsed="1"/>
    <col min="12" max="13" width="5.85546875" customWidth="1"/>
    <col min="14" max="14" width="10.5703125" customWidth="1"/>
    <col min="15" max="15" width="5.7109375" customWidth="1"/>
    <col min="16" max="16" width="23.7109375" customWidth="1"/>
    <col min="17" max="17" width="18.85546875" customWidth="1"/>
    <col min="18" max="18" width="64.28515625" customWidth="1"/>
    <col min="19" max="19" width="20.28515625" customWidth="1"/>
    <col min="20" max="20" width="10.42578125" customWidth="1"/>
    <col min="21" max="21" width="11" customWidth="1"/>
    <col min="22" max="22" width="25" customWidth="1"/>
    <col min="23" max="23" width="22.140625" customWidth="1"/>
    <col min="24" max="24" width="13.28515625" customWidth="1"/>
    <col min="25" max="25" width="17.28515625" customWidth="1"/>
  </cols>
  <sheetData>
    <row r="2" spans="1:28" ht="36.75" customHeight="1" x14ac:dyDescent="0.25">
      <c r="A2" s="24" t="s">
        <v>0</v>
      </c>
      <c r="B2" s="24" t="s">
        <v>1</v>
      </c>
      <c r="C2" s="24" t="s">
        <v>2</v>
      </c>
      <c r="D2" s="24" t="s">
        <v>50</v>
      </c>
      <c r="E2" s="25" t="s">
        <v>5</v>
      </c>
      <c r="F2" s="25" t="s">
        <v>7</v>
      </c>
      <c r="G2" s="25" t="s">
        <v>8</v>
      </c>
      <c r="H2" s="25" t="s">
        <v>6</v>
      </c>
      <c r="I2" s="25" t="s">
        <v>9</v>
      </c>
      <c r="J2" s="25" t="s">
        <v>10</v>
      </c>
      <c r="K2" s="29" t="s">
        <v>4</v>
      </c>
      <c r="L2" s="27" t="s">
        <v>71</v>
      </c>
      <c r="M2" s="27" t="s">
        <v>83</v>
      </c>
      <c r="N2" s="27" t="s">
        <v>72</v>
      </c>
      <c r="O2" s="27" t="s">
        <v>73</v>
      </c>
      <c r="P2" s="27" t="s">
        <v>74</v>
      </c>
      <c r="Q2" s="27" t="s">
        <v>75</v>
      </c>
      <c r="R2" s="27" t="s">
        <v>76</v>
      </c>
      <c r="S2" s="27" t="s">
        <v>77</v>
      </c>
      <c r="T2" s="28" t="s">
        <v>78</v>
      </c>
      <c r="U2" s="28" t="s">
        <v>79</v>
      </c>
      <c r="V2" s="27" t="s">
        <v>80</v>
      </c>
      <c r="W2" s="27" t="s">
        <v>81</v>
      </c>
      <c r="X2" s="27" t="s">
        <v>82</v>
      </c>
      <c r="Y2" s="27" t="s">
        <v>85</v>
      </c>
    </row>
    <row r="3" spans="1:28" ht="223.5" customHeight="1" x14ac:dyDescent="0.25">
      <c r="A3" s="26" t="s">
        <v>88</v>
      </c>
      <c r="B3" s="26" t="s">
        <v>66</v>
      </c>
      <c r="C3" s="26" t="s">
        <v>67</v>
      </c>
      <c r="D3" s="26" t="s">
        <v>89</v>
      </c>
      <c r="E3" s="26" t="s">
        <v>68</v>
      </c>
      <c r="F3" s="26" t="s">
        <v>64</v>
      </c>
      <c r="G3" s="26" t="s">
        <v>69</v>
      </c>
      <c r="H3" s="26" t="s">
        <v>90</v>
      </c>
      <c r="I3" s="26" t="s">
        <v>70</v>
      </c>
      <c r="J3" s="26" t="s">
        <v>65</v>
      </c>
      <c r="K3" s="36">
        <v>1</v>
      </c>
      <c r="L3" s="35">
        <v>1</v>
      </c>
      <c r="M3" s="37" t="s">
        <v>86</v>
      </c>
      <c r="N3" s="30" t="s">
        <v>84</v>
      </c>
      <c r="O3" s="32" t="s">
        <v>44</v>
      </c>
      <c r="P3" s="34" t="s">
        <v>96</v>
      </c>
      <c r="Q3" s="34" t="s">
        <v>97</v>
      </c>
      <c r="R3" s="33" t="s">
        <v>91</v>
      </c>
      <c r="S3" s="33" t="s">
        <v>92</v>
      </c>
      <c r="T3" s="33" t="s">
        <v>93</v>
      </c>
      <c r="U3" s="33" t="s">
        <v>84</v>
      </c>
      <c r="V3" s="33" t="s">
        <v>94</v>
      </c>
      <c r="W3" s="33" t="s">
        <v>95</v>
      </c>
      <c r="X3" s="35" t="s">
        <v>60</v>
      </c>
      <c r="Y3" s="35"/>
      <c r="AA3" s="48"/>
      <c r="AB3" s="48"/>
    </row>
    <row r="4" spans="1:28" x14ac:dyDescent="0.25">
      <c r="P4">
        <f>LEN(P3)</f>
        <v>132</v>
      </c>
    </row>
  </sheetData>
  <dataValidations count="1">
    <dataValidation type="list" allowBlank="1" showInputMessage="1" showErrorMessage="1" sqref="M3">
      <formula1>"АОСР, АООК"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W124"/>
  <sheetViews>
    <sheetView tabSelected="1" topLeftCell="A56" zoomScaleNormal="100" zoomScaleSheetLayoutView="100" workbookViewId="0">
      <selection activeCell="A72" sqref="A72:N73"/>
    </sheetView>
  </sheetViews>
  <sheetFormatPr defaultRowHeight="15" x14ac:dyDescent="0.25"/>
  <cols>
    <col min="3" max="3" width="9.140625" customWidth="1"/>
    <col min="6" max="6" width="10.28515625" customWidth="1"/>
    <col min="9" max="9" width="10.140625" customWidth="1"/>
    <col min="14" max="14" width="22.7109375" customWidth="1"/>
    <col min="23" max="23" width="9.140625" customWidth="1"/>
  </cols>
  <sheetData>
    <row r="1" spans="1:23" ht="24" customHeight="1" x14ac:dyDescent="0.25">
      <c r="A1" s="12" t="s">
        <v>0</v>
      </c>
      <c r="B1" s="12"/>
      <c r="C1" s="12"/>
      <c r="D1" s="12"/>
      <c r="E1" s="12"/>
      <c r="F1" s="5"/>
      <c r="G1" s="52"/>
      <c r="H1" s="52"/>
      <c r="I1" s="52"/>
      <c r="J1" s="52"/>
      <c r="K1" s="52"/>
      <c r="L1" s="52"/>
      <c r="M1" s="52"/>
      <c r="N1" s="52"/>
    </row>
    <row r="2" spans="1:23" ht="18" customHeight="1" x14ac:dyDescent="0.25">
      <c r="A2" s="113" t="str">
        <f>MID(Таблица!A3,1,88)</f>
        <v xml:space="preserve">Спортивный комплекс ГБПОУ «МССУОР №2» Москомспорта расположенный  по адресу: г.Москва,  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23" ht="18" customHeight="1" x14ac:dyDescent="0.25">
      <c r="A3" s="49" t="str">
        <f>MID(Таблица!A3,89,43)</f>
        <v>ЗАО,  ул.  Малая Филевская,  д.34,  корп.2.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3" ht="18" customHeight="1" x14ac:dyDescent="0.25">
      <c r="A4" s="50" t="s">
        <v>32</v>
      </c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23" ht="24" customHeight="1" x14ac:dyDescent="0.25">
      <c r="A5" s="66" t="s">
        <v>1</v>
      </c>
      <c r="B5" s="66"/>
      <c r="C5" s="66"/>
      <c r="D5" s="66"/>
      <c r="E5" s="66"/>
      <c r="F5" s="66"/>
      <c r="G5" s="65"/>
      <c r="H5" s="65"/>
      <c r="I5" s="65"/>
      <c r="J5" s="65"/>
      <c r="K5" s="65"/>
      <c r="L5" s="65"/>
      <c r="M5" s="65"/>
      <c r="N5" s="65"/>
    </row>
    <row r="6" spans="1:23" ht="18" customHeight="1" x14ac:dyDescent="0.25">
      <c r="A6" s="57" t="str">
        <f>MID(Таблица!B3,1,90)</f>
        <v>Казенное предприятие города Москвы "Большая спортивная арена"Лужники" (КП "БСА "Лужники");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23" ht="18" customHeight="1" x14ac:dyDescent="0.25">
      <c r="A7" s="50" t="s">
        <v>55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23" ht="18" customHeight="1" x14ac:dyDescent="0.25">
      <c r="A8" s="57" t="str">
        <f>MID(Таблица!B3,91,81)</f>
        <v xml:space="preserve">  ИНН 7704844540, ОГРН 1137746846852, 119270, г.Москва  ул.Лужники д.24 стр.1.   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W8" s="6"/>
    </row>
    <row r="9" spans="1:23" ht="18" customHeight="1" x14ac:dyDescent="0.25">
      <c r="A9" s="61" t="s">
        <v>56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23" ht="18" customHeight="1" x14ac:dyDescent="0.35">
      <c r="A10" s="62" t="str">
        <f>MID(Таблица!B3,172,60)</f>
        <v>СРО   АС "СТРОЙ-АЛЬЯНС", ОГРН 1097799005864, ИНН 7714062057.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23" ht="33.75" customHeight="1" x14ac:dyDescent="0.25">
      <c r="A11" s="61" t="s">
        <v>57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23" s="7" customFormat="1" ht="24" customHeight="1" x14ac:dyDescent="0.25">
      <c r="A12" s="66" t="s">
        <v>2</v>
      </c>
      <c r="B12" s="66"/>
      <c r="C12" s="66"/>
      <c r="D12" s="66"/>
      <c r="E12" s="66"/>
      <c r="F12" s="66"/>
      <c r="G12" s="91"/>
      <c r="H12" s="91"/>
      <c r="I12" s="91"/>
      <c r="J12" s="91"/>
      <c r="K12" s="91"/>
      <c r="L12" s="91"/>
      <c r="M12" s="91"/>
      <c r="N12" s="91"/>
    </row>
    <row r="13" spans="1:23" s="7" customFormat="1" ht="18" customHeight="1" x14ac:dyDescent="0.25">
      <c r="A13" s="57" t="str">
        <f>MID(Таблица!C3,1,96)</f>
        <v xml:space="preserve">ООО «Строй-Система», ИНН 7729703237, ОГРН 1127746111481, 119048, г. Москва, ул.  Лужники, д.24, 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23" s="3" customFormat="1" ht="18" customHeight="1" x14ac:dyDescent="0.2">
      <c r="A14" s="50" t="s">
        <v>49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23" ht="18" customHeight="1" x14ac:dyDescent="0.25">
      <c r="A15" s="57" t="str">
        <f>MID(Таблица!C3,97,90)</f>
        <v xml:space="preserve"> стр.9, 3 этаж, пом. II, ком. 25. СРО Ассоциация проектировщиков  «Содействия организациям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spans="1:23" s="3" customFormat="1" ht="18" customHeight="1" x14ac:dyDescent="0.2">
      <c r="A16" s="50" t="s">
        <v>63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</row>
    <row r="17" spans="1:15" ht="18" customHeight="1" x14ac:dyDescent="0.3">
      <c r="A17" s="58" t="str">
        <f>MID(Таблица!C3,188,58)</f>
        <v>строительной отрасли», ОГРН 1097799011177, ИНН 7701054053.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1:15" ht="20.100000000000001" customHeight="1" x14ac:dyDescent="0.25">
      <c r="A18" s="50" t="s">
        <v>46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5" s="2" customFormat="1" ht="24" customHeight="1" x14ac:dyDescent="0.25">
      <c r="A19" s="92" t="s">
        <v>50</v>
      </c>
      <c r="B19" s="92"/>
      <c r="C19" s="92"/>
      <c r="D19" s="92"/>
      <c r="E19" s="92"/>
      <c r="F19" s="92"/>
      <c r="G19" s="92"/>
      <c r="H19" s="92"/>
      <c r="I19" s="92"/>
      <c r="J19" s="93"/>
      <c r="K19" s="93"/>
      <c r="L19" s="93"/>
      <c r="M19" s="93"/>
      <c r="N19" s="93"/>
    </row>
    <row r="20" spans="1:15" s="2" customFormat="1" ht="20.100000000000001" customHeight="1" x14ac:dyDescent="0.3">
      <c r="A20" s="56" t="str">
        <f>MID(Таблица!D3,1,94)</f>
        <v xml:space="preserve">ООО «Строй-Система», ИНН 7729703237, ОГРН 112774611148, 119048, г. Москва, ул. Лужники, д.24, 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5" s="4" customFormat="1" ht="18" customHeight="1" x14ac:dyDescent="0.2">
      <c r="A21" s="51" t="s">
        <v>34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5" s="2" customFormat="1" ht="20.100000000000001" customHeight="1" x14ac:dyDescent="0.3">
      <c r="A22" s="56" t="str">
        <f>MID(Таблица!D3,95,91)</f>
        <v xml:space="preserve">корп.9, пом. II, ком.25, СРО Ассоциация проектировщиков «Содействия организациям проектной 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5" s="4" customFormat="1" ht="18" customHeight="1" x14ac:dyDescent="0.2">
      <c r="A23" s="50" t="s">
        <v>35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5" ht="20.100000000000001" customHeight="1" x14ac:dyDescent="0.25">
      <c r="A24" s="97" t="str">
        <f>MID(Таблица!D3,186,45)</f>
        <v>отрасли», ОГРН 1107799034287, ИНН 7701063065.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5" ht="18" customHeight="1" x14ac:dyDescent="0.25">
      <c r="A25" s="50" t="s">
        <v>33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15" ht="24.95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5" ht="23.25" x14ac:dyDescent="0.25">
      <c r="A27" s="99" t="s">
        <v>3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</row>
    <row r="28" spans="1:15" ht="23.25" x14ac:dyDescent="0.25">
      <c r="A28" s="100" t="s">
        <v>31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15" ht="24.95" customHeight="1" x14ac:dyDescent="0.25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</row>
    <row r="30" spans="1:15" ht="24" customHeight="1" x14ac:dyDescent="0.3">
      <c r="A30" s="13" t="s">
        <v>4</v>
      </c>
      <c r="B30" s="31" t="s">
        <v>87</v>
      </c>
      <c r="C30" s="95"/>
      <c r="D30" s="95"/>
      <c r="E30" s="95"/>
      <c r="F30" s="95"/>
      <c r="G30" s="95"/>
      <c r="H30" s="95"/>
      <c r="I30" s="95"/>
      <c r="J30" s="95"/>
      <c r="K30" s="10"/>
      <c r="L30" s="14" t="s">
        <v>51</v>
      </c>
      <c r="M30" s="15" t="s">
        <v>48</v>
      </c>
      <c r="N30" s="16" t="s">
        <v>47</v>
      </c>
      <c r="O30" s="1"/>
    </row>
    <row r="31" spans="1:15" ht="24.95" customHeight="1" x14ac:dyDescent="0.3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"/>
    </row>
    <row r="32" spans="1:15" ht="24.95" customHeight="1" x14ac:dyDescent="0.25">
      <c r="A32" s="67" t="s">
        <v>5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8"/>
      <c r="N32" s="68"/>
    </row>
    <row r="33" spans="1:14" ht="18" customHeight="1" x14ac:dyDescent="0.3">
      <c r="A33" s="111" t="str">
        <f>MID(Таблица!E3,1,85)</f>
        <v xml:space="preserve">Инженер по надзору за строительством 1-й категории КП "БСА "Лужники" Ризуненко А.И., 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</row>
    <row r="34" spans="1:14" s="3" customFormat="1" ht="18" customHeight="1" x14ac:dyDescent="0.2">
      <c r="A34" s="51" t="s">
        <v>36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  <row r="35" spans="1:14" ht="18" customHeight="1" x14ac:dyDescent="0.3">
      <c r="A35" s="104" t="str">
        <f>MID(Таблица!E3,85,59)</f>
        <v xml:space="preserve"> (приказ №213 от 26.09.2016г.), №С-77-13292 от 31.01.2018г.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17"/>
      <c r="N35" s="117"/>
    </row>
    <row r="36" spans="1:14" s="3" customFormat="1" ht="18" customHeight="1" x14ac:dyDescent="0.2">
      <c r="A36" s="51" t="s">
        <v>37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pans="1:14" s="3" customFormat="1" ht="12" customHeight="1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</row>
    <row r="38" spans="1:14" s="2" customFormat="1" ht="24.95" customHeight="1" x14ac:dyDescent="0.3">
      <c r="A38" s="67" t="s">
        <v>7</v>
      </c>
      <c r="B38" s="67"/>
      <c r="C38" s="67"/>
      <c r="D38" s="67"/>
      <c r="E38" s="67"/>
      <c r="F38" s="67"/>
      <c r="G38" s="67"/>
      <c r="H38" s="67"/>
      <c r="I38" s="116"/>
      <c r="J38" s="116"/>
      <c r="K38" s="116"/>
      <c r="L38" s="116"/>
      <c r="M38" s="116"/>
      <c r="N38" s="116"/>
    </row>
    <row r="39" spans="1:14" s="2" customFormat="1" ht="18" customHeight="1" x14ac:dyDescent="0.3">
      <c r="A39" s="111" t="str">
        <f>MID(Таблица!F3,1,96)</f>
        <v>Руководитель проекта ООО "Строй-Система" Хабибуллин И.М., (приказ №16-СС/5 от 01.12.2017г.)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  <row r="40" spans="1:14" s="4" customFormat="1" ht="18" customHeight="1" x14ac:dyDescent="0.2">
      <c r="A40" s="51" t="s">
        <v>38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</row>
    <row r="41" spans="1:14" s="4" customFormat="1" ht="12" customHeight="1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</row>
    <row r="42" spans="1:14" ht="24.95" customHeight="1" x14ac:dyDescent="0.25">
      <c r="A42" s="82" t="s">
        <v>8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11"/>
    </row>
    <row r="43" spans="1:14" ht="18" customHeight="1" x14ac:dyDescent="0.3">
      <c r="A43" s="104" t="str">
        <f>MID(Таблица!G3,1,88)</f>
        <v xml:space="preserve">Руководитель проекта ООО "Строй-Система" Гуськов Д.А., (приказ №14-СС от 19.12.2018г.), 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</row>
    <row r="44" spans="1:14" ht="18" customHeight="1" x14ac:dyDescent="0.25">
      <c r="A44" s="50" t="s">
        <v>40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8" customHeight="1" x14ac:dyDescent="0.3">
      <c r="A45" s="115" t="str">
        <f>MID(Таблица!G3,88,29)</f>
        <v xml:space="preserve"> №С-77-178687 от 18.12.2018г.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8"/>
    </row>
    <row r="46" spans="1:14" s="3" customFormat="1" ht="18" customHeight="1" x14ac:dyDescent="0.2">
      <c r="A46" s="51" t="s">
        <v>39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1:14" s="3" customFormat="1" ht="12" customHeight="1" x14ac:dyDescent="0.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ht="24.95" customHeight="1" x14ac:dyDescent="0.25">
      <c r="A48" s="79" t="s">
        <v>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98"/>
      <c r="M48" s="98"/>
      <c r="N48" s="98"/>
    </row>
    <row r="49" spans="1:14" ht="18" customHeight="1" x14ac:dyDescent="0.3">
      <c r="A49" s="112" t="str">
        <f>MID(Таблица!H3,1,87)</f>
        <v xml:space="preserve">Главный инженер проекта  ООО "ЭлинАльфа" Деркач А.В., (приказ №05-11 от 19.03.2019г.), 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</row>
    <row r="50" spans="1:14" s="3" customFormat="1" ht="18" customHeight="1" x14ac:dyDescent="0.2">
      <c r="A50" s="96" t="s">
        <v>52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</row>
    <row r="51" spans="1:14" s="3" customFormat="1" ht="18" customHeight="1" x14ac:dyDescent="0.3">
      <c r="A51" s="58" t="str">
        <f>MID(Таблица!H3,87,96)</f>
        <v xml:space="preserve"> 117246, г.Москва, ул. Научный проезд, д.19, пом.26, офис 2а. ОГРН 1157746613683 ИНН 7802336417 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</row>
    <row r="52" spans="1:14" s="3" customFormat="1" ht="18" customHeight="1" x14ac:dyDescent="0.2">
      <c r="A52" s="50" t="s">
        <v>53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</row>
    <row r="53" spans="1:14" s="3" customFormat="1" ht="18" customHeight="1" x14ac:dyDescent="0.3">
      <c r="A53" s="58" t="str">
        <f>MID(Таблица!H3,183,66)</f>
        <v xml:space="preserve">Ассоциация "Объединение градостроительных проектных организаций", 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</row>
    <row r="54" spans="1:14" s="3" customFormat="1" ht="18" customHeight="1" x14ac:dyDescent="0.2">
      <c r="A54" s="50" t="s">
        <v>54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</row>
    <row r="55" spans="1:14" s="3" customFormat="1" ht="18" customHeight="1" x14ac:dyDescent="0.3">
      <c r="A55" s="58" t="str">
        <f>MID(Таблица!H3,249,35)</f>
        <v>ОГРН 1177700014051, ИНН 7706450371.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  <row r="56" spans="1:14" s="3" customFormat="1" ht="35.25" customHeight="1" x14ac:dyDescent="0.2">
      <c r="A56" s="61" t="s">
        <v>42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s="8" customFormat="1" ht="24.95" customHeight="1" x14ac:dyDescent="0.3">
      <c r="A57" s="67" t="s">
        <v>9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</row>
    <row r="58" spans="1:14" ht="18" customHeight="1" x14ac:dyDescent="0.3">
      <c r="A58" s="104" t="str">
        <f>MID(Таблица!I3,1,85)</f>
        <v xml:space="preserve">Руководитель проекта ООО "ЭлинАльфа" Маннапов У.А., (приказ №22-02 от 11.02.2019г.), 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3" customFormat="1" ht="18" customHeight="1" x14ac:dyDescent="0.2">
      <c r="A59" s="51" t="s">
        <v>52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</row>
    <row r="60" spans="1:14" s="3" customFormat="1" ht="18" customHeight="1" x14ac:dyDescent="0.3">
      <c r="A60" s="58" t="str">
        <f>MID(Таблица!I3,85,95)</f>
        <v xml:space="preserve"> ОГРН 1057812713090, ИНН 7802336417, 117246, г. Москва, Научный проезд, д.19, пом. 26, офис 2а.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</row>
    <row r="61" spans="1:14" s="3" customFormat="1" ht="24" customHeight="1" x14ac:dyDescent="0.2">
      <c r="A61" s="61" t="s">
        <v>41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</row>
    <row r="62" spans="1:14" ht="24" customHeight="1" x14ac:dyDescent="0.25">
      <c r="A62" s="82" t="s">
        <v>10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5"/>
      <c r="M62" s="85"/>
      <c r="N62" s="85"/>
    </row>
    <row r="63" spans="1:14" ht="18" customHeight="1" x14ac:dyDescent="0.3">
      <c r="A63" s="104" t="str">
        <f>MID(Таблица!J3,1,87)</f>
        <v>Начальник участка ООО "Строймонтаж" Мусалиев О.А., (приказ №07-05-03-18 от 05.03.2018г.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</row>
    <row r="64" spans="1:14" s="3" customFormat="1" ht="36.75" customHeight="1" x14ac:dyDescent="0.2">
      <c r="A64" s="61" t="s">
        <v>43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</row>
    <row r="65" spans="1:16" s="3" customFormat="1" ht="6" customHeight="1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</row>
    <row r="66" spans="1:16" ht="24" customHeight="1" x14ac:dyDescent="0.3">
      <c r="A66" s="67" t="s">
        <v>59</v>
      </c>
      <c r="B66" s="67"/>
      <c r="C66" s="67"/>
      <c r="D66" s="67"/>
      <c r="E66" s="67"/>
      <c r="F66" s="56" t="str">
        <f>Таблица!O3</f>
        <v>ООО "ЭлинАльфа"</v>
      </c>
      <c r="G66" s="56"/>
      <c r="H66" s="56"/>
      <c r="I66" s="56"/>
      <c r="J66" s="56"/>
      <c r="K66" s="56"/>
      <c r="L66" s="56"/>
      <c r="M66" s="56"/>
      <c r="N66" s="56"/>
    </row>
    <row r="67" spans="1:16" s="3" customFormat="1" ht="18" customHeight="1" x14ac:dyDescent="0.2">
      <c r="A67" s="64" t="s">
        <v>45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</row>
    <row r="68" spans="1:16" s="3" customFormat="1" ht="6" customHeight="1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</row>
    <row r="69" spans="1:16" ht="20.25" x14ac:dyDescent="0.25">
      <c r="A69" s="54" t="s">
        <v>12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6" ht="6" customHeight="1" x14ac:dyDescent="0.25">
      <c r="A70" s="109">
        <v>1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</row>
    <row r="71" spans="1:16" ht="20.25" customHeight="1" x14ac:dyDescent="0.25">
      <c r="A71" s="67" t="s">
        <v>58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P71">
        <v>54</v>
      </c>
    </row>
    <row r="72" spans="1:16" ht="20.25" customHeight="1" x14ac:dyDescent="0.3">
      <c r="A72" s="135" t="str">
        <f>LEFTB(Таблица!P3,LOOKUP(96,SEARCH(" ",Таблица!P3&amp;" ",ROW($1:$96)))-1)</f>
        <v>Вносу ковыряние и наружу выкладывание в/о апчих с отм. верхней до отм. а ещё не всё?</v>
      </c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</row>
    <row r="73" spans="1:16" ht="20.25" x14ac:dyDescent="0.3">
      <c r="A73" s="136" t="str">
        <f>TRIM(SUBSTITUTE(Таблица!P3,A72,))</f>
        <v>Авпавпвапвпавапвпав па впвпв пв пвп вп впв ап в</v>
      </c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</row>
    <row r="74" spans="1:16" s="3" customFormat="1" ht="18" customHeight="1" x14ac:dyDescent="0.2">
      <c r="A74" s="51" t="s">
        <v>13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</row>
    <row r="75" spans="1:16" ht="18" customHeight="1" x14ac:dyDescent="0.25">
      <c r="A75" s="54" t="s">
        <v>14</v>
      </c>
      <c r="B75" s="54"/>
      <c r="C75" s="54"/>
      <c r="D75" s="54"/>
      <c r="E75" s="54"/>
      <c r="F75" s="54"/>
      <c r="G75" s="54"/>
      <c r="H75" s="54"/>
      <c r="I75" s="55"/>
      <c r="J75" s="55"/>
      <c r="K75" s="55"/>
      <c r="L75" s="55"/>
      <c r="M75" s="55"/>
      <c r="N75" s="55"/>
    </row>
    <row r="76" spans="1:16" ht="19.5" x14ac:dyDescent="0.35">
      <c r="A76" s="103" t="e">
        <f>MID(MID(Таблица!Q3&amp;" ",SUM(LEN(Таблица!AB3)),Таблица!AA3),1,MAX((MID(MID(Таблица!Q3&amp;" ",SUM(LEN(Таблица!AB3)),Таблица!AA3),ROW($1:$999),1)=" ")*ROW($1:$999)))</f>
        <v>#VALUE!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6" s="3" customFormat="1" ht="20.100000000000001" customHeight="1" x14ac:dyDescent="0.2">
      <c r="A77" s="51" t="s">
        <v>30</v>
      </c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</row>
    <row r="78" spans="1:16" s="2" customFormat="1" ht="18" customHeight="1" x14ac:dyDescent="0.25">
      <c r="A78" s="79" t="s">
        <v>15</v>
      </c>
      <c r="B78" s="79"/>
      <c r="C78" s="79"/>
      <c r="D78" s="79"/>
      <c r="E78" s="79"/>
      <c r="F78" s="79"/>
      <c r="G78" s="80"/>
      <c r="H78" s="80"/>
      <c r="I78" s="80"/>
      <c r="J78" s="80"/>
      <c r="K78" s="80"/>
      <c r="L78" s="80"/>
      <c r="M78" s="80"/>
      <c r="N78" s="80"/>
    </row>
    <row r="79" spans="1:16" s="2" customFormat="1" ht="19.5" x14ac:dyDescent="0.35">
      <c r="A79" s="107" t="str">
        <f>UPPER(IF(LEN(Таблица!R3)&gt;30,LEFT(Таблица!R3,MAX(IF(IF(MID(Таблица!R3,ROW(1:117),1)=" ",ROW(1:117))&lt;30,IF(MID(Таблица!R3,ROW(1:117),1)=" ",ROW(1:117))))),Таблица!R3))</f>
        <v/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</row>
    <row r="80" spans="1:16" s="2" customFormat="1" ht="19.5" x14ac:dyDescent="0.35">
      <c r="A80" s="81" t="s">
        <v>11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</row>
    <row r="81" spans="1:14" s="3" customFormat="1" ht="20.100000000000001" customHeight="1" x14ac:dyDescent="0.2">
      <c r="A81" s="51" t="s">
        <v>16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</row>
    <row r="82" spans="1:14" ht="18" customHeight="1" x14ac:dyDescent="0.25">
      <c r="A82" s="67" t="s">
        <v>17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</row>
    <row r="83" spans="1:14" ht="40.5" customHeight="1" x14ac:dyDescent="0.35">
      <c r="A83" s="77" t="str">
        <f>Таблица!S3</f>
        <v>Исполнительный чертёж  ПИ/77-77/16-063-АР1,  лист  1, 3; Исполнительный чертёж  ПИ/77-77/16-063-АР2,  лист  1, 3; Исполнительный чертёж  ПИ/77-77/16-063-АР3,  лист  1, 3.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</row>
    <row r="84" spans="1:14" ht="18.75" customHeight="1" x14ac:dyDescent="0.25">
      <c r="A84" s="78" t="s">
        <v>11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</row>
    <row r="85" spans="1:14" s="3" customFormat="1" ht="30" customHeight="1" x14ac:dyDescent="0.2">
      <c r="A85" s="61" t="s">
        <v>18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</row>
    <row r="86" spans="1:14" ht="5.25" customHeight="1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ht="18" customHeight="1" x14ac:dyDescent="0.25">
      <c r="A87" s="67" t="s">
        <v>19</v>
      </c>
      <c r="B87" s="67"/>
      <c r="C87" s="76" t="s">
        <v>61</v>
      </c>
      <c r="D87" s="76"/>
      <c r="E87" s="76"/>
      <c r="F87" s="110" t="str">
        <f>Таблица!T3</f>
        <v>«01» июня 2019г.</v>
      </c>
      <c r="G87" s="110"/>
      <c r="H87" s="110"/>
      <c r="I87" s="17"/>
      <c r="J87" s="106"/>
      <c r="K87" s="106"/>
      <c r="L87" s="106"/>
      <c r="M87" s="106"/>
      <c r="N87" s="106"/>
    </row>
    <row r="88" spans="1:14" ht="18" customHeight="1" x14ac:dyDescent="0.25">
      <c r="A88" s="75"/>
      <c r="B88" s="75"/>
      <c r="C88" s="76" t="s">
        <v>62</v>
      </c>
      <c r="D88" s="76"/>
      <c r="E88" s="76"/>
      <c r="F88" s="110" t="str">
        <f>Таблица!U3</f>
        <v>«06» июня 2019г.</v>
      </c>
      <c r="G88" s="110"/>
      <c r="H88" s="110"/>
      <c r="I88" s="17"/>
      <c r="J88" s="102"/>
      <c r="K88" s="102"/>
      <c r="L88" s="102"/>
      <c r="M88" s="102"/>
      <c r="N88" s="102"/>
    </row>
    <row r="89" spans="1:14" ht="7.5" customHeight="1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ht="18" customHeight="1" x14ac:dyDescent="0.25">
      <c r="A90" s="82" t="s">
        <v>20</v>
      </c>
      <c r="B90" s="82"/>
      <c r="C90" s="82"/>
      <c r="D90" s="82"/>
      <c r="E90" s="82"/>
      <c r="F90" s="82"/>
      <c r="G90" s="105"/>
      <c r="H90" s="105"/>
      <c r="I90" s="105"/>
      <c r="J90" s="105"/>
      <c r="K90" s="105"/>
      <c r="L90" s="105"/>
      <c r="M90" s="105"/>
      <c r="N90" s="105"/>
    </row>
    <row r="91" spans="1:14" ht="18.75" customHeight="1" x14ac:dyDescent="0.25">
      <c r="A91" s="114" t="str">
        <f>Таблица!V3</f>
        <v>Рабочей документацией шифр ПИ/77-77/16-063-АР1; СП 48.13330.2011 «Организация строительства»;  СП 70.13330.2012 «Несущие и ограждающие конструкции»; СП 163.1325800.2014 «Конструкции с применением гипсокартонных и гипсоволокнистых  листов. Правила проектирования и монтажа»</v>
      </c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</row>
    <row r="92" spans="1:14" ht="18.75" customHeight="1" x14ac:dyDescent="0.25">
      <c r="A92" s="78" t="s">
        <v>11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</row>
    <row r="93" spans="1:14" s="3" customFormat="1" ht="20.100000000000001" customHeight="1" x14ac:dyDescent="0.2">
      <c r="A93" s="51" t="s">
        <v>21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1:14" s="3" customFormat="1" ht="6" customHeigh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</row>
    <row r="95" spans="1:14" ht="18" customHeight="1" x14ac:dyDescent="0.25">
      <c r="A95" s="82" t="s">
        <v>22</v>
      </c>
      <c r="B95" s="82"/>
      <c r="C95" s="82"/>
      <c r="D95" s="82"/>
      <c r="E95" s="82"/>
      <c r="F95" s="82"/>
      <c r="G95" s="82"/>
      <c r="H95" s="82"/>
      <c r="I95" s="108"/>
      <c r="J95" s="108"/>
      <c r="K95" s="108"/>
      <c r="L95" s="108"/>
      <c r="M95" s="108"/>
      <c r="N95" s="108"/>
    </row>
    <row r="96" spans="1:14" ht="18.75" customHeight="1" x14ac:dyDescent="0.35">
      <c r="A96" s="77" t="str">
        <f>Таблица!W3</f>
        <v>Устройство защитного экрана</v>
      </c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97" spans="1:14" s="3" customFormat="1" ht="20.100000000000001" customHeight="1" x14ac:dyDescent="0.2">
      <c r="A97" s="51" t="s">
        <v>23</v>
      </c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1:14" ht="18" customHeight="1" x14ac:dyDescent="0.3">
      <c r="A98" s="67" t="s">
        <v>24</v>
      </c>
      <c r="B98" s="67"/>
      <c r="C98" s="67"/>
      <c r="D98" s="67"/>
      <c r="E98" s="56" t="str">
        <f>Таблица!X3</f>
        <v>Отсутствуют</v>
      </c>
      <c r="F98" s="56"/>
      <c r="G98" s="56"/>
      <c r="H98" s="56"/>
      <c r="I98" s="56"/>
      <c r="J98" s="56"/>
      <c r="K98" s="56"/>
      <c r="L98" s="56"/>
      <c r="M98" s="56"/>
      <c r="N98" s="56"/>
    </row>
    <row r="99" spans="1:14" ht="6" customHeight="1" x14ac:dyDescent="0.25">
      <c r="A99" s="120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</row>
    <row r="100" spans="1:14" ht="18" customHeight="1" x14ac:dyDescent="0.35">
      <c r="A100" s="66" t="s">
        <v>25</v>
      </c>
      <c r="B100" s="66"/>
      <c r="C100" s="19" t="s">
        <v>26</v>
      </c>
      <c r="D100" s="118" t="s">
        <v>27</v>
      </c>
      <c r="E100" s="118"/>
      <c r="F100" s="119"/>
      <c r="G100" s="119"/>
      <c r="H100" s="119"/>
      <c r="I100" s="119"/>
      <c r="J100" s="119"/>
      <c r="K100" s="119"/>
      <c r="L100" s="119"/>
      <c r="M100" s="119"/>
      <c r="N100" s="119"/>
    </row>
    <row r="101" spans="1:14" ht="6" customHeight="1" x14ac:dyDescent="0.25">
      <c r="A101" s="118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</row>
    <row r="102" spans="1:14" ht="18" customHeight="1" x14ac:dyDescent="0.25">
      <c r="A102" s="121" t="s">
        <v>28</v>
      </c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</row>
    <row r="103" spans="1:14" ht="18.75" customHeight="1" x14ac:dyDescent="0.2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</row>
    <row r="104" spans="1:14" ht="18.75" customHeight="1" x14ac:dyDescent="0.2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</row>
    <row r="105" spans="1:14" ht="18.75" customHeight="1" x14ac:dyDescent="0.2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</row>
    <row r="106" spans="1:14" s="3" customFormat="1" ht="20.100000000000001" customHeight="1" x14ac:dyDescent="0.2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</row>
    <row r="107" spans="1:14" ht="18" customHeight="1" x14ac:dyDescent="0.25">
      <c r="A107" s="67" t="s">
        <v>5</v>
      </c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</row>
    <row r="108" spans="1:14" ht="20.100000000000001" customHeight="1" x14ac:dyDescent="0.25">
      <c r="A108" s="72" t="str">
        <f>LEFT(A33,69)</f>
        <v xml:space="preserve">Инженер по надзору за строительством 1-й категории КП "БСА "Лужники" </v>
      </c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1" t="str">
        <f>MID(A33,69,15)</f>
        <v xml:space="preserve"> Ризуненко А.И.</v>
      </c>
      <c r="N108" s="71"/>
    </row>
    <row r="109" spans="1:14" s="3" customFormat="1" ht="15.95" customHeight="1" x14ac:dyDescent="0.25">
      <c r="A109" s="70" t="s">
        <v>29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</row>
    <row r="110" spans="1:14" s="2" customFormat="1" ht="18" customHeight="1" x14ac:dyDescent="0.25">
      <c r="A110" s="122" t="s">
        <v>7</v>
      </c>
      <c r="B110" s="122"/>
      <c r="C110" s="122"/>
      <c r="D110" s="122"/>
      <c r="E110" s="122"/>
      <c r="F110" s="122"/>
      <c r="G110" s="122"/>
      <c r="H110" s="122"/>
      <c r="I110" s="123"/>
      <c r="J110" s="123"/>
      <c r="K110" s="123"/>
      <c r="L110" s="123"/>
      <c r="M110" s="123"/>
      <c r="N110" s="123"/>
    </row>
    <row r="111" spans="1:14" s="2" customFormat="1" ht="20.100000000000001" customHeight="1" x14ac:dyDescent="0.25">
      <c r="A111" s="72" t="str">
        <f>LEFT(A39,40)</f>
        <v>Руководитель проекта ООО "Строй-Система"</v>
      </c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1" t="str">
        <f>MID(A39,42,15)</f>
        <v>Хабибуллин И.М.</v>
      </c>
      <c r="N111" s="71"/>
    </row>
    <row r="112" spans="1:14" s="4" customFormat="1" ht="15.95" customHeight="1" x14ac:dyDescent="0.25">
      <c r="A112" s="70" t="s">
        <v>29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</row>
    <row r="113" spans="1:14" ht="18" customHeight="1" x14ac:dyDescent="0.25">
      <c r="A113" s="82" t="s">
        <v>8</v>
      </c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9"/>
    </row>
    <row r="114" spans="1:14" ht="20.100000000000001" customHeight="1" x14ac:dyDescent="0.25">
      <c r="A114" s="88" t="str">
        <f>LEFT(A43,40)</f>
        <v>Руководитель проекта ООО "Строй-Система"</v>
      </c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22" t="str">
        <f>MID(A43,41,13)</f>
        <v xml:space="preserve"> Гуськов Д.А.</v>
      </c>
    </row>
    <row r="115" spans="1:14" s="3" customFormat="1" ht="15.95" customHeight="1" x14ac:dyDescent="0.25">
      <c r="A115" s="70" t="s">
        <v>29</v>
      </c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</row>
    <row r="116" spans="1:14" ht="18" customHeight="1" x14ac:dyDescent="0.25">
      <c r="A116" s="79" t="s">
        <v>6</v>
      </c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80"/>
      <c r="M116" s="80"/>
      <c r="N116" s="80"/>
    </row>
    <row r="117" spans="1:14" ht="20.100000000000001" customHeight="1" x14ac:dyDescent="0.3">
      <c r="A117" s="86" t="str">
        <f>LEFT(A49,40)</f>
        <v>Главный инженер проекта  ООО "ЭлинАльфа"</v>
      </c>
      <c r="B117" s="86"/>
      <c r="C117" s="86"/>
      <c r="D117" s="86"/>
      <c r="E117" s="86"/>
      <c r="F117" s="86"/>
      <c r="G117" s="86"/>
      <c r="H117" s="86"/>
      <c r="I117" s="86"/>
      <c r="J117" s="86"/>
      <c r="K117" s="20"/>
      <c r="L117" s="20"/>
      <c r="M117" s="20"/>
      <c r="N117" s="21" t="str">
        <f>MID(A49,41,12)</f>
        <v xml:space="preserve"> Деркач А.В.</v>
      </c>
    </row>
    <row r="118" spans="1:14" s="3" customFormat="1" ht="15.95" customHeight="1" x14ac:dyDescent="0.25">
      <c r="A118" s="87" t="s">
        <v>29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8" customHeight="1" x14ac:dyDescent="0.3">
      <c r="A119" s="89" t="s">
        <v>9</v>
      </c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90"/>
      <c r="N119" s="90"/>
    </row>
    <row r="120" spans="1:14" ht="20.100000000000001" customHeight="1" x14ac:dyDescent="0.3">
      <c r="A120" s="83" t="str">
        <f>LEFT(A58,37)</f>
        <v xml:space="preserve">Руководитель проекта ООО "ЭлинАльфа" </v>
      </c>
      <c r="B120" s="83"/>
      <c r="C120" s="83"/>
      <c r="D120" s="83"/>
      <c r="E120" s="83"/>
      <c r="F120" s="83"/>
      <c r="G120" s="83"/>
      <c r="H120" s="83"/>
      <c r="I120" s="83"/>
      <c r="J120" s="83"/>
      <c r="K120" s="84" t="str">
        <f>MID(A58,38,13)</f>
        <v>Маннапов У.А.</v>
      </c>
      <c r="L120" s="84"/>
      <c r="M120" s="84"/>
      <c r="N120" s="84"/>
    </row>
    <row r="121" spans="1:14" s="3" customFormat="1" ht="15.95" customHeight="1" x14ac:dyDescent="0.25">
      <c r="A121" s="70" t="s">
        <v>29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</row>
    <row r="122" spans="1:14" ht="18" customHeight="1" x14ac:dyDescent="0.25">
      <c r="A122" s="82" t="s">
        <v>10</v>
      </c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5"/>
      <c r="M122" s="85"/>
      <c r="N122" s="85"/>
    </row>
    <row r="123" spans="1:14" ht="20.100000000000001" customHeight="1" x14ac:dyDescent="0.25">
      <c r="A123" s="88" t="str">
        <f>LEFT(A63,36)</f>
        <v xml:space="preserve">Начальник участка ООО "Строймонтаж" </v>
      </c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23" t="str">
        <f>MID(A63,37,13)</f>
        <v>Мусалиев О.А.</v>
      </c>
    </row>
    <row r="124" spans="1:14" s="3" customFormat="1" ht="15.95" customHeight="1" x14ac:dyDescent="0.25">
      <c r="A124" s="70" t="s">
        <v>29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</row>
  </sheetData>
  <mergeCells count="153">
    <mergeCell ref="M111:N111"/>
    <mergeCell ref="A111:L111"/>
    <mergeCell ref="A114:M114"/>
    <mergeCell ref="A100:B100"/>
    <mergeCell ref="D100:E100"/>
    <mergeCell ref="F100:N100"/>
    <mergeCell ref="A99:N99"/>
    <mergeCell ref="A101:N101"/>
    <mergeCell ref="A102:N102"/>
    <mergeCell ref="A104:N104"/>
    <mergeCell ref="A110:H110"/>
    <mergeCell ref="I110:N110"/>
    <mergeCell ref="A2:N2"/>
    <mergeCell ref="A6:N6"/>
    <mergeCell ref="A18:N18"/>
    <mergeCell ref="A13:N13"/>
    <mergeCell ref="A91:N91"/>
    <mergeCell ref="A94:N94"/>
    <mergeCell ref="A45:M45"/>
    <mergeCell ref="A52:N52"/>
    <mergeCell ref="A51:N51"/>
    <mergeCell ref="A38:H38"/>
    <mergeCell ref="I38:N38"/>
    <mergeCell ref="A44:N44"/>
    <mergeCell ref="A53:N53"/>
    <mergeCell ref="A54:N54"/>
    <mergeCell ref="A42:M42"/>
    <mergeCell ref="A48:K48"/>
    <mergeCell ref="M35:N35"/>
    <mergeCell ref="A35:L35"/>
    <mergeCell ref="A55:N55"/>
    <mergeCell ref="A66:E66"/>
    <mergeCell ref="A72:N72"/>
    <mergeCell ref="A77:N77"/>
    <mergeCell ref="A25:N25"/>
    <mergeCell ref="A33:N33"/>
    <mergeCell ref="F66:N66"/>
    <mergeCell ref="A70:N70"/>
    <mergeCell ref="F87:H87"/>
    <mergeCell ref="F88:H88"/>
    <mergeCell ref="A39:N39"/>
    <mergeCell ref="A43:N43"/>
    <mergeCell ref="A49:N49"/>
    <mergeCell ref="A74:N74"/>
    <mergeCell ref="A65:N65"/>
    <mergeCell ref="A56:N56"/>
    <mergeCell ref="A61:N61"/>
    <mergeCell ref="A60:N60"/>
    <mergeCell ref="A98:D98"/>
    <mergeCell ref="E98:N98"/>
    <mergeCell ref="J88:N88"/>
    <mergeCell ref="A69:N69"/>
    <mergeCell ref="A97:N97"/>
    <mergeCell ref="A76:N76"/>
    <mergeCell ref="A58:N58"/>
    <mergeCell ref="A63:N63"/>
    <mergeCell ref="A20:N20"/>
    <mergeCell ref="A68:N68"/>
    <mergeCell ref="A73:N73"/>
    <mergeCell ref="A71:N71"/>
    <mergeCell ref="A34:N34"/>
    <mergeCell ref="G90:N90"/>
    <mergeCell ref="A92:N92"/>
    <mergeCell ref="A89:N89"/>
    <mergeCell ref="A81:N81"/>
    <mergeCell ref="C87:E87"/>
    <mergeCell ref="J87:N87"/>
    <mergeCell ref="A93:N93"/>
    <mergeCell ref="A96:N96"/>
    <mergeCell ref="A79:N79"/>
    <mergeCell ref="A95:H95"/>
    <mergeCell ref="I95:N95"/>
    <mergeCell ref="A19:I19"/>
    <mergeCell ref="J19:N19"/>
    <mergeCell ref="A29:N29"/>
    <mergeCell ref="C30:J30"/>
    <mergeCell ref="A40:N40"/>
    <mergeCell ref="A62:K62"/>
    <mergeCell ref="L62:N62"/>
    <mergeCell ref="A50:N50"/>
    <mergeCell ref="A46:N46"/>
    <mergeCell ref="A57:N57"/>
    <mergeCell ref="A23:N23"/>
    <mergeCell ref="A24:N24"/>
    <mergeCell ref="L48:N48"/>
    <mergeCell ref="A27:N27"/>
    <mergeCell ref="A28:N28"/>
    <mergeCell ref="A36:N36"/>
    <mergeCell ref="A31:N31"/>
    <mergeCell ref="A124:N124"/>
    <mergeCell ref="A120:J120"/>
    <mergeCell ref="K120:N120"/>
    <mergeCell ref="A121:N121"/>
    <mergeCell ref="A122:K122"/>
    <mergeCell ref="L122:N122"/>
    <mergeCell ref="A117:J117"/>
    <mergeCell ref="A118:N118"/>
    <mergeCell ref="A112:N112"/>
    <mergeCell ref="A123:M123"/>
    <mergeCell ref="A113:M113"/>
    <mergeCell ref="A116:K116"/>
    <mergeCell ref="L116:N116"/>
    <mergeCell ref="A119:L119"/>
    <mergeCell ref="M119:N119"/>
    <mergeCell ref="A115:N115"/>
    <mergeCell ref="A5:F5"/>
    <mergeCell ref="A32:L32"/>
    <mergeCell ref="M32:N32"/>
    <mergeCell ref="A103:N103"/>
    <mergeCell ref="A109:N109"/>
    <mergeCell ref="A107:N107"/>
    <mergeCell ref="M108:N108"/>
    <mergeCell ref="A108:L108"/>
    <mergeCell ref="A105:N105"/>
    <mergeCell ref="A106:N106"/>
    <mergeCell ref="A86:N86"/>
    <mergeCell ref="A87:B87"/>
    <mergeCell ref="A88:B88"/>
    <mergeCell ref="C88:E88"/>
    <mergeCell ref="A82:N82"/>
    <mergeCell ref="A83:N83"/>
    <mergeCell ref="A84:N84"/>
    <mergeCell ref="A78:F78"/>
    <mergeCell ref="G78:N78"/>
    <mergeCell ref="A85:N85"/>
    <mergeCell ref="A80:N80"/>
    <mergeCell ref="A90:F90"/>
    <mergeCell ref="G12:N12"/>
    <mergeCell ref="A12:F12"/>
    <mergeCell ref="A3:N3"/>
    <mergeCell ref="A4:N4"/>
    <mergeCell ref="G1:N1"/>
    <mergeCell ref="A37:N37"/>
    <mergeCell ref="A75:H75"/>
    <mergeCell ref="I75:N75"/>
    <mergeCell ref="A22:N22"/>
    <mergeCell ref="A15:N15"/>
    <mergeCell ref="A16:N16"/>
    <mergeCell ref="A17:N17"/>
    <mergeCell ref="A21:N21"/>
    <mergeCell ref="A41:N41"/>
    <mergeCell ref="A26:N26"/>
    <mergeCell ref="A7:N7"/>
    <mergeCell ref="A8:N8"/>
    <mergeCell ref="A9:N9"/>
    <mergeCell ref="A10:N10"/>
    <mergeCell ref="A11:N11"/>
    <mergeCell ref="A14:N14"/>
    <mergeCell ref="A47:N47"/>
    <mergeCell ref="A64:N64"/>
    <mergeCell ref="A67:N67"/>
    <mergeCell ref="A59:N59"/>
    <mergeCell ref="G5:N5"/>
  </mergeCells>
  <pageMargins left="0.59055118110236227" right="0.39370078740157483" top="0.19685039370078741" bottom="0.19685039370078741" header="0" footer="0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D2:O62"/>
  <sheetViews>
    <sheetView topLeftCell="A34" workbookViewId="0">
      <selection activeCell="M55" sqref="M55"/>
    </sheetView>
  </sheetViews>
  <sheetFormatPr defaultRowHeight="15" x14ac:dyDescent="0.25"/>
  <cols>
    <col min="2" max="2" width="4.42578125" customWidth="1"/>
    <col min="3" max="3" width="1.28515625" customWidth="1"/>
    <col min="5" max="5" width="41.7109375" customWidth="1"/>
  </cols>
  <sheetData>
    <row r="2" spans="4:7" x14ac:dyDescent="0.25">
      <c r="D2" s="132" t="s">
        <v>98</v>
      </c>
      <c r="E2" s="132"/>
    </row>
    <row r="3" spans="4:7" x14ac:dyDescent="0.25">
      <c r="D3" s="132" t="s">
        <v>99</v>
      </c>
      <c r="E3" s="132"/>
      <c r="F3" s="38">
        <f>9.6+0.5+2.5+16+2.9+1.5+0.8+5.9+21+2.5</f>
        <v>63.199999999999996</v>
      </c>
      <c r="G3" s="38" t="s">
        <v>109</v>
      </c>
    </row>
    <row r="4" spans="4:7" x14ac:dyDescent="0.25">
      <c r="D4" s="132" t="s">
        <v>100</v>
      </c>
      <c r="E4" s="132"/>
      <c r="F4" s="38">
        <f>57.6</f>
        <v>57.6</v>
      </c>
      <c r="G4" s="38" t="s">
        <v>109</v>
      </c>
    </row>
    <row r="5" spans="4:7" x14ac:dyDescent="0.25">
      <c r="D5" s="132" t="s">
        <v>101</v>
      </c>
      <c r="E5" s="132"/>
      <c r="F5" s="38">
        <f>54</f>
        <v>54</v>
      </c>
      <c r="G5" s="38" t="s">
        <v>109</v>
      </c>
    </row>
    <row r="6" spans="4:7" x14ac:dyDescent="0.25">
      <c r="D6" s="127" t="s">
        <v>108</v>
      </c>
      <c r="E6" s="127"/>
      <c r="F6" s="39">
        <v>32</v>
      </c>
      <c r="G6" s="39" t="s">
        <v>110</v>
      </c>
    </row>
    <row r="7" spans="4:7" x14ac:dyDescent="0.25">
      <c r="D7" s="127" t="s">
        <v>111</v>
      </c>
      <c r="E7" s="127"/>
      <c r="F7" s="39">
        <v>27.6</v>
      </c>
      <c r="G7" s="39" t="s">
        <v>110</v>
      </c>
    </row>
    <row r="8" spans="4:7" x14ac:dyDescent="0.25">
      <c r="D8" s="127" t="s">
        <v>112</v>
      </c>
      <c r="E8" s="127"/>
      <c r="F8" s="39">
        <v>27.6</v>
      </c>
      <c r="G8" s="39" t="s">
        <v>110</v>
      </c>
    </row>
    <row r="10" spans="4:7" x14ac:dyDescent="0.25">
      <c r="D10" s="132" t="s">
        <v>102</v>
      </c>
      <c r="E10" s="132"/>
    </row>
    <row r="11" spans="4:7" x14ac:dyDescent="0.25">
      <c r="D11" s="132" t="s">
        <v>99</v>
      </c>
      <c r="E11" s="132"/>
      <c r="F11" s="38">
        <f>0.7+0.7</f>
        <v>1.4</v>
      </c>
      <c r="G11" s="38" t="s">
        <v>109</v>
      </c>
    </row>
    <row r="12" spans="4:7" x14ac:dyDescent="0.25">
      <c r="D12" s="132" t="s">
        <v>100</v>
      </c>
      <c r="E12" s="132"/>
      <c r="F12" s="38">
        <v>3</v>
      </c>
      <c r="G12" s="38" t="s">
        <v>109</v>
      </c>
    </row>
    <row r="13" spans="4:7" x14ac:dyDescent="0.25">
      <c r="D13" s="132" t="s">
        <v>101</v>
      </c>
      <c r="E13" s="132"/>
      <c r="F13" s="38">
        <v>2.8</v>
      </c>
      <c r="G13" s="38" t="s">
        <v>109</v>
      </c>
    </row>
    <row r="14" spans="4:7" x14ac:dyDescent="0.25">
      <c r="D14" s="127" t="s">
        <v>108</v>
      </c>
      <c r="E14" s="127"/>
      <c r="F14" s="39">
        <v>4.5999999999999996</v>
      </c>
      <c r="G14" s="39" t="s">
        <v>110</v>
      </c>
    </row>
    <row r="15" spans="4:7" x14ac:dyDescent="0.25">
      <c r="D15" s="127" t="s">
        <v>111</v>
      </c>
      <c r="E15" s="127"/>
      <c r="F15" s="39">
        <v>3</v>
      </c>
      <c r="G15" s="39" t="s">
        <v>110</v>
      </c>
    </row>
    <row r="16" spans="4:7" x14ac:dyDescent="0.25">
      <c r="D16" s="127" t="s">
        <v>112</v>
      </c>
      <c r="E16" s="127"/>
      <c r="F16" s="39">
        <v>3</v>
      </c>
      <c r="G16" s="39" t="s">
        <v>110</v>
      </c>
    </row>
    <row r="18" spans="4:7" x14ac:dyDescent="0.25">
      <c r="D18" s="132" t="s">
        <v>103</v>
      </c>
      <c r="E18" s="132"/>
    </row>
    <row r="19" spans="4:7" x14ac:dyDescent="0.25">
      <c r="D19" s="132" t="s">
        <v>99</v>
      </c>
      <c r="E19" s="132"/>
      <c r="F19" s="38">
        <f>2.4+1.2+1.4</f>
        <v>5</v>
      </c>
      <c r="G19" s="38" t="s">
        <v>109</v>
      </c>
    </row>
    <row r="20" spans="4:7" x14ac:dyDescent="0.25">
      <c r="D20" s="132" t="s">
        <v>100</v>
      </c>
      <c r="E20" s="132"/>
      <c r="F20" s="38">
        <f>13.5</f>
        <v>13.5</v>
      </c>
      <c r="G20" s="38" t="s">
        <v>109</v>
      </c>
    </row>
    <row r="21" spans="4:7" x14ac:dyDescent="0.25">
      <c r="D21" s="132" t="s">
        <v>101</v>
      </c>
      <c r="E21" s="132"/>
      <c r="F21" s="38">
        <f>12.5</f>
        <v>12.5</v>
      </c>
      <c r="G21" s="38" t="s">
        <v>109</v>
      </c>
    </row>
    <row r="22" spans="4:7" ht="15.75" customHeight="1" x14ac:dyDescent="0.25">
      <c r="D22" s="127" t="s">
        <v>108</v>
      </c>
      <c r="E22" s="127"/>
      <c r="F22" s="39">
        <v>11.6</v>
      </c>
      <c r="G22" s="39" t="s">
        <v>110</v>
      </c>
    </row>
    <row r="23" spans="4:7" x14ac:dyDescent="0.25">
      <c r="D23" s="127" t="s">
        <v>111</v>
      </c>
      <c r="E23" s="127"/>
      <c r="F23" s="39">
        <v>7.6</v>
      </c>
      <c r="G23" s="39" t="s">
        <v>110</v>
      </c>
    </row>
    <row r="24" spans="4:7" x14ac:dyDescent="0.25">
      <c r="D24" s="127" t="s">
        <v>112</v>
      </c>
      <c r="E24" s="127"/>
      <c r="F24" s="39">
        <v>7.6</v>
      </c>
      <c r="G24" s="39" t="s">
        <v>110</v>
      </c>
    </row>
    <row r="26" spans="4:7" x14ac:dyDescent="0.25">
      <c r="D26" s="132" t="s">
        <v>104</v>
      </c>
      <c r="E26" s="132"/>
    </row>
    <row r="27" spans="4:7" x14ac:dyDescent="0.25">
      <c r="D27" s="132" t="s">
        <v>99</v>
      </c>
      <c r="E27" s="132"/>
      <c r="F27" s="38">
        <f>3+1.8+1.5+12+1.8+0.5+1.9+6.7</f>
        <v>29.2</v>
      </c>
      <c r="G27" s="38" t="s">
        <v>109</v>
      </c>
    </row>
    <row r="28" spans="4:7" x14ac:dyDescent="0.25">
      <c r="D28" s="132" t="s">
        <v>100</v>
      </c>
      <c r="E28" s="132"/>
      <c r="F28" s="38">
        <f>13.6</f>
        <v>13.6</v>
      </c>
      <c r="G28" s="38" t="s">
        <v>109</v>
      </c>
    </row>
    <row r="29" spans="4:7" x14ac:dyDescent="0.25">
      <c r="D29" s="132" t="s">
        <v>101</v>
      </c>
      <c r="E29" s="132"/>
      <c r="F29" s="38">
        <f>12.3</f>
        <v>12.3</v>
      </c>
      <c r="G29" s="38" t="s">
        <v>109</v>
      </c>
    </row>
    <row r="30" spans="4:7" ht="14.25" customHeight="1" x14ac:dyDescent="0.25">
      <c r="D30" s="127" t="s">
        <v>108</v>
      </c>
      <c r="E30" s="127"/>
      <c r="F30" s="39">
        <v>11.8</v>
      </c>
      <c r="G30" s="39" t="s">
        <v>110</v>
      </c>
    </row>
    <row r="31" spans="4:7" x14ac:dyDescent="0.25">
      <c r="D31" s="127" t="s">
        <v>111</v>
      </c>
      <c r="E31" s="127"/>
      <c r="F31" s="39">
        <v>7.2</v>
      </c>
      <c r="G31" s="39" t="s">
        <v>110</v>
      </c>
    </row>
    <row r="32" spans="4:7" x14ac:dyDescent="0.25">
      <c r="D32" s="127" t="s">
        <v>112</v>
      </c>
      <c r="E32" s="127"/>
      <c r="F32" s="39">
        <v>7.2</v>
      </c>
      <c r="G32" s="39" t="s">
        <v>110</v>
      </c>
    </row>
    <row r="33" spans="4:15" x14ac:dyDescent="0.25">
      <c r="F33" s="6"/>
      <c r="G33" s="6"/>
    </row>
    <row r="34" spans="4:15" x14ac:dyDescent="0.25">
      <c r="D34" s="132" t="s">
        <v>105</v>
      </c>
      <c r="E34" s="132"/>
      <c r="F34" s="6"/>
      <c r="G34" s="6"/>
    </row>
    <row r="35" spans="4:15" x14ac:dyDescent="0.25">
      <c r="D35" s="132" t="s">
        <v>99</v>
      </c>
      <c r="E35" s="132"/>
      <c r="F35" s="39">
        <f>1.2+1.4+0.5+0.6+1.9+6+10.7+1.7</f>
        <v>23.999999999999996</v>
      </c>
      <c r="G35" s="39" t="s">
        <v>109</v>
      </c>
    </row>
    <row r="36" spans="4:15" x14ac:dyDescent="0.25">
      <c r="D36" s="132" t="s">
        <v>100</v>
      </c>
      <c r="E36" s="132"/>
      <c r="F36" s="39">
        <f>7.3</f>
        <v>7.3</v>
      </c>
      <c r="G36" s="39" t="s">
        <v>109</v>
      </c>
    </row>
    <row r="37" spans="4:15" x14ac:dyDescent="0.25">
      <c r="D37" s="132" t="s">
        <v>101</v>
      </c>
      <c r="E37" s="132"/>
      <c r="F37" s="39">
        <f>6.6</f>
        <v>6.6</v>
      </c>
      <c r="G37" s="39" t="s">
        <v>109</v>
      </c>
    </row>
    <row r="38" spans="4:15" x14ac:dyDescent="0.25">
      <c r="D38" s="127" t="s">
        <v>108</v>
      </c>
      <c r="E38" s="127"/>
      <c r="F38" s="39">
        <v>8</v>
      </c>
      <c r="G38" s="39" t="s">
        <v>110</v>
      </c>
    </row>
    <row r="39" spans="4:15" x14ac:dyDescent="0.25">
      <c r="D39" s="127" t="s">
        <v>111</v>
      </c>
      <c r="E39" s="127"/>
      <c r="F39" s="39">
        <v>4</v>
      </c>
      <c r="G39" s="39" t="s">
        <v>110</v>
      </c>
    </row>
    <row r="40" spans="4:15" x14ac:dyDescent="0.25">
      <c r="D40" s="127" t="s">
        <v>112</v>
      </c>
      <c r="E40" s="127"/>
      <c r="F40" s="39">
        <v>4</v>
      </c>
      <c r="G40" s="39" t="s">
        <v>110</v>
      </c>
    </row>
    <row r="41" spans="4:15" x14ac:dyDescent="0.25">
      <c r="F41" s="6"/>
      <c r="G41" s="6"/>
      <c r="O41" t="s">
        <v>11</v>
      </c>
    </row>
    <row r="42" spans="4:15" x14ac:dyDescent="0.25">
      <c r="D42" s="132" t="s">
        <v>106</v>
      </c>
      <c r="E42" s="132"/>
      <c r="F42" s="6"/>
      <c r="G42" s="6"/>
    </row>
    <row r="43" spans="4:15" x14ac:dyDescent="0.25">
      <c r="D43" s="132" t="s">
        <v>99</v>
      </c>
      <c r="E43" s="132"/>
      <c r="F43" s="39">
        <f>3+2.3+1.1+1.7+18.6+0.7+3.5</f>
        <v>30.900000000000002</v>
      </c>
      <c r="G43" s="39" t="s">
        <v>109</v>
      </c>
    </row>
    <row r="44" spans="4:15" x14ac:dyDescent="0.25">
      <c r="D44" s="132" t="s">
        <v>100</v>
      </c>
      <c r="E44" s="132"/>
      <c r="F44" s="39">
        <f>13</f>
        <v>13</v>
      </c>
      <c r="G44" s="39" t="s">
        <v>109</v>
      </c>
    </row>
    <row r="45" spans="4:15" x14ac:dyDescent="0.25">
      <c r="D45" s="132" t="s">
        <v>101</v>
      </c>
      <c r="E45" s="132"/>
      <c r="F45" s="39">
        <f>13</f>
        <v>13</v>
      </c>
      <c r="G45" s="39" t="s">
        <v>109</v>
      </c>
    </row>
    <row r="46" spans="4:15" x14ac:dyDescent="0.25">
      <c r="D46" s="127" t="s">
        <v>108</v>
      </c>
      <c r="E46" s="127"/>
      <c r="F46" s="39">
        <v>10.5</v>
      </c>
      <c r="G46" s="39" t="s">
        <v>110</v>
      </c>
    </row>
    <row r="47" spans="4:15" x14ac:dyDescent="0.25">
      <c r="D47" s="127" t="s">
        <v>111</v>
      </c>
      <c r="E47" s="127"/>
      <c r="F47" s="39">
        <v>7.5</v>
      </c>
      <c r="G47" s="39" t="s">
        <v>110</v>
      </c>
    </row>
    <row r="48" spans="4:15" x14ac:dyDescent="0.25">
      <c r="D48" s="127" t="s">
        <v>112</v>
      </c>
      <c r="E48" s="127"/>
      <c r="F48" s="39">
        <v>7.5</v>
      </c>
      <c r="G48" s="39" t="s">
        <v>110</v>
      </c>
    </row>
    <row r="49" spans="4:7" x14ac:dyDescent="0.25">
      <c r="F49" s="6"/>
      <c r="G49" s="6"/>
    </row>
    <row r="50" spans="4:7" x14ac:dyDescent="0.25">
      <c r="D50" s="132" t="s">
        <v>107</v>
      </c>
      <c r="E50" s="132"/>
      <c r="F50" s="6"/>
      <c r="G50" s="6"/>
    </row>
    <row r="51" spans="4:7" x14ac:dyDescent="0.25">
      <c r="D51" s="132" t="s">
        <v>99</v>
      </c>
      <c r="E51" s="132"/>
      <c r="F51" s="39">
        <f>3+0.9+0.3+0.9+7.9+0.7+3</f>
        <v>16.7</v>
      </c>
      <c r="G51" s="39" t="s">
        <v>109</v>
      </c>
    </row>
    <row r="52" spans="4:7" x14ac:dyDescent="0.25">
      <c r="D52" s="132" t="s">
        <v>100</v>
      </c>
      <c r="E52" s="132"/>
      <c r="F52" s="39">
        <f>10</f>
        <v>10</v>
      </c>
      <c r="G52" s="39" t="s">
        <v>109</v>
      </c>
    </row>
    <row r="53" spans="4:7" x14ac:dyDescent="0.25">
      <c r="D53" s="132" t="s">
        <v>101</v>
      </c>
      <c r="E53" s="132"/>
      <c r="F53" s="39">
        <f>10</f>
        <v>10</v>
      </c>
      <c r="G53" s="39" t="s">
        <v>109</v>
      </c>
    </row>
    <row r="54" spans="4:7" x14ac:dyDescent="0.25">
      <c r="D54" s="127" t="s">
        <v>108</v>
      </c>
      <c r="E54" s="127"/>
      <c r="F54" s="39">
        <v>10.5</v>
      </c>
      <c r="G54" s="39" t="s">
        <v>110</v>
      </c>
    </row>
    <row r="55" spans="4:7" x14ac:dyDescent="0.25">
      <c r="D55" s="127" t="s">
        <v>111</v>
      </c>
      <c r="E55" s="127"/>
      <c r="F55" s="39">
        <v>7</v>
      </c>
      <c r="G55" s="39" t="s">
        <v>110</v>
      </c>
    </row>
    <row r="56" spans="4:7" ht="15.75" thickBot="1" x14ac:dyDescent="0.3"/>
    <row r="57" spans="4:7" s="47" customFormat="1" ht="29.25" customHeight="1" x14ac:dyDescent="0.25">
      <c r="D57" s="124" t="s">
        <v>117</v>
      </c>
      <c r="E57" s="125"/>
      <c r="F57" s="45">
        <f>F3+F11+F19+F27+F35+F43+F51</f>
        <v>170.39999999999998</v>
      </c>
      <c r="G57" s="46" t="s">
        <v>109</v>
      </c>
    </row>
    <row r="58" spans="4:7" ht="30" customHeight="1" x14ac:dyDescent="0.25">
      <c r="D58" s="133" t="s">
        <v>118</v>
      </c>
      <c r="E58" s="134"/>
      <c r="F58" s="41">
        <f>F4+F12+F20+F28+F36+F44+F52</f>
        <v>117.99999999999999</v>
      </c>
      <c r="G58" s="43" t="s">
        <v>109</v>
      </c>
    </row>
    <row r="59" spans="4:7" ht="15.75" thickBot="1" x14ac:dyDescent="0.3">
      <c r="D59" s="130" t="s">
        <v>116</v>
      </c>
      <c r="E59" s="131"/>
      <c r="F59" s="42">
        <f>F5+F13+F21+F29+F37+F45+F53</f>
        <v>111.19999999999999</v>
      </c>
      <c r="G59" s="43" t="s">
        <v>109</v>
      </c>
    </row>
    <row r="60" spans="4:7" ht="30" customHeight="1" x14ac:dyDescent="0.25">
      <c r="D60" s="124" t="s">
        <v>114</v>
      </c>
      <c r="E60" s="125"/>
      <c r="F60" s="40">
        <f>F6+F14+F22+F30+F38+F46+F54</f>
        <v>89</v>
      </c>
      <c r="G60" s="43" t="s">
        <v>110</v>
      </c>
    </row>
    <row r="61" spans="4:7" ht="29.25" customHeight="1" x14ac:dyDescent="0.25">
      <c r="D61" s="126" t="s">
        <v>113</v>
      </c>
      <c r="E61" s="127"/>
      <c r="F61" s="41">
        <f>F7+F15+F23+F31+F39+F47+F55</f>
        <v>63.900000000000006</v>
      </c>
      <c r="G61" s="43" t="s">
        <v>110</v>
      </c>
    </row>
    <row r="62" spans="4:7" ht="30.75" customHeight="1" thickBot="1" x14ac:dyDescent="0.3">
      <c r="D62" s="128" t="s">
        <v>115</v>
      </c>
      <c r="E62" s="129"/>
      <c r="F62" s="42">
        <f>F8+F16+F24+F32+F40+F48</f>
        <v>56.900000000000006</v>
      </c>
      <c r="G62" s="44" t="s">
        <v>110</v>
      </c>
    </row>
  </sheetData>
  <mergeCells count="54">
    <mergeCell ref="D21:E21"/>
    <mergeCell ref="D2:E2"/>
    <mergeCell ref="D3:E3"/>
    <mergeCell ref="D4:E4"/>
    <mergeCell ref="D5:E5"/>
    <mergeCell ref="D10:E10"/>
    <mergeCell ref="D11:E11"/>
    <mergeCell ref="D6:E6"/>
    <mergeCell ref="D7:E7"/>
    <mergeCell ref="D8:E8"/>
    <mergeCell ref="D12:E12"/>
    <mergeCell ref="D13:E13"/>
    <mergeCell ref="D18:E18"/>
    <mergeCell ref="D19:E19"/>
    <mergeCell ref="D20:E20"/>
    <mergeCell ref="D28:E28"/>
    <mergeCell ref="D29:E29"/>
    <mergeCell ref="D34:E34"/>
    <mergeCell ref="D35:E35"/>
    <mergeCell ref="D30:E30"/>
    <mergeCell ref="D31:E31"/>
    <mergeCell ref="D32:E32"/>
    <mergeCell ref="D14:E14"/>
    <mergeCell ref="D15:E15"/>
    <mergeCell ref="D16:E16"/>
    <mergeCell ref="D59:E59"/>
    <mergeCell ref="D54:E54"/>
    <mergeCell ref="D55:E55"/>
    <mergeCell ref="D46:E46"/>
    <mergeCell ref="D47:E47"/>
    <mergeCell ref="D48:E48"/>
    <mergeCell ref="D50:E50"/>
    <mergeCell ref="D51:E51"/>
    <mergeCell ref="D52:E52"/>
    <mergeCell ref="D53:E53"/>
    <mergeCell ref="D57:E57"/>
    <mergeCell ref="D58:E58"/>
    <mergeCell ref="D36:E36"/>
    <mergeCell ref="D60:E60"/>
    <mergeCell ref="D61:E61"/>
    <mergeCell ref="D62:E62"/>
    <mergeCell ref="D22:E22"/>
    <mergeCell ref="D23:E23"/>
    <mergeCell ref="D24:E24"/>
    <mergeCell ref="D37:E37"/>
    <mergeCell ref="D42:E42"/>
    <mergeCell ref="D43:E43"/>
    <mergeCell ref="D44:E44"/>
    <mergeCell ref="D45:E45"/>
    <mergeCell ref="D38:E38"/>
    <mergeCell ref="D39:E39"/>
    <mergeCell ref="D40:E40"/>
    <mergeCell ref="D26:E26"/>
    <mergeCell ref="D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</vt:lpstr>
      <vt:lpstr>Шаблон АОСР</vt:lpstr>
      <vt:lpstr>Лист3</vt:lpstr>
      <vt:lpstr>'Шаблон АОСР'!Область_печати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2019-06-10T13:55:02Z</dcterms:modified>
</cp:coreProperties>
</file>