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1610" activeTab="1"/>
  </bookViews>
  <sheets>
    <sheet name="Расчет об.раб" sheetId="1" r:id="rId1"/>
    <sheet name="Перечень об.раб." sheetId="2" r:id="rId2"/>
  </sheets>
  <definedNames>
    <definedName name="_xlnm.Print_Area" localSheetId="1">'Перечень об.раб.'!$B$1:$H$112</definedName>
    <definedName name="_xlnm.Print_Area" localSheetId="0">'Расчет об.раб'!$A$1:$Y$198</definedName>
  </definedNames>
  <calcPr calcId="145621" fullPrecision="0"/>
</workbook>
</file>

<file path=xl/calcChain.xml><?xml version="1.0" encoding="utf-8"?>
<calcChain xmlns="http://schemas.openxmlformats.org/spreadsheetml/2006/main">
  <c r="G7" i="2" l="1"/>
  <c r="G9" i="2"/>
  <c r="G10" i="2"/>
  <c r="G11" i="2"/>
  <c r="G12" i="2"/>
  <c r="G13" i="2"/>
  <c r="G16" i="2"/>
  <c r="G17" i="2"/>
  <c r="G18" i="2"/>
  <c r="G19" i="2"/>
  <c r="G20" i="2"/>
  <c r="G21" i="2"/>
  <c r="G22" i="2"/>
  <c r="G23" i="2"/>
  <c r="G24" i="2"/>
  <c r="G27" i="2"/>
  <c r="G28" i="2"/>
  <c r="G29" i="2"/>
  <c r="G30" i="2"/>
  <c r="G32" i="2"/>
  <c r="G33" i="2"/>
  <c r="G34" i="2"/>
  <c r="G35" i="2"/>
  <c r="G36" i="2"/>
  <c r="G38" i="2"/>
  <c r="G39" i="2"/>
  <c r="G40" i="2"/>
  <c r="G41" i="2"/>
  <c r="G42" i="2"/>
  <c r="G43" i="2"/>
  <c r="G44" i="2"/>
  <c r="G46" i="2"/>
  <c r="G49" i="2"/>
  <c r="G50" i="2"/>
  <c r="G51" i="2"/>
  <c r="G52" i="2"/>
  <c r="G53" i="2"/>
  <c r="G54" i="2"/>
  <c r="G55" i="2"/>
  <c r="G56" i="2"/>
  <c r="G58" i="2"/>
  <c r="G60" i="2"/>
  <c r="G61" i="2"/>
  <c r="G62" i="2"/>
  <c r="G63" i="2"/>
  <c r="G65" i="2"/>
  <c r="G66" i="2"/>
  <c r="G67" i="2"/>
  <c r="G68" i="2"/>
  <c r="G70" i="2"/>
  <c r="G71" i="2"/>
  <c r="G72" i="2"/>
  <c r="G73" i="2"/>
  <c r="G74" i="2"/>
  <c r="G75" i="2"/>
  <c r="G76" i="2"/>
  <c r="G77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100" i="2"/>
  <c r="G101" i="2"/>
  <c r="G102" i="2"/>
  <c r="G103" i="2"/>
  <c r="G104" i="2"/>
  <c r="G105" i="2"/>
  <c r="G106" i="2"/>
  <c r="G107" i="2"/>
  <c r="G108" i="2"/>
  <c r="G6" i="2"/>
  <c r="E110" i="2"/>
  <c r="G109" i="2" l="1"/>
  <c r="F80" i="2"/>
  <c r="F32" i="2"/>
  <c r="F46" i="2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6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7" i="1"/>
  <c r="Q48" i="1"/>
  <c r="Q49" i="1"/>
  <c r="Q50" i="1"/>
  <c r="Q51" i="1"/>
  <c r="Q12" i="1"/>
  <c r="S187" i="1" l="1"/>
  <c r="S194" i="1"/>
  <c r="S192" i="1" l="1"/>
  <c r="S191" i="1"/>
  <c r="F89" i="1"/>
  <c r="G89" i="1" s="1"/>
  <c r="H89" i="1" s="1"/>
  <c r="J89" i="1" s="1"/>
  <c r="F88" i="1"/>
  <c r="G88" i="1" s="1"/>
  <c r="H88" i="1" s="1"/>
  <c r="J88" i="1" s="1"/>
  <c r="M88" i="1" l="1"/>
  <c r="K88" i="1"/>
  <c r="N88" i="1"/>
  <c r="L88" i="1"/>
  <c r="N89" i="1"/>
  <c r="L89" i="1"/>
  <c r="M89" i="1"/>
  <c r="K89" i="1"/>
  <c r="O88" i="1" l="1"/>
  <c r="P88" i="1" s="1"/>
  <c r="Q88" i="1" s="1"/>
  <c r="O89" i="1"/>
  <c r="P89" i="1" s="1"/>
  <c r="Q89" i="1" s="1"/>
  <c r="U88" i="1" l="1"/>
  <c r="V88" i="1"/>
  <c r="S88" i="1"/>
  <c r="W88" i="1" s="1"/>
  <c r="X88" i="1" s="1"/>
  <c r="U89" i="1"/>
  <c r="V89" i="1" l="1"/>
  <c r="S89" i="1"/>
  <c r="W89" i="1" s="1"/>
  <c r="X89" i="1" s="1"/>
  <c r="Y89" i="1" s="1"/>
  <c r="D86" i="1" l="1"/>
  <c r="F86" i="1" s="1"/>
  <c r="G86" i="1" s="1"/>
  <c r="H86" i="1" s="1"/>
  <c r="J86" i="1" s="1"/>
  <c r="D85" i="1"/>
  <c r="F85" i="1" s="1"/>
  <c r="G85" i="1" s="1"/>
  <c r="H85" i="1" s="1"/>
  <c r="J85" i="1" s="1"/>
  <c r="M85" i="1" l="1"/>
  <c r="K85" i="1"/>
  <c r="N85" i="1"/>
  <c r="L85" i="1"/>
  <c r="N86" i="1"/>
  <c r="L86" i="1"/>
  <c r="M86" i="1"/>
  <c r="K86" i="1"/>
  <c r="O86" i="1" l="1"/>
  <c r="P86" i="1" s="1"/>
  <c r="Q86" i="1" s="1"/>
  <c r="O85" i="1"/>
  <c r="P85" i="1" s="1"/>
  <c r="Q85" i="1" s="1"/>
  <c r="U85" i="1" l="1"/>
  <c r="U86" i="1"/>
  <c r="V86" i="1" l="1"/>
  <c r="S86" i="1"/>
  <c r="W86" i="1" s="1"/>
  <c r="X86" i="1" s="1"/>
  <c r="V85" i="1"/>
  <c r="S85" i="1"/>
  <c r="W85" i="1" s="1"/>
  <c r="X85" i="1" s="1"/>
  <c r="Y86" i="1" l="1"/>
  <c r="F61" i="2" s="1"/>
  <c r="B34" i="1"/>
  <c r="S188" i="1"/>
  <c r="E30" i="1" l="1"/>
  <c r="D154" i="1"/>
  <c r="F154" i="1" s="1"/>
  <c r="G154" i="1" s="1"/>
  <c r="D153" i="1"/>
  <c r="F153" i="1" s="1"/>
  <c r="G153" i="1" s="1"/>
  <c r="H154" i="1" l="1"/>
  <c r="J154" i="1" s="1"/>
  <c r="K154" i="1" s="1"/>
  <c r="H153" i="1"/>
  <c r="J153" i="1" s="1"/>
  <c r="M153" i="1" s="1"/>
  <c r="L154" i="1" l="1"/>
  <c r="M154" i="1"/>
  <c r="O154" i="1" s="1"/>
  <c r="P154" i="1" s="1"/>
  <c r="Q154" i="1" s="1"/>
  <c r="N154" i="1"/>
  <c r="L153" i="1"/>
  <c r="K153" i="1"/>
  <c r="N153" i="1"/>
  <c r="O153" i="1" l="1"/>
  <c r="P153" i="1" s="1"/>
  <c r="Q153" i="1" s="1"/>
  <c r="U153" i="1"/>
  <c r="U154" i="1"/>
  <c r="V153" i="1" l="1"/>
  <c r="S153" i="1"/>
  <c r="W153" i="1" s="1"/>
  <c r="X153" i="1" s="1"/>
  <c r="V154" i="1"/>
  <c r="S154" i="1"/>
  <c r="W154" i="1" s="1"/>
  <c r="X154" i="1" s="1"/>
  <c r="Y154" i="1" l="1"/>
  <c r="F90" i="2" s="1"/>
  <c r="D157" i="1" l="1"/>
  <c r="F157" i="1" s="1"/>
  <c r="G157" i="1" s="1"/>
  <c r="H157" i="1" s="1"/>
  <c r="J157" i="1" s="1"/>
  <c r="D156" i="1"/>
  <c r="F156" i="1" s="1"/>
  <c r="G156" i="1" s="1"/>
  <c r="H156" i="1" s="1"/>
  <c r="J156" i="1" s="1"/>
  <c r="M156" i="1" l="1"/>
  <c r="K156" i="1"/>
  <c r="N156" i="1"/>
  <c r="L156" i="1"/>
  <c r="L157" i="1"/>
  <c r="M157" i="1"/>
  <c r="K157" i="1"/>
  <c r="N157" i="1"/>
  <c r="O157" i="1" l="1"/>
  <c r="P157" i="1" s="1"/>
  <c r="Q157" i="1" s="1"/>
  <c r="U157" i="1" s="1"/>
  <c r="O156" i="1"/>
  <c r="P156" i="1" s="1"/>
  <c r="Q156" i="1" s="1"/>
  <c r="V157" i="1" l="1"/>
  <c r="U156" i="1"/>
  <c r="S157" i="1" l="1"/>
  <c r="W157" i="1" s="1"/>
  <c r="X157" i="1" s="1"/>
  <c r="V156" i="1"/>
  <c r="S156" i="1"/>
  <c r="W156" i="1" s="1"/>
  <c r="X156" i="1" s="1"/>
  <c r="Y157" i="1" l="1"/>
  <c r="F91" i="2" s="1"/>
  <c r="F132" i="1"/>
  <c r="G132" i="1" s="1"/>
  <c r="H132" i="1" s="1"/>
  <c r="J132" i="1" s="1"/>
  <c r="F128" i="1"/>
  <c r="G128" i="1" s="1"/>
  <c r="H128" i="1" s="1"/>
  <c r="J128" i="1" s="1"/>
  <c r="F92" i="1"/>
  <c r="G92" i="1" s="1"/>
  <c r="H92" i="1" s="1"/>
  <c r="J92" i="1" s="1"/>
  <c r="F91" i="1"/>
  <c r="G91" i="1" s="1"/>
  <c r="H91" i="1" s="1"/>
  <c r="J91" i="1" s="1"/>
  <c r="N132" i="1" l="1"/>
  <c r="L132" i="1"/>
  <c r="M132" i="1"/>
  <c r="K132" i="1"/>
  <c r="N128" i="1"/>
  <c r="L128" i="1"/>
  <c r="M128" i="1"/>
  <c r="K128" i="1"/>
  <c r="N91" i="1"/>
  <c r="L91" i="1"/>
  <c r="M91" i="1"/>
  <c r="K91" i="1"/>
  <c r="M92" i="1"/>
  <c r="K92" i="1"/>
  <c r="N92" i="1"/>
  <c r="L92" i="1"/>
  <c r="O132" i="1" l="1"/>
  <c r="P132" i="1" s="1"/>
  <c r="Q132" i="1" s="1"/>
  <c r="O128" i="1"/>
  <c r="P128" i="1" s="1"/>
  <c r="Q128" i="1" s="1"/>
  <c r="O92" i="1"/>
  <c r="P92" i="1" s="1"/>
  <c r="Q92" i="1" s="1"/>
  <c r="O91" i="1"/>
  <c r="P91" i="1" s="1"/>
  <c r="Q91" i="1" s="1"/>
  <c r="U132" i="1" l="1"/>
  <c r="U128" i="1"/>
  <c r="U91" i="1"/>
  <c r="U92" i="1"/>
  <c r="V132" i="1" l="1"/>
  <c r="S132" i="1"/>
  <c r="W132" i="1" s="1"/>
  <c r="X132" i="1" s="1"/>
  <c r="F104" i="2" s="1"/>
  <c r="V128" i="1"/>
  <c r="S128" i="1"/>
  <c r="W128" i="1" s="1"/>
  <c r="X128" i="1" s="1"/>
  <c r="F103" i="2" s="1"/>
  <c r="V91" i="1"/>
  <c r="S91" i="1"/>
  <c r="W91" i="1" s="1"/>
  <c r="X91" i="1" s="1"/>
  <c r="V92" i="1"/>
  <c r="S92" i="1"/>
  <c r="W92" i="1" s="1"/>
  <c r="X92" i="1" s="1"/>
  <c r="Y92" i="1" l="1"/>
  <c r="F63" i="2" s="1"/>
  <c r="F62" i="2" l="1"/>
  <c r="F99" i="1"/>
  <c r="G99" i="1" s="1"/>
  <c r="H99" i="1" s="1"/>
  <c r="J99" i="1" s="1"/>
  <c r="F98" i="1"/>
  <c r="G98" i="1" s="1"/>
  <c r="H98" i="1" s="1"/>
  <c r="J98" i="1" s="1"/>
  <c r="M98" i="1" l="1"/>
  <c r="K98" i="1"/>
  <c r="L98" i="1"/>
  <c r="N98" i="1"/>
  <c r="N99" i="1"/>
  <c r="L99" i="1"/>
  <c r="M99" i="1"/>
  <c r="K99" i="1"/>
  <c r="O99" i="1" l="1"/>
  <c r="P99" i="1" s="1"/>
  <c r="Q99" i="1" s="1"/>
  <c r="O98" i="1"/>
  <c r="P98" i="1" s="1"/>
  <c r="Q98" i="1" s="1"/>
  <c r="U99" i="1" l="1"/>
  <c r="U98" i="1"/>
  <c r="V98" i="1" l="1"/>
  <c r="S98" i="1"/>
  <c r="W98" i="1" s="1"/>
  <c r="X98" i="1" s="1"/>
  <c r="V99" i="1"/>
  <c r="S99" i="1"/>
  <c r="W99" i="1" s="1"/>
  <c r="X99" i="1" s="1"/>
  <c r="Y99" i="1" l="1"/>
  <c r="F66" i="2" s="1"/>
  <c r="F117" i="1"/>
  <c r="G117" i="1" s="1"/>
  <c r="H117" i="1" s="1"/>
  <c r="J117" i="1" s="1"/>
  <c r="M117" i="1" l="1"/>
  <c r="K117" i="1"/>
  <c r="N117" i="1"/>
  <c r="L117" i="1"/>
  <c r="O117" i="1" l="1"/>
  <c r="P117" i="1" s="1"/>
  <c r="Q117" i="1" s="1"/>
  <c r="U117" i="1" l="1"/>
  <c r="V117" i="1" l="1"/>
  <c r="S117" i="1"/>
  <c r="W117" i="1" s="1"/>
  <c r="X117" i="1" s="1"/>
  <c r="F73" i="2" s="1"/>
  <c r="F75" i="1" l="1"/>
  <c r="G75" i="1" s="1"/>
  <c r="H75" i="1" s="1"/>
  <c r="J75" i="1" s="1"/>
  <c r="F74" i="1"/>
  <c r="G74" i="1" s="1"/>
  <c r="H74" i="1" s="1"/>
  <c r="J74" i="1" s="1"/>
  <c r="D70" i="1"/>
  <c r="F70" i="1" s="1"/>
  <c r="G70" i="1" s="1"/>
  <c r="H70" i="1" s="1"/>
  <c r="J70" i="1" s="1"/>
  <c r="D69" i="1"/>
  <c r="F69" i="1" s="1"/>
  <c r="G69" i="1" s="1"/>
  <c r="H69" i="1" s="1"/>
  <c r="J69" i="1" s="1"/>
  <c r="N74" i="1" l="1"/>
  <c r="L74" i="1"/>
  <c r="M74" i="1"/>
  <c r="K74" i="1"/>
  <c r="M75" i="1"/>
  <c r="K75" i="1"/>
  <c r="N75" i="1"/>
  <c r="L75" i="1"/>
  <c r="M69" i="1"/>
  <c r="K69" i="1"/>
  <c r="N69" i="1"/>
  <c r="L69" i="1"/>
  <c r="N70" i="1"/>
  <c r="L70" i="1"/>
  <c r="M70" i="1"/>
  <c r="K70" i="1"/>
  <c r="O75" i="1" l="1"/>
  <c r="P75" i="1" s="1"/>
  <c r="Q75" i="1" s="1"/>
  <c r="O74" i="1"/>
  <c r="P74" i="1" s="1"/>
  <c r="Q74" i="1" s="1"/>
  <c r="O70" i="1"/>
  <c r="P70" i="1" s="1"/>
  <c r="Q70" i="1" s="1"/>
  <c r="O69" i="1"/>
  <c r="P69" i="1" s="1"/>
  <c r="Q69" i="1" s="1"/>
  <c r="U74" i="1" l="1"/>
  <c r="U75" i="1"/>
  <c r="U69" i="1"/>
  <c r="U70" i="1"/>
  <c r="V74" i="1" l="1"/>
  <c r="S74" i="1"/>
  <c r="W74" i="1" s="1"/>
  <c r="X74" i="1" s="1"/>
  <c r="V75" i="1"/>
  <c r="S75" i="1"/>
  <c r="W75" i="1" s="1"/>
  <c r="X75" i="1" s="1"/>
  <c r="V70" i="1"/>
  <c r="S70" i="1"/>
  <c r="W70" i="1" s="1"/>
  <c r="X70" i="1" s="1"/>
  <c r="V69" i="1"/>
  <c r="S69" i="1"/>
  <c r="W69" i="1" s="1"/>
  <c r="X69" i="1" s="1"/>
  <c r="Y70" i="1" s="1"/>
  <c r="F52" i="2" s="1"/>
  <c r="Y75" i="1" l="1"/>
  <c r="F53" i="2" s="1"/>
  <c r="G50" i="1" l="1"/>
  <c r="H50" i="1" s="1"/>
  <c r="I50" i="1" s="1"/>
  <c r="L50" i="1" l="1"/>
  <c r="J50" i="1"/>
  <c r="M50" i="1"/>
  <c r="K50" i="1"/>
  <c r="N50" i="1" l="1"/>
  <c r="O50" i="1" s="1"/>
  <c r="P50" i="1" s="1"/>
  <c r="T50" i="1" s="1"/>
  <c r="U50" i="1" l="1"/>
  <c r="R50" i="1" l="1"/>
  <c r="V50" i="1" s="1"/>
  <c r="W50" i="1" s="1"/>
  <c r="F40" i="2" s="1"/>
  <c r="S193" i="1" l="1"/>
  <c r="W193" i="1" s="1"/>
  <c r="X193" i="1" s="1"/>
  <c r="F30" i="2" s="1"/>
  <c r="D178" i="1" l="1"/>
  <c r="F96" i="1" l="1"/>
  <c r="G96" i="1" s="1"/>
  <c r="F95" i="1"/>
  <c r="H96" i="1" l="1"/>
  <c r="J96" i="1" s="1"/>
  <c r="L96" i="1" s="1"/>
  <c r="G95" i="1"/>
  <c r="H95" i="1" s="1"/>
  <c r="J95" i="1" s="1"/>
  <c r="N96" i="1" l="1"/>
  <c r="K96" i="1"/>
  <c r="M96" i="1"/>
  <c r="M95" i="1"/>
  <c r="N95" i="1"/>
  <c r="K95" i="1"/>
  <c r="L95" i="1"/>
  <c r="O96" i="1" l="1"/>
  <c r="P96" i="1" s="1"/>
  <c r="Q96" i="1" s="1"/>
  <c r="O95" i="1"/>
  <c r="P95" i="1" s="1"/>
  <c r="Q95" i="1" s="1"/>
  <c r="U96" i="1" l="1"/>
  <c r="U95" i="1"/>
  <c r="V95" i="1"/>
  <c r="S95" i="1"/>
  <c r="W95" i="1" s="1"/>
  <c r="X95" i="1" s="1"/>
  <c r="V96" i="1"/>
  <c r="S96" i="1"/>
  <c r="W96" i="1" s="1"/>
  <c r="X96" i="1" s="1"/>
  <c r="Y96" i="1" l="1"/>
  <c r="F65" i="2" l="1"/>
  <c r="S189" i="1"/>
  <c r="W189" i="1" s="1"/>
  <c r="X189" i="1" s="1"/>
  <c r="F42" i="2" s="1"/>
  <c r="D142" i="1" l="1"/>
  <c r="F142" i="1" s="1"/>
  <c r="G142" i="1" l="1"/>
  <c r="H142" i="1" s="1"/>
  <c r="J142" i="1" s="1"/>
  <c r="F140" i="1"/>
  <c r="F139" i="1"/>
  <c r="F138" i="1"/>
  <c r="F137" i="1"/>
  <c r="M142" i="1" l="1"/>
  <c r="N142" i="1"/>
  <c r="K142" i="1"/>
  <c r="L142" i="1"/>
  <c r="G137" i="1"/>
  <c r="H137" i="1" s="1"/>
  <c r="J137" i="1" s="1"/>
  <c r="G139" i="1"/>
  <c r="H139" i="1" s="1"/>
  <c r="J139" i="1" s="1"/>
  <c r="G138" i="1"/>
  <c r="H138" i="1" s="1"/>
  <c r="J138" i="1" s="1"/>
  <c r="G140" i="1"/>
  <c r="H140" i="1" s="1"/>
  <c r="J140" i="1" s="1"/>
  <c r="O142" i="1" l="1"/>
  <c r="P142" i="1" s="1"/>
  <c r="Q142" i="1" s="1"/>
  <c r="K140" i="1"/>
  <c r="L140" i="1"/>
  <c r="M140" i="1"/>
  <c r="N140" i="1"/>
  <c r="L139" i="1"/>
  <c r="K139" i="1"/>
  <c r="N139" i="1"/>
  <c r="M139" i="1"/>
  <c r="K138" i="1"/>
  <c r="L138" i="1"/>
  <c r="M138" i="1"/>
  <c r="N138" i="1"/>
  <c r="L137" i="1"/>
  <c r="K137" i="1"/>
  <c r="N137" i="1"/>
  <c r="M137" i="1"/>
  <c r="U142" i="1"/>
  <c r="O137" i="1" l="1"/>
  <c r="P137" i="1" s="1"/>
  <c r="Q137" i="1" s="1"/>
  <c r="U137" i="1" s="1"/>
  <c r="O138" i="1"/>
  <c r="P138" i="1" s="1"/>
  <c r="Q138" i="1" s="1"/>
  <c r="O139" i="1"/>
  <c r="P139" i="1" s="1"/>
  <c r="Q139" i="1" s="1"/>
  <c r="U139" i="1" s="1"/>
  <c r="O140" i="1"/>
  <c r="P140" i="1" s="1"/>
  <c r="Q140" i="1" s="1"/>
  <c r="U140" i="1" s="1"/>
  <c r="V142" i="1"/>
  <c r="S142" i="1"/>
  <c r="W142" i="1" s="1"/>
  <c r="X142" i="1" s="1"/>
  <c r="F85" i="2" s="1"/>
  <c r="U138" i="1"/>
  <c r="V137" i="1" l="1"/>
  <c r="S137" i="1"/>
  <c r="W137" i="1" s="1"/>
  <c r="X137" i="1" s="1"/>
  <c r="F81" i="2" s="1"/>
  <c r="V139" i="1"/>
  <c r="S139" i="1"/>
  <c r="W139" i="1" s="1"/>
  <c r="X139" i="1" s="1"/>
  <c r="F83" i="2" s="1"/>
  <c r="V138" i="1"/>
  <c r="S138" i="1"/>
  <c r="W138" i="1" s="1"/>
  <c r="X138" i="1" s="1"/>
  <c r="F82" i="2" s="1"/>
  <c r="V140" i="1" l="1"/>
  <c r="S140" i="1"/>
  <c r="W140" i="1" s="1"/>
  <c r="X140" i="1" s="1"/>
  <c r="F84" i="2" s="1"/>
  <c r="D173" i="1"/>
  <c r="F173" i="1" s="1"/>
  <c r="D172" i="1"/>
  <c r="F172" i="1" s="1"/>
  <c r="G172" i="1" l="1"/>
  <c r="H172" i="1" s="1"/>
  <c r="J172" i="1" s="1"/>
  <c r="G173" i="1"/>
  <c r="H173" i="1" s="1"/>
  <c r="J173" i="1" s="1"/>
  <c r="M173" i="1" l="1"/>
  <c r="N173" i="1"/>
  <c r="L173" i="1"/>
  <c r="K173" i="1"/>
  <c r="M172" i="1"/>
  <c r="N172" i="1"/>
  <c r="K172" i="1"/>
  <c r="L172" i="1"/>
  <c r="O173" i="1" l="1"/>
  <c r="P173" i="1" s="1"/>
  <c r="Q173" i="1" s="1"/>
  <c r="O172" i="1"/>
  <c r="P172" i="1" s="1"/>
  <c r="Q172" i="1" s="1"/>
  <c r="U172" i="1" s="1"/>
  <c r="U173" i="1" l="1"/>
  <c r="V172" i="1"/>
  <c r="V173" i="1"/>
  <c r="S173" i="1"/>
  <c r="W173" i="1" s="1"/>
  <c r="X173" i="1" s="1"/>
  <c r="S172" i="1" l="1"/>
  <c r="W172" i="1" s="1"/>
  <c r="X172" i="1" s="1"/>
  <c r="Y173" i="1" s="1"/>
  <c r="F97" i="2" s="1"/>
  <c r="F168" i="1"/>
  <c r="F167" i="1"/>
  <c r="F165" i="1"/>
  <c r="F164" i="1"/>
  <c r="G164" i="1" l="1"/>
  <c r="H164" i="1" s="1"/>
  <c r="J164" i="1" s="1"/>
  <c r="G167" i="1"/>
  <c r="H167" i="1" s="1"/>
  <c r="J167" i="1" s="1"/>
  <c r="G165" i="1"/>
  <c r="H165" i="1" s="1"/>
  <c r="J165" i="1" s="1"/>
  <c r="G168" i="1"/>
  <c r="H168" i="1" s="1"/>
  <c r="J168" i="1" s="1"/>
  <c r="N168" i="1" l="1"/>
  <c r="M168" i="1"/>
  <c r="L168" i="1"/>
  <c r="K168" i="1"/>
  <c r="M167" i="1"/>
  <c r="N167" i="1"/>
  <c r="K167" i="1"/>
  <c r="L167" i="1"/>
  <c r="N165" i="1"/>
  <c r="M165" i="1"/>
  <c r="L165" i="1"/>
  <c r="K165" i="1"/>
  <c r="M164" i="1"/>
  <c r="L164" i="1"/>
  <c r="K164" i="1"/>
  <c r="N164" i="1"/>
  <c r="O167" i="1" l="1"/>
  <c r="P167" i="1" s="1"/>
  <c r="Q167" i="1" s="1"/>
  <c r="O168" i="1"/>
  <c r="P168" i="1" s="1"/>
  <c r="Q168" i="1" s="1"/>
  <c r="O164" i="1"/>
  <c r="P164" i="1" s="1"/>
  <c r="Q164" i="1" s="1"/>
  <c r="U164" i="1" s="1"/>
  <c r="O165" i="1"/>
  <c r="P165" i="1" s="1"/>
  <c r="Q165" i="1" s="1"/>
  <c r="U167" i="1"/>
  <c r="U168" i="1" l="1"/>
  <c r="U165" i="1"/>
  <c r="V164" i="1"/>
  <c r="V167" i="1"/>
  <c r="S167" i="1"/>
  <c r="W167" i="1" s="1"/>
  <c r="X167" i="1" s="1"/>
  <c r="V168" i="1"/>
  <c r="S168" i="1"/>
  <c r="W168" i="1" s="1"/>
  <c r="X168" i="1" s="1"/>
  <c r="V165" i="1"/>
  <c r="S165" i="1"/>
  <c r="W165" i="1" s="1"/>
  <c r="X165" i="1" s="1"/>
  <c r="S164" i="1" l="1"/>
  <c r="W164" i="1" s="1"/>
  <c r="X164" i="1" s="1"/>
  <c r="Y165" i="1" s="1"/>
  <c r="F94" i="2" s="1"/>
  <c r="Y168" i="1"/>
  <c r="F145" i="1" l="1"/>
  <c r="G145" i="1" l="1"/>
  <c r="H145" i="1" s="1"/>
  <c r="J145" i="1" s="1"/>
  <c r="M145" i="1" l="1"/>
  <c r="N145" i="1"/>
  <c r="K145" i="1"/>
  <c r="L145" i="1"/>
  <c r="O145" i="1" l="1"/>
  <c r="P145" i="1" s="1"/>
  <c r="Q145" i="1" s="1"/>
  <c r="U145" i="1" s="1"/>
  <c r="V145" i="1" l="1"/>
  <c r="S145" i="1" l="1"/>
  <c r="W145" i="1" s="1"/>
  <c r="X145" i="1" s="1"/>
  <c r="F131" i="1"/>
  <c r="F129" i="1"/>
  <c r="F83" i="1"/>
  <c r="F82" i="1"/>
  <c r="G83" i="1" l="1"/>
  <c r="H83" i="1" s="1"/>
  <c r="J83" i="1" s="1"/>
  <c r="G129" i="1"/>
  <c r="H129" i="1" s="1"/>
  <c r="J129" i="1" s="1"/>
  <c r="G82" i="1"/>
  <c r="H82" i="1" s="1"/>
  <c r="J82" i="1" s="1"/>
  <c r="G131" i="1"/>
  <c r="H131" i="1" s="1"/>
  <c r="J131" i="1" s="1"/>
  <c r="M131" i="1" l="1"/>
  <c r="N131" i="1"/>
  <c r="K131" i="1"/>
  <c r="L131" i="1"/>
  <c r="M129" i="1"/>
  <c r="N129" i="1"/>
  <c r="K129" i="1"/>
  <c r="L129" i="1"/>
  <c r="M82" i="1"/>
  <c r="N82" i="1"/>
  <c r="L82" i="1"/>
  <c r="K82" i="1"/>
  <c r="N83" i="1"/>
  <c r="M83" i="1"/>
  <c r="K83" i="1"/>
  <c r="L83" i="1"/>
  <c r="O131" i="1" l="1"/>
  <c r="P131" i="1" s="1"/>
  <c r="Q131" i="1" s="1"/>
  <c r="O83" i="1"/>
  <c r="P83" i="1" s="1"/>
  <c r="Q83" i="1" s="1"/>
  <c r="O129" i="1"/>
  <c r="P129" i="1" s="1"/>
  <c r="Q129" i="1" s="1"/>
  <c r="O82" i="1"/>
  <c r="P82" i="1" s="1"/>
  <c r="Q82" i="1" s="1"/>
  <c r="U82" i="1" s="1"/>
  <c r="U131" i="1"/>
  <c r="U83" i="1" l="1"/>
  <c r="U129" i="1"/>
  <c r="V82" i="1"/>
  <c r="V131" i="1"/>
  <c r="S131" i="1"/>
  <c r="W131" i="1" s="1"/>
  <c r="X131" i="1" s="1"/>
  <c r="F102" i="2" s="1"/>
  <c r="V129" i="1"/>
  <c r="S129" i="1"/>
  <c r="W129" i="1" s="1"/>
  <c r="X129" i="1" s="1"/>
  <c r="F101" i="2" s="1"/>
  <c r="V83" i="1"/>
  <c r="S83" i="1"/>
  <c r="W83" i="1" s="1"/>
  <c r="X83" i="1" s="1"/>
  <c r="S82" i="1" l="1"/>
  <c r="W82" i="1" s="1"/>
  <c r="X82" i="1" s="1"/>
  <c r="Y83" i="1" s="1"/>
  <c r="F144" i="1" l="1"/>
  <c r="G144" i="1" l="1"/>
  <c r="H144" i="1" s="1"/>
  <c r="J144" i="1" s="1"/>
  <c r="M144" i="1" l="1"/>
  <c r="N144" i="1"/>
  <c r="K144" i="1"/>
  <c r="L144" i="1"/>
  <c r="O144" i="1" l="1"/>
  <c r="P144" i="1" s="1"/>
  <c r="Q144" i="1" s="1"/>
  <c r="U144" i="1" s="1"/>
  <c r="V144" i="1" l="1"/>
  <c r="S144" i="1" l="1"/>
  <c r="W144" i="1" s="1"/>
  <c r="X144" i="1" s="1"/>
  <c r="F86" i="2" s="1"/>
  <c r="F118" i="1"/>
  <c r="F115" i="1"/>
  <c r="D113" i="1"/>
  <c r="F113" i="1" s="1"/>
  <c r="G118" i="1" l="1"/>
  <c r="H118" i="1" s="1"/>
  <c r="J118" i="1" s="1"/>
  <c r="G115" i="1"/>
  <c r="H115" i="1" s="1"/>
  <c r="J115" i="1" s="1"/>
  <c r="G113" i="1"/>
  <c r="H113" i="1" s="1"/>
  <c r="J113" i="1" s="1"/>
  <c r="M118" i="1" l="1"/>
  <c r="N118" i="1"/>
  <c r="L118" i="1"/>
  <c r="K118" i="1"/>
  <c r="K115" i="1"/>
  <c r="L115" i="1"/>
  <c r="M115" i="1"/>
  <c r="N115" i="1"/>
  <c r="M113" i="1"/>
  <c r="N113" i="1"/>
  <c r="L113" i="1"/>
  <c r="K113" i="1"/>
  <c r="O118" i="1" l="1"/>
  <c r="P118" i="1" s="1"/>
  <c r="Q118" i="1" s="1"/>
  <c r="O113" i="1"/>
  <c r="P113" i="1" s="1"/>
  <c r="Q113" i="1" s="1"/>
  <c r="U113" i="1" s="1"/>
  <c r="O115" i="1"/>
  <c r="P115" i="1" s="1"/>
  <c r="Q115" i="1" s="1"/>
  <c r="U115" i="1" s="1"/>
  <c r="U118" i="1" l="1"/>
  <c r="S113" i="1"/>
  <c r="W113" i="1" s="1"/>
  <c r="X113" i="1" s="1"/>
  <c r="F71" i="2" s="1"/>
  <c r="V115" i="1"/>
  <c r="V118" i="1"/>
  <c r="S118" i="1"/>
  <c r="W118" i="1" s="1"/>
  <c r="X118" i="1" s="1"/>
  <c r="F75" i="2" s="1"/>
  <c r="V113" i="1" l="1"/>
  <c r="S115" i="1"/>
  <c r="W115" i="1" s="1"/>
  <c r="X115" i="1" s="1"/>
  <c r="E45" i="1"/>
  <c r="G45" i="1" s="1"/>
  <c r="G23" i="1"/>
  <c r="H45" i="1" l="1"/>
  <c r="I45" i="1" s="1"/>
  <c r="H23" i="1"/>
  <c r="I23" i="1" s="1"/>
  <c r="L23" i="1" l="1"/>
  <c r="M23" i="1"/>
  <c r="J23" i="1"/>
  <c r="K23" i="1"/>
  <c r="L45" i="1"/>
  <c r="M45" i="1"/>
  <c r="J45" i="1"/>
  <c r="K45" i="1"/>
  <c r="N23" i="1" l="1"/>
  <c r="O23" i="1" s="1"/>
  <c r="P23" i="1" s="1"/>
  <c r="N45" i="1"/>
  <c r="O45" i="1" s="1"/>
  <c r="P45" i="1" s="1"/>
  <c r="T45" i="1" s="1"/>
  <c r="T23" i="1"/>
  <c r="U45" i="1" l="1"/>
  <c r="U23" i="1"/>
  <c r="R23" i="1"/>
  <c r="V23" i="1" s="1"/>
  <c r="W23" i="1" s="1"/>
  <c r="R45" i="1" l="1"/>
  <c r="V45" i="1" s="1"/>
  <c r="W45" i="1" s="1"/>
  <c r="G24" i="1"/>
  <c r="H24" i="1" l="1"/>
  <c r="I24" i="1" s="1"/>
  <c r="L24" i="1" l="1"/>
  <c r="M24" i="1"/>
  <c r="J24" i="1"/>
  <c r="K24" i="1"/>
  <c r="N24" i="1" l="1"/>
  <c r="O24" i="1" s="1"/>
  <c r="P24" i="1" s="1"/>
  <c r="T24" i="1" s="1"/>
  <c r="U24" i="1" l="1"/>
  <c r="R24" i="1"/>
  <c r="V24" i="1" s="1"/>
  <c r="W24" i="1" s="1"/>
  <c r="G30" i="1"/>
  <c r="E29" i="1"/>
  <c r="G29" i="1" s="1"/>
  <c r="H29" i="1" l="1"/>
  <c r="I29" i="1" s="1"/>
  <c r="H30" i="1"/>
  <c r="I30" i="1" s="1"/>
  <c r="L30" i="1" l="1"/>
  <c r="M30" i="1"/>
  <c r="J30" i="1"/>
  <c r="K30" i="1"/>
  <c r="L29" i="1"/>
  <c r="M29" i="1"/>
  <c r="K29" i="1"/>
  <c r="J29" i="1"/>
  <c r="N30" i="1" l="1"/>
  <c r="O30" i="1" s="1"/>
  <c r="P30" i="1" s="1"/>
  <c r="N29" i="1"/>
  <c r="O29" i="1" s="1"/>
  <c r="P29" i="1" s="1"/>
  <c r="T30" i="1" l="1"/>
  <c r="T29" i="1"/>
  <c r="U30" i="1"/>
  <c r="R30" i="1"/>
  <c r="V30" i="1" s="1"/>
  <c r="W30" i="1" s="1"/>
  <c r="U29" i="1"/>
  <c r="R29" i="1"/>
  <c r="V29" i="1" s="1"/>
  <c r="W29" i="1" s="1"/>
  <c r="G22" i="1" l="1"/>
  <c r="H22" i="1" l="1"/>
  <c r="I22" i="1" s="1"/>
  <c r="J22" i="1" l="1"/>
  <c r="K22" i="1"/>
  <c r="M22" i="1"/>
  <c r="L22" i="1"/>
  <c r="N22" i="1" l="1"/>
  <c r="O22" i="1" s="1"/>
  <c r="P22" i="1" s="1"/>
  <c r="F27" i="2"/>
  <c r="F28" i="2"/>
  <c r="F35" i="2"/>
  <c r="F60" i="2"/>
  <c r="F70" i="2"/>
  <c r="F87" i="2"/>
  <c r="F95" i="2"/>
  <c r="T22" i="1" l="1"/>
  <c r="R22" i="1"/>
  <c r="V22" i="1" s="1"/>
  <c r="W22" i="1" s="1"/>
  <c r="U22" i="1"/>
  <c r="S190" i="1" l="1"/>
  <c r="D148" i="1" l="1"/>
  <c r="F148" i="1" s="1"/>
  <c r="G148" i="1" s="1"/>
  <c r="D147" i="1"/>
  <c r="F147" i="1" s="1"/>
  <c r="G147" i="1" s="1"/>
  <c r="H148" i="1" l="1"/>
  <c r="J148" i="1" s="1"/>
  <c r="H147" i="1"/>
  <c r="J147" i="1" s="1"/>
  <c r="K148" i="1" l="1"/>
  <c r="L148" i="1"/>
  <c r="M148" i="1"/>
  <c r="N148" i="1"/>
  <c r="M147" i="1"/>
  <c r="N147" i="1"/>
  <c r="K147" i="1"/>
  <c r="L147" i="1"/>
  <c r="O148" i="1" l="1"/>
  <c r="P148" i="1" s="1"/>
  <c r="Q148" i="1" s="1"/>
  <c r="O147" i="1"/>
  <c r="P147" i="1" s="1"/>
  <c r="Q147" i="1" s="1"/>
  <c r="U147" i="1" s="1"/>
  <c r="U148" i="1" l="1"/>
  <c r="V147" i="1"/>
  <c r="S148" i="1"/>
  <c r="W148" i="1" s="1"/>
  <c r="X148" i="1" s="1"/>
  <c r="V148" i="1"/>
  <c r="S147" i="1" l="1"/>
  <c r="W147" i="1" s="1"/>
  <c r="X147" i="1" s="1"/>
  <c r="Y148" i="1" s="1"/>
  <c r="F88" i="2" s="1"/>
  <c r="D109" i="1" l="1"/>
  <c r="F109" i="1" s="1"/>
  <c r="G109" i="1" s="1"/>
  <c r="F106" i="1"/>
  <c r="G106" i="1" s="1"/>
  <c r="F105" i="1"/>
  <c r="G105" i="1" s="1"/>
  <c r="F103" i="1"/>
  <c r="G103" i="1" s="1"/>
  <c r="F102" i="1"/>
  <c r="G102" i="1" s="1"/>
  <c r="H102" i="1" l="1"/>
  <c r="J102" i="1" s="1"/>
  <c r="H105" i="1"/>
  <c r="J105" i="1" s="1"/>
  <c r="H109" i="1"/>
  <c r="J109" i="1" s="1"/>
  <c r="H103" i="1"/>
  <c r="J103" i="1" s="1"/>
  <c r="H106" i="1"/>
  <c r="J106" i="1" s="1"/>
  <c r="M103" i="1" l="1"/>
  <c r="N103" i="1"/>
  <c r="K103" i="1"/>
  <c r="L103" i="1"/>
  <c r="N109" i="1"/>
  <c r="M109" i="1"/>
  <c r="L109" i="1"/>
  <c r="K109" i="1"/>
  <c r="M105" i="1"/>
  <c r="N105" i="1"/>
  <c r="K105" i="1"/>
  <c r="L105" i="1"/>
  <c r="N106" i="1"/>
  <c r="M106" i="1"/>
  <c r="L106" i="1"/>
  <c r="K106" i="1"/>
  <c r="N102" i="1"/>
  <c r="M102" i="1"/>
  <c r="L102" i="1"/>
  <c r="K102" i="1"/>
  <c r="O106" i="1" l="1"/>
  <c r="P106" i="1" s="1"/>
  <c r="Q106" i="1" s="1"/>
  <c r="U106" i="1" s="1"/>
  <c r="O109" i="1"/>
  <c r="P109" i="1" s="1"/>
  <c r="Q109" i="1" s="1"/>
  <c r="O102" i="1"/>
  <c r="P102" i="1" s="1"/>
  <c r="Q102" i="1" s="1"/>
  <c r="O105" i="1"/>
  <c r="P105" i="1" s="1"/>
  <c r="Q105" i="1" s="1"/>
  <c r="U105" i="1" s="1"/>
  <c r="O103" i="1"/>
  <c r="P103" i="1" s="1"/>
  <c r="Q103" i="1" s="1"/>
  <c r="U109" i="1" l="1"/>
  <c r="V106" i="1"/>
  <c r="U102" i="1"/>
  <c r="U103" i="1"/>
  <c r="S103" i="1"/>
  <c r="W103" i="1" s="1"/>
  <c r="X103" i="1" s="1"/>
  <c r="V103" i="1"/>
  <c r="V109" i="1"/>
  <c r="S109" i="1"/>
  <c r="W109" i="1" s="1"/>
  <c r="X109" i="1" s="1"/>
  <c r="F72" i="2" s="1"/>
  <c r="V102" i="1"/>
  <c r="S102" i="1"/>
  <c r="W102" i="1" s="1"/>
  <c r="X102" i="1" s="1"/>
  <c r="Y103" i="1" l="1"/>
  <c r="F67" i="2" s="1"/>
  <c r="S106" i="1"/>
  <c r="W106" i="1" s="1"/>
  <c r="X106" i="1" s="1"/>
  <c r="S105" i="1"/>
  <c r="W105" i="1" s="1"/>
  <c r="X105" i="1" s="1"/>
  <c r="V105" i="1"/>
  <c r="Y106" i="1" l="1"/>
  <c r="F68" i="2" s="1"/>
  <c r="D72" i="1"/>
  <c r="F72" i="1" s="1"/>
  <c r="G72" i="1" s="1"/>
  <c r="H72" i="1" l="1"/>
  <c r="J72" i="1" s="1"/>
  <c r="M72" i="1" l="1"/>
  <c r="N72" i="1"/>
  <c r="K72" i="1"/>
  <c r="L72" i="1"/>
  <c r="O72" i="1" l="1"/>
  <c r="P72" i="1" s="1"/>
  <c r="Q72" i="1" s="1"/>
  <c r="U72" i="1" s="1"/>
  <c r="V72" i="1" l="1"/>
  <c r="S72" i="1" l="1"/>
  <c r="W72" i="1" s="1"/>
  <c r="X72" i="1" s="1"/>
  <c r="F54" i="2" s="1"/>
  <c r="F79" i="1"/>
  <c r="G79" i="1" s="1"/>
  <c r="F78" i="1"/>
  <c r="G78" i="1" s="1"/>
  <c r="H78" i="1" l="1"/>
  <c r="J78" i="1" s="1"/>
  <c r="H79" i="1"/>
  <c r="J79" i="1" s="1"/>
  <c r="M79" i="1" l="1"/>
  <c r="N79" i="1"/>
  <c r="K79" i="1"/>
  <c r="L79" i="1"/>
  <c r="N78" i="1"/>
  <c r="M78" i="1"/>
  <c r="L78" i="1"/>
  <c r="K78" i="1"/>
  <c r="O78" i="1" l="1"/>
  <c r="P78" i="1" s="1"/>
  <c r="Q78" i="1" s="1"/>
  <c r="O79" i="1"/>
  <c r="P79" i="1" s="1"/>
  <c r="Q79" i="1" s="1"/>
  <c r="U79" i="1" s="1"/>
  <c r="U78" i="1" l="1"/>
  <c r="V79" i="1"/>
  <c r="V78" i="1"/>
  <c r="S78" i="1"/>
  <c r="W78" i="1" s="1"/>
  <c r="X78" i="1" s="1"/>
  <c r="S79" i="1" l="1"/>
  <c r="W79" i="1" s="1"/>
  <c r="X79" i="1" s="1"/>
  <c r="Y79" i="1" s="1"/>
  <c r="F58" i="2" s="1"/>
  <c r="G27" i="1"/>
  <c r="H27" i="1" l="1"/>
  <c r="I27" i="1" s="1"/>
  <c r="L27" i="1" l="1"/>
  <c r="M27" i="1"/>
  <c r="J27" i="1"/>
  <c r="K27" i="1"/>
  <c r="N27" i="1" l="1"/>
  <c r="O27" i="1" s="1"/>
  <c r="P27" i="1" s="1"/>
  <c r="T27" i="1" s="1"/>
  <c r="U27" i="1" l="1"/>
  <c r="R27" i="1" l="1"/>
  <c r="V27" i="1" s="1"/>
  <c r="W27" i="1" s="1"/>
  <c r="E44" i="1"/>
  <c r="G44" i="1" s="1"/>
  <c r="G26" i="1"/>
  <c r="H26" i="1" l="1"/>
  <c r="I26" i="1" s="1"/>
  <c r="H44" i="1"/>
  <c r="I44" i="1" s="1"/>
  <c r="J26" i="1" l="1"/>
  <c r="K26" i="1"/>
  <c r="L26" i="1"/>
  <c r="M26" i="1"/>
  <c r="L44" i="1"/>
  <c r="M44" i="1"/>
  <c r="J44" i="1"/>
  <c r="K44" i="1"/>
  <c r="N44" i="1" l="1"/>
  <c r="O44" i="1" s="1"/>
  <c r="P44" i="1" s="1"/>
  <c r="Q44" i="1" s="1"/>
  <c r="N26" i="1"/>
  <c r="O26" i="1" s="1"/>
  <c r="P26" i="1" s="1"/>
  <c r="T26" i="1" s="1"/>
  <c r="T44" i="1" l="1"/>
  <c r="U26" i="1"/>
  <c r="U44" i="1"/>
  <c r="R44" i="1"/>
  <c r="V44" i="1" s="1"/>
  <c r="W44" i="1" s="1"/>
  <c r="F33" i="2" s="1"/>
  <c r="R26" i="1" l="1"/>
  <c r="V26" i="1" s="1"/>
  <c r="W26" i="1" s="1"/>
  <c r="D64" i="1"/>
  <c r="F64" i="1" s="1"/>
  <c r="G64" i="1" s="1"/>
  <c r="E32" i="1"/>
  <c r="E40" i="1"/>
  <c r="G40" i="1" s="1"/>
  <c r="H40" i="1" l="1"/>
  <c r="I40" i="1" s="1"/>
  <c r="H64" i="1"/>
  <c r="J64" i="1" s="1"/>
  <c r="M40" i="1" l="1"/>
  <c r="L40" i="1"/>
  <c r="K40" i="1"/>
  <c r="J40" i="1"/>
  <c r="K64" i="1"/>
  <c r="L64" i="1"/>
  <c r="N64" i="1"/>
  <c r="M64" i="1"/>
  <c r="N40" i="1" l="1"/>
  <c r="O40" i="1" s="1"/>
  <c r="P40" i="1" s="1"/>
  <c r="R40" i="1" s="1"/>
  <c r="V40" i="1" s="1"/>
  <c r="W40" i="1" s="1"/>
  <c r="F44" i="2" s="1"/>
  <c r="O64" i="1"/>
  <c r="P64" i="1" s="1"/>
  <c r="Q64" i="1" s="1"/>
  <c r="S64" i="1" s="1"/>
  <c r="W64" i="1" s="1"/>
  <c r="X64" i="1" s="1"/>
  <c r="F107" i="2" s="1"/>
  <c r="T40" i="1"/>
  <c r="U40" i="1"/>
  <c r="U64" i="1" l="1"/>
  <c r="V64" i="1"/>
  <c r="F135" i="1"/>
  <c r="G135" i="1" s="1"/>
  <c r="F133" i="1"/>
  <c r="G133" i="1" s="1"/>
  <c r="H133" i="1" l="1"/>
  <c r="J133" i="1" s="1"/>
  <c r="M133" i="1" s="1"/>
  <c r="H135" i="1"/>
  <c r="J135" i="1" s="1"/>
  <c r="K135" i="1" s="1"/>
  <c r="L133" i="1" l="1"/>
  <c r="K133" i="1"/>
  <c r="N135" i="1"/>
  <c r="M135" i="1"/>
  <c r="L135" i="1"/>
  <c r="N133" i="1"/>
  <c r="O133" i="1" l="1"/>
  <c r="P133" i="1" s="1"/>
  <c r="Q133" i="1" s="1"/>
  <c r="U133" i="1" s="1"/>
  <c r="O135" i="1"/>
  <c r="P135" i="1" s="1"/>
  <c r="Q135" i="1" s="1"/>
  <c r="U135" i="1" l="1"/>
  <c r="R135" i="1"/>
  <c r="V133" i="1"/>
  <c r="V135" i="1"/>
  <c r="S133" i="1"/>
  <c r="W133" i="1" s="1"/>
  <c r="X133" i="1" s="1"/>
  <c r="F105" i="2" s="1"/>
  <c r="S135" i="1" l="1"/>
  <c r="W135" i="1" s="1"/>
  <c r="X135" i="1" s="1"/>
  <c r="F106" i="2" s="1"/>
  <c r="F126" i="1"/>
  <c r="G126" i="1" s="1"/>
  <c r="F120" i="1"/>
  <c r="G120" i="1" s="1"/>
  <c r="H120" i="1" l="1"/>
  <c r="J120" i="1" s="1"/>
  <c r="H126" i="1"/>
  <c r="J126" i="1" s="1"/>
  <c r="K120" i="1" l="1"/>
  <c r="L120" i="1"/>
  <c r="N120" i="1"/>
  <c r="M120" i="1"/>
  <c r="M126" i="1"/>
  <c r="N126" i="1"/>
  <c r="K126" i="1"/>
  <c r="L126" i="1"/>
  <c r="O120" i="1" l="1"/>
  <c r="P120" i="1" s="1"/>
  <c r="Q120" i="1" s="1"/>
  <c r="U120" i="1" s="1"/>
  <c r="O126" i="1"/>
  <c r="P126" i="1" s="1"/>
  <c r="Q126" i="1" s="1"/>
  <c r="U126" i="1" s="1"/>
  <c r="V120" i="1" l="1"/>
  <c r="V126" i="1"/>
  <c r="S120" i="1" l="1"/>
  <c r="W120" i="1" s="1"/>
  <c r="X120" i="1" s="1"/>
  <c r="F76" i="2" s="1"/>
  <c r="S126" i="1"/>
  <c r="W126" i="1" s="1"/>
  <c r="X126" i="1" s="1"/>
  <c r="F24" i="2" s="1"/>
  <c r="F66" i="1" l="1"/>
  <c r="G66" i="1" s="1"/>
  <c r="F67" i="1"/>
  <c r="G67" i="1" s="1"/>
  <c r="F63" i="1"/>
  <c r="G63" i="1" s="1"/>
  <c r="I62" i="1"/>
  <c r="F62" i="1"/>
  <c r="G62" i="1" s="1"/>
  <c r="F61" i="1"/>
  <c r="G61" i="1" s="1"/>
  <c r="H61" i="1" l="1"/>
  <c r="J61" i="1" s="1"/>
  <c r="H66" i="1"/>
  <c r="J66" i="1" s="1"/>
  <c r="H62" i="1"/>
  <c r="J62" i="1" s="1"/>
  <c r="H63" i="1"/>
  <c r="J63" i="1" s="1"/>
  <c r="H67" i="1"/>
  <c r="J67" i="1" s="1"/>
  <c r="M66" i="1" l="1"/>
  <c r="N66" i="1"/>
  <c r="K66" i="1"/>
  <c r="L66" i="1"/>
  <c r="M67" i="1"/>
  <c r="N67" i="1"/>
  <c r="L67" i="1"/>
  <c r="K67" i="1"/>
  <c r="N63" i="1"/>
  <c r="M63" i="1"/>
  <c r="K63" i="1"/>
  <c r="L63" i="1"/>
  <c r="M61" i="1"/>
  <c r="N61" i="1"/>
  <c r="L61" i="1"/>
  <c r="K61" i="1"/>
  <c r="M62" i="1"/>
  <c r="K62" i="1"/>
  <c r="N62" i="1"/>
  <c r="L62" i="1"/>
  <c r="O66" i="1" l="1"/>
  <c r="P66" i="1" s="1"/>
  <c r="Q66" i="1" s="1"/>
  <c r="O63" i="1"/>
  <c r="P63" i="1" s="1"/>
  <c r="Q63" i="1" s="1"/>
  <c r="U63" i="1" s="1"/>
  <c r="O67" i="1"/>
  <c r="P67" i="1" s="1"/>
  <c r="Q67" i="1" s="1"/>
  <c r="U67" i="1" s="1"/>
  <c r="O61" i="1"/>
  <c r="P61" i="1" s="1"/>
  <c r="Q61" i="1" s="1"/>
  <c r="O62" i="1"/>
  <c r="P62" i="1" s="1"/>
  <c r="Q62" i="1" s="1"/>
  <c r="U66" i="1" l="1"/>
  <c r="S63" i="1"/>
  <c r="W63" i="1" s="1"/>
  <c r="X63" i="1" s="1"/>
  <c r="F51" i="2" s="1"/>
  <c r="S67" i="1"/>
  <c r="W67" i="1" s="1"/>
  <c r="X67" i="1" s="1"/>
  <c r="F56" i="2" s="1"/>
  <c r="U61" i="1"/>
  <c r="V66" i="1"/>
  <c r="S66" i="1"/>
  <c r="V67" i="1"/>
  <c r="V63" i="1"/>
  <c r="V61" i="1"/>
  <c r="S61" i="1"/>
  <c r="W61" i="1" s="1"/>
  <c r="X61" i="1" s="1"/>
  <c r="U62" i="1"/>
  <c r="F49" i="2" l="1"/>
  <c r="W66" i="1"/>
  <c r="X66" i="1" s="1"/>
  <c r="F55" i="2" s="1"/>
  <c r="V62" i="1"/>
  <c r="S62" i="1"/>
  <c r="W62" i="1" s="1"/>
  <c r="X62" i="1" s="1"/>
  <c r="F50" i="2" s="1"/>
  <c r="F111" i="1" l="1"/>
  <c r="G111" i="1" s="1"/>
  <c r="F122" i="1"/>
  <c r="G122" i="1" s="1"/>
  <c r="F123" i="1"/>
  <c r="G123" i="1" s="1"/>
  <c r="F134" i="1"/>
  <c r="G134" i="1" s="1"/>
  <c r="F170" i="1"/>
  <c r="G170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5" i="1"/>
  <c r="H25" i="1" s="1"/>
  <c r="G32" i="1"/>
  <c r="H32" i="1" s="1"/>
  <c r="G37" i="1"/>
  <c r="H37" i="1" s="1"/>
  <c r="G38" i="1"/>
  <c r="H38" i="1" s="1"/>
  <c r="G39" i="1"/>
  <c r="H39" i="1" s="1"/>
  <c r="G49" i="1"/>
  <c r="H49" i="1" s="1"/>
  <c r="I49" i="1" l="1"/>
  <c r="I38" i="1"/>
  <c r="I32" i="1"/>
  <c r="I21" i="1"/>
  <c r="I19" i="1"/>
  <c r="I17" i="1"/>
  <c r="I15" i="1"/>
  <c r="I39" i="1"/>
  <c r="I37" i="1"/>
  <c r="I25" i="1"/>
  <c r="I20" i="1"/>
  <c r="I18" i="1"/>
  <c r="I16" i="1"/>
  <c r="H170" i="1"/>
  <c r="J170" i="1" s="1"/>
  <c r="H134" i="1"/>
  <c r="J134" i="1" s="1"/>
  <c r="H122" i="1"/>
  <c r="J122" i="1" s="1"/>
  <c r="H123" i="1"/>
  <c r="J123" i="1" s="1"/>
  <c r="H111" i="1"/>
  <c r="J111" i="1" s="1"/>
  <c r="L18" i="1" l="1"/>
  <c r="M18" i="1"/>
  <c r="J18" i="1"/>
  <c r="K18" i="1"/>
  <c r="L25" i="1"/>
  <c r="K25" i="1"/>
  <c r="J25" i="1"/>
  <c r="M25" i="1"/>
  <c r="M39" i="1"/>
  <c r="L39" i="1"/>
  <c r="K39" i="1"/>
  <c r="J39" i="1"/>
  <c r="M17" i="1"/>
  <c r="K17" i="1"/>
  <c r="L17" i="1"/>
  <c r="J17" i="1"/>
  <c r="M21" i="1"/>
  <c r="K21" i="1"/>
  <c r="L21" i="1"/>
  <c r="J21" i="1"/>
  <c r="L38" i="1"/>
  <c r="M38" i="1"/>
  <c r="J38" i="1"/>
  <c r="K38" i="1"/>
  <c r="L16" i="1"/>
  <c r="M16" i="1"/>
  <c r="J16" i="1"/>
  <c r="K16" i="1"/>
  <c r="K20" i="1"/>
  <c r="J20" i="1"/>
  <c r="M20" i="1"/>
  <c r="L20" i="1"/>
  <c r="M37" i="1"/>
  <c r="L37" i="1"/>
  <c r="K37" i="1"/>
  <c r="J37" i="1"/>
  <c r="M15" i="1"/>
  <c r="K15" i="1"/>
  <c r="L15" i="1"/>
  <c r="J15" i="1"/>
  <c r="L19" i="1"/>
  <c r="M19" i="1"/>
  <c r="J19" i="1"/>
  <c r="K19" i="1"/>
  <c r="L32" i="1"/>
  <c r="K32" i="1"/>
  <c r="J32" i="1"/>
  <c r="M32" i="1"/>
  <c r="L49" i="1"/>
  <c r="K49" i="1"/>
  <c r="J49" i="1"/>
  <c r="M49" i="1"/>
  <c r="N123" i="1"/>
  <c r="L123" i="1"/>
  <c r="M123" i="1"/>
  <c r="K123" i="1"/>
  <c r="N134" i="1"/>
  <c r="L134" i="1"/>
  <c r="M134" i="1"/>
  <c r="K134" i="1"/>
  <c r="N122" i="1"/>
  <c r="K122" i="1"/>
  <c r="M122" i="1"/>
  <c r="L122" i="1"/>
  <c r="N170" i="1"/>
  <c r="L170" i="1"/>
  <c r="M170" i="1"/>
  <c r="K170" i="1"/>
  <c r="N111" i="1"/>
  <c r="K111" i="1"/>
  <c r="M111" i="1"/>
  <c r="L111" i="1"/>
  <c r="D184" i="1"/>
  <c r="F184" i="1" s="1"/>
  <c r="H184" i="1" s="1"/>
  <c r="J184" i="1" s="1"/>
  <c r="N39" i="1" l="1"/>
  <c r="O39" i="1" s="1"/>
  <c r="N20" i="1"/>
  <c r="O20" i="1" s="1"/>
  <c r="N15" i="1"/>
  <c r="O15" i="1" s="1"/>
  <c r="N18" i="1"/>
  <c r="O18" i="1" s="1"/>
  <c r="N19" i="1"/>
  <c r="O19" i="1" s="1"/>
  <c r="N32" i="1"/>
  <c r="O32" i="1" s="1"/>
  <c r="N25" i="1"/>
  <c r="O25" i="1" s="1"/>
  <c r="N49" i="1"/>
  <c r="O49" i="1" s="1"/>
  <c r="N37" i="1"/>
  <c r="O37" i="1" s="1"/>
  <c r="N16" i="1"/>
  <c r="O16" i="1" s="1"/>
  <c r="N38" i="1"/>
  <c r="O38" i="1" s="1"/>
  <c r="N21" i="1"/>
  <c r="O21" i="1" s="1"/>
  <c r="N17" i="1"/>
  <c r="O17" i="1" s="1"/>
  <c r="O122" i="1"/>
  <c r="P122" i="1" s="1"/>
  <c r="Q122" i="1" s="1"/>
  <c r="O123" i="1"/>
  <c r="P123" i="1" s="1"/>
  <c r="Q123" i="1" s="1"/>
  <c r="O134" i="1"/>
  <c r="P134" i="1" s="1"/>
  <c r="Q134" i="1" s="1"/>
  <c r="O170" i="1"/>
  <c r="P170" i="1" s="1"/>
  <c r="Q170" i="1" s="1"/>
  <c r="O111" i="1"/>
  <c r="P111" i="1" s="1"/>
  <c r="Q111" i="1" s="1"/>
  <c r="M184" i="1"/>
  <c r="K184" i="1"/>
  <c r="N184" i="1"/>
  <c r="L184" i="1"/>
  <c r="O184" i="1" l="1"/>
  <c r="P184" i="1" s="1"/>
  <c r="Q184" i="1" s="1"/>
  <c r="U184" i="1" l="1"/>
  <c r="S184" i="1"/>
  <c r="V184" i="1" l="1"/>
  <c r="W184" i="1"/>
  <c r="X184" i="1" s="1"/>
  <c r="E13" i="1" l="1"/>
  <c r="G13" i="1" s="1"/>
  <c r="H13" i="1" s="1"/>
  <c r="E12" i="1"/>
  <c r="G12" i="1" s="1"/>
  <c r="H12" i="1" l="1"/>
  <c r="I12" i="1" s="1"/>
  <c r="I13" i="1"/>
  <c r="K12" i="1" l="1"/>
  <c r="J12" i="1"/>
  <c r="L12" i="1"/>
  <c r="M12" i="1"/>
  <c r="L13" i="1"/>
  <c r="J13" i="1"/>
  <c r="M13" i="1"/>
  <c r="K13" i="1"/>
  <c r="N12" i="1" l="1"/>
  <c r="O12" i="1" s="1"/>
  <c r="P12" i="1" s="1"/>
  <c r="N13" i="1"/>
  <c r="O13" i="1" s="1"/>
  <c r="P13" i="1" s="1"/>
  <c r="U13" i="1" s="1"/>
  <c r="T12" i="1" l="1"/>
  <c r="R13" i="1"/>
  <c r="V13" i="1" s="1"/>
  <c r="W13" i="1" s="1"/>
  <c r="T13" i="1"/>
  <c r="U12" i="1"/>
  <c r="R12" i="1"/>
  <c r="F7" i="2" l="1"/>
  <c r="V12" i="1"/>
  <c r="W12" i="1" s="1"/>
  <c r="W192" i="1" l="1"/>
  <c r="X192" i="1" s="1"/>
  <c r="W191" i="1"/>
  <c r="X191" i="1" s="1"/>
  <c r="W190" i="1"/>
  <c r="X190" i="1" s="1"/>
  <c r="F43" i="2" s="1"/>
  <c r="W188" i="1"/>
  <c r="X188" i="1" s="1"/>
  <c r="F108" i="2" l="1"/>
  <c r="F6" i="2"/>
  <c r="Y192" i="1"/>
  <c r="F13" i="2" s="1"/>
  <c r="P15" i="1"/>
  <c r="P17" i="1"/>
  <c r="P19" i="1"/>
  <c r="P21" i="1"/>
  <c r="P32" i="1"/>
  <c r="P38" i="1"/>
  <c r="P37" i="1"/>
  <c r="P39" i="1"/>
  <c r="P16" i="1"/>
  <c r="P18" i="1"/>
  <c r="P20" i="1"/>
  <c r="P25" i="1"/>
  <c r="P49" i="1"/>
  <c r="T18" i="1" l="1"/>
  <c r="R18" i="1"/>
  <c r="T37" i="1"/>
  <c r="R37" i="1"/>
  <c r="T38" i="1"/>
  <c r="R38" i="1"/>
  <c r="T21" i="1"/>
  <c r="R21" i="1"/>
  <c r="T17" i="1"/>
  <c r="R17" i="1"/>
  <c r="T25" i="1"/>
  <c r="R25" i="1"/>
  <c r="T20" i="1"/>
  <c r="R20" i="1"/>
  <c r="T16" i="1"/>
  <c r="R16" i="1"/>
  <c r="T39" i="1"/>
  <c r="R39" i="1"/>
  <c r="T32" i="1"/>
  <c r="R32" i="1"/>
  <c r="T19" i="1"/>
  <c r="R19" i="1"/>
  <c r="T15" i="1"/>
  <c r="R15" i="1"/>
  <c r="T49" i="1"/>
  <c r="R49" i="1"/>
  <c r="U15" i="1" l="1"/>
  <c r="V15" i="1"/>
  <c r="W15" i="1" s="1"/>
  <c r="U19" i="1"/>
  <c r="V19" i="1"/>
  <c r="W19" i="1" s="1"/>
  <c r="U32" i="1"/>
  <c r="V32" i="1"/>
  <c r="W32" i="1" s="1"/>
  <c r="F16" i="2" s="1"/>
  <c r="U39" i="1"/>
  <c r="V39" i="1"/>
  <c r="W39" i="1" s="1"/>
  <c r="F22" i="2" s="1"/>
  <c r="U16" i="1"/>
  <c r="V16" i="1"/>
  <c r="W16" i="1" s="1"/>
  <c r="F10" i="2" s="1"/>
  <c r="U20" i="1"/>
  <c r="V20" i="1"/>
  <c r="W20" i="1" s="1"/>
  <c r="U25" i="1"/>
  <c r="V25" i="1"/>
  <c r="W25" i="1" s="1"/>
  <c r="U17" i="1"/>
  <c r="V17" i="1"/>
  <c r="W17" i="1" s="1"/>
  <c r="U21" i="1"/>
  <c r="V21" i="1"/>
  <c r="W21" i="1" s="1"/>
  <c r="U38" i="1"/>
  <c r="V38" i="1"/>
  <c r="W38" i="1" s="1"/>
  <c r="F19" i="2" s="1"/>
  <c r="U37" i="1"/>
  <c r="V37" i="1"/>
  <c r="W37" i="1" s="1"/>
  <c r="F23" i="2" s="1"/>
  <c r="U18" i="1"/>
  <c r="V18" i="1"/>
  <c r="W18" i="1" s="1"/>
  <c r="U49" i="1"/>
  <c r="V49" i="1"/>
  <c r="W49" i="1" s="1"/>
  <c r="F39" i="2" s="1"/>
  <c r="X27" i="1" l="1"/>
  <c r="F12" i="2" s="1"/>
  <c r="X18" i="1"/>
  <c r="F11" i="2" s="1"/>
  <c r="D176" i="1"/>
  <c r="F176" i="1" s="1"/>
  <c r="G176" i="1" s="1"/>
  <c r="D175" i="1"/>
  <c r="F175" i="1" s="1"/>
  <c r="G175" i="1" s="1"/>
  <c r="D162" i="1"/>
  <c r="F162" i="1" s="1"/>
  <c r="G162" i="1" s="1"/>
  <c r="D160" i="1"/>
  <c r="F160" i="1" s="1"/>
  <c r="G160" i="1" s="1"/>
  <c r="D159" i="1"/>
  <c r="F159" i="1" s="1"/>
  <c r="G159" i="1" s="1"/>
  <c r="D151" i="1"/>
  <c r="F151" i="1" s="1"/>
  <c r="G151" i="1" s="1"/>
  <c r="D150" i="1"/>
  <c r="F150" i="1" s="1"/>
  <c r="G150" i="1" s="1"/>
  <c r="F9" i="2" l="1"/>
  <c r="H151" i="1"/>
  <c r="J151" i="1" s="1"/>
  <c r="H160" i="1"/>
  <c r="J160" i="1" s="1"/>
  <c r="H150" i="1"/>
  <c r="J150" i="1" s="1"/>
  <c r="H159" i="1"/>
  <c r="J159" i="1" s="1"/>
  <c r="H162" i="1"/>
  <c r="J162" i="1" s="1"/>
  <c r="H176" i="1"/>
  <c r="J176" i="1" s="1"/>
  <c r="L176" i="1" s="1"/>
  <c r="H175" i="1"/>
  <c r="L162" i="1" l="1"/>
  <c r="N162" i="1"/>
  <c r="M162" i="1"/>
  <c r="K162" i="1"/>
  <c r="M150" i="1"/>
  <c r="N150" i="1"/>
  <c r="L150" i="1"/>
  <c r="K150" i="1"/>
  <c r="N151" i="1"/>
  <c r="K151" i="1"/>
  <c r="M151" i="1"/>
  <c r="L151" i="1"/>
  <c r="M159" i="1"/>
  <c r="N159" i="1"/>
  <c r="K159" i="1"/>
  <c r="L159" i="1"/>
  <c r="M160" i="1"/>
  <c r="N160" i="1"/>
  <c r="L160" i="1"/>
  <c r="K160" i="1"/>
  <c r="J175" i="1"/>
  <c r="L175" i="1" s="1"/>
  <c r="M176" i="1"/>
  <c r="N176" i="1"/>
  <c r="K176" i="1"/>
  <c r="O162" i="1" l="1"/>
  <c r="P162" i="1" s="1"/>
  <c r="Q162" i="1" s="1"/>
  <c r="O159" i="1"/>
  <c r="P159" i="1" s="1"/>
  <c r="Q159" i="1" s="1"/>
  <c r="O160" i="1"/>
  <c r="P160" i="1" s="1"/>
  <c r="Q160" i="1" s="1"/>
  <c r="S160" i="1" s="1"/>
  <c r="O151" i="1"/>
  <c r="P151" i="1" s="1"/>
  <c r="Q151" i="1" s="1"/>
  <c r="O150" i="1"/>
  <c r="P150" i="1" s="1"/>
  <c r="Q150" i="1" s="1"/>
  <c r="M175" i="1"/>
  <c r="N175" i="1"/>
  <c r="O176" i="1"/>
  <c r="P176" i="1" s="1"/>
  <c r="K175" i="1"/>
  <c r="U123" i="1"/>
  <c r="U111" i="1"/>
  <c r="U134" i="1"/>
  <c r="U170" i="1"/>
  <c r="S170" i="1"/>
  <c r="U122" i="1"/>
  <c r="S122" i="1"/>
  <c r="S111" i="1"/>
  <c r="U162" i="1" l="1"/>
  <c r="U159" i="1"/>
  <c r="U160" i="1"/>
  <c r="U150" i="1"/>
  <c r="O175" i="1"/>
  <c r="P175" i="1" s="1"/>
  <c r="Q175" i="1" s="1"/>
  <c r="U175" i="1" s="1"/>
  <c r="Q176" i="1"/>
  <c r="U176" i="1" s="1"/>
  <c r="S151" i="1"/>
  <c r="W151" i="1" s="1"/>
  <c r="X151" i="1" s="1"/>
  <c r="S123" i="1"/>
  <c r="W123" i="1" s="1"/>
  <c r="X123" i="1" s="1"/>
  <c r="V151" i="1"/>
  <c r="U151" i="1"/>
  <c r="V150" i="1"/>
  <c r="V170" i="1"/>
  <c r="W170" i="1"/>
  <c r="X170" i="1" s="1"/>
  <c r="F96" i="2" s="1"/>
  <c r="V160" i="1"/>
  <c r="W160" i="1"/>
  <c r="X160" i="1" s="1"/>
  <c r="V123" i="1"/>
  <c r="V122" i="1"/>
  <c r="W122" i="1"/>
  <c r="X122" i="1" s="1"/>
  <c r="V111" i="1"/>
  <c r="W111" i="1"/>
  <c r="X111" i="1" s="1"/>
  <c r="F74" i="2" l="1"/>
  <c r="Y123" i="1"/>
  <c r="F77" i="2" s="1"/>
  <c r="S175" i="1"/>
  <c r="W175" i="1" s="1"/>
  <c r="X175" i="1" s="1"/>
  <c r="V176" i="1"/>
  <c r="V159" i="1"/>
  <c r="S159" i="1"/>
  <c r="W159" i="1" s="1"/>
  <c r="X159" i="1" s="1"/>
  <c r="Y160" i="1" s="1"/>
  <c r="F92" i="2" s="1"/>
  <c r="V162" i="1"/>
  <c r="S162" i="1"/>
  <c r="W162" i="1" s="1"/>
  <c r="X162" i="1" s="1"/>
  <c r="F93" i="2" s="1"/>
  <c r="V134" i="1"/>
  <c r="S134" i="1"/>
  <c r="W134" i="1" s="1"/>
  <c r="X134" i="1" s="1"/>
  <c r="F100" i="2" s="1"/>
  <c r="S150" i="1"/>
  <c r="W150" i="1" l="1"/>
  <c r="X150" i="1" s="1"/>
  <c r="V175" i="1"/>
  <c r="S176" i="1"/>
  <c r="W176" i="1" s="1"/>
  <c r="X176" i="1" s="1"/>
  <c r="Y176" i="1" s="1"/>
  <c r="F98" i="2" s="1"/>
  <c r="E46" i="1"/>
  <c r="G46" i="1" s="1"/>
  <c r="H46" i="1" s="1"/>
  <c r="Y151" i="1" l="1"/>
  <c r="F89" i="2" s="1"/>
  <c r="I46" i="1"/>
  <c r="M46" i="1" l="1"/>
  <c r="L46" i="1"/>
  <c r="J46" i="1"/>
  <c r="K46" i="1"/>
  <c r="W187" i="1"/>
  <c r="X187" i="1" s="1"/>
  <c r="N46" i="1" l="1"/>
  <c r="O46" i="1" s="1"/>
  <c r="P46" i="1" s="1"/>
  <c r="T46" i="1" s="1"/>
  <c r="R46" i="1" l="1"/>
  <c r="V46" i="1" s="1"/>
  <c r="W46" i="1" s="1"/>
  <c r="F34" i="2" s="1"/>
  <c r="U46" i="1" l="1"/>
  <c r="W194" i="1"/>
  <c r="X194" i="1" s="1"/>
  <c r="F29" i="2" s="1"/>
  <c r="D186" i="1"/>
  <c r="F186" i="1" s="1"/>
  <c r="H186" i="1" s="1"/>
  <c r="J186" i="1" s="1"/>
  <c r="D185" i="1"/>
  <c r="F185" i="1" s="1"/>
  <c r="H185" i="1" s="1"/>
  <c r="J185" i="1" s="1"/>
  <c r="D183" i="1"/>
  <c r="F183" i="1" s="1"/>
  <c r="H183" i="1" s="1"/>
  <c r="J183" i="1" s="1"/>
  <c r="D182" i="1"/>
  <c r="F182" i="1" s="1"/>
  <c r="H182" i="1" s="1"/>
  <c r="J182" i="1" s="1"/>
  <c r="D180" i="1"/>
  <c r="F180" i="1" s="1"/>
  <c r="G180" i="1" s="1"/>
  <c r="D179" i="1"/>
  <c r="F179" i="1" s="1"/>
  <c r="G179" i="1" s="1"/>
  <c r="F178" i="1"/>
  <c r="G178" i="1" s="1"/>
  <c r="E51" i="1"/>
  <c r="G51" i="1" s="1"/>
  <c r="H51" i="1" s="1"/>
  <c r="E48" i="1"/>
  <c r="G48" i="1" s="1"/>
  <c r="H48" i="1" s="1"/>
  <c r="E43" i="1"/>
  <c r="G43" i="1" s="1"/>
  <c r="H43" i="1" s="1"/>
  <c r="E42" i="1"/>
  <c r="G42" i="1" s="1"/>
  <c r="H42" i="1" s="1"/>
  <c r="E36" i="1"/>
  <c r="G36" i="1" s="1"/>
  <c r="H36" i="1" s="1"/>
  <c r="E35" i="1"/>
  <c r="G35" i="1" s="1"/>
  <c r="H35" i="1" s="1"/>
  <c r="E34" i="1"/>
  <c r="G34" i="1" s="1"/>
  <c r="H34" i="1" s="1"/>
  <c r="E33" i="1"/>
  <c r="G33" i="1" s="1"/>
  <c r="H33" i="1" s="1"/>
  <c r="I33" i="1" l="1"/>
  <c r="I35" i="1"/>
  <c r="I42" i="1"/>
  <c r="I48" i="1"/>
  <c r="I34" i="1"/>
  <c r="I36" i="1"/>
  <c r="I43" i="1"/>
  <c r="I51" i="1"/>
  <c r="H180" i="1"/>
  <c r="J180" i="1" s="1"/>
  <c r="H179" i="1"/>
  <c r="J179" i="1" s="1"/>
  <c r="H178" i="1"/>
  <c r="J178" i="1" s="1"/>
  <c r="N182" i="1"/>
  <c r="L182" i="1"/>
  <c r="K182" i="1"/>
  <c r="M182" i="1"/>
  <c r="N183" i="1"/>
  <c r="L183" i="1"/>
  <c r="M183" i="1"/>
  <c r="K183" i="1"/>
  <c r="N185" i="1"/>
  <c r="L185" i="1"/>
  <c r="M185" i="1"/>
  <c r="K185" i="1"/>
  <c r="M186" i="1"/>
  <c r="K186" i="1"/>
  <c r="N186" i="1"/>
  <c r="L186" i="1"/>
  <c r="M51" i="1" l="1"/>
  <c r="L51" i="1"/>
  <c r="K51" i="1"/>
  <c r="J51" i="1"/>
  <c r="L36" i="1"/>
  <c r="M36" i="1"/>
  <c r="K36" i="1"/>
  <c r="J36" i="1"/>
  <c r="M48" i="1"/>
  <c r="J48" i="1"/>
  <c r="L48" i="1"/>
  <c r="K48" i="1"/>
  <c r="M35" i="1"/>
  <c r="L35" i="1"/>
  <c r="K35" i="1"/>
  <c r="J35" i="1"/>
  <c r="L43" i="1"/>
  <c r="M43" i="1"/>
  <c r="K43" i="1"/>
  <c r="J43" i="1"/>
  <c r="M34" i="1"/>
  <c r="L34" i="1"/>
  <c r="J34" i="1"/>
  <c r="K34" i="1"/>
  <c r="M42" i="1"/>
  <c r="L42" i="1"/>
  <c r="K42" i="1"/>
  <c r="J42" i="1"/>
  <c r="M33" i="1"/>
  <c r="L33" i="1"/>
  <c r="K33" i="1"/>
  <c r="J33" i="1"/>
  <c r="M179" i="1"/>
  <c r="N179" i="1"/>
  <c r="K179" i="1"/>
  <c r="L179" i="1"/>
  <c r="M180" i="1"/>
  <c r="L180" i="1"/>
  <c r="K180" i="1"/>
  <c r="N180" i="1"/>
  <c r="L178" i="1"/>
  <c r="K178" i="1"/>
  <c r="N178" i="1"/>
  <c r="M178" i="1"/>
  <c r="O186" i="1"/>
  <c r="P186" i="1" s="1"/>
  <c r="Q186" i="1" s="1"/>
  <c r="O185" i="1"/>
  <c r="P185" i="1" s="1"/>
  <c r="Q185" i="1" s="1"/>
  <c r="O183" i="1"/>
  <c r="P183" i="1" s="1"/>
  <c r="Q183" i="1" s="1"/>
  <c r="O182" i="1"/>
  <c r="P182" i="1" s="1"/>
  <c r="Q182" i="1" s="1"/>
  <c r="N33" i="1" l="1"/>
  <c r="O33" i="1" s="1"/>
  <c r="P33" i="1" s="1"/>
  <c r="T33" i="1" s="1"/>
  <c r="N36" i="1"/>
  <c r="O36" i="1" s="1"/>
  <c r="P36" i="1" s="1"/>
  <c r="T36" i="1" s="1"/>
  <c r="N42" i="1"/>
  <c r="O42" i="1" s="1"/>
  <c r="P42" i="1" s="1"/>
  <c r="N43" i="1"/>
  <c r="O43" i="1" s="1"/>
  <c r="P43" i="1" s="1"/>
  <c r="N35" i="1"/>
  <c r="O35" i="1" s="1"/>
  <c r="P35" i="1" s="1"/>
  <c r="T35" i="1" s="1"/>
  <c r="N34" i="1"/>
  <c r="O34" i="1" s="1"/>
  <c r="P34" i="1" s="1"/>
  <c r="T34" i="1" s="1"/>
  <c r="N48" i="1"/>
  <c r="O48" i="1" s="1"/>
  <c r="P48" i="1" s="1"/>
  <c r="T48" i="1" s="1"/>
  <c r="N51" i="1"/>
  <c r="O51" i="1" s="1"/>
  <c r="P51" i="1" s="1"/>
  <c r="T51" i="1" s="1"/>
  <c r="O178" i="1"/>
  <c r="P178" i="1" s="1"/>
  <c r="Q178" i="1" s="1"/>
  <c r="U178" i="1" s="1"/>
  <c r="O180" i="1"/>
  <c r="P180" i="1" s="1"/>
  <c r="Q180" i="1" s="1"/>
  <c r="O179" i="1"/>
  <c r="P179" i="1" s="1"/>
  <c r="Q179" i="1" s="1"/>
  <c r="U179" i="1" s="1"/>
  <c r="U183" i="1"/>
  <c r="S183" i="1"/>
  <c r="U185" i="1"/>
  <c r="S185" i="1"/>
  <c r="U182" i="1"/>
  <c r="S182" i="1"/>
  <c r="S186" i="1"/>
  <c r="U186" i="1"/>
  <c r="Q43" i="1" l="1"/>
  <c r="R43" i="1" s="1"/>
  <c r="V43" i="1" s="1"/>
  <c r="W43" i="1" s="1"/>
  <c r="F36" i="2" s="1"/>
  <c r="T42" i="1"/>
  <c r="Q42" i="1"/>
  <c r="R42" i="1" s="1"/>
  <c r="V42" i="1" s="1"/>
  <c r="W42" i="1" s="1"/>
  <c r="R33" i="1"/>
  <c r="R48" i="1"/>
  <c r="V48" i="1" s="1"/>
  <c r="W48" i="1" s="1"/>
  <c r="F38" i="2" s="1"/>
  <c r="R36" i="1"/>
  <c r="V36" i="1" s="1"/>
  <c r="W36" i="1" s="1"/>
  <c r="T43" i="1"/>
  <c r="R51" i="1"/>
  <c r="V51" i="1" s="1"/>
  <c r="W51" i="1" s="1"/>
  <c r="F41" i="2" s="1"/>
  <c r="R35" i="1"/>
  <c r="V35" i="1" s="1"/>
  <c r="W35" i="1" s="1"/>
  <c r="F21" i="2" s="1"/>
  <c r="R34" i="1"/>
  <c r="V180" i="1"/>
  <c r="S180" i="1"/>
  <c r="W180" i="1" s="1"/>
  <c r="X180" i="1" s="1"/>
  <c r="S178" i="1"/>
  <c r="W178" i="1" s="1"/>
  <c r="X178" i="1" s="1"/>
  <c r="V33" i="1"/>
  <c r="W33" i="1" s="1"/>
  <c r="U43" i="1"/>
  <c r="U180" i="1"/>
  <c r="V186" i="1"/>
  <c r="W186" i="1"/>
  <c r="X186" i="1" s="1"/>
  <c r="W182" i="1"/>
  <c r="X182" i="1" s="1"/>
  <c r="V182" i="1"/>
  <c r="V185" i="1"/>
  <c r="W185" i="1"/>
  <c r="X185" i="1" s="1"/>
  <c r="V183" i="1"/>
  <c r="W183" i="1"/>
  <c r="X183" i="1" s="1"/>
  <c r="F20" i="2" l="1"/>
  <c r="U35" i="1"/>
  <c r="U33" i="1"/>
  <c r="U48" i="1"/>
  <c r="U51" i="1"/>
  <c r="U36" i="1"/>
  <c r="R52" i="1"/>
  <c r="U42" i="1"/>
  <c r="V34" i="1"/>
  <c r="W34" i="1" s="1"/>
  <c r="W52" i="1" s="1"/>
  <c r="U34" i="1"/>
  <c r="Y187" i="1"/>
  <c r="V178" i="1"/>
  <c r="V179" i="1"/>
  <c r="S179" i="1"/>
  <c r="W179" i="1" s="1"/>
  <c r="X179" i="1" s="1"/>
  <c r="Y180" i="1" s="1"/>
  <c r="X195" i="1" l="1"/>
  <c r="X196" i="1" s="1"/>
  <c r="F17" i="2"/>
  <c r="S195" i="1"/>
  <c r="S196" i="1" s="1"/>
  <c r="F18" i="2" l="1"/>
  <c r="F109" i="2" s="1"/>
  <c r="X198" i="1"/>
</calcChain>
</file>

<file path=xl/sharedStrings.xml><?xml version="1.0" encoding="utf-8"?>
<sst xmlns="http://schemas.openxmlformats.org/spreadsheetml/2006/main" count="513" uniqueCount="341">
  <si>
    <t>Приложение 2</t>
  </si>
  <si>
    <t>Наименование работ</t>
  </si>
  <si>
    <t>исходные данные</t>
  </si>
  <si>
    <t>Норма времени обслуж-я на единицу измерения, мин</t>
  </si>
  <si>
    <t>Затраты времени на весь объем работ мин. Гр.2*гр.5*гр.6</t>
  </si>
  <si>
    <r>
      <t xml:space="preserve">ФЗП </t>
    </r>
    <r>
      <rPr>
        <b/>
        <sz val="12"/>
        <rFont val="Times New Roman"/>
        <family val="1"/>
        <charset val="204"/>
      </rPr>
      <t xml:space="preserve">год </t>
    </r>
    <r>
      <rPr>
        <sz val="12"/>
        <color theme="1"/>
        <rFont val="Times New Roman"/>
        <family val="1"/>
        <charset val="204"/>
      </rPr>
      <t>(4473</t>
    </r>
    <r>
      <rPr>
        <sz val="12"/>
        <rFont val="Times New Roman"/>
        <family val="1"/>
        <charset val="204"/>
      </rPr>
      <t>р,пр30% льг.с=2,3,     проч.4%)руб 13 909 руб</t>
    </r>
  </si>
  <si>
    <t>ЕСН 30,2% руб</t>
  </si>
  <si>
    <t>Материальные затраты 10%</t>
  </si>
  <si>
    <t>Общецеховые затраты 10%</t>
  </si>
  <si>
    <t>Общехозяйственные затраты 25%</t>
  </si>
  <si>
    <t>Всего расходов</t>
  </si>
  <si>
    <t>Рентабельность 5%</t>
  </si>
  <si>
    <t xml:space="preserve">Итого с рентабельностью </t>
  </si>
  <si>
    <t>Итого с НДС</t>
  </si>
  <si>
    <t>Общая жилая площадь</t>
  </si>
  <si>
    <t>Стоимость на 1 кв.м.</t>
  </si>
  <si>
    <t>Объем выполняемых работ</t>
  </si>
  <si>
    <t>кол-во дней данной работы в году</t>
  </si>
  <si>
    <t>периодичность выпол-няемых работ(1р/нед.)</t>
  </si>
  <si>
    <t>повторяемость работ в течен. года ( раз)</t>
  </si>
  <si>
    <t>без ндс</t>
  </si>
  <si>
    <t>ндс</t>
  </si>
  <si>
    <t>итого</t>
  </si>
  <si>
    <t>стоимость в месяц</t>
  </si>
  <si>
    <t>Работы по уборке лестничных клеток</t>
  </si>
  <si>
    <t>Убока мусоропровода, мусороприемных камер (бункер)</t>
  </si>
  <si>
    <t>Профилактический осмотр мусоропроводов</t>
  </si>
  <si>
    <t>Уборка придомовой территории в теплый период</t>
  </si>
  <si>
    <t>Подметание территории (пр.139 ст.2.1.2.1.19)</t>
  </si>
  <si>
    <t>Уборка газонов от случайного мусора (пр. 139 ст.2.1.2.1.20)</t>
  </si>
  <si>
    <t>Единица измерения</t>
  </si>
  <si>
    <t>норма человека часа</t>
  </si>
  <si>
    <t>средний разряд работ</t>
  </si>
  <si>
    <t xml:space="preserve">затраты на объем ч/ч </t>
  </si>
  <si>
    <t>Числ-ть с учетом к-та не выхода 1,2</t>
  </si>
  <si>
    <t>Межразрядный коэф-т</t>
  </si>
  <si>
    <r>
      <t xml:space="preserve">ФЗП </t>
    </r>
    <r>
      <rPr>
        <b/>
        <sz val="12"/>
        <rFont val="Times New Roman"/>
        <family val="1"/>
        <charset val="204"/>
      </rPr>
      <t xml:space="preserve">год </t>
    </r>
    <r>
      <rPr>
        <sz val="12"/>
        <rFont val="Times New Roman"/>
        <family val="1"/>
        <charset val="204"/>
      </rPr>
      <t>(4741,4р,пр30% льг.с=2,3,     проч.4%)руб 14743,86 руб</t>
    </r>
  </si>
  <si>
    <t>м2</t>
  </si>
  <si>
    <t>Оконные и дверные заполнения помещений общего пользования</t>
  </si>
  <si>
    <t>Электрооборудования, радио- и телекоммуникационное оборудование</t>
  </si>
  <si>
    <t>слесарь-сантехник</t>
  </si>
  <si>
    <t>Слесарь-сантехник 4 разряда</t>
  </si>
  <si>
    <t>на 1000 м2 общей жилой площади</t>
  </si>
  <si>
    <t>Изолировщик на гидроизоляции 2 разряда</t>
  </si>
  <si>
    <t>Изолировщик на гидроизоляции 3 разряда</t>
  </si>
  <si>
    <t>Устранение аварий в соответствии с установленными предельными сроками на внутридомовых инженерных системах в многоквартирном доме, выполнения заявок населения.</t>
  </si>
  <si>
    <t>м2 жилой площади</t>
  </si>
  <si>
    <t>электромонтер</t>
  </si>
  <si>
    <t>на 100 000м2 чел.в смену.</t>
  </si>
  <si>
    <t>электрогазосварщик</t>
  </si>
  <si>
    <t>водитель</t>
  </si>
  <si>
    <t>ВСЕГО</t>
  </si>
  <si>
    <t>№</t>
  </si>
  <si>
    <t>Перечень  работ</t>
  </si>
  <si>
    <t>Периодичность</t>
  </si>
  <si>
    <t>Стоимость на 1 кв.м общей площади (рублей в месяц)</t>
  </si>
  <si>
    <t>Годовая плата          (рублей)</t>
  </si>
  <si>
    <t>I. Работы по содержанию помещений, входящих в состав общего имущества МКД</t>
  </si>
  <si>
    <t>1 раз в неделю</t>
  </si>
  <si>
    <t>1 раз в месяц</t>
  </si>
  <si>
    <t>Дератизация и дезинсекция подвала</t>
  </si>
  <si>
    <t>2 раза в год</t>
  </si>
  <si>
    <t>2 раза в неделю</t>
  </si>
  <si>
    <t>Очистка территории от наледи</t>
  </si>
  <si>
    <t xml:space="preserve">Посыпка территории песком </t>
  </si>
  <si>
    <t>Подметание  придомовой территории</t>
  </si>
  <si>
    <t>ежедневно</t>
  </si>
  <si>
    <t>при необходимости</t>
  </si>
  <si>
    <t>круглосуточно</t>
  </si>
  <si>
    <t>Работы, выполняемые в целях надлежащего содержания мусоропроводов:</t>
  </si>
  <si>
    <t>уборка бункера с помощью шланга</t>
  </si>
  <si>
    <t>уборка загрузочных клапанов мусорного ствола</t>
  </si>
  <si>
    <t>удаление мусора с мусороприемных камер</t>
  </si>
  <si>
    <t xml:space="preserve">влажное подметание пола мусороприемных камер </t>
  </si>
  <si>
    <t>дезинфекция мусоросборников</t>
  </si>
  <si>
    <t>2 раза в месяц</t>
  </si>
  <si>
    <t>мытье пола кабины лифта</t>
  </si>
  <si>
    <t>мытье стен и дверей кабины лифта</t>
  </si>
  <si>
    <t>техническое обслуживание лифтов</t>
  </si>
  <si>
    <t>постоянно</t>
  </si>
  <si>
    <t>Работы, выполняемые в целях надлежащего содержания оконных и дверных заполнений:</t>
  </si>
  <si>
    <t>смена стекол</t>
  </si>
  <si>
    <t>Общие работы, выполняемые для надлежащего содержания систем водоснабжения (холодного и горячего), отопления и водоотведения:</t>
  </si>
  <si>
    <t>ремонт, регулировка, промывка, испытание систем центрального отопления</t>
  </si>
  <si>
    <t>Работы, выполняемые в целях надлежащего содержания электрооборудования:</t>
  </si>
  <si>
    <t>Формирование и выпуск платежного документа</t>
  </si>
  <si>
    <t>Итого</t>
  </si>
  <si>
    <t>профилактический осмотр мусоропроводов</t>
  </si>
  <si>
    <t>За ЕПД и ПДО(21.04р)</t>
  </si>
  <si>
    <t>Столяр строительный</t>
  </si>
  <si>
    <t>1 пружина</t>
  </si>
  <si>
    <t>Стекольщик</t>
  </si>
  <si>
    <t>1 м фальца</t>
  </si>
  <si>
    <r>
      <rPr>
        <b/>
        <sz val="12"/>
        <rFont val="Times New Roman"/>
        <family val="1"/>
        <charset val="204"/>
      </rPr>
      <t>Смена стекол</t>
    </r>
    <r>
      <rPr>
        <sz val="12"/>
        <rFont val="Times New Roman"/>
        <family val="1"/>
        <charset val="204"/>
      </rPr>
      <t xml:space="preserve"> (пр. 139 часть3  п.2.2.5 табл 5)</t>
    </r>
  </si>
  <si>
    <t>Слесарь-сантехник</t>
  </si>
  <si>
    <t>100 м трубопроводов</t>
  </si>
  <si>
    <t>100 м трубы</t>
  </si>
  <si>
    <t>100 раструбов</t>
  </si>
  <si>
    <t>100 шт.</t>
  </si>
  <si>
    <t>Изолировщик на термоизоляции</t>
  </si>
  <si>
    <t>100 м2утепленного участка</t>
  </si>
  <si>
    <t>соединение</t>
  </si>
  <si>
    <t>Сметание снега со ступеней и площадок</t>
  </si>
  <si>
    <t>Уборка газонов от случайного мусора</t>
  </si>
  <si>
    <t>Работы, выполняемые в целях надлежащего содержания фасада:</t>
  </si>
  <si>
    <t xml:space="preserve">смена пружины </t>
  </si>
  <si>
    <t>Мытье окон, обметание пыли с потолков</t>
  </si>
  <si>
    <t>Численность(баланс раб.вр.год1чел=1973час) (ед)</t>
  </si>
  <si>
    <t>Дератизация придомовой территории (1,16 руб. 2 раза в год)</t>
  </si>
  <si>
    <t>Дезинсекция подвала (2 раза в год, 1,44 руб.)</t>
  </si>
  <si>
    <t xml:space="preserve">6 раз в неделю </t>
  </si>
  <si>
    <t>Мытье полов (пр.139 ст. 2.3.2.1.6.)</t>
  </si>
  <si>
    <t>Обметание пыли с потолков (пр.139 часть1 ст.4.2.1.4. )</t>
  </si>
  <si>
    <t>Мытье окон (пр.139 ст.2.3.2.1.3)</t>
  </si>
  <si>
    <t>Влажная протирка стен (пр.139 ст.2.3.2.1.7)</t>
  </si>
  <si>
    <t>Влажная протирка перил (пр.139 ст.2.3.1.7)</t>
  </si>
  <si>
    <t>Влажная протирка дверей (пр.139 ст.2.3.1.7)</t>
  </si>
  <si>
    <t>Влажная протирка плафонов (пр.139 ст.2.3.1.7)</t>
  </si>
  <si>
    <t>Уборка загрузочных клапанов мусорного ствола (пр.139 2.2.2.1.4)</t>
  </si>
  <si>
    <t>Уборка бункера с помощью шланга (пр.139 2.2.2.1.3)</t>
  </si>
  <si>
    <t>Посыпка территории песком (пр.139 ст.2.1.2.1.4)</t>
  </si>
  <si>
    <t>Дезинфекция всех элементов ствола мусоропровода-вручную(пр.139 п.2.2.2.1.8)</t>
  </si>
  <si>
    <t>подсобный рабочий</t>
  </si>
  <si>
    <t>1 м2 кровли</t>
  </si>
  <si>
    <r>
      <rPr>
        <b/>
        <sz val="12"/>
        <rFont val="Times New Roman"/>
        <family val="1"/>
        <charset val="204"/>
      </rPr>
      <t xml:space="preserve">Очистка кровли от мусора </t>
    </r>
    <r>
      <rPr>
        <sz val="12"/>
        <rFont val="Times New Roman"/>
        <family val="1"/>
        <charset val="204"/>
      </rPr>
      <t>(пр. 319 .п.4.1.2.4. № 66)</t>
    </r>
  </si>
  <si>
    <r>
      <rPr>
        <b/>
        <sz val="12"/>
        <rFont val="Times New Roman"/>
        <family val="1"/>
        <charset val="204"/>
      </rPr>
      <t xml:space="preserve">Смена оконных и дверных приборов (угольники, ручки оконные, и дверные, таблички, скобы) </t>
    </r>
    <r>
      <rPr>
        <sz val="12"/>
        <rFont val="Times New Roman"/>
        <family val="1"/>
        <charset val="204"/>
      </rPr>
      <t xml:space="preserve">    (Норм. Труд. Мат. Рес. Стр. 138 п.1 п.п.1.17.)</t>
    </r>
  </si>
  <si>
    <t>1 ручка</t>
  </si>
  <si>
    <t>Уборщик мусоропроводов</t>
  </si>
  <si>
    <t>1м мусоропровода</t>
  </si>
  <si>
    <r>
      <t xml:space="preserve">Устранение мелких неисправностей мусоропровода </t>
    </r>
    <r>
      <rPr>
        <sz val="12"/>
        <rFont val="Times New Roman"/>
        <family val="1"/>
        <charset val="204"/>
      </rPr>
      <t>( МКД Ч2. Раздел. 2 п.3.7.1 № 2.1)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/>
    </r>
  </si>
  <si>
    <r>
      <t xml:space="preserve">Ремонт светильников: для ламп накаливания или энергосберегающими лампами </t>
    </r>
    <r>
      <rPr>
        <sz val="12"/>
        <rFont val="Times New Roman"/>
        <family val="1"/>
        <charset val="204"/>
      </rPr>
      <t>(норм. Тр. И мат рес. 2015 г. стр. 257 п.п. 7.4.)</t>
    </r>
  </si>
  <si>
    <t>1 светильник</t>
  </si>
  <si>
    <r>
      <t xml:space="preserve">Ремонт, замена внутридомовых электрических сетей </t>
    </r>
    <r>
      <rPr>
        <sz val="12"/>
        <rFont val="Times New Roman"/>
        <family val="1"/>
        <charset val="204"/>
      </rPr>
      <t>(Норм. Ч.2 Р. 2 п.3.6 п.п.3.6.1. табл.12 п.4)</t>
    </r>
  </si>
  <si>
    <r>
      <rPr>
        <b/>
        <sz val="12"/>
        <rFont val="Times New Roman"/>
        <family val="1"/>
        <charset val="204"/>
      </rPr>
      <t xml:space="preserve">Смена мягкой кровли в два слоя </t>
    </r>
    <r>
      <rPr>
        <sz val="12"/>
        <rFont val="Times New Roman"/>
        <family val="1"/>
        <charset val="204"/>
      </rPr>
      <t>(пр.139 ст.4.1.2.4 №41)</t>
    </r>
  </si>
  <si>
    <r>
      <rPr>
        <b/>
        <sz val="12"/>
        <rFont val="Times New Roman"/>
        <family val="1"/>
        <charset val="204"/>
      </rPr>
      <t>Смена пружины</t>
    </r>
    <r>
      <rPr>
        <sz val="12"/>
        <rFont val="Times New Roman"/>
        <family val="1"/>
        <charset val="204"/>
      </rPr>
      <t xml:space="preserve"> (Норм. Труд. Мат. Рес. Стр. 138 п.1 п.п.1.16.)</t>
    </r>
  </si>
  <si>
    <t>Мусоропровод</t>
  </si>
  <si>
    <r>
      <rPr>
        <b/>
        <sz val="12"/>
        <rFont val="Times New Roman"/>
        <family val="1"/>
        <charset val="204"/>
      </rPr>
      <t>Замена перегоревшей э/лампы</t>
    </r>
    <r>
      <rPr>
        <sz val="12"/>
        <rFont val="Times New Roman"/>
        <family val="1"/>
        <charset val="204"/>
      </rPr>
      <t xml:space="preserve"> (пр.139 ч.2 ст.2.2.1.3. табл.3)</t>
    </r>
  </si>
  <si>
    <r>
      <t>Смена отдельных участков трубопроводов водоснабжения из стальных водогазопроводных оцинкованных труб диаметром 25 мм</t>
    </r>
    <r>
      <rPr>
        <sz val="12"/>
        <rFont val="Times New Roman"/>
        <family val="1"/>
        <charset val="204"/>
      </rPr>
      <t xml:space="preserve"> (Норм. Труд. Мат. Рес. Стр. 210 п.1 п.п.1.1.3.)</t>
    </r>
  </si>
  <si>
    <r>
      <t>Заделка стыков соединений стояков внутренних водостоков</t>
    </r>
    <r>
      <rPr>
        <sz val="12"/>
        <rFont val="Times New Roman"/>
        <family val="1"/>
        <charset val="204"/>
      </rPr>
      <t xml:space="preserve"> (пр. 139 ч.2 п.2.2.2.2. табл. 5)</t>
    </r>
  </si>
  <si>
    <r>
      <t xml:space="preserve">Теплоизоляция сетей горячего водоснабжения </t>
    </r>
    <r>
      <rPr>
        <sz val="12"/>
        <rFont val="Times New Roman"/>
        <family val="1"/>
        <charset val="204"/>
      </rPr>
      <t>(Норм. Труд. Мат. Рес. Стр. 227 п.4 )</t>
    </r>
    <r>
      <rPr>
        <b/>
        <sz val="12"/>
        <rFont val="Times New Roman"/>
        <family val="1"/>
        <charset val="204"/>
      </rPr>
      <t xml:space="preserve">
</t>
    </r>
  </si>
  <si>
    <t>Фасад</t>
  </si>
  <si>
    <t>Помещения общего пользования</t>
  </si>
  <si>
    <r>
      <rPr>
        <b/>
        <sz val="12"/>
        <rFont val="Times New Roman"/>
        <family val="1"/>
        <charset val="204"/>
      </rPr>
      <t>Постановка заплат на покрытия из мягкой кровли</t>
    </r>
    <r>
      <rPr>
        <sz val="12"/>
        <rFont val="Times New Roman"/>
        <family val="1"/>
        <charset val="204"/>
      </rPr>
      <t xml:space="preserve"> (пр.139 п.4.1.2.4.№42)</t>
    </r>
  </si>
  <si>
    <t>Техническое обслуживание лифтов</t>
  </si>
  <si>
    <t>Крыши и кровли</t>
  </si>
  <si>
    <t>Влажная уборка лестничных площадок и маршей (пр.139.ст.2.3.2.1.5)</t>
  </si>
  <si>
    <t>Влажное подметание лестничных маршей и лестничных площадок</t>
  </si>
  <si>
    <t>Мытье полов лестничных маршей, лестничных площадок и мест общего пользования</t>
  </si>
  <si>
    <t>3 раза в неделю</t>
  </si>
  <si>
    <t>Дератизация придомовой территории</t>
  </si>
  <si>
    <t xml:space="preserve">Устранение аварий в соответствии с установленными предельными сроками на внутридомовых инженерных системах в МКД, диспетчерское обслуживание </t>
  </si>
  <si>
    <t>ежегодно (регулировка в течение отопительного периода)</t>
  </si>
  <si>
    <r>
      <t>Подчеканка раструбов чугунных канализационных труб диаметром до 100 мм</t>
    </r>
    <r>
      <rPr>
        <sz val="12"/>
        <rFont val="Times New Roman"/>
        <family val="1"/>
        <charset val="204"/>
      </rPr>
      <t xml:space="preserve">  (Норм. Труд. Мат. Рес. Стр. 231 п.2 п.п.3.3.3.)</t>
    </r>
  </si>
  <si>
    <r>
      <t xml:space="preserve">Смена отдельных участков внутренних чугунных канализационных труб и выпусков при диаметре канализационного выпуска 100 мм </t>
    </r>
    <r>
      <rPr>
        <sz val="12"/>
        <rFont val="Times New Roman"/>
        <family val="1"/>
        <charset val="204"/>
      </rPr>
      <t>(Норм. Труд. Мат. Рес. Стр. 231 п.2 п.п.2.2.)</t>
    </r>
  </si>
  <si>
    <t>Работы, выполняемые в целях надлежащего содержания кровель:</t>
  </si>
  <si>
    <t>замена перегоревшей электрической лампы</t>
  </si>
  <si>
    <t>дезинфекция всех элементов ствола мусоропровода</t>
  </si>
  <si>
    <t>Системы водоснабжения, отопления и водоотведения</t>
  </si>
  <si>
    <t>Уборка мусора с отмосток (пр.139 ч.1 п.2.2.1.17)</t>
  </si>
  <si>
    <t>на 10м канала/чл.час</t>
  </si>
  <si>
    <t>10м трубы</t>
  </si>
  <si>
    <t>3 раза в месяц</t>
  </si>
  <si>
    <t xml:space="preserve">уборка мусороприемных камер с помощью шланга </t>
  </si>
  <si>
    <t>Уборка мусора с контейнерной площадки</t>
  </si>
  <si>
    <t>Уборка мусора с отмосток</t>
  </si>
  <si>
    <t>1 раз  в месяц</t>
  </si>
  <si>
    <t xml:space="preserve">прочистка внутреннего ливнестока </t>
  </si>
  <si>
    <t>до 3 этажа</t>
  </si>
  <si>
    <t>выше 3 этажа</t>
  </si>
  <si>
    <t>Работы, выполняемые в целях надлежащего содержания лифта  в многоквартирном доме:</t>
  </si>
  <si>
    <t>смена мягкой кровли в два слоя</t>
  </si>
  <si>
    <t xml:space="preserve">постановка заплат на покрытия из мягкой кровли </t>
  </si>
  <si>
    <t>очистка кровли от мусора</t>
  </si>
  <si>
    <t xml:space="preserve">смена оконных и дверных приборов (угольники, ручки оконные, и дверные, таблички, скобы)  </t>
  </si>
  <si>
    <t>устранение мелких неисправностей мусоропровода</t>
  </si>
  <si>
    <t>III. Работы, необходимые для надлежащего содержания лифтов в МКД</t>
  </si>
  <si>
    <t>IV. Содержание земельного участка, на котором расположен МКД, в холодный период года</t>
  </si>
  <si>
    <t>V. Работы по содержанию придомовой территории в теплый период года</t>
  </si>
  <si>
    <t>ежемесячно</t>
  </si>
  <si>
    <t>ремонт светильников: для ламп накаливания или энергосберегающими лампами</t>
  </si>
  <si>
    <t>ремонт, замена внутридомовых электрических сетей</t>
  </si>
  <si>
    <t xml:space="preserve">Сдвигание свежевыпавшего снега с тротуара и отмостки (толщиной более 2 см.) в валы и кучи </t>
  </si>
  <si>
    <t>Сдвигание свежевыпавшего снега (толщиной более 2см.) в валы и кучи(пр.139 ст.2.1.2.1.6)</t>
  </si>
  <si>
    <r>
      <rPr>
        <b/>
        <sz val="12"/>
        <rFont val="Times New Roman"/>
        <family val="1"/>
        <charset val="204"/>
      </rPr>
      <t>Прочистка внутреннего ливнестока</t>
    </r>
    <r>
      <rPr>
        <sz val="12"/>
        <rFont val="Times New Roman"/>
        <family val="1"/>
        <charset val="204"/>
      </rPr>
      <t xml:space="preserve"> (по прочистке вентканалов)</t>
    </r>
  </si>
  <si>
    <r>
      <rPr>
        <b/>
        <sz val="12"/>
        <color rgb="FF000000"/>
        <rFont val="Times New Roman"/>
        <family val="1"/>
        <charset val="204"/>
      </rPr>
      <t>Прочистка засоренных вент. Каналов</t>
    </r>
    <r>
      <rPr>
        <sz val="12"/>
        <color rgb="FF000000"/>
        <rFont val="Times New Roman"/>
        <family val="1"/>
        <charset val="204"/>
      </rPr>
      <t xml:space="preserve"> (штукатур) норма 1,8 на 10м канала</t>
    </r>
  </si>
  <si>
    <t>Влажная протирка отопительных приборов</t>
  </si>
  <si>
    <t>Очистка люков колодцев от наледи и льда (пр.139 часть ст. 2.2.1.10. )</t>
  </si>
  <si>
    <t>Протирка указателей (пр. 139 часть 1 ст. 2.2.1.31. )</t>
  </si>
  <si>
    <t>Влажное подметание пола мусороприемных камер (2.2.2.1.5)</t>
  </si>
  <si>
    <t>каменщик</t>
  </si>
  <si>
    <t>1 м шва (стыка)</t>
  </si>
  <si>
    <r>
      <t xml:space="preserve">Заделка и герметизация швов и стыков </t>
    </r>
    <r>
      <rPr>
        <sz val="12"/>
        <color theme="1"/>
        <rFont val="Times New Roman"/>
        <family val="1"/>
        <charset val="204"/>
      </rPr>
      <t>(пр.319 п.4.1.2.1 № 32)</t>
    </r>
  </si>
  <si>
    <t>Штукатур</t>
  </si>
  <si>
    <t>100 отверстий</t>
  </si>
  <si>
    <t>Фундамент</t>
  </si>
  <si>
    <r>
      <rPr>
        <b/>
        <sz val="12"/>
        <rFont val="Times New Roman"/>
        <family val="1"/>
        <charset val="204"/>
      </rPr>
      <t xml:space="preserve">Ремонт железобетонных и бетонных ступеней на месте </t>
    </r>
    <r>
      <rPr>
        <sz val="12"/>
        <rFont val="Times New Roman"/>
        <family val="1"/>
        <charset val="204"/>
      </rPr>
      <t xml:space="preserve">(пр.139. ч.3 ст.2.2.6.  табл. 6) </t>
    </r>
  </si>
  <si>
    <t>заделка трещин и мелких выбоин</t>
  </si>
  <si>
    <t>бетонщик</t>
  </si>
  <si>
    <t>1 место</t>
  </si>
  <si>
    <t>заделка отбитых мест</t>
  </si>
  <si>
    <t>10 коробок</t>
  </si>
  <si>
    <r>
      <t xml:space="preserve">Ремонт дверных коробок в узких каменных стенах </t>
    </r>
    <r>
      <rPr>
        <sz val="12"/>
        <rFont val="Times New Roman"/>
        <family val="1"/>
        <charset val="204"/>
      </rPr>
      <t>(пр. 319 ч.2 п.1.4.6)</t>
    </r>
  </si>
  <si>
    <t>100 кранов</t>
  </si>
  <si>
    <r>
      <t xml:space="preserve">Смена пробковых кранов диаметром до 25 мм </t>
    </r>
    <r>
      <rPr>
        <sz val="12"/>
        <rFont val="Times New Roman"/>
        <family val="1"/>
        <charset val="204"/>
      </rPr>
      <t>(Норм. Труд. Мат. Рес. Стр. 206 п.8 п.п.8.7.1.</t>
    </r>
    <r>
      <rPr>
        <b/>
        <sz val="12"/>
        <rFont val="Times New Roman"/>
        <family val="1"/>
        <charset val="204"/>
      </rPr>
      <t xml:space="preserve">) </t>
    </r>
  </si>
  <si>
    <t>Очистка люков колодцев от наледи и льда</t>
  </si>
  <si>
    <t>Работы, выполняемые в целях надлежащего содержания фундамента:</t>
  </si>
  <si>
    <t>Заделка и герметизация швов и стыков</t>
  </si>
  <si>
    <t>Работы, выполняемые в целях надлежащего содержания помещений общего пользования:</t>
  </si>
  <si>
    <t>Заделка трещин и мелких выбоин в бетонных ступенях</t>
  </si>
  <si>
    <t>Заделка отбитых мест в бетонных ступенях</t>
  </si>
  <si>
    <t>Ремонт дверных коробок в узких каменных стенах</t>
  </si>
  <si>
    <t>Смена пробковых кранов диаметром до 25 мм</t>
  </si>
  <si>
    <t xml:space="preserve">Очистка территорий от наледи без предварительной обработки хлоридами </t>
  </si>
  <si>
    <t>II. Работы, необходимые для надлежащего содержания мусоропроводов МКД</t>
  </si>
  <si>
    <t>Заделка неплотностей вокруг трубопроводов отопления, проходящих через перекрытия</t>
  </si>
  <si>
    <t>Мытье подоконников (пр.139 ст.2.3.2.1.3)</t>
  </si>
  <si>
    <t>1 створка</t>
  </si>
  <si>
    <t>Дератизация подвала (1,29 руб, 2 раза в год)</t>
  </si>
  <si>
    <t>Уборка кабин лифтов</t>
  </si>
  <si>
    <t xml:space="preserve">Мытье пола кабины лифта (пр. 139 ст.2.3.2.1.2) </t>
  </si>
  <si>
    <t>Мытье стен и дверей кабины лифта (пр. 139 ст.2.3.2.1.2)</t>
  </si>
  <si>
    <t>Смена отдельных участков внутренних чугунных канализационных труб и выпусков при диаметре канализационного выпуска 100 мм</t>
  </si>
  <si>
    <t xml:space="preserve">Влажная протирка эл. щитков </t>
  </si>
  <si>
    <t>Уборка придомовой территории в холодный период</t>
  </si>
  <si>
    <t>Чердачные лестницы.(пр.139 ст.2.3.1.7)</t>
  </si>
  <si>
    <t>Сметание снега со ступеней и площадок от 2см.(пр.139 ст.2.1.2.1.23.2)</t>
  </si>
  <si>
    <r>
      <rPr>
        <b/>
        <sz val="12"/>
        <rFont val="Times New Roman"/>
        <family val="1"/>
        <charset val="204"/>
      </rPr>
      <t xml:space="preserve">Очистка кровли и козырьков от снега и скалывание сосулек </t>
    </r>
    <r>
      <rPr>
        <sz val="12"/>
        <rFont val="Times New Roman"/>
        <family val="1"/>
        <charset val="204"/>
      </rPr>
      <t>(пр.139 п.4.1.2.4.№67)</t>
    </r>
  </si>
  <si>
    <r>
      <rPr>
        <b/>
        <sz val="12"/>
        <rFont val="Times New Roman"/>
        <family val="1"/>
        <charset val="204"/>
      </rPr>
      <t>Ремонт оконных переплетов узких одинарных коробок со спаренными переплетами</t>
    </r>
    <r>
      <rPr>
        <sz val="12"/>
        <rFont val="Times New Roman"/>
        <family val="1"/>
        <charset val="204"/>
      </rPr>
      <t xml:space="preserve">  (Норм. Труд. Мат. Рес. Стр. 142 п.2 п.п.2.5.)</t>
    </r>
  </si>
  <si>
    <t>10 створок</t>
  </si>
  <si>
    <r>
      <rPr>
        <b/>
        <sz val="12"/>
        <color rgb="FF000000"/>
        <rFont val="Times New Roman"/>
        <family val="1"/>
        <charset val="204"/>
      </rPr>
      <t>Смена створок оконных переплетов узких одинарных коробок со спаренными переплетами</t>
    </r>
    <r>
      <rPr>
        <sz val="10"/>
        <color rgb="FF000000"/>
        <rFont val="Times New Roman"/>
        <family val="1"/>
        <charset val="204"/>
      </rPr>
      <t xml:space="preserve"> (Норм. Труд. Мат. Рес. Стр. 148 п.4 п.п.4.2.)</t>
    </r>
  </si>
  <si>
    <t>1 шт</t>
  </si>
  <si>
    <r>
      <t xml:space="preserve">Ремонт элеваторного узла с выходным проходом 80мм </t>
    </r>
    <r>
      <rPr>
        <sz val="12"/>
        <rFont val="Times New Roman"/>
        <family val="1"/>
        <charset val="204"/>
      </rPr>
      <t xml:space="preserve">(Норм. Труд. Мат. Рес. Стр. 200 п.7 п.п.7.2.) </t>
    </r>
  </si>
  <si>
    <t>Монтажник санитарно-технических состем оборудования</t>
  </si>
  <si>
    <t>1 узел</t>
  </si>
  <si>
    <r>
      <rPr>
        <b/>
        <sz val="12"/>
        <rFont val="Times New Roman"/>
        <family val="1"/>
        <charset val="204"/>
      </rPr>
      <t xml:space="preserve">Смена покрытия зонтов, поясков, сандриков, подоконных отливов и карнизов из кровельной стали,брандмауэров или парапетов м: до 0,4 м </t>
    </r>
    <r>
      <rPr>
        <sz val="12"/>
        <rFont val="Times New Roman"/>
        <family val="1"/>
        <charset val="204"/>
      </rPr>
      <t xml:space="preserve"> (пр. 139 ч. 3 п. 2. 2 .4  табл. 4)</t>
    </r>
  </si>
  <si>
    <t>кровельщик по стальным кровлям</t>
  </si>
  <si>
    <t>1 м2 объема работ</t>
  </si>
  <si>
    <r>
      <rPr>
        <b/>
        <sz val="12"/>
        <rFont val="Times New Roman"/>
        <family val="1"/>
        <charset val="204"/>
      </rPr>
      <t>Замена предохранителей</t>
    </r>
    <r>
      <rPr>
        <sz val="12"/>
        <rFont val="Times New Roman"/>
        <family val="1"/>
        <charset val="204"/>
      </rPr>
      <t xml:space="preserve"> (нормативы трудовых затрат часть 2 Раздел 2, п.3.6.1. п.п.1.4) № 139-3.1.2.2.3</t>
    </r>
  </si>
  <si>
    <r>
      <t xml:space="preserve">Замена рубильника </t>
    </r>
    <r>
      <rPr>
        <sz val="12"/>
        <rFont val="Times New Roman"/>
        <family val="1"/>
        <charset val="204"/>
      </rPr>
      <t>(Норм. Труд. Мат. Рес. Стр. 240 п.1 п.п. 1.5.)</t>
    </r>
    <r>
      <rPr>
        <b/>
        <sz val="12"/>
        <rFont val="Times New Roman"/>
        <family val="1"/>
        <charset val="204"/>
      </rPr>
      <t xml:space="preserve">
</t>
    </r>
  </si>
  <si>
    <t>Электромонтер по ремонту и обслуживанию электрооборудования</t>
  </si>
  <si>
    <t>1 рубильник</t>
  </si>
  <si>
    <r>
      <rPr>
        <b/>
        <sz val="12"/>
        <rFont val="Times New Roman"/>
        <family val="1"/>
        <charset val="204"/>
      </rPr>
      <t>Устранение засоров внутренних канализационных трубопроводов</t>
    </r>
    <r>
      <rPr>
        <sz val="12"/>
        <rFont val="Times New Roman"/>
        <family val="1"/>
        <charset val="204"/>
      </rPr>
      <t xml:space="preserve"> (Норм. Ч.2 Р.2 п.3.3. п.п.3.3.1  табл.7. .п 1.5) </t>
    </r>
  </si>
  <si>
    <t>1 м трубы</t>
  </si>
  <si>
    <r>
      <rPr>
        <b/>
        <sz val="12"/>
        <rFont val="Times New Roman"/>
        <family val="1"/>
        <charset val="204"/>
      </rPr>
      <t>Смена вентилей и клапанов обратных муфтовых диаметром до 20 мм</t>
    </r>
    <r>
      <rPr>
        <sz val="12"/>
        <rFont val="Times New Roman"/>
        <family val="1"/>
        <charset val="204"/>
      </rPr>
      <t xml:space="preserve">   норм часть 2 разд 2  п.3.2.1.п.п.6.1.2</t>
    </r>
  </si>
  <si>
    <t>на 10 шт вентелей</t>
  </si>
  <si>
    <r>
      <rPr>
        <b/>
        <sz val="12"/>
        <rFont val="Times New Roman"/>
        <family val="1"/>
        <charset val="204"/>
      </rPr>
      <t xml:space="preserve">Смена вентилей и клапанов обратных муфтовых диаметром до 50 мм </t>
    </r>
    <r>
      <rPr>
        <sz val="12"/>
        <rFont val="Times New Roman"/>
        <family val="1"/>
        <charset val="204"/>
      </rPr>
      <t xml:space="preserve"> норм часть 2 разд 2  п.3.2.1.п.п.6.1.3</t>
    </r>
  </si>
  <si>
    <t>вентель</t>
  </si>
  <si>
    <t>1 кран</t>
  </si>
  <si>
    <t>1 унитаз</t>
  </si>
  <si>
    <r>
      <rPr>
        <b/>
        <sz val="12"/>
        <rFont val="Times New Roman"/>
        <family val="1"/>
        <charset val="204"/>
      </rPr>
      <t>Ремонт водопроводного крана без снятия с места</t>
    </r>
    <r>
      <rPr>
        <sz val="12"/>
        <rFont val="Times New Roman"/>
        <family val="1"/>
        <charset val="204"/>
      </rPr>
      <t xml:space="preserve"> (пр.139 п.3.1.2.1.2 №1)</t>
    </r>
  </si>
  <si>
    <r>
      <rPr>
        <b/>
        <sz val="12"/>
        <rFont val="Times New Roman"/>
        <family val="1"/>
        <charset val="204"/>
      </rPr>
      <t>Ремонт смесителя без снятия с места с душем</t>
    </r>
    <r>
      <rPr>
        <sz val="12"/>
        <rFont val="Times New Roman"/>
        <family val="1"/>
        <charset val="204"/>
      </rPr>
      <t xml:space="preserve"> (пр.139 п.3.1.2.1.2 №3)</t>
    </r>
  </si>
  <si>
    <r>
      <rPr>
        <b/>
        <sz val="12"/>
        <rFont val="Times New Roman"/>
        <family val="1"/>
        <charset val="204"/>
      </rPr>
      <t>Ремонт смесителя без снятия с места без душа</t>
    </r>
    <r>
      <rPr>
        <sz val="12"/>
        <rFont val="Times New Roman"/>
        <family val="1"/>
        <charset val="204"/>
      </rPr>
      <t xml:space="preserve"> (пр.139 п.3.1.2.1.2 №3)</t>
    </r>
  </si>
  <si>
    <r>
      <rPr>
        <b/>
        <sz val="12"/>
        <rFont val="Times New Roman"/>
        <family val="1"/>
        <charset val="204"/>
      </rPr>
      <t>Укрепление расшатанного унитаза</t>
    </r>
    <r>
      <rPr>
        <sz val="12"/>
        <rFont val="Times New Roman"/>
        <family val="1"/>
        <charset val="204"/>
      </rPr>
      <t xml:space="preserve"> (пр.139 п.3.1.2.1.2 №10)</t>
    </r>
  </si>
  <si>
    <t>100 кран</t>
  </si>
  <si>
    <r>
      <t xml:space="preserve">Замена внутренних пожарных кранов </t>
    </r>
    <r>
      <rPr>
        <sz val="12"/>
        <rFont val="Times New Roman"/>
        <family val="1"/>
        <charset val="204"/>
      </rPr>
      <t>(Норм. Труд. Мат. Рес. Стр.228 п.6 п.п.6.7.)</t>
    </r>
  </si>
  <si>
    <r>
      <rPr>
        <b/>
        <sz val="12"/>
        <rFont val="Times New Roman"/>
        <family val="1"/>
        <charset val="204"/>
      </rPr>
      <t>Заделка неплотностей вокруг трубопроводов отоплени и горячего водоснабжения, проходящих через перекрытия</t>
    </r>
    <r>
      <rPr>
        <sz val="12"/>
        <rFont val="Times New Roman"/>
        <family val="1"/>
        <charset val="204"/>
      </rPr>
      <t xml:space="preserve"> ( норм. Труд. И мат рес. 2015 г. стр.95 п. 10)</t>
    </r>
  </si>
  <si>
    <r>
      <t xml:space="preserve">Численность (баланс раб.врем.годовой1чел=1772,4 </t>
    </r>
    <r>
      <rPr>
        <sz val="12"/>
        <rFont val="Times New Roman"/>
        <family val="1"/>
        <charset val="204"/>
      </rPr>
      <t>час</t>
    </r>
    <r>
      <rPr>
        <sz val="12"/>
        <color theme="1"/>
        <rFont val="Times New Roman"/>
        <family val="1"/>
        <charset val="204"/>
      </rPr>
      <t>) (ед) 36 ч. р.н.</t>
    </r>
  </si>
  <si>
    <r>
      <t>Ремонт внутренней штукатурки отдельными местами  - стены</t>
    </r>
    <r>
      <rPr>
        <sz val="12"/>
        <rFont val="Times New Roman"/>
        <family val="1"/>
        <charset val="204"/>
      </rPr>
      <t xml:space="preserve"> ( пр. 319 п.4.1.2.9 № 3 )</t>
    </r>
  </si>
  <si>
    <t>штукатур</t>
  </si>
  <si>
    <t>1 м2 отремонтированной поверхности</t>
  </si>
  <si>
    <r>
      <t xml:space="preserve">Смена задвижек диаметром до 50 мм </t>
    </r>
    <r>
      <rPr>
        <sz val="12"/>
        <rFont val="Times New Roman"/>
        <family val="1"/>
        <charset val="204"/>
      </rPr>
      <t xml:space="preserve"> (Норм. Труд. Мат. Рес. Стр.228 п.6 п.п.6.4.)</t>
    </r>
  </si>
  <si>
    <r>
      <rPr>
        <b/>
        <sz val="12"/>
        <rFont val="Times New Roman"/>
        <family val="1"/>
        <charset val="204"/>
      </rPr>
      <t>Смена оконных и дверных приборов - шпингалет</t>
    </r>
    <r>
      <rPr>
        <sz val="12"/>
        <rFont val="Times New Roman"/>
        <family val="1"/>
        <charset val="204"/>
      </rPr>
      <t xml:space="preserve"> (пр.139 п.4.1.2.5 №27,28,29)</t>
    </r>
  </si>
  <si>
    <t xml:space="preserve">5 раз в неделю </t>
  </si>
  <si>
    <t>Дератизация контейнерной площадки</t>
  </si>
  <si>
    <t>1 заплата отверстие</t>
  </si>
  <si>
    <t xml:space="preserve">Смена покрытия зонтов, поясков, сандриков, подоконных отливов и карнизов из кровельной стали,брандмауэров или парапетов м: до 0,4 м  </t>
  </si>
  <si>
    <t>Ремонт внутренней штукатурки отдельными местами  - стены</t>
  </si>
  <si>
    <t>Дезинфекция мусоросборников (пр.139 п.2.2.2.1.8)</t>
  </si>
  <si>
    <t>Удаление мусора с мусороприемных камер (пр.139 3.2.1.2. ) бункер на 1 этаже</t>
  </si>
  <si>
    <r>
      <rPr>
        <b/>
        <sz val="12"/>
        <rFont val="Times New Roman"/>
        <family val="1"/>
        <charset val="204"/>
      </rPr>
      <t>Ремонт,регулировка,промывка,испытание,расконсервация систем центрального отопления</t>
    </r>
    <r>
      <rPr>
        <sz val="12"/>
        <rFont val="Times New Roman"/>
        <family val="1"/>
        <charset val="204"/>
      </rPr>
      <t xml:space="preserve"> (старше 30ти л) норм. Часть 1, п.5.7</t>
    </r>
  </si>
  <si>
    <t>Ремонт оконных переплетов узких одинарных коробок со спаренными переплетами</t>
  </si>
  <si>
    <t>Смена створок оконных переплетов</t>
  </si>
  <si>
    <t>Смена оконных и дверных приборов - шпингалет</t>
  </si>
  <si>
    <t>Замена предохранителей</t>
  </si>
  <si>
    <t>Замена рубильника</t>
  </si>
  <si>
    <t>Ремонт водопроводного крана без снятия с места</t>
  </si>
  <si>
    <t>Ремонт смесителя без снятия с места с душем</t>
  </si>
  <si>
    <t>Ремонт смесителя без снятия с места без душа</t>
  </si>
  <si>
    <t>Укрепление расшатанного унитаза</t>
  </si>
  <si>
    <t>Замена внутренних пожарных кранов</t>
  </si>
  <si>
    <t>Устранение засоров внутренних канализационных трубопроводов</t>
  </si>
  <si>
    <t>Смена отдельных участков трубопроводов водоснабжения из стальных водогазопроводных оцинкованных труб диаметром 25 мм</t>
  </si>
  <si>
    <t>Подчеканка раструбов чугунных канализационных труб диаметром до 100 мм</t>
  </si>
  <si>
    <t>Теплоизоляция сетей горячего водоснабжения</t>
  </si>
  <si>
    <t>Ремонт элеваторного узла с выходным проходом 80мм</t>
  </si>
  <si>
    <t xml:space="preserve">Смена вентилей и клапанов обратных муфтовых диаметром до 20 мм   </t>
  </si>
  <si>
    <t xml:space="preserve">Смена вентилей и клапанов обратных муфтовых диаметром до 50 мм  </t>
  </si>
  <si>
    <t>Заделка стыков соединений стояков внутренних водостоков</t>
  </si>
  <si>
    <t>Смена задвижек диаметром до 50 мм</t>
  </si>
  <si>
    <t xml:space="preserve">Техническое освидетельствование лифтов 
</t>
  </si>
  <si>
    <t>1 лифт</t>
  </si>
  <si>
    <t xml:space="preserve">Техническое освидетельствование лифтов </t>
  </si>
  <si>
    <t>очистка кровли и козырьков от снега и скалывание сосулек</t>
  </si>
  <si>
    <t>Влажная протирка элементов лестничных площадок ( дверей, стен, перил, отопительных приборов, плафонов, указателей)</t>
  </si>
  <si>
    <t>Уборка приямков (пр.139 ч.1 п.2.1.2.1.18)</t>
  </si>
  <si>
    <t>Уборка мусороприемных камер облицованные кафельной плиткой с помощью шланга(пол+стены) (пр.139 2.2.2.1.6)</t>
  </si>
  <si>
    <r>
      <rPr>
        <b/>
        <sz val="12"/>
        <color rgb="FF000000"/>
        <rFont val="Times New Roman"/>
        <family val="1"/>
        <charset val="204"/>
      </rPr>
      <t xml:space="preserve">Смена покрытия зонтов и козырьков над крыльцами и подъездами </t>
    </r>
    <r>
      <rPr>
        <sz val="12"/>
        <color rgb="FF000000"/>
        <rFont val="Times New Roman"/>
        <family val="1"/>
        <charset val="204"/>
      </rPr>
      <t xml:space="preserve">(Норм. Труд. Мат. Рес. Стр. 132 п.10 п.п.10.3.)   </t>
    </r>
  </si>
  <si>
    <t>Кровельщик по стальным кровлям</t>
  </si>
  <si>
    <t>100 м2  объема работ</t>
  </si>
  <si>
    <r>
      <t xml:space="preserve">Восстановление козырьков </t>
    </r>
    <r>
      <rPr>
        <sz val="12"/>
        <rFont val="Times New Roman"/>
        <family val="1"/>
        <charset val="204"/>
      </rPr>
      <t>(Пр.139 ч.3 ст.2.2.4. табл.4)</t>
    </r>
  </si>
  <si>
    <r>
      <t>Ремонт дверных полотен - двери на врезных шпонках  или в наконечник: -двухстворные</t>
    </r>
    <r>
      <rPr>
        <sz val="12"/>
        <rFont val="Times New Roman"/>
        <family val="1"/>
        <charset val="204"/>
      </rPr>
      <t xml:space="preserve"> (пр.139 ч.3 п.2.2.5. табл.5)</t>
    </r>
    <r>
      <rPr>
        <b/>
        <sz val="12"/>
        <rFont val="Times New Roman"/>
        <family val="1"/>
        <charset val="204"/>
      </rPr>
      <t xml:space="preserve">      </t>
    </r>
  </si>
  <si>
    <t>1 м2 полотен</t>
  </si>
  <si>
    <r>
      <t xml:space="preserve">Ремонт внутренней штукатурки отдельными местами -  потолки </t>
    </r>
    <r>
      <rPr>
        <sz val="12"/>
        <rFont val="Times New Roman"/>
        <family val="1"/>
        <charset val="204"/>
      </rPr>
      <t>(пр. 139 ч.3 п.2.2.9 таб. 9)</t>
    </r>
  </si>
  <si>
    <t>Каменщик</t>
  </si>
  <si>
    <r>
      <rPr>
        <b/>
        <sz val="12"/>
        <rFont val="Times New Roman"/>
        <family val="1"/>
        <charset val="204"/>
      </rPr>
      <t>Заделка трещин в кирпичных стенах кирпичом</t>
    </r>
    <r>
      <rPr>
        <sz val="12"/>
        <rFont val="Times New Roman"/>
        <family val="1"/>
        <charset val="204"/>
      </rPr>
      <t xml:space="preserve"> </t>
    </r>
  </si>
  <si>
    <t>1 м заделанной трещины</t>
  </si>
  <si>
    <r>
      <rPr>
        <b/>
        <sz val="12"/>
        <rFont val="Times New Roman"/>
        <family val="1"/>
        <charset val="204"/>
      </rPr>
      <t>Замена автоматического выключателя (</t>
    </r>
    <r>
      <rPr>
        <sz val="12"/>
        <rFont val="Times New Roman"/>
        <family val="1"/>
        <charset val="204"/>
      </rPr>
      <t>нормативы трудовых затрат (часть 2 Раздел 2, п.3.6.1. п.п.1.2) № 139-3.1.2.2.3 п.9</t>
    </r>
  </si>
  <si>
    <r>
      <rPr>
        <b/>
        <sz val="12"/>
        <rFont val="Times New Roman"/>
        <family val="1"/>
        <charset val="204"/>
      </rPr>
      <t xml:space="preserve">Замена выключателя </t>
    </r>
    <r>
      <rPr>
        <sz val="12"/>
        <rFont val="Times New Roman"/>
        <family val="1"/>
        <charset val="204"/>
      </rPr>
      <t>(Норм.Ч.2 разд.2 п.3.6. п.п.3.6.1. п.п.п.7.1)</t>
    </r>
  </si>
  <si>
    <t>1 выключатель</t>
  </si>
  <si>
    <r>
      <t xml:space="preserve">Смена отдельных участков трубопроводов водоснабжения из стальных электросварных труб диаметром 50 мм  </t>
    </r>
    <r>
      <rPr>
        <sz val="12"/>
        <rFont val="Times New Roman"/>
        <family val="1"/>
        <charset val="204"/>
      </rPr>
      <t>(Норм. Труд. Мат. Рес. Стр. 210 п.1 п.п.1.3.2.)</t>
    </r>
  </si>
  <si>
    <t>Электрогазосварщик</t>
  </si>
  <si>
    <r>
      <t>Смена отдельных участков трубопроводов водоснабжения из стальных водогазопроводных оцинкованных труб диаметром 32 мм</t>
    </r>
    <r>
      <rPr>
        <sz val="12"/>
        <rFont val="Times New Roman"/>
        <family val="1"/>
        <charset val="204"/>
      </rPr>
      <t xml:space="preserve"> (Норм. Труд. Мат. Рес. Стр. 210 п.1 п.п.1.1.4.)</t>
    </r>
  </si>
  <si>
    <t>Уборка приямков</t>
  </si>
  <si>
    <t xml:space="preserve">Смена покрытия зонтов и козырьков над крыльцами и подъездами </t>
  </si>
  <si>
    <t>Восстановление козырьков</t>
  </si>
  <si>
    <t xml:space="preserve">Заделка трещин в кирпичных стенах кирпичом </t>
  </si>
  <si>
    <t>Ремонт внутренней штукатурки отдельными местами -  потолки</t>
  </si>
  <si>
    <t>Ремонт дверных полотен - двери на врезных шпонках  или в наконечник: -двухстворные</t>
  </si>
  <si>
    <t>прочистка вентиляционных каналов</t>
  </si>
  <si>
    <t>Замена автоматического выключателя</t>
  </si>
  <si>
    <t xml:space="preserve">Замена выключателя </t>
  </si>
  <si>
    <t>Смена отдельных участков трубопроводов водоснабжения из стальных водогазопроводных оцинкованных труб диаметром 32 мм</t>
  </si>
  <si>
    <t>Смена отдельных участков трубопроводов водоснабжения из стальных электросварных труб диаметром 50 мм</t>
  </si>
  <si>
    <t>1-3 этаж</t>
  </si>
  <si>
    <t>4-9 этаж</t>
  </si>
  <si>
    <t>Дератизация конт.площадки (197,12 р) 2 раза в год</t>
  </si>
  <si>
    <t>5 раз в неделю</t>
  </si>
  <si>
    <t>улица Зои Космодемьянской д. 5</t>
  </si>
  <si>
    <t>9-ти этажный, 1 подъездный, фундамент блочный железобетонный, перекрытия и лестничные площадки железобетонные, кирпичный, мягкая кровля бесчердачная, электроплиты. В доме 131 комнат</t>
  </si>
  <si>
    <r>
      <rPr>
        <b/>
        <sz val="12"/>
        <rFont val="Times New Roman"/>
        <family val="1"/>
        <charset val="204"/>
      </rPr>
      <t xml:space="preserve">Ремонт обыкновенной штукатурки гладких каменных фасадов </t>
    </r>
    <r>
      <rPr>
        <sz val="12"/>
        <rFont val="Times New Roman"/>
        <family val="1"/>
        <charset val="204"/>
      </rPr>
      <t xml:space="preserve">(Труд. Мат. Рес. Стр. 47 п. 9.4. п.п.9.4.1 ) </t>
    </r>
  </si>
  <si>
    <t>1 м2 отремонтированной поверхности</t>
  </si>
  <si>
    <t>Ремонт поверхности кирпичных стен с расшивкой швов и толщиной заделки до 1/2 кирпича</t>
  </si>
  <si>
    <t>1 м2 отремонтирован­ной поверхности</t>
  </si>
  <si>
    <t>Ремонт обыкновенной штукатурки гладких каменных фасадов</t>
  </si>
  <si>
    <t>Диспетчерская служба (по факту ЕДДС - 0,17руб с НДС)</t>
  </si>
  <si>
    <r>
      <t xml:space="preserve">Размер платы за СОИМД </t>
    </r>
    <r>
      <rPr>
        <b/>
        <sz val="14"/>
        <color rgb="FFFF0000"/>
        <rFont val="Times New Roman"/>
        <family val="1"/>
        <charset val="204"/>
      </rPr>
      <t xml:space="preserve"> ( 60,33 )</t>
    </r>
  </si>
  <si>
    <t>VI. Аварийное и диспетчерское обслуживание</t>
  </si>
  <si>
    <t>VII. Работы, необходимые для надлежащего содержания несущих и ненесущих конструкций МКД</t>
  </si>
  <si>
    <t>VIII. Работы, необходимые для надлежащего содержания оборудования и систем инженерно-технического обеспечения  МКД</t>
  </si>
  <si>
    <t>1 пог.м.</t>
  </si>
  <si>
    <t>НДС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</si>
</sst>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000"/>
    <numFmt numFmtId="165" formatCode="#,##0.00_р_."/>
    <numFmt numFmtId="166" formatCode="#,##0.000"/>
    <numFmt numFmtId="167" formatCode="#,##0.00000_р_."/>
    <numFmt numFmtId="168" formatCode="#,##0.00000"/>
    <numFmt numFmtId="169" formatCode="0.000"/>
    <numFmt numFmtId="170" formatCode="0.00000"/>
    <numFmt numFmtId="171" formatCode="0.000000"/>
    <numFmt numFmtId="172" formatCode="#,##0.0000"/>
    <numFmt numFmtId="173" formatCode="#,##0.0000_р_."/>
    <numFmt numFmtId="174" formatCode="#,##0.000000"/>
    <numFmt numFmtId="175" formatCode="0.0000000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.5"/>
      <color theme="1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07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165" fontId="3" fillId="0" borderId="5" xfId="0" applyNumberFormat="1" applyFont="1" applyFill="1" applyBorder="1" applyAlignment="1">
      <alignment horizontal="left" vertical="center" wrapText="1"/>
    </xf>
    <xf numFmtId="0" fontId="1" fillId="0" borderId="9" xfId="0" applyFont="1" applyFill="1" applyBorder="1"/>
    <xf numFmtId="3" fontId="1" fillId="0" borderId="10" xfId="0" applyNumberFormat="1" applyFont="1" applyFill="1" applyBorder="1" applyAlignment="1">
      <alignment horizontal="left" vertical="center" wrapText="1"/>
    </xf>
    <xf numFmtId="165" fontId="1" fillId="0" borderId="11" xfId="0" applyNumberFormat="1" applyFont="1" applyFill="1" applyBorder="1" applyAlignment="1">
      <alignment horizontal="left" vertical="center" wrapText="1"/>
    </xf>
    <xf numFmtId="165" fontId="1" fillId="0" borderId="12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4" fillId="0" borderId="19" xfId="0" applyFont="1" applyFill="1" applyBorder="1"/>
    <xf numFmtId="165" fontId="4" fillId="0" borderId="19" xfId="0" applyNumberFormat="1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0" fontId="1" fillId="0" borderId="11" xfId="0" applyFont="1" applyFill="1" applyBorder="1"/>
    <xf numFmtId="4" fontId="1" fillId="0" borderId="12" xfId="0" applyNumberFormat="1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2" fillId="0" borderId="0" xfId="1" applyFont="1" applyFill="1"/>
    <xf numFmtId="2" fontId="6" fillId="0" borderId="0" xfId="1" applyNumberFormat="1" applyFont="1" applyFill="1"/>
    <xf numFmtId="0" fontId="7" fillId="0" borderId="17" xfId="1" applyFont="1" applyFill="1" applyBorder="1" applyAlignment="1"/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wrapText="1"/>
    </xf>
    <xf numFmtId="2" fontId="5" fillId="0" borderId="5" xfId="1" applyNumberFormat="1" applyFont="1" applyFill="1" applyBorder="1" applyAlignment="1">
      <alignment horizontal="center" vertical="center"/>
    </xf>
    <xf numFmtId="4" fontId="5" fillId="0" borderId="6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/>
    </xf>
    <xf numFmtId="2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4" fontId="1" fillId="0" borderId="0" xfId="0" applyNumberFormat="1" applyFont="1" applyFill="1" applyBorder="1"/>
    <xf numFmtId="167" fontId="1" fillId="0" borderId="0" xfId="0" applyNumberFormat="1" applyFont="1" applyFill="1" applyBorder="1"/>
    <xf numFmtId="2" fontId="7" fillId="0" borderId="5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5" xfId="1" applyFont="1" applyFill="1" applyBorder="1"/>
    <xf numFmtId="0" fontId="5" fillId="0" borderId="22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2" fontId="5" fillId="0" borderId="14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2" fontId="1" fillId="0" borderId="10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3" fontId="1" fillId="0" borderId="11" xfId="0" applyNumberFormat="1" applyFont="1" applyFill="1" applyBorder="1" applyAlignment="1">
      <alignment horizontal="left" vertical="center" wrapText="1"/>
    </xf>
    <xf numFmtId="164" fontId="1" fillId="0" borderId="11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left" vertical="top"/>
    </xf>
    <xf numFmtId="0" fontId="4" fillId="0" borderId="18" xfId="0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2" fontId="7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wrapText="1"/>
    </xf>
    <xf numFmtId="2" fontId="2" fillId="0" borderId="5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/>
    <xf numFmtId="170" fontId="2" fillId="0" borderId="5" xfId="0" applyNumberFormat="1" applyFont="1" applyFill="1" applyBorder="1" applyAlignment="1">
      <alignment horizontal="center" wrapText="1"/>
    </xf>
    <xf numFmtId="165" fontId="0" fillId="0" borderId="0" xfId="0" applyNumberFormat="1" applyFill="1"/>
    <xf numFmtId="165" fontId="1" fillId="0" borderId="0" xfId="0" applyNumberFormat="1" applyFont="1" applyFill="1"/>
    <xf numFmtId="165" fontId="3" fillId="0" borderId="0" xfId="0" applyNumberFormat="1" applyFont="1" applyFill="1" applyBorder="1"/>
    <xf numFmtId="165" fontId="2" fillId="0" borderId="5" xfId="0" applyNumberFormat="1" applyFont="1" applyFill="1" applyBorder="1" applyAlignment="1">
      <alignment horizontal="center" wrapText="1"/>
    </xf>
    <xf numFmtId="165" fontId="1" fillId="0" borderId="11" xfId="0" applyNumberFormat="1" applyFont="1" applyFill="1" applyBorder="1"/>
    <xf numFmtId="165" fontId="1" fillId="0" borderId="0" xfId="0" applyNumberFormat="1" applyFont="1" applyFill="1" applyBorder="1"/>
    <xf numFmtId="165" fontId="3" fillId="0" borderId="0" xfId="0" applyNumberFormat="1" applyFont="1" applyFill="1" applyAlignment="1">
      <alignment vertical="center"/>
    </xf>
    <xf numFmtId="165" fontId="0" fillId="0" borderId="0" xfId="0" applyNumberFormat="1" applyFill="1" applyAlignment="1">
      <alignment horizontal="left" vertical="center"/>
    </xf>
    <xf numFmtId="165" fontId="2" fillId="0" borderId="0" xfId="0" applyNumberFormat="1" applyFont="1" applyFill="1"/>
    <xf numFmtId="3" fontId="2" fillId="0" borderId="5" xfId="0" applyNumberFormat="1" applyFont="1" applyFill="1" applyBorder="1" applyAlignment="1">
      <alignment vertical="top" wrapText="1"/>
    </xf>
    <xf numFmtId="3" fontId="2" fillId="0" borderId="6" xfId="0" applyNumberFormat="1" applyFont="1" applyFill="1" applyBorder="1" applyAlignment="1">
      <alignment vertical="top" wrapText="1"/>
    </xf>
    <xf numFmtId="0" fontId="3" fillId="0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horizontal="left" vertical="center" wrapText="1"/>
    </xf>
    <xf numFmtId="165" fontId="3" fillId="0" borderId="5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/>
    <xf numFmtId="0" fontId="2" fillId="0" borderId="0" xfId="0" applyFont="1" applyFill="1"/>
    <xf numFmtId="164" fontId="2" fillId="0" borderId="5" xfId="0" applyNumberFormat="1" applyFont="1" applyFill="1" applyBorder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/>
    <xf numFmtId="0" fontId="2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left" vertical="center" wrapText="1"/>
    </xf>
    <xf numFmtId="2" fontId="3" fillId="0" borderId="5" xfId="0" applyNumberFormat="1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left" vertical="center" wrapText="1"/>
    </xf>
    <xf numFmtId="166" fontId="2" fillId="0" borderId="5" xfId="0" applyNumberFormat="1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/>
    <xf numFmtId="164" fontId="2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17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169" fontId="2" fillId="0" borderId="5" xfId="0" applyNumberFormat="1" applyFont="1" applyFill="1" applyBorder="1" applyAlignment="1">
      <alignment horizontal="center" vertical="center" wrapText="1"/>
    </xf>
    <xf numFmtId="171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65" fontId="2" fillId="0" borderId="6" xfId="0" applyNumberFormat="1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left" vertical="center" wrapText="1"/>
    </xf>
    <xf numFmtId="165" fontId="5" fillId="0" borderId="5" xfId="0" applyNumberFormat="1" applyFont="1" applyFill="1" applyBorder="1" applyAlignment="1">
      <alignment horizontal="left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wrapText="1"/>
    </xf>
    <xf numFmtId="172" fontId="3" fillId="0" borderId="6" xfId="0" applyNumberFormat="1" applyFont="1" applyFill="1" applyBorder="1" applyAlignment="1">
      <alignment horizontal="left" vertical="center" wrapText="1"/>
    </xf>
    <xf numFmtId="164" fontId="4" fillId="0" borderId="2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 vertical="center"/>
    </xf>
    <xf numFmtId="172" fontId="1" fillId="0" borderId="12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171" fontId="2" fillId="0" borderId="6" xfId="0" applyNumberFormat="1" applyFont="1" applyFill="1" applyBorder="1" applyAlignment="1">
      <alignment horizontal="center" vertical="center" wrapText="1"/>
    </xf>
    <xf numFmtId="167" fontId="2" fillId="0" borderId="6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8" fontId="2" fillId="0" borderId="5" xfId="0" applyNumberFormat="1" applyFont="1" applyFill="1" applyBorder="1" applyAlignment="1">
      <alignment horizontal="center" vertical="center" wrapText="1"/>
    </xf>
    <xf numFmtId="174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0" fontId="2" fillId="0" borderId="29" xfId="0" applyFont="1" applyFill="1" applyBorder="1" applyAlignment="1">
      <alignment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/>
    <xf numFmtId="167" fontId="2" fillId="0" borderId="0" xfId="0" applyNumberFormat="1" applyFont="1" applyFill="1"/>
    <xf numFmtId="168" fontId="3" fillId="0" borderId="0" xfId="0" applyNumberFormat="1" applyFont="1" applyFill="1"/>
    <xf numFmtId="167" fontId="5" fillId="0" borderId="5" xfId="0" applyNumberFormat="1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wrapText="1"/>
    </xf>
    <xf numFmtId="2" fontId="2" fillId="0" borderId="5" xfId="0" applyNumberFormat="1" applyFont="1" applyFill="1" applyBorder="1" applyAlignment="1">
      <alignment horizontal="left" vertical="center" wrapText="1"/>
    </xf>
    <xf numFmtId="2" fontId="3" fillId="0" borderId="4" xfId="0" applyNumberFormat="1" applyFont="1" applyFill="1" applyBorder="1" applyAlignment="1">
      <alignment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top"/>
    </xf>
    <xf numFmtId="0" fontId="16" fillId="0" borderId="5" xfId="0" applyFont="1" applyFill="1" applyBorder="1"/>
    <xf numFmtId="0" fontId="10" fillId="0" borderId="0" xfId="0" applyFont="1" applyFill="1" applyAlignment="1">
      <alignment horizontal="center" vertical="center" wrapText="1"/>
    </xf>
    <xf numFmtId="0" fontId="16" fillId="0" borderId="5" xfId="0" applyFont="1" applyFill="1" applyBorder="1" applyAlignment="1">
      <alignment wrapText="1"/>
    </xf>
    <xf numFmtId="0" fontId="17" fillId="0" borderId="3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top"/>
    </xf>
    <xf numFmtId="172" fontId="3" fillId="0" borderId="0" xfId="0" applyNumberFormat="1" applyFont="1" applyFill="1"/>
    <xf numFmtId="170" fontId="0" fillId="0" borderId="0" xfId="0" applyNumberFormat="1" applyFill="1"/>
    <xf numFmtId="167" fontId="0" fillId="0" borderId="0" xfId="0" applyNumberFormat="1" applyFill="1"/>
    <xf numFmtId="0" fontId="2" fillId="0" borderId="4" xfId="0" applyFont="1" applyFill="1" applyBorder="1" applyAlignment="1">
      <alignment horizontal="left" wrapText="1"/>
    </xf>
    <xf numFmtId="165" fontId="3" fillId="0" borderId="0" xfId="0" applyNumberFormat="1" applyFont="1" applyFill="1" applyAlignment="1">
      <alignment vertical="top" wrapText="1"/>
    </xf>
    <xf numFmtId="0" fontId="3" fillId="0" borderId="4" xfId="0" applyFont="1" applyFill="1" applyBorder="1"/>
    <xf numFmtId="172" fontId="3" fillId="0" borderId="5" xfId="0" applyNumberFormat="1" applyFont="1" applyFill="1" applyBorder="1" applyAlignment="1">
      <alignment horizontal="left" vertical="center" wrapText="1"/>
    </xf>
    <xf numFmtId="168" fontId="3" fillId="0" borderId="6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0" fontId="3" fillId="0" borderId="5" xfId="0" applyNumberFormat="1" applyFont="1" applyFill="1" applyBorder="1" applyAlignment="1">
      <alignment horizontal="left" vertical="center" wrapText="1"/>
    </xf>
    <xf numFmtId="170" fontId="3" fillId="0" borderId="6" xfId="0" applyNumberFormat="1" applyFont="1" applyFill="1" applyBorder="1" applyAlignment="1">
      <alignment horizontal="left" vertical="center" wrapText="1"/>
    </xf>
    <xf numFmtId="173" fontId="3" fillId="0" borderId="6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/>
    <xf numFmtId="0" fontId="2" fillId="0" borderId="4" xfId="0" applyFont="1" applyFill="1" applyBorder="1"/>
    <xf numFmtId="168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wrapText="1"/>
    </xf>
    <xf numFmtId="4" fontId="3" fillId="0" borderId="5" xfId="0" applyNumberFormat="1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165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168" fontId="2" fillId="0" borderId="5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0" fontId="3" fillId="0" borderId="5" xfId="0" applyFont="1" applyFill="1" applyBorder="1"/>
    <xf numFmtId="170" fontId="2" fillId="0" borderId="5" xfId="0" applyNumberFormat="1" applyFont="1" applyFill="1" applyBorder="1" applyAlignment="1">
      <alignment horizontal="left" vertical="center" wrapText="1"/>
    </xf>
    <xf numFmtId="168" fontId="2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wrapText="1"/>
    </xf>
    <xf numFmtId="171" fontId="3" fillId="0" borderId="0" xfId="0" applyNumberFormat="1" applyFont="1" applyFill="1" applyAlignment="1">
      <alignment vertical="center"/>
    </xf>
    <xf numFmtId="165" fontId="2" fillId="0" borderId="6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70" fontId="5" fillId="0" borderId="5" xfId="0" applyNumberFormat="1" applyFont="1" applyFill="1" applyBorder="1" applyAlignment="1">
      <alignment horizontal="left" vertical="center" wrapText="1"/>
    </xf>
    <xf numFmtId="170" fontId="5" fillId="0" borderId="5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166" fontId="2" fillId="0" borderId="5" xfId="0" applyNumberFormat="1" applyFont="1" applyFill="1" applyBorder="1" applyAlignment="1">
      <alignment horizontal="center" wrapText="1"/>
    </xf>
    <xf numFmtId="173" fontId="2" fillId="0" borderId="5" xfId="0" applyNumberFormat="1" applyFont="1" applyFill="1" applyBorder="1" applyAlignment="1">
      <alignment horizontal="center" wrapText="1"/>
    </xf>
    <xf numFmtId="171" fontId="2" fillId="0" borderId="6" xfId="0" applyNumberFormat="1" applyFont="1" applyFill="1" applyBorder="1" applyAlignment="1">
      <alignment horizontal="center" wrapText="1"/>
    </xf>
    <xf numFmtId="0" fontId="5" fillId="0" borderId="5" xfId="1" quotePrefix="1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left" wrapText="1"/>
    </xf>
    <xf numFmtId="0" fontId="5" fillId="0" borderId="24" xfId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top" wrapText="1"/>
    </xf>
    <xf numFmtId="170" fontId="1" fillId="0" borderId="12" xfId="0" applyNumberFormat="1" applyFont="1" applyFill="1" applyBorder="1"/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wrapText="1"/>
    </xf>
    <xf numFmtId="170" fontId="2" fillId="0" borderId="6" xfId="0" applyNumberFormat="1" applyFont="1" applyFill="1" applyBorder="1" applyAlignment="1">
      <alignment horizontal="center" vertical="center" wrapText="1"/>
    </xf>
    <xf numFmtId="171" fontId="0" fillId="0" borderId="0" xfId="0" applyNumberFormat="1" applyFill="1"/>
    <xf numFmtId="167" fontId="3" fillId="0" borderId="0" xfId="0" applyNumberFormat="1" applyFont="1" applyFill="1" applyAlignment="1">
      <alignment vertical="center"/>
    </xf>
    <xf numFmtId="175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71" fontId="0" fillId="0" borderId="0" xfId="0" applyNumberFormat="1" applyFont="1" applyFill="1"/>
    <xf numFmtId="0" fontId="19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top"/>
    </xf>
    <xf numFmtId="0" fontId="0" fillId="0" borderId="0" xfId="0" applyFill="1" applyAlignment="1">
      <alignment horizontal="left"/>
    </xf>
    <xf numFmtId="2" fontId="10" fillId="0" borderId="5" xfId="0" applyNumberFormat="1" applyFont="1" applyFill="1" applyBorder="1" applyAlignment="1">
      <alignment horizontal="center" vertical="center"/>
    </xf>
    <xf numFmtId="170" fontId="0" fillId="0" borderId="0" xfId="0" applyNumberFormat="1" applyFill="1" applyAlignment="1">
      <alignment horizontal="left"/>
    </xf>
    <xf numFmtId="2" fontId="2" fillId="0" borderId="1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164" fontId="5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15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167" fontId="5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7" fontId="0" fillId="0" borderId="0" xfId="0" applyNumberFormat="1" applyFill="1" applyAlignment="1">
      <alignment horizontal="center"/>
    </xf>
    <xf numFmtId="0" fontId="7" fillId="0" borderId="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left" vertical="top" wrapText="1"/>
    </xf>
    <xf numFmtId="4" fontId="5" fillId="0" borderId="31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vertical="center" wrapText="1"/>
    </xf>
    <xf numFmtId="2" fontId="7" fillId="0" borderId="5" xfId="1" applyNumberFormat="1" applyFont="1" applyFill="1" applyBorder="1" applyAlignment="1">
      <alignment horizontal="center" vertical="center"/>
    </xf>
    <xf numFmtId="4" fontId="7" fillId="0" borderId="5" xfId="1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165" fontId="2" fillId="0" borderId="6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vertical="top" wrapText="1"/>
    </xf>
    <xf numFmtId="2" fontId="14" fillId="0" borderId="25" xfId="1" applyNumberFormat="1" applyFont="1" applyFill="1" applyBorder="1" applyAlignment="1">
      <alignment horizontal="center" vertical="center" wrapText="1"/>
    </xf>
    <xf numFmtId="2" fontId="14" fillId="0" borderId="8" xfId="1" applyNumberFormat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21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2" fontId="14" fillId="0" borderId="5" xfId="1" applyNumberFormat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right"/>
    </xf>
    <xf numFmtId="2" fontId="2" fillId="0" borderId="0" xfId="1" applyNumberFormat="1" applyFont="1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2" fontId="5" fillId="2" borderId="5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6"/>
  <sheetViews>
    <sheetView zoomScale="60" zoomScaleNormal="60" zoomScaleSheetLayoutView="70" workbookViewId="0">
      <selection activeCell="D17" sqref="D17"/>
    </sheetView>
  </sheetViews>
  <sheetFormatPr defaultColWidth="9.140625" defaultRowHeight="15.75" x14ac:dyDescent="0.25"/>
  <cols>
    <col min="1" max="1" width="81.140625" style="2" customWidth="1"/>
    <col min="2" max="2" width="14.85546875" style="2" customWidth="1"/>
    <col min="3" max="3" width="11.42578125" style="2" customWidth="1"/>
    <col min="4" max="4" width="10.42578125" style="49" customWidth="1"/>
    <col min="5" max="5" width="11.42578125" style="2" customWidth="1"/>
    <col min="6" max="6" width="10.42578125" style="2" customWidth="1"/>
    <col min="7" max="7" width="10.85546875" style="2" customWidth="1"/>
    <col min="8" max="8" width="14.140625" style="2" customWidth="1"/>
    <col min="9" max="9" width="14.28515625" style="2" customWidth="1"/>
    <col min="10" max="10" width="13.85546875" style="2" customWidth="1"/>
    <col min="11" max="11" width="12.5703125" style="2" customWidth="1"/>
    <col min="12" max="12" width="13" style="2" customWidth="1"/>
    <col min="13" max="13" width="13.28515625" style="2" customWidth="1"/>
    <col min="14" max="14" width="13.85546875" style="2" customWidth="1"/>
    <col min="15" max="15" width="14.140625" style="2" customWidth="1"/>
    <col min="16" max="16" width="15.28515625" style="2" customWidth="1"/>
    <col min="17" max="17" width="14.28515625" style="2" customWidth="1"/>
    <col min="18" max="18" width="15.28515625" style="2" customWidth="1"/>
    <col min="19" max="19" width="16.28515625" style="2" customWidth="1"/>
    <col min="20" max="20" width="11.5703125" style="2" customWidth="1"/>
    <col min="21" max="21" width="12.28515625" style="2" customWidth="1"/>
    <col min="22" max="23" width="14.5703125" style="2" customWidth="1"/>
    <col min="24" max="24" width="13.28515625" style="2" customWidth="1"/>
    <col min="25" max="25" width="14.42578125" style="2" customWidth="1"/>
    <col min="26" max="16384" width="9.140625" style="2"/>
  </cols>
  <sheetData>
    <row r="1" spans="1:25" s="96" customFormat="1" x14ac:dyDescent="0.25">
      <c r="D1" s="49"/>
    </row>
    <row r="2" spans="1:25" s="96" customFormat="1" ht="23.25" customHeight="1" x14ac:dyDescent="0.25">
      <c r="A2" s="265" t="s">
        <v>335</v>
      </c>
      <c r="B2" s="265"/>
      <c r="D2" s="49"/>
    </row>
    <row r="3" spans="1:25" s="96" customFormat="1" ht="57.75" customHeight="1" x14ac:dyDescent="0.25">
      <c r="A3" s="65" t="s">
        <v>327</v>
      </c>
      <c r="B3" s="284" t="s">
        <v>328</v>
      </c>
      <c r="C3" s="284"/>
      <c r="D3" s="284"/>
      <c r="E3" s="284"/>
      <c r="F3" s="284"/>
      <c r="G3" s="284"/>
      <c r="H3" s="284"/>
      <c r="I3" s="284"/>
      <c r="J3" s="284"/>
      <c r="K3" s="284"/>
      <c r="W3" s="96" t="s">
        <v>0</v>
      </c>
    </row>
    <row r="4" spans="1:25" s="96" customFormat="1" ht="16.5" thickBot="1" x14ac:dyDescent="0.3">
      <c r="D4" s="49"/>
    </row>
    <row r="5" spans="1:25" s="3" customFormat="1" x14ac:dyDescent="0.25">
      <c r="A5" s="285" t="s">
        <v>1</v>
      </c>
      <c r="B5" s="287" t="s">
        <v>2</v>
      </c>
      <c r="C5" s="287"/>
      <c r="D5" s="287"/>
      <c r="E5" s="287"/>
      <c r="F5" s="278" t="s">
        <v>3</v>
      </c>
      <c r="G5" s="278" t="s">
        <v>4</v>
      </c>
      <c r="H5" s="278" t="s">
        <v>256</v>
      </c>
      <c r="I5" s="266" t="s">
        <v>5</v>
      </c>
      <c r="J5" s="266" t="s">
        <v>6</v>
      </c>
      <c r="K5" s="278" t="s">
        <v>7</v>
      </c>
      <c r="L5" s="278" t="s">
        <v>8</v>
      </c>
      <c r="M5" s="278" t="s">
        <v>9</v>
      </c>
      <c r="N5" s="278" t="s">
        <v>10</v>
      </c>
      <c r="O5" s="278" t="s">
        <v>11</v>
      </c>
      <c r="P5" s="278" t="s">
        <v>12</v>
      </c>
      <c r="Q5" s="278" t="s">
        <v>340</v>
      </c>
      <c r="R5" s="278" t="s">
        <v>13</v>
      </c>
      <c r="S5" s="278" t="s">
        <v>14</v>
      </c>
      <c r="T5" s="278" t="s">
        <v>15</v>
      </c>
      <c r="U5" s="278"/>
      <c r="V5" s="278"/>
      <c r="W5" s="280"/>
    </row>
    <row r="6" spans="1:25" s="3" customFormat="1" x14ac:dyDescent="0.25">
      <c r="A6" s="286"/>
      <c r="B6" s="288" t="s">
        <v>16</v>
      </c>
      <c r="C6" s="288" t="s">
        <v>17</v>
      </c>
      <c r="D6" s="267" t="s">
        <v>18</v>
      </c>
      <c r="E6" s="288" t="s">
        <v>19</v>
      </c>
      <c r="F6" s="279"/>
      <c r="G6" s="279"/>
      <c r="H6" s="279"/>
      <c r="I6" s="267"/>
      <c r="J6" s="267"/>
      <c r="K6" s="279"/>
      <c r="L6" s="279"/>
      <c r="M6" s="279"/>
      <c r="N6" s="279"/>
      <c r="O6" s="279"/>
      <c r="P6" s="279"/>
      <c r="Q6" s="279"/>
      <c r="R6" s="279"/>
      <c r="S6" s="279"/>
      <c r="T6" s="279" t="s">
        <v>20</v>
      </c>
      <c r="U6" s="279" t="s">
        <v>21</v>
      </c>
      <c r="V6" s="279" t="s">
        <v>22</v>
      </c>
      <c r="W6" s="272" t="s">
        <v>23</v>
      </c>
    </row>
    <row r="7" spans="1:25" s="3" customFormat="1" x14ac:dyDescent="0.25">
      <c r="A7" s="286"/>
      <c r="B7" s="288"/>
      <c r="C7" s="288"/>
      <c r="D7" s="267"/>
      <c r="E7" s="288"/>
      <c r="F7" s="279"/>
      <c r="G7" s="279"/>
      <c r="H7" s="279"/>
      <c r="I7" s="267"/>
      <c r="J7" s="267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2"/>
    </row>
    <row r="8" spans="1:25" s="3" customFormat="1" ht="85.5" customHeight="1" x14ac:dyDescent="0.25">
      <c r="A8" s="286"/>
      <c r="B8" s="288"/>
      <c r="C8" s="288"/>
      <c r="D8" s="267"/>
      <c r="E8" s="288"/>
      <c r="F8" s="279"/>
      <c r="G8" s="279"/>
      <c r="H8" s="279"/>
      <c r="I8" s="267"/>
      <c r="J8" s="267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2"/>
    </row>
    <row r="9" spans="1:25" s="3" customFormat="1" x14ac:dyDescent="0.25">
      <c r="A9" s="261">
        <v>1</v>
      </c>
      <c r="B9" s="262">
        <v>2</v>
      </c>
      <c r="C9" s="262">
        <v>3</v>
      </c>
      <c r="D9" s="263">
        <v>4</v>
      </c>
      <c r="E9" s="262">
        <v>5</v>
      </c>
      <c r="F9" s="262">
        <v>6</v>
      </c>
      <c r="G9" s="262">
        <v>7</v>
      </c>
      <c r="H9" s="262">
        <v>8</v>
      </c>
      <c r="I9" s="262">
        <v>9</v>
      </c>
      <c r="J9" s="262">
        <v>10</v>
      </c>
      <c r="K9" s="262">
        <v>11</v>
      </c>
      <c r="L9" s="262">
        <v>12</v>
      </c>
      <c r="M9" s="262">
        <v>13</v>
      </c>
      <c r="N9" s="262">
        <v>14</v>
      </c>
      <c r="O9" s="262">
        <v>15</v>
      </c>
      <c r="P9" s="262">
        <v>16</v>
      </c>
      <c r="Q9" s="262">
        <v>17</v>
      </c>
      <c r="R9" s="262">
        <v>18</v>
      </c>
      <c r="S9" s="262">
        <v>19</v>
      </c>
      <c r="T9" s="262">
        <v>20</v>
      </c>
      <c r="U9" s="262">
        <v>21</v>
      </c>
      <c r="V9" s="262">
        <v>22</v>
      </c>
      <c r="W9" s="264">
        <v>23</v>
      </c>
    </row>
    <row r="10" spans="1:25" s="3" customFormat="1" x14ac:dyDescent="0.25">
      <c r="A10" s="6" t="s">
        <v>24</v>
      </c>
      <c r="B10" s="246"/>
      <c r="C10" s="246"/>
      <c r="D10" s="245"/>
      <c r="E10" s="246"/>
      <c r="F10" s="244"/>
      <c r="G10" s="244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5"/>
    </row>
    <row r="11" spans="1:25" s="3" customFormat="1" ht="22.5" customHeight="1" x14ac:dyDescent="0.25">
      <c r="A11" s="248" t="s">
        <v>145</v>
      </c>
      <c r="B11" s="97"/>
      <c r="C11" s="97"/>
      <c r="D11" s="155"/>
      <c r="E11" s="99"/>
      <c r="F11" s="97"/>
      <c r="G11" s="99"/>
      <c r="H11" s="108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14"/>
    </row>
    <row r="12" spans="1:25" s="3" customFormat="1" x14ac:dyDescent="0.25">
      <c r="A12" s="248" t="s">
        <v>323</v>
      </c>
      <c r="B12" s="171">
        <v>176.5</v>
      </c>
      <c r="C12" s="97">
        <v>365</v>
      </c>
      <c r="D12" s="155">
        <v>5</v>
      </c>
      <c r="E12" s="99">
        <f>C12/7*D12</f>
        <v>261</v>
      </c>
      <c r="F12" s="98">
        <v>0.81</v>
      </c>
      <c r="G12" s="99">
        <f>F12*E12*B12</f>
        <v>37314</v>
      </c>
      <c r="H12" s="135">
        <f>G12/1772.4/60</f>
        <v>0.35088000000000003</v>
      </c>
      <c r="I12" s="100">
        <f>4473*1.3*2.3*1.04*1.2*H12*12</f>
        <v>70278.83</v>
      </c>
      <c r="J12" s="100">
        <f>I12*30.2/100</f>
        <v>21224.21</v>
      </c>
      <c r="K12" s="100">
        <f>I12*10/100</f>
        <v>7027.88</v>
      </c>
      <c r="L12" s="100">
        <f>I12*10/100</f>
        <v>7027.88</v>
      </c>
      <c r="M12" s="100">
        <f>I12*25/100</f>
        <v>17569.71</v>
      </c>
      <c r="N12" s="100">
        <f>M12+L12+K12+J12+I12</f>
        <v>123128.51</v>
      </c>
      <c r="O12" s="100">
        <f>N12*5/100</f>
        <v>6156.43</v>
      </c>
      <c r="P12" s="100">
        <f>O12+N12</f>
        <v>129284.94</v>
      </c>
      <c r="Q12" s="100">
        <f>P12*20/100</f>
        <v>25856.99</v>
      </c>
      <c r="R12" s="100">
        <f>Q12+P12</f>
        <v>155141.93</v>
      </c>
      <c r="S12" s="104">
        <v>3745.2</v>
      </c>
      <c r="T12" s="108">
        <f>P12/S12</f>
        <v>34.520200000000003</v>
      </c>
      <c r="U12" s="100">
        <f>Q12/S12</f>
        <v>6.9</v>
      </c>
      <c r="V12" s="100">
        <f>R12/S12</f>
        <v>41.42</v>
      </c>
      <c r="W12" s="149">
        <f>V12/12</f>
        <v>3.4517000000000002</v>
      </c>
      <c r="X12" s="187"/>
      <c r="Y12" s="187"/>
    </row>
    <row r="13" spans="1:25" s="96" customFormat="1" ht="18.75" customHeight="1" x14ac:dyDescent="0.25">
      <c r="A13" s="188" t="s">
        <v>324</v>
      </c>
      <c r="B13" s="171">
        <v>353.1</v>
      </c>
      <c r="C13" s="97">
        <v>365</v>
      </c>
      <c r="D13" s="155">
        <v>2</v>
      </c>
      <c r="E13" s="99">
        <f>C13/7*D13</f>
        <v>104</v>
      </c>
      <c r="F13" s="98">
        <v>0.71</v>
      </c>
      <c r="G13" s="99">
        <f>F13*E13*B13</f>
        <v>26073</v>
      </c>
      <c r="H13" s="135">
        <f t="shared" ref="H13:H51" si="0">G13/1772.4/60</f>
        <v>0.24517600000000001</v>
      </c>
      <c r="I13" s="100">
        <f>4473*1.3*2.3*1.04*1.2*H13*12</f>
        <v>49107.05</v>
      </c>
      <c r="J13" s="100">
        <f>I13*30.2/100</f>
        <v>14830.33</v>
      </c>
      <c r="K13" s="100">
        <f>I13*10/100</f>
        <v>4910.71</v>
      </c>
      <c r="L13" s="100">
        <f>I13*10/100</f>
        <v>4910.71</v>
      </c>
      <c r="M13" s="100">
        <f>I13*25/100</f>
        <v>12276.76</v>
      </c>
      <c r="N13" s="100">
        <f>M13+L13+K13+J13+I13</f>
        <v>86035.56</v>
      </c>
      <c r="O13" s="100">
        <f>N13*5/100</f>
        <v>4301.78</v>
      </c>
      <c r="P13" s="100">
        <f>O13+N13</f>
        <v>90337.34</v>
      </c>
      <c r="Q13" s="100">
        <f t="shared" ref="Q13:Q51" si="1">P13*20/100</f>
        <v>18067.47</v>
      </c>
      <c r="R13" s="100">
        <f>Q13+P13</f>
        <v>108404.81</v>
      </c>
      <c r="S13" s="104">
        <v>3745.2</v>
      </c>
      <c r="T13" s="108">
        <f>P13/S13</f>
        <v>24.120799999999999</v>
      </c>
      <c r="U13" s="100">
        <f>Q13/S13</f>
        <v>4.82</v>
      </c>
      <c r="V13" s="100">
        <f>R13/S13</f>
        <v>28.94</v>
      </c>
      <c r="W13" s="149">
        <f>V13/12</f>
        <v>2.4117000000000002</v>
      </c>
      <c r="X13" s="105"/>
      <c r="Y13" s="105"/>
    </row>
    <row r="14" spans="1:25" s="96" customFormat="1" ht="16.5" customHeight="1" x14ac:dyDescent="0.25">
      <c r="A14" s="172" t="s">
        <v>111</v>
      </c>
      <c r="B14" s="171"/>
      <c r="C14" s="97"/>
      <c r="D14" s="155"/>
      <c r="E14" s="99"/>
      <c r="F14" s="98"/>
      <c r="G14" s="99"/>
      <c r="H14" s="135"/>
      <c r="I14" s="100"/>
      <c r="J14" s="100"/>
      <c r="K14" s="100"/>
      <c r="L14" s="100"/>
      <c r="M14" s="100"/>
      <c r="N14" s="100"/>
      <c r="O14" s="100"/>
      <c r="P14" s="100"/>
      <c r="Q14" s="100">
        <f t="shared" si="1"/>
        <v>0</v>
      </c>
      <c r="R14" s="100"/>
      <c r="S14" s="104">
        <v>3745.2</v>
      </c>
      <c r="T14" s="108"/>
      <c r="U14" s="100"/>
      <c r="V14" s="100"/>
      <c r="W14" s="114"/>
      <c r="X14" s="105"/>
      <c r="Y14" s="105"/>
    </row>
    <row r="15" spans="1:25" s="96" customFormat="1" x14ac:dyDescent="0.25">
      <c r="A15" s="188" t="s">
        <v>323</v>
      </c>
      <c r="B15" s="171">
        <v>176.5</v>
      </c>
      <c r="C15" s="97">
        <v>365</v>
      </c>
      <c r="D15" s="155">
        <v>2</v>
      </c>
      <c r="E15" s="99">
        <v>24</v>
      </c>
      <c r="F15" s="98">
        <v>1.07</v>
      </c>
      <c r="G15" s="99">
        <f t="shared" ref="G15:G23" si="2">F15*E15*B15</f>
        <v>4533</v>
      </c>
      <c r="H15" s="135">
        <f t="shared" si="0"/>
        <v>4.2625999999999997E-2</v>
      </c>
      <c r="I15" s="100">
        <f t="shared" ref="I15:I23" si="3">4473*1.3*2.3*1.04*1.2*H15*12</f>
        <v>8537.69</v>
      </c>
      <c r="J15" s="100">
        <f t="shared" ref="J15:J23" si="4">I15*30.2/100</f>
        <v>2578.38</v>
      </c>
      <c r="K15" s="100">
        <f t="shared" ref="K15:K23" si="5">I15*10/100</f>
        <v>853.77</v>
      </c>
      <c r="L15" s="100">
        <f t="shared" ref="L15:L23" si="6">I15*10/100</f>
        <v>853.77</v>
      </c>
      <c r="M15" s="100">
        <f t="shared" ref="M15:M23" si="7">I15*25/100</f>
        <v>2134.42</v>
      </c>
      <c r="N15" s="100">
        <f t="shared" ref="N15:N23" si="8">M15+L15+K15+J15+I15</f>
        <v>14958.03</v>
      </c>
      <c r="O15" s="100">
        <f t="shared" ref="O15:O23" si="9">N15*5/100</f>
        <v>747.9</v>
      </c>
      <c r="P15" s="100">
        <f t="shared" ref="P15:P23" si="10">O15+N15</f>
        <v>15705.93</v>
      </c>
      <c r="Q15" s="100">
        <f t="shared" si="1"/>
        <v>3141.19</v>
      </c>
      <c r="R15" s="100">
        <f t="shared" ref="R15:R23" si="11">Q15+P15</f>
        <v>18847.12</v>
      </c>
      <c r="S15" s="104">
        <v>3745.2</v>
      </c>
      <c r="T15" s="108">
        <f t="shared" ref="T15:T23" si="12">P15/S15</f>
        <v>4.1936</v>
      </c>
      <c r="U15" s="189">
        <f t="shared" ref="U15:U23" si="13">Q15/S15</f>
        <v>0.8387</v>
      </c>
      <c r="V15" s="189">
        <f t="shared" ref="V15:V23" si="14">R15/S15</f>
        <v>5.0323000000000002</v>
      </c>
      <c r="W15" s="190">
        <f t="shared" ref="W15:W23" si="15">V15/12</f>
        <v>0.41936000000000001</v>
      </c>
      <c r="X15" s="105"/>
      <c r="Y15" s="105"/>
    </row>
    <row r="16" spans="1:25" s="96" customFormat="1" x14ac:dyDescent="0.25">
      <c r="A16" s="188" t="s">
        <v>324</v>
      </c>
      <c r="B16" s="171">
        <v>353.1</v>
      </c>
      <c r="C16" s="97">
        <v>365</v>
      </c>
      <c r="D16" s="155">
        <v>2</v>
      </c>
      <c r="E16" s="99">
        <v>24</v>
      </c>
      <c r="F16" s="98">
        <v>0.82</v>
      </c>
      <c r="G16" s="99">
        <f t="shared" si="2"/>
        <v>6949</v>
      </c>
      <c r="H16" s="135">
        <f t="shared" si="0"/>
        <v>6.5345E-2</v>
      </c>
      <c r="I16" s="100">
        <f t="shared" si="3"/>
        <v>13088.15</v>
      </c>
      <c r="J16" s="100">
        <f t="shared" si="4"/>
        <v>3952.62</v>
      </c>
      <c r="K16" s="100">
        <f t="shared" si="5"/>
        <v>1308.82</v>
      </c>
      <c r="L16" s="100">
        <f t="shared" si="6"/>
        <v>1308.82</v>
      </c>
      <c r="M16" s="100">
        <f t="shared" si="7"/>
        <v>3272.04</v>
      </c>
      <c r="N16" s="100">
        <f t="shared" si="8"/>
        <v>22930.45</v>
      </c>
      <c r="O16" s="100">
        <f t="shared" si="9"/>
        <v>1146.52</v>
      </c>
      <c r="P16" s="100">
        <f t="shared" si="10"/>
        <v>24076.97</v>
      </c>
      <c r="Q16" s="100">
        <f t="shared" si="1"/>
        <v>4815.3900000000003</v>
      </c>
      <c r="R16" s="100">
        <f t="shared" si="11"/>
        <v>28892.36</v>
      </c>
      <c r="S16" s="104">
        <v>3745.2</v>
      </c>
      <c r="T16" s="108">
        <f t="shared" si="12"/>
        <v>6.4287999999999998</v>
      </c>
      <c r="U16" s="189">
        <f t="shared" si="13"/>
        <v>1.2857000000000001</v>
      </c>
      <c r="V16" s="189">
        <f t="shared" si="14"/>
        <v>7.7145000000000001</v>
      </c>
      <c r="W16" s="190">
        <f t="shared" si="15"/>
        <v>0.64288000000000001</v>
      </c>
      <c r="X16" s="105"/>
      <c r="Y16" s="105"/>
    </row>
    <row r="17" spans="1:25" s="96" customFormat="1" ht="15.75" customHeight="1" x14ac:dyDescent="0.25">
      <c r="A17" s="188" t="s">
        <v>112</v>
      </c>
      <c r="B17" s="109">
        <v>517.70000000000005</v>
      </c>
      <c r="C17" s="97">
        <v>365</v>
      </c>
      <c r="D17" s="155"/>
      <c r="E17" s="99">
        <v>2</v>
      </c>
      <c r="F17" s="98">
        <v>0.63</v>
      </c>
      <c r="G17" s="99">
        <f t="shared" si="2"/>
        <v>652</v>
      </c>
      <c r="H17" s="135">
        <f t="shared" si="0"/>
        <v>6.1310000000000002E-3</v>
      </c>
      <c r="I17" s="100">
        <f t="shared" si="3"/>
        <v>1228</v>
      </c>
      <c r="J17" s="100">
        <f t="shared" si="4"/>
        <v>370.86</v>
      </c>
      <c r="K17" s="100">
        <f t="shared" si="5"/>
        <v>122.8</v>
      </c>
      <c r="L17" s="100">
        <f t="shared" si="6"/>
        <v>122.8</v>
      </c>
      <c r="M17" s="100">
        <f t="shared" si="7"/>
        <v>307</v>
      </c>
      <c r="N17" s="100">
        <f t="shared" si="8"/>
        <v>2151.46</v>
      </c>
      <c r="O17" s="100">
        <f t="shared" si="9"/>
        <v>107.57</v>
      </c>
      <c r="P17" s="100">
        <f t="shared" si="10"/>
        <v>2259.0300000000002</v>
      </c>
      <c r="Q17" s="100">
        <f t="shared" si="1"/>
        <v>451.81</v>
      </c>
      <c r="R17" s="100">
        <f t="shared" si="11"/>
        <v>2710.84</v>
      </c>
      <c r="S17" s="104">
        <v>3745.2</v>
      </c>
      <c r="T17" s="108">
        <f t="shared" si="12"/>
        <v>0.60319999999999996</v>
      </c>
      <c r="U17" s="189">
        <f t="shared" si="13"/>
        <v>0.1206</v>
      </c>
      <c r="V17" s="189">
        <f t="shared" si="14"/>
        <v>0.7238</v>
      </c>
      <c r="W17" s="190">
        <f t="shared" si="15"/>
        <v>6.0319999999999999E-2</v>
      </c>
      <c r="X17" s="105"/>
      <c r="Y17" s="105"/>
    </row>
    <row r="18" spans="1:25" s="96" customFormat="1" ht="20.25" customHeight="1" x14ac:dyDescent="0.25">
      <c r="A18" s="188" t="s">
        <v>113</v>
      </c>
      <c r="B18" s="109">
        <v>92.5</v>
      </c>
      <c r="C18" s="97">
        <v>365</v>
      </c>
      <c r="D18" s="155"/>
      <c r="E18" s="99">
        <v>2</v>
      </c>
      <c r="F18" s="97">
        <v>3.51</v>
      </c>
      <c r="G18" s="99">
        <f t="shared" si="2"/>
        <v>649</v>
      </c>
      <c r="H18" s="135">
        <f t="shared" si="0"/>
        <v>6.1029999999999999E-3</v>
      </c>
      <c r="I18" s="100">
        <f t="shared" si="3"/>
        <v>1222.3900000000001</v>
      </c>
      <c r="J18" s="100">
        <f t="shared" si="4"/>
        <v>369.16</v>
      </c>
      <c r="K18" s="100">
        <f t="shared" si="5"/>
        <v>122.24</v>
      </c>
      <c r="L18" s="100">
        <f t="shared" si="6"/>
        <v>122.24</v>
      </c>
      <c r="M18" s="100">
        <f t="shared" si="7"/>
        <v>305.60000000000002</v>
      </c>
      <c r="N18" s="100">
        <f t="shared" si="8"/>
        <v>2141.63</v>
      </c>
      <c r="O18" s="100">
        <f t="shared" si="9"/>
        <v>107.08</v>
      </c>
      <c r="P18" s="100">
        <f t="shared" si="10"/>
        <v>2248.71</v>
      </c>
      <c r="Q18" s="100">
        <f t="shared" si="1"/>
        <v>449.74</v>
      </c>
      <c r="R18" s="100">
        <f t="shared" si="11"/>
        <v>2698.45</v>
      </c>
      <c r="S18" s="104">
        <v>3745.2</v>
      </c>
      <c r="T18" s="108">
        <f t="shared" si="12"/>
        <v>0.60040000000000004</v>
      </c>
      <c r="U18" s="189">
        <f t="shared" si="13"/>
        <v>0.1201</v>
      </c>
      <c r="V18" s="189">
        <f t="shared" si="14"/>
        <v>0.72050000000000003</v>
      </c>
      <c r="W18" s="190">
        <f t="shared" si="15"/>
        <v>6.0040000000000003E-2</v>
      </c>
      <c r="X18" s="105">
        <f>SUM(W17:W18)</f>
        <v>0.12</v>
      </c>
      <c r="Y18" s="105"/>
    </row>
    <row r="19" spans="1:25" s="96" customFormat="1" ht="18.600000000000001" customHeight="1" x14ac:dyDescent="0.25">
      <c r="A19" s="188" t="s">
        <v>114</v>
      </c>
      <c r="B19" s="109">
        <v>350</v>
      </c>
      <c r="C19" s="97">
        <v>365</v>
      </c>
      <c r="D19" s="155"/>
      <c r="E19" s="99">
        <v>2</v>
      </c>
      <c r="F19" s="97">
        <v>0.91</v>
      </c>
      <c r="G19" s="99">
        <f t="shared" si="2"/>
        <v>637</v>
      </c>
      <c r="H19" s="135">
        <f t="shared" si="0"/>
        <v>5.9899999999999997E-3</v>
      </c>
      <c r="I19" s="100">
        <f t="shared" si="3"/>
        <v>1199.76</v>
      </c>
      <c r="J19" s="100">
        <f t="shared" si="4"/>
        <v>362.33</v>
      </c>
      <c r="K19" s="100">
        <f t="shared" si="5"/>
        <v>119.98</v>
      </c>
      <c r="L19" s="100">
        <f t="shared" si="6"/>
        <v>119.98</v>
      </c>
      <c r="M19" s="100">
        <f t="shared" si="7"/>
        <v>299.94</v>
      </c>
      <c r="N19" s="100">
        <f t="shared" si="8"/>
        <v>2101.9899999999998</v>
      </c>
      <c r="O19" s="100">
        <f t="shared" si="9"/>
        <v>105.1</v>
      </c>
      <c r="P19" s="100">
        <f t="shared" si="10"/>
        <v>2207.09</v>
      </c>
      <c r="Q19" s="100">
        <f t="shared" si="1"/>
        <v>441.42</v>
      </c>
      <c r="R19" s="100">
        <f t="shared" si="11"/>
        <v>2648.51</v>
      </c>
      <c r="S19" s="104">
        <v>3745.2</v>
      </c>
      <c r="T19" s="108">
        <f t="shared" si="12"/>
        <v>0.58930000000000005</v>
      </c>
      <c r="U19" s="189">
        <f t="shared" si="13"/>
        <v>0.1179</v>
      </c>
      <c r="V19" s="189">
        <f t="shared" si="14"/>
        <v>0.70720000000000005</v>
      </c>
      <c r="W19" s="190">
        <f t="shared" si="15"/>
        <v>5.8930000000000003E-2</v>
      </c>
      <c r="X19" s="105"/>
      <c r="Y19" s="105"/>
    </row>
    <row r="20" spans="1:25" s="96" customFormat="1" ht="17.25" customHeight="1" x14ac:dyDescent="0.25">
      <c r="A20" s="188" t="s">
        <v>115</v>
      </c>
      <c r="B20" s="109">
        <v>5.6</v>
      </c>
      <c r="C20" s="97">
        <v>365</v>
      </c>
      <c r="D20" s="155"/>
      <c r="E20" s="99">
        <v>2</v>
      </c>
      <c r="F20" s="97">
        <v>1.0900000000000001</v>
      </c>
      <c r="G20" s="99">
        <f t="shared" si="2"/>
        <v>12</v>
      </c>
      <c r="H20" s="135">
        <f t="shared" si="0"/>
        <v>1.13E-4</v>
      </c>
      <c r="I20" s="100">
        <f t="shared" si="3"/>
        <v>22.63</v>
      </c>
      <c r="J20" s="100">
        <f t="shared" si="4"/>
        <v>6.83</v>
      </c>
      <c r="K20" s="100">
        <f t="shared" si="5"/>
        <v>2.2599999999999998</v>
      </c>
      <c r="L20" s="100">
        <f t="shared" si="6"/>
        <v>2.2599999999999998</v>
      </c>
      <c r="M20" s="100">
        <f t="shared" si="7"/>
        <v>5.66</v>
      </c>
      <c r="N20" s="100">
        <f t="shared" si="8"/>
        <v>39.64</v>
      </c>
      <c r="O20" s="100">
        <f t="shared" si="9"/>
        <v>1.98</v>
      </c>
      <c r="P20" s="100">
        <f t="shared" si="10"/>
        <v>41.62</v>
      </c>
      <c r="Q20" s="100">
        <f t="shared" si="1"/>
        <v>8.32</v>
      </c>
      <c r="R20" s="100">
        <f t="shared" si="11"/>
        <v>49.94</v>
      </c>
      <c r="S20" s="104">
        <v>3745.2</v>
      </c>
      <c r="T20" s="108">
        <f t="shared" si="12"/>
        <v>1.11E-2</v>
      </c>
      <c r="U20" s="189">
        <f t="shared" si="13"/>
        <v>2.2000000000000001E-3</v>
      </c>
      <c r="V20" s="189">
        <f t="shared" si="14"/>
        <v>1.3299999999999999E-2</v>
      </c>
      <c r="W20" s="190">
        <f t="shared" si="15"/>
        <v>1.1100000000000001E-3</v>
      </c>
      <c r="X20" s="105"/>
      <c r="Y20" s="105"/>
    </row>
    <row r="21" spans="1:25" s="96" customFormat="1" x14ac:dyDescent="0.25">
      <c r="A21" s="188" t="s">
        <v>116</v>
      </c>
      <c r="B21" s="109">
        <v>165</v>
      </c>
      <c r="C21" s="97">
        <v>365</v>
      </c>
      <c r="D21" s="155"/>
      <c r="E21" s="99">
        <v>2</v>
      </c>
      <c r="F21" s="97">
        <v>1.37</v>
      </c>
      <c r="G21" s="99">
        <f t="shared" si="2"/>
        <v>452</v>
      </c>
      <c r="H21" s="135">
        <f t="shared" si="0"/>
        <v>4.2500000000000003E-3</v>
      </c>
      <c r="I21" s="100">
        <f t="shared" si="3"/>
        <v>851.25</v>
      </c>
      <c r="J21" s="100">
        <f t="shared" si="4"/>
        <v>257.08</v>
      </c>
      <c r="K21" s="100">
        <f t="shared" si="5"/>
        <v>85.13</v>
      </c>
      <c r="L21" s="100">
        <f t="shared" si="6"/>
        <v>85.13</v>
      </c>
      <c r="M21" s="100">
        <f t="shared" si="7"/>
        <v>212.81</v>
      </c>
      <c r="N21" s="100">
        <f t="shared" si="8"/>
        <v>1491.4</v>
      </c>
      <c r="O21" s="100">
        <f t="shared" si="9"/>
        <v>74.569999999999993</v>
      </c>
      <c r="P21" s="100">
        <f t="shared" si="10"/>
        <v>1565.97</v>
      </c>
      <c r="Q21" s="100">
        <f t="shared" si="1"/>
        <v>313.19</v>
      </c>
      <c r="R21" s="100">
        <f t="shared" si="11"/>
        <v>1879.16</v>
      </c>
      <c r="S21" s="104">
        <v>3745.2</v>
      </c>
      <c r="T21" s="108">
        <f t="shared" si="12"/>
        <v>0.41810000000000003</v>
      </c>
      <c r="U21" s="189">
        <f t="shared" si="13"/>
        <v>8.3599999999999994E-2</v>
      </c>
      <c r="V21" s="189">
        <f t="shared" si="14"/>
        <v>0.50180000000000002</v>
      </c>
      <c r="W21" s="190">
        <f t="shared" si="15"/>
        <v>4.1820000000000003E-2</v>
      </c>
      <c r="X21" s="105"/>
      <c r="Y21" s="105"/>
    </row>
    <row r="22" spans="1:25" s="96" customFormat="1" x14ac:dyDescent="0.25">
      <c r="A22" s="191" t="s">
        <v>215</v>
      </c>
      <c r="B22" s="109">
        <v>3.9</v>
      </c>
      <c r="C22" s="97">
        <v>365</v>
      </c>
      <c r="D22" s="98"/>
      <c r="E22" s="99">
        <v>2</v>
      </c>
      <c r="F22" s="97">
        <v>1.36</v>
      </c>
      <c r="G22" s="99">
        <f t="shared" si="2"/>
        <v>11</v>
      </c>
      <c r="H22" s="135">
        <f t="shared" si="0"/>
        <v>1.03E-4</v>
      </c>
      <c r="I22" s="100">
        <f t="shared" si="3"/>
        <v>20.63</v>
      </c>
      <c r="J22" s="100">
        <f t="shared" si="4"/>
        <v>6.23</v>
      </c>
      <c r="K22" s="100">
        <f t="shared" si="5"/>
        <v>2.06</v>
      </c>
      <c r="L22" s="100">
        <f t="shared" si="6"/>
        <v>2.06</v>
      </c>
      <c r="M22" s="100">
        <f t="shared" si="7"/>
        <v>5.16</v>
      </c>
      <c r="N22" s="100">
        <f t="shared" si="8"/>
        <v>36.14</v>
      </c>
      <c r="O22" s="100">
        <f t="shared" si="9"/>
        <v>1.81</v>
      </c>
      <c r="P22" s="100">
        <f t="shared" si="10"/>
        <v>37.950000000000003</v>
      </c>
      <c r="Q22" s="100">
        <f t="shared" si="1"/>
        <v>7.59</v>
      </c>
      <c r="R22" s="100">
        <f t="shared" si="11"/>
        <v>45.54</v>
      </c>
      <c r="S22" s="104">
        <v>3745.2</v>
      </c>
      <c r="T22" s="108">
        <f t="shared" si="12"/>
        <v>1.01E-2</v>
      </c>
      <c r="U22" s="189">
        <f t="shared" si="13"/>
        <v>2E-3</v>
      </c>
      <c r="V22" s="189">
        <f t="shared" si="14"/>
        <v>1.2200000000000001E-2</v>
      </c>
      <c r="W22" s="190">
        <f t="shared" si="15"/>
        <v>1.0200000000000001E-3</v>
      </c>
      <c r="X22" s="192"/>
      <c r="Y22" s="105"/>
    </row>
    <row r="23" spans="1:25" s="96" customFormat="1" x14ac:dyDescent="0.25">
      <c r="A23" s="188" t="s">
        <v>224</v>
      </c>
      <c r="B23" s="109">
        <v>1.2</v>
      </c>
      <c r="C23" s="97">
        <v>365</v>
      </c>
      <c r="D23" s="98"/>
      <c r="E23" s="99">
        <v>2</v>
      </c>
      <c r="F23" s="97">
        <v>0.85</v>
      </c>
      <c r="G23" s="99">
        <f t="shared" si="2"/>
        <v>2</v>
      </c>
      <c r="H23" s="135">
        <f t="shared" si="0"/>
        <v>1.9000000000000001E-5</v>
      </c>
      <c r="I23" s="100">
        <f t="shared" si="3"/>
        <v>3.81</v>
      </c>
      <c r="J23" s="100">
        <f t="shared" si="4"/>
        <v>1.1499999999999999</v>
      </c>
      <c r="K23" s="100">
        <f t="shared" si="5"/>
        <v>0.38</v>
      </c>
      <c r="L23" s="100">
        <f t="shared" si="6"/>
        <v>0.38</v>
      </c>
      <c r="M23" s="100">
        <f t="shared" si="7"/>
        <v>0.95</v>
      </c>
      <c r="N23" s="100">
        <f t="shared" si="8"/>
        <v>6.67</v>
      </c>
      <c r="O23" s="100">
        <f t="shared" si="9"/>
        <v>0.33</v>
      </c>
      <c r="P23" s="100">
        <f t="shared" si="10"/>
        <v>7</v>
      </c>
      <c r="Q23" s="100">
        <f t="shared" si="1"/>
        <v>1.4</v>
      </c>
      <c r="R23" s="100">
        <f t="shared" si="11"/>
        <v>8.4</v>
      </c>
      <c r="S23" s="104">
        <v>3745.2</v>
      </c>
      <c r="T23" s="193">
        <f t="shared" si="12"/>
        <v>1.8699999999999999E-3</v>
      </c>
      <c r="U23" s="193">
        <f t="shared" si="13"/>
        <v>3.6999999999999999E-4</v>
      </c>
      <c r="V23" s="193">
        <f t="shared" si="14"/>
        <v>2.2399999999999998E-3</v>
      </c>
      <c r="W23" s="194">
        <f t="shared" si="15"/>
        <v>1.9000000000000001E-4</v>
      </c>
    </row>
    <row r="24" spans="1:25" s="116" customFormat="1" x14ac:dyDescent="0.25">
      <c r="A24" s="188" t="s">
        <v>222</v>
      </c>
      <c r="B24" s="109">
        <v>8</v>
      </c>
      <c r="C24" s="97">
        <v>365</v>
      </c>
      <c r="D24" s="98"/>
      <c r="E24" s="99">
        <v>2</v>
      </c>
      <c r="F24" s="97">
        <v>0.81</v>
      </c>
      <c r="G24" s="99">
        <f>F24*E24*B24</f>
        <v>13</v>
      </c>
      <c r="H24" s="135">
        <f t="shared" si="0"/>
        <v>1.22E-4</v>
      </c>
      <c r="I24" s="100">
        <f>4473*1.3*2.3*1.04*1.2*H24*12</f>
        <v>24.44</v>
      </c>
      <c r="J24" s="100">
        <f>I24*30.2/100</f>
        <v>7.38</v>
      </c>
      <c r="K24" s="100">
        <f>I24*10/100</f>
        <v>2.44</v>
      </c>
      <c r="L24" s="100">
        <f>I24*10/100</f>
        <v>2.44</v>
      </c>
      <c r="M24" s="100">
        <f>I24*25/100</f>
        <v>6.11</v>
      </c>
      <c r="N24" s="100">
        <f>M24+L24+K24+J24+I24</f>
        <v>42.81</v>
      </c>
      <c r="O24" s="100">
        <f>N24*5/100</f>
        <v>2.14</v>
      </c>
      <c r="P24" s="100">
        <f>O24+N24</f>
        <v>44.95</v>
      </c>
      <c r="Q24" s="100">
        <f t="shared" si="1"/>
        <v>8.99</v>
      </c>
      <c r="R24" s="100">
        <f>Q24+P24</f>
        <v>53.94</v>
      </c>
      <c r="S24" s="104">
        <v>3745.2</v>
      </c>
      <c r="T24" s="108">
        <f>P24/S24</f>
        <v>1.2E-2</v>
      </c>
      <c r="U24" s="108">
        <f>Q24/S24</f>
        <v>2.3999999999999998E-3</v>
      </c>
      <c r="V24" s="108">
        <f>R24/S24</f>
        <v>1.44E-2</v>
      </c>
      <c r="W24" s="195">
        <f>V24/12</f>
        <v>1.1999999999999999E-3</v>
      </c>
      <c r="X24" s="196"/>
    </row>
    <row r="25" spans="1:25" s="96" customFormat="1" ht="15" customHeight="1" x14ac:dyDescent="0.25">
      <c r="A25" s="188" t="s">
        <v>117</v>
      </c>
      <c r="B25" s="110">
        <v>152</v>
      </c>
      <c r="C25" s="97">
        <v>365</v>
      </c>
      <c r="D25" s="155"/>
      <c r="E25" s="99">
        <v>2</v>
      </c>
      <c r="F25" s="97">
        <v>0.54</v>
      </c>
      <c r="G25" s="99">
        <f>F25*E25*B25</f>
        <v>164</v>
      </c>
      <c r="H25" s="135">
        <f t="shared" si="0"/>
        <v>1.542E-3</v>
      </c>
      <c r="I25" s="100">
        <f>4473*1.3*2.3*1.04*1.2*H25*12</f>
        <v>308.85000000000002</v>
      </c>
      <c r="J25" s="100">
        <f>I25*30.2/100</f>
        <v>93.27</v>
      </c>
      <c r="K25" s="100">
        <f>I25*10/100</f>
        <v>30.89</v>
      </c>
      <c r="L25" s="100">
        <f>I25*10/100</f>
        <v>30.89</v>
      </c>
      <c r="M25" s="100">
        <f>I25*25/100</f>
        <v>77.209999999999994</v>
      </c>
      <c r="N25" s="100">
        <f>M25+L25+K25+J25+I25</f>
        <v>541.11</v>
      </c>
      <c r="O25" s="100">
        <f>N25*5/100</f>
        <v>27.06</v>
      </c>
      <c r="P25" s="100">
        <f>O25+N25</f>
        <v>568.16999999999996</v>
      </c>
      <c r="Q25" s="100">
        <f t="shared" si="1"/>
        <v>113.63</v>
      </c>
      <c r="R25" s="100">
        <f>Q25+P25</f>
        <v>681.8</v>
      </c>
      <c r="S25" s="104">
        <v>3745.2</v>
      </c>
      <c r="T25" s="108">
        <f>P25/S25</f>
        <v>0.1517</v>
      </c>
      <c r="U25" s="189">
        <f>Q25/S25</f>
        <v>3.0300000000000001E-2</v>
      </c>
      <c r="V25" s="189">
        <f>R25/S25</f>
        <v>0.182</v>
      </c>
      <c r="W25" s="190">
        <f>V25/12</f>
        <v>1.5169999999999999E-2</v>
      </c>
      <c r="X25" s="105"/>
      <c r="Y25" s="105"/>
    </row>
    <row r="26" spans="1:25" s="96" customFormat="1" x14ac:dyDescent="0.25">
      <c r="A26" s="197" t="s">
        <v>185</v>
      </c>
      <c r="B26" s="109">
        <v>5.6</v>
      </c>
      <c r="C26" s="97">
        <v>365</v>
      </c>
      <c r="D26" s="98"/>
      <c r="E26" s="99">
        <v>2</v>
      </c>
      <c r="F26" s="97">
        <v>1.71</v>
      </c>
      <c r="G26" s="99">
        <f>F26*E26*B26</f>
        <v>19</v>
      </c>
      <c r="H26" s="135">
        <f t="shared" si="0"/>
        <v>1.7899999999999999E-4</v>
      </c>
      <c r="I26" s="100">
        <f>4473*1.3*2.3*1.04*1.2*H26*12</f>
        <v>35.85</v>
      </c>
      <c r="J26" s="100">
        <f>I26*30.2/100</f>
        <v>10.83</v>
      </c>
      <c r="K26" s="100">
        <f>I26*10/100</f>
        <v>3.59</v>
      </c>
      <c r="L26" s="100">
        <f>I26*10/100</f>
        <v>3.59</v>
      </c>
      <c r="M26" s="100">
        <f>I26*25/100</f>
        <v>8.9600000000000009</v>
      </c>
      <c r="N26" s="100">
        <f>M26+L26+K26+J26+I26</f>
        <v>62.82</v>
      </c>
      <c r="O26" s="100">
        <f>N26*5/100</f>
        <v>3.14</v>
      </c>
      <c r="P26" s="100">
        <f>O26+N26</f>
        <v>65.959999999999994</v>
      </c>
      <c r="Q26" s="100">
        <f t="shared" si="1"/>
        <v>13.19</v>
      </c>
      <c r="R26" s="100">
        <f>Q26+P26</f>
        <v>79.150000000000006</v>
      </c>
      <c r="S26" s="104">
        <v>3745.2</v>
      </c>
      <c r="T26" s="198">
        <f>P26/S26</f>
        <v>1.7610000000000001E-2</v>
      </c>
      <c r="U26" s="189">
        <f>Q26/S26</f>
        <v>3.5000000000000001E-3</v>
      </c>
      <c r="V26" s="189">
        <f>R26/S26</f>
        <v>2.1100000000000001E-2</v>
      </c>
      <c r="W26" s="190">
        <f>V26/12</f>
        <v>1.7600000000000001E-3</v>
      </c>
      <c r="X26" s="105"/>
      <c r="Y26" s="105"/>
    </row>
    <row r="27" spans="1:25" s="116" customFormat="1" x14ac:dyDescent="0.25">
      <c r="A27" s="188" t="s">
        <v>187</v>
      </c>
      <c r="B27" s="109">
        <v>3</v>
      </c>
      <c r="C27" s="97">
        <v>365</v>
      </c>
      <c r="D27" s="98"/>
      <c r="E27" s="99">
        <v>2</v>
      </c>
      <c r="F27" s="97">
        <v>2.15</v>
      </c>
      <c r="G27" s="99">
        <f>F27*E27*B27</f>
        <v>13</v>
      </c>
      <c r="H27" s="135">
        <f t="shared" si="0"/>
        <v>1.22E-4</v>
      </c>
      <c r="I27" s="100">
        <f>4473*1.3*2.3*1.04*1.2*H27*12</f>
        <v>24.44</v>
      </c>
      <c r="J27" s="100">
        <f>I27*30.2/100</f>
        <v>7.38</v>
      </c>
      <c r="K27" s="100">
        <f>I27*10/100</f>
        <v>2.44</v>
      </c>
      <c r="L27" s="100">
        <f>I27*10/100</f>
        <v>2.44</v>
      </c>
      <c r="M27" s="100">
        <f>I27*25/100</f>
        <v>6.11</v>
      </c>
      <c r="N27" s="100">
        <f>M27+L27+K27+J27+I27</f>
        <v>42.81</v>
      </c>
      <c r="O27" s="100">
        <f>N27*5/100</f>
        <v>2.14</v>
      </c>
      <c r="P27" s="100">
        <f>O27+N27</f>
        <v>44.95</v>
      </c>
      <c r="Q27" s="100">
        <f t="shared" si="1"/>
        <v>8.99</v>
      </c>
      <c r="R27" s="100">
        <f>Q27+P27</f>
        <v>53.94</v>
      </c>
      <c r="S27" s="104">
        <v>3745.2</v>
      </c>
      <c r="T27" s="198">
        <f>P27/S27</f>
        <v>1.2E-2</v>
      </c>
      <c r="U27" s="189">
        <f>Q27/S27</f>
        <v>2.3999999999999998E-3</v>
      </c>
      <c r="V27" s="189">
        <f>R27/S27</f>
        <v>1.44E-2</v>
      </c>
      <c r="W27" s="190">
        <f>V27/12</f>
        <v>1.1999999999999999E-3</v>
      </c>
      <c r="X27" s="105">
        <f>SUM(W19:W27)</f>
        <v>0.12</v>
      </c>
      <c r="Y27" s="85"/>
    </row>
    <row r="28" spans="1:25" s="96" customFormat="1" x14ac:dyDescent="0.25">
      <c r="A28" s="101" t="s">
        <v>218</v>
      </c>
      <c r="B28" s="110"/>
      <c r="C28" s="97"/>
      <c r="D28" s="155"/>
      <c r="E28" s="99"/>
      <c r="F28" s="97"/>
      <c r="G28" s="99"/>
      <c r="H28" s="135"/>
      <c r="I28" s="100"/>
      <c r="J28" s="100"/>
      <c r="K28" s="100"/>
      <c r="L28" s="100"/>
      <c r="M28" s="100"/>
      <c r="N28" s="100"/>
      <c r="O28" s="100"/>
      <c r="P28" s="100"/>
      <c r="Q28" s="100">
        <f t="shared" si="1"/>
        <v>0</v>
      </c>
      <c r="R28" s="100"/>
      <c r="S28" s="104">
        <v>3745.2</v>
      </c>
      <c r="T28" s="108"/>
      <c r="U28" s="100"/>
      <c r="V28" s="100"/>
      <c r="W28" s="114"/>
      <c r="X28" s="105"/>
      <c r="Y28" s="105"/>
    </row>
    <row r="29" spans="1:25" s="96" customFormat="1" x14ac:dyDescent="0.25">
      <c r="A29" s="188" t="s">
        <v>219</v>
      </c>
      <c r="B29" s="109">
        <v>1</v>
      </c>
      <c r="C29" s="97">
        <v>365</v>
      </c>
      <c r="D29" s="155">
        <v>5</v>
      </c>
      <c r="E29" s="99">
        <f>C29*D29/7</f>
        <v>261</v>
      </c>
      <c r="F29" s="97">
        <v>1.06</v>
      </c>
      <c r="G29" s="99">
        <f>F29*E29*B29</f>
        <v>277</v>
      </c>
      <c r="H29" s="135">
        <f t="shared" si="0"/>
        <v>2.6050000000000001E-3</v>
      </c>
      <c r="I29" s="100">
        <f>4473*1.3*2.3*1.04*1.2*H29*12</f>
        <v>521.76</v>
      </c>
      <c r="J29" s="100">
        <f>I29*30.2/100</f>
        <v>157.57</v>
      </c>
      <c r="K29" s="100">
        <f>I29*10/100</f>
        <v>52.18</v>
      </c>
      <c r="L29" s="100">
        <f>I29*10/100</f>
        <v>52.18</v>
      </c>
      <c r="M29" s="100">
        <f>I29*25/100</f>
        <v>130.44</v>
      </c>
      <c r="N29" s="100">
        <f>M29+L29+K29+J29+I29</f>
        <v>914.13</v>
      </c>
      <c r="O29" s="100">
        <f>N29*5/100</f>
        <v>45.71</v>
      </c>
      <c r="P29" s="100">
        <f>O29+N29</f>
        <v>959.84</v>
      </c>
      <c r="Q29" s="100">
        <f t="shared" si="1"/>
        <v>191.97</v>
      </c>
      <c r="R29" s="100">
        <f>Q29+P29</f>
        <v>1151.81</v>
      </c>
      <c r="S29" s="104">
        <v>3745.2</v>
      </c>
      <c r="T29" s="108">
        <f>P29/S29</f>
        <v>0.25629999999999997</v>
      </c>
      <c r="U29" s="100">
        <f>Q29/S29</f>
        <v>0.05</v>
      </c>
      <c r="V29" s="100">
        <f>R29/S29</f>
        <v>0.31</v>
      </c>
      <c r="W29" s="114">
        <f>V29/12</f>
        <v>0.03</v>
      </c>
      <c r="X29" s="105"/>
      <c r="Y29" s="105"/>
    </row>
    <row r="30" spans="1:25" s="96" customFormat="1" x14ac:dyDescent="0.25">
      <c r="A30" s="188" t="s">
        <v>220</v>
      </c>
      <c r="B30" s="109">
        <v>8.65</v>
      </c>
      <c r="C30" s="97">
        <v>365</v>
      </c>
      <c r="D30" s="155">
        <v>3</v>
      </c>
      <c r="E30" s="99">
        <f>C30*D30/7</f>
        <v>156</v>
      </c>
      <c r="F30" s="97">
        <v>1.67</v>
      </c>
      <c r="G30" s="99">
        <f>F30*E30*B30</f>
        <v>2253</v>
      </c>
      <c r="H30" s="135">
        <f t="shared" si="0"/>
        <v>2.1186E-2</v>
      </c>
      <c r="I30" s="100">
        <f>4473*1.3*2.3*1.04*1.2*H30*12</f>
        <v>4243.41</v>
      </c>
      <c r="J30" s="100">
        <f>I30*30.2/100</f>
        <v>1281.51</v>
      </c>
      <c r="K30" s="100">
        <f>I30*10/100</f>
        <v>424.34</v>
      </c>
      <c r="L30" s="100">
        <f>I30*10/100</f>
        <v>424.34</v>
      </c>
      <c r="M30" s="100">
        <f>I30*25/100</f>
        <v>1060.8499999999999</v>
      </c>
      <c r="N30" s="100">
        <f>M30+L30+K30+J30+I30</f>
        <v>7434.45</v>
      </c>
      <c r="O30" s="100">
        <f>N30*5/100</f>
        <v>371.72</v>
      </c>
      <c r="P30" s="100">
        <f>O30+N30</f>
        <v>7806.17</v>
      </c>
      <c r="Q30" s="100">
        <f t="shared" si="1"/>
        <v>1561.23</v>
      </c>
      <c r="R30" s="100">
        <f>Q30+P30</f>
        <v>9367.4</v>
      </c>
      <c r="S30" s="104">
        <v>3745.2</v>
      </c>
      <c r="T30" s="108">
        <f>P30/S30</f>
        <v>2.0842999999999998</v>
      </c>
      <c r="U30" s="100">
        <f>Q30/S30</f>
        <v>0.42</v>
      </c>
      <c r="V30" s="100">
        <f>R30/S30</f>
        <v>2.5</v>
      </c>
      <c r="W30" s="114">
        <f>V30/12</f>
        <v>0.21</v>
      </c>
      <c r="X30" s="105"/>
      <c r="Y30" s="105"/>
    </row>
    <row r="31" spans="1:25" s="96" customFormat="1" x14ac:dyDescent="0.25">
      <c r="A31" s="101" t="s">
        <v>25</v>
      </c>
      <c r="B31" s="109"/>
      <c r="C31" s="97"/>
      <c r="D31" s="155"/>
      <c r="E31" s="99"/>
      <c r="F31" s="97"/>
      <c r="G31" s="99"/>
      <c r="H31" s="135"/>
      <c r="I31" s="100"/>
      <c r="J31" s="100"/>
      <c r="K31" s="100"/>
      <c r="L31" s="100"/>
      <c r="M31" s="100"/>
      <c r="N31" s="100"/>
      <c r="O31" s="100"/>
      <c r="P31" s="100"/>
      <c r="Q31" s="100">
        <f t="shared" si="1"/>
        <v>0</v>
      </c>
      <c r="R31" s="100"/>
      <c r="S31" s="104">
        <v>3745.2</v>
      </c>
      <c r="T31" s="108"/>
      <c r="U31" s="100"/>
      <c r="V31" s="100"/>
      <c r="W31" s="114"/>
      <c r="X31" s="105"/>
      <c r="Y31" s="105"/>
    </row>
    <row r="32" spans="1:25" s="96" customFormat="1" ht="20.25" customHeight="1" x14ac:dyDescent="0.25">
      <c r="A32" s="188" t="s">
        <v>119</v>
      </c>
      <c r="B32" s="109">
        <v>2</v>
      </c>
      <c r="C32" s="97">
        <v>365</v>
      </c>
      <c r="D32" s="155">
        <v>3</v>
      </c>
      <c r="E32" s="99">
        <f>C32*D32/7</f>
        <v>156</v>
      </c>
      <c r="F32" s="98">
        <v>12.5</v>
      </c>
      <c r="G32" s="99">
        <f t="shared" ref="G32:G46" si="16">F32*E32*B32</f>
        <v>3900</v>
      </c>
      <c r="H32" s="135">
        <f t="shared" si="0"/>
        <v>3.6672999999999997E-2</v>
      </c>
      <c r="I32" s="100">
        <f t="shared" ref="I32:I46" si="17">4473*1.3*2.3*1.04*1.2*H32*12</f>
        <v>7345.35</v>
      </c>
      <c r="J32" s="100">
        <f t="shared" ref="J32:J46" si="18">I32*30.2/100</f>
        <v>2218.3000000000002</v>
      </c>
      <c r="K32" s="100">
        <f t="shared" ref="K32:K46" si="19">I32*10/100</f>
        <v>734.54</v>
      </c>
      <c r="L32" s="100">
        <f t="shared" ref="L32:L46" si="20">I32*10/100</f>
        <v>734.54</v>
      </c>
      <c r="M32" s="100">
        <f t="shared" ref="M32:M46" si="21">I32*25/100</f>
        <v>1836.34</v>
      </c>
      <c r="N32" s="100">
        <f t="shared" ref="N32:N46" si="22">M32+L32+K32+J32+I32</f>
        <v>12869.07</v>
      </c>
      <c r="O32" s="100">
        <f t="shared" ref="O32:O46" si="23">N32*5/100</f>
        <v>643.45000000000005</v>
      </c>
      <c r="P32" s="100">
        <f t="shared" ref="P32:P46" si="24">O32+N32</f>
        <v>13512.52</v>
      </c>
      <c r="Q32" s="100">
        <f t="shared" si="1"/>
        <v>2702.5</v>
      </c>
      <c r="R32" s="100">
        <f t="shared" ref="R32:R46" si="25">Q32+P32</f>
        <v>16215.02</v>
      </c>
      <c r="S32" s="104">
        <v>3745.2</v>
      </c>
      <c r="T32" s="108">
        <f t="shared" ref="T32:T46" si="26">P32/S32</f>
        <v>3.6080000000000001</v>
      </c>
      <c r="U32" s="100">
        <f t="shared" ref="U32:U46" si="27">Q32/S32</f>
        <v>0.72</v>
      </c>
      <c r="V32" s="100">
        <f t="shared" ref="V32:V46" si="28">R32/S32</f>
        <v>4.33</v>
      </c>
      <c r="W32" s="149">
        <f t="shared" ref="W32:W46" si="29">V32/12</f>
        <v>0.36080000000000001</v>
      </c>
      <c r="X32" s="105"/>
      <c r="Y32" s="105"/>
    </row>
    <row r="33" spans="1:25" s="96" customFormat="1" ht="20.25" customHeight="1" x14ac:dyDescent="0.25">
      <c r="A33" s="188" t="s">
        <v>118</v>
      </c>
      <c r="B33" s="109">
        <v>18</v>
      </c>
      <c r="C33" s="97">
        <v>365</v>
      </c>
      <c r="D33" s="155">
        <v>1</v>
      </c>
      <c r="E33" s="99">
        <f>C33*D33/7</f>
        <v>52</v>
      </c>
      <c r="F33" s="98">
        <v>5.91</v>
      </c>
      <c r="G33" s="99">
        <f t="shared" si="16"/>
        <v>5532</v>
      </c>
      <c r="H33" s="135">
        <f t="shared" si="0"/>
        <v>5.2019999999999997E-2</v>
      </c>
      <c r="I33" s="100">
        <f t="shared" si="17"/>
        <v>10419.25</v>
      </c>
      <c r="J33" s="100">
        <f t="shared" si="18"/>
        <v>3146.61</v>
      </c>
      <c r="K33" s="100">
        <f t="shared" si="19"/>
        <v>1041.93</v>
      </c>
      <c r="L33" s="100">
        <f t="shared" si="20"/>
        <v>1041.93</v>
      </c>
      <c r="M33" s="100">
        <f t="shared" si="21"/>
        <v>2604.81</v>
      </c>
      <c r="N33" s="100">
        <f t="shared" si="22"/>
        <v>18254.53</v>
      </c>
      <c r="O33" s="100">
        <f t="shared" si="23"/>
        <v>912.73</v>
      </c>
      <c r="P33" s="100">
        <f t="shared" si="24"/>
        <v>19167.259999999998</v>
      </c>
      <c r="Q33" s="100">
        <f t="shared" si="1"/>
        <v>3833.45</v>
      </c>
      <c r="R33" s="100">
        <f t="shared" si="25"/>
        <v>23000.71</v>
      </c>
      <c r="S33" s="104">
        <v>3745.2</v>
      </c>
      <c r="T33" s="108">
        <f t="shared" si="26"/>
        <v>5.1177999999999999</v>
      </c>
      <c r="U33" s="100">
        <f t="shared" si="27"/>
        <v>1.02</v>
      </c>
      <c r="V33" s="100">
        <f t="shared" si="28"/>
        <v>6.14</v>
      </c>
      <c r="W33" s="149">
        <f t="shared" si="29"/>
        <v>0.51170000000000004</v>
      </c>
      <c r="X33" s="105"/>
      <c r="Y33" s="105"/>
    </row>
    <row r="34" spans="1:25" s="96" customFormat="1" ht="21" customHeight="1" x14ac:dyDescent="0.25">
      <c r="A34" s="199" t="s">
        <v>268</v>
      </c>
      <c r="B34" s="109">
        <f>2.09/365*131</f>
        <v>0.75</v>
      </c>
      <c r="C34" s="97">
        <v>365</v>
      </c>
      <c r="D34" s="155">
        <v>7</v>
      </c>
      <c r="E34" s="99">
        <f>C34*D34/7</f>
        <v>365</v>
      </c>
      <c r="F34" s="98">
        <v>49.3</v>
      </c>
      <c r="G34" s="99">
        <f t="shared" si="16"/>
        <v>13496</v>
      </c>
      <c r="H34" s="135">
        <f t="shared" si="0"/>
        <v>0.12690899999999999</v>
      </c>
      <c r="I34" s="200">
        <f t="shared" si="17"/>
        <v>25418.99</v>
      </c>
      <c r="J34" s="100">
        <f t="shared" si="18"/>
        <v>7676.53</v>
      </c>
      <c r="K34" s="100">
        <f t="shared" si="19"/>
        <v>2541.9</v>
      </c>
      <c r="L34" s="100">
        <f t="shared" si="20"/>
        <v>2541.9</v>
      </c>
      <c r="M34" s="100">
        <f t="shared" si="21"/>
        <v>6354.75</v>
      </c>
      <c r="N34" s="100">
        <f t="shared" si="22"/>
        <v>44534.07</v>
      </c>
      <c r="O34" s="100">
        <f t="shared" si="23"/>
        <v>2226.6999999999998</v>
      </c>
      <c r="P34" s="100">
        <f t="shared" si="24"/>
        <v>46760.77</v>
      </c>
      <c r="Q34" s="100">
        <f t="shared" si="1"/>
        <v>9352.15</v>
      </c>
      <c r="R34" s="100">
        <f t="shared" si="25"/>
        <v>56112.92</v>
      </c>
      <c r="S34" s="104">
        <v>3745.2</v>
      </c>
      <c r="T34" s="108">
        <f t="shared" si="26"/>
        <v>12.4855</v>
      </c>
      <c r="U34" s="100">
        <f t="shared" si="27"/>
        <v>2.5</v>
      </c>
      <c r="V34" s="100">
        <f t="shared" si="28"/>
        <v>14.98</v>
      </c>
      <c r="W34" s="149">
        <f t="shared" si="29"/>
        <v>1.2483</v>
      </c>
      <c r="X34" s="105"/>
      <c r="Y34" s="105"/>
    </row>
    <row r="35" spans="1:25" s="96" customFormat="1" ht="25.35" customHeight="1" x14ac:dyDescent="0.25">
      <c r="A35" s="199" t="s">
        <v>188</v>
      </c>
      <c r="B35" s="171">
        <v>5.7</v>
      </c>
      <c r="C35" s="97">
        <v>365</v>
      </c>
      <c r="D35" s="155">
        <v>6</v>
      </c>
      <c r="E35" s="99">
        <f>C35*D35/7</f>
        <v>313</v>
      </c>
      <c r="F35" s="97">
        <v>0.63500000000000001</v>
      </c>
      <c r="G35" s="99">
        <f t="shared" si="16"/>
        <v>1133</v>
      </c>
      <c r="H35" s="135">
        <f t="shared" si="0"/>
        <v>1.0654E-2</v>
      </c>
      <c r="I35" s="100">
        <f t="shared" si="17"/>
        <v>2133.92</v>
      </c>
      <c r="J35" s="100">
        <f t="shared" si="18"/>
        <v>644.44000000000005</v>
      </c>
      <c r="K35" s="100">
        <f t="shared" si="19"/>
        <v>213.39</v>
      </c>
      <c r="L35" s="100">
        <f t="shared" si="20"/>
        <v>213.39</v>
      </c>
      <c r="M35" s="100">
        <f t="shared" si="21"/>
        <v>533.48</v>
      </c>
      <c r="N35" s="100">
        <f t="shared" si="22"/>
        <v>3738.62</v>
      </c>
      <c r="O35" s="100">
        <f t="shared" si="23"/>
        <v>186.93</v>
      </c>
      <c r="P35" s="100">
        <f t="shared" si="24"/>
        <v>3925.55</v>
      </c>
      <c r="Q35" s="100">
        <f t="shared" si="1"/>
        <v>785.11</v>
      </c>
      <c r="R35" s="100">
        <f t="shared" si="25"/>
        <v>4710.66</v>
      </c>
      <c r="S35" s="104">
        <v>3745.2</v>
      </c>
      <c r="T35" s="108">
        <f t="shared" si="26"/>
        <v>1.0482</v>
      </c>
      <c r="U35" s="100">
        <f t="shared" si="27"/>
        <v>0.21</v>
      </c>
      <c r="V35" s="100">
        <f t="shared" si="28"/>
        <v>1.26</v>
      </c>
      <c r="W35" s="149">
        <f t="shared" si="29"/>
        <v>0.105</v>
      </c>
      <c r="X35" s="105"/>
      <c r="Y35" s="105"/>
    </row>
    <row r="36" spans="1:25" s="96" customFormat="1" ht="35.25" customHeight="1" x14ac:dyDescent="0.25">
      <c r="A36" s="199" t="s">
        <v>295</v>
      </c>
      <c r="B36" s="109">
        <v>31.2</v>
      </c>
      <c r="C36" s="97">
        <v>365</v>
      </c>
      <c r="D36" s="155">
        <v>3</v>
      </c>
      <c r="E36" s="99">
        <f>C36*D36/7</f>
        <v>156</v>
      </c>
      <c r="F36" s="97">
        <v>2.2000000000000002</v>
      </c>
      <c r="G36" s="99">
        <f t="shared" si="16"/>
        <v>10708</v>
      </c>
      <c r="H36" s="135">
        <f t="shared" si="0"/>
        <v>0.100692</v>
      </c>
      <c r="I36" s="100">
        <f t="shared" si="17"/>
        <v>20167.91</v>
      </c>
      <c r="J36" s="100">
        <f t="shared" si="18"/>
        <v>6090.71</v>
      </c>
      <c r="K36" s="100">
        <f t="shared" si="19"/>
        <v>2016.79</v>
      </c>
      <c r="L36" s="100">
        <f t="shared" si="20"/>
        <v>2016.79</v>
      </c>
      <c r="M36" s="100">
        <f t="shared" si="21"/>
        <v>5041.9799999999996</v>
      </c>
      <c r="N36" s="100">
        <f t="shared" si="22"/>
        <v>35334.18</v>
      </c>
      <c r="O36" s="100">
        <f t="shared" si="23"/>
        <v>1766.71</v>
      </c>
      <c r="P36" s="100">
        <f t="shared" si="24"/>
        <v>37100.89</v>
      </c>
      <c r="Q36" s="100">
        <f t="shared" si="1"/>
        <v>7420.18</v>
      </c>
      <c r="R36" s="100">
        <f t="shared" si="25"/>
        <v>44521.07</v>
      </c>
      <c r="S36" s="104">
        <v>3745.2</v>
      </c>
      <c r="T36" s="108">
        <f t="shared" si="26"/>
        <v>9.9062999999999999</v>
      </c>
      <c r="U36" s="100">
        <f t="shared" si="27"/>
        <v>1.98</v>
      </c>
      <c r="V36" s="100">
        <f t="shared" si="28"/>
        <v>11.89</v>
      </c>
      <c r="W36" s="149">
        <f t="shared" si="29"/>
        <v>0.99080000000000001</v>
      </c>
      <c r="X36" s="105"/>
      <c r="Y36" s="105"/>
    </row>
    <row r="37" spans="1:25" s="96" customFormat="1" ht="20.25" customHeight="1" x14ac:dyDescent="0.25">
      <c r="A37" s="102" t="s">
        <v>26</v>
      </c>
      <c r="B37" s="109">
        <v>50.4</v>
      </c>
      <c r="C37" s="97">
        <v>365</v>
      </c>
      <c r="D37" s="155">
        <v>2</v>
      </c>
      <c r="E37" s="99">
        <v>24</v>
      </c>
      <c r="F37" s="97">
        <v>2.69</v>
      </c>
      <c r="G37" s="99">
        <f t="shared" si="16"/>
        <v>3254</v>
      </c>
      <c r="H37" s="135">
        <f t="shared" si="0"/>
        <v>3.0599000000000001E-2</v>
      </c>
      <c r="I37" s="100">
        <f t="shared" si="17"/>
        <v>6128.77</v>
      </c>
      <c r="J37" s="100">
        <f t="shared" si="18"/>
        <v>1850.89</v>
      </c>
      <c r="K37" s="100">
        <f t="shared" si="19"/>
        <v>612.88</v>
      </c>
      <c r="L37" s="100">
        <f t="shared" si="20"/>
        <v>612.88</v>
      </c>
      <c r="M37" s="100">
        <f t="shared" si="21"/>
        <v>1532.19</v>
      </c>
      <c r="N37" s="100">
        <f t="shared" si="22"/>
        <v>10737.61</v>
      </c>
      <c r="O37" s="100">
        <f t="shared" si="23"/>
        <v>536.88</v>
      </c>
      <c r="P37" s="100">
        <f t="shared" si="24"/>
        <v>11274.49</v>
      </c>
      <c r="Q37" s="100">
        <f t="shared" si="1"/>
        <v>2254.9</v>
      </c>
      <c r="R37" s="100">
        <f t="shared" si="25"/>
        <v>13529.39</v>
      </c>
      <c r="S37" s="104">
        <v>3745.2</v>
      </c>
      <c r="T37" s="108">
        <f t="shared" si="26"/>
        <v>3.0104000000000002</v>
      </c>
      <c r="U37" s="100">
        <f t="shared" si="27"/>
        <v>0.6</v>
      </c>
      <c r="V37" s="100">
        <f t="shared" si="28"/>
        <v>3.61</v>
      </c>
      <c r="W37" s="149">
        <f t="shared" si="29"/>
        <v>0.30080000000000001</v>
      </c>
      <c r="X37" s="105"/>
      <c r="Y37" s="105"/>
    </row>
    <row r="38" spans="1:25" s="96" customFormat="1" ht="18.75" customHeight="1" x14ac:dyDescent="0.25">
      <c r="A38" s="199" t="s">
        <v>121</v>
      </c>
      <c r="B38" s="109">
        <v>50.4</v>
      </c>
      <c r="C38" s="97">
        <v>365</v>
      </c>
      <c r="D38" s="155"/>
      <c r="E38" s="99">
        <v>12</v>
      </c>
      <c r="F38" s="97">
        <v>2.06</v>
      </c>
      <c r="G38" s="99">
        <f t="shared" si="16"/>
        <v>1246</v>
      </c>
      <c r="H38" s="135">
        <f t="shared" si="0"/>
        <v>1.1717E-2</v>
      </c>
      <c r="I38" s="100">
        <f t="shared" si="17"/>
        <v>2346.83</v>
      </c>
      <c r="J38" s="100">
        <f t="shared" si="18"/>
        <v>708.74</v>
      </c>
      <c r="K38" s="100">
        <f t="shared" si="19"/>
        <v>234.68</v>
      </c>
      <c r="L38" s="100">
        <f t="shared" si="20"/>
        <v>234.68</v>
      </c>
      <c r="M38" s="100">
        <f t="shared" si="21"/>
        <v>586.71</v>
      </c>
      <c r="N38" s="100">
        <f t="shared" si="22"/>
        <v>4111.6400000000003</v>
      </c>
      <c r="O38" s="100">
        <f t="shared" si="23"/>
        <v>205.58</v>
      </c>
      <c r="P38" s="100">
        <f t="shared" si="24"/>
        <v>4317.22</v>
      </c>
      <c r="Q38" s="100">
        <f t="shared" si="1"/>
        <v>863.44</v>
      </c>
      <c r="R38" s="100">
        <f t="shared" si="25"/>
        <v>5180.66</v>
      </c>
      <c r="S38" s="104">
        <v>3745.2</v>
      </c>
      <c r="T38" s="108">
        <f t="shared" si="26"/>
        <v>1.1527000000000001</v>
      </c>
      <c r="U38" s="100">
        <f t="shared" si="27"/>
        <v>0.23</v>
      </c>
      <c r="V38" s="100">
        <f t="shared" si="28"/>
        <v>1.38</v>
      </c>
      <c r="W38" s="149">
        <f t="shared" si="29"/>
        <v>0.115</v>
      </c>
      <c r="X38" s="105"/>
      <c r="Y38" s="105"/>
    </row>
    <row r="39" spans="1:25" s="96" customFormat="1" ht="20.25" customHeight="1" x14ac:dyDescent="0.25">
      <c r="A39" s="188" t="s">
        <v>267</v>
      </c>
      <c r="B39" s="109">
        <v>2</v>
      </c>
      <c r="C39" s="97">
        <v>365</v>
      </c>
      <c r="D39" s="155"/>
      <c r="E39" s="99">
        <v>12</v>
      </c>
      <c r="F39" s="97">
        <v>10.1</v>
      </c>
      <c r="G39" s="99">
        <f t="shared" si="16"/>
        <v>242</v>
      </c>
      <c r="H39" s="135">
        <f t="shared" si="0"/>
        <v>2.2759999999999998E-3</v>
      </c>
      <c r="I39" s="100">
        <f t="shared" si="17"/>
        <v>455.87</v>
      </c>
      <c r="J39" s="100">
        <f t="shared" si="18"/>
        <v>137.66999999999999</v>
      </c>
      <c r="K39" s="100">
        <f t="shared" si="19"/>
        <v>45.59</v>
      </c>
      <c r="L39" s="100">
        <f t="shared" si="20"/>
        <v>45.59</v>
      </c>
      <c r="M39" s="100">
        <f t="shared" si="21"/>
        <v>113.97</v>
      </c>
      <c r="N39" s="100">
        <f t="shared" si="22"/>
        <v>798.69</v>
      </c>
      <c r="O39" s="100">
        <f t="shared" si="23"/>
        <v>39.93</v>
      </c>
      <c r="P39" s="100">
        <f t="shared" si="24"/>
        <v>838.62</v>
      </c>
      <c r="Q39" s="100">
        <f t="shared" si="1"/>
        <v>167.72</v>
      </c>
      <c r="R39" s="100">
        <f t="shared" si="25"/>
        <v>1006.34</v>
      </c>
      <c r="S39" s="104">
        <v>3745.2</v>
      </c>
      <c r="T39" s="108">
        <f t="shared" si="26"/>
        <v>0.22389999999999999</v>
      </c>
      <c r="U39" s="100">
        <f t="shared" si="27"/>
        <v>0.04</v>
      </c>
      <c r="V39" s="100">
        <f t="shared" si="28"/>
        <v>0.27</v>
      </c>
      <c r="W39" s="149">
        <f t="shared" si="29"/>
        <v>2.2499999999999999E-2</v>
      </c>
      <c r="X39" s="105"/>
      <c r="Y39" s="105"/>
    </row>
    <row r="40" spans="1:25" s="96" customFormat="1" ht="21" customHeight="1" x14ac:dyDescent="0.25">
      <c r="A40" s="201" t="s">
        <v>163</v>
      </c>
      <c r="B40" s="202">
        <v>5</v>
      </c>
      <c r="C40" s="202">
        <v>365</v>
      </c>
      <c r="D40" s="107">
        <v>5</v>
      </c>
      <c r="E40" s="99">
        <f>C40*D40/7</f>
        <v>261</v>
      </c>
      <c r="F40" s="97">
        <v>1.46</v>
      </c>
      <c r="G40" s="99">
        <f t="shared" si="16"/>
        <v>1905</v>
      </c>
      <c r="H40" s="135">
        <f t="shared" si="0"/>
        <v>1.7913999999999999E-2</v>
      </c>
      <c r="I40" s="100">
        <f t="shared" si="17"/>
        <v>3588.05</v>
      </c>
      <c r="J40" s="100">
        <f t="shared" si="18"/>
        <v>1083.5899999999999</v>
      </c>
      <c r="K40" s="100">
        <f t="shared" si="19"/>
        <v>358.81</v>
      </c>
      <c r="L40" s="100">
        <f t="shared" si="20"/>
        <v>358.81</v>
      </c>
      <c r="M40" s="100">
        <f t="shared" si="21"/>
        <v>897.01</v>
      </c>
      <c r="N40" s="100">
        <f t="shared" si="22"/>
        <v>6286.27</v>
      </c>
      <c r="O40" s="100">
        <f t="shared" si="23"/>
        <v>314.31</v>
      </c>
      <c r="P40" s="100">
        <f t="shared" si="24"/>
        <v>6600.58</v>
      </c>
      <c r="Q40" s="100">
        <f t="shared" si="1"/>
        <v>1320.12</v>
      </c>
      <c r="R40" s="100">
        <f t="shared" si="25"/>
        <v>7920.7</v>
      </c>
      <c r="S40" s="104">
        <v>3745.2</v>
      </c>
      <c r="T40" s="108">
        <f t="shared" si="26"/>
        <v>1.7624</v>
      </c>
      <c r="U40" s="100">
        <f t="shared" si="27"/>
        <v>0.35</v>
      </c>
      <c r="V40" s="100">
        <f t="shared" si="28"/>
        <v>2.11</v>
      </c>
      <c r="W40" s="149">
        <f t="shared" si="29"/>
        <v>0.17580000000000001</v>
      </c>
      <c r="X40" s="105"/>
      <c r="Y40" s="105"/>
    </row>
    <row r="41" spans="1:25" s="96" customFormat="1" x14ac:dyDescent="0.25">
      <c r="A41" s="273" t="s">
        <v>223</v>
      </c>
      <c r="B41" s="274"/>
      <c r="C41" s="274"/>
      <c r="D41" s="275"/>
      <c r="E41" s="99"/>
      <c r="F41" s="97"/>
      <c r="G41" s="99"/>
      <c r="H41" s="135"/>
      <c r="I41" s="100"/>
      <c r="J41" s="100"/>
      <c r="K41" s="100"/>
      <c r="L41" s="100"/>
      <c r="M41" s="100"/>
      <c r="N41" s="100"/>
      <c r="O41" s="100"/>
      <c r="P41" s="100"/>
      <c r="Q41" s="100">
        <f t="shared" si="1"/>
        <v>0</v>
      </c>
      <c r="R41" s="100"/>
      <c r="S41" s="104">
        <v>3745.2</v>
      </c>
      <c r="T41" s="108"/>
      <c r="U41" s="100"/>
      <c r="V41" s="100"/>
      <c r="W41" s="149"/>
      <c r="X41" s="105"/>
      <c r="Y41" s="105"/>
    </row>
    <row r="42" spans="1:25" s="96" customFormat="1" ht="23.1" customHeight="1" x14ac:dyDescent="0.25">
      <c r="A42" s="188" t="s">
        <v>182</v>
      </c>
      <c r="B42" s="109">
        <v>1009</v>
      </c>
      <c r="C42" s="97">
        <v>212</v>
      </c>
      <c r="D42" s="155">
        <v>5</v>
      </c>
      <c r="E42" s="99">
        <f t="shared" ref="E42:E46" si="30">C42/7*D42</f>
        <v>151</v>
      </c>
      <c r="F42" s="97">
        <v>0.9</v>
      </c>
      <c r="G42" s="99">
        <f t="shared" si="16"/>
        <v>137123</v>
      </c>
      <c r="H42" s="135">
        <f t="shared" si="0"/>
        <v>1.2894289999999999</v>
      </c>
      <c r="I42" s="100">
        <f t="shared" si="17"/>
        <v>258263.69</v>
      </c>
      <c r="J42" s="100">
        <f t="shared" si="18"/>
        <v>77995.63</v>
      </c>
      <c r="K42" s="100">
        <f t="shared" si="19"/>
        <v>25826.37</v>
      </c>
      <c r="L42" s="100">
        <f t="shared" si="20"/>
        <v>25826.37</v>
      </c>
      <c r="M42" s="100">
        <f t="shared" si="21"/>
        <v>64565.919999999998</v>
      </c>
      <c r="N42" s="100">
        <f t="shared" si="22"/>
        <v>452477.98</v>
      </c>
      <c r="O42" s="100">
        <f t="shared" si="23"/>
        <v>22623.9</v>
      </c>
      <c r="P42" s="100">
        <f t="shared" si="24"/>
        <v>475101.88</v>
      </c>
      <c r="Q42" s="100">
        <f t="shared" si="1"/>
        <v>95020.38</v>
      </c>
      <c r="R42" s="100">
        <f t="shared" si="25"/>
        <v>570122.26</v>
      </c>
      <c r="S42" s="104">
        <v>3745.2</v>
      </c>
      <c r="T42" s="108">
        <f t="shared" si="26"/>
        <v>126.8562</v>
      </c>
      <c r="U42" s="100">
        <f t="shared" si="27"/>
        <v>25.37</v>
      </c>
      <c r="V42" s="100">
        <f t="shared" si="28"/>
        <v>152.22999999999999</v>
      </c>
      <c r="W42" s="149">
        <f t="shared" si="29"/>
        <v>12.6858</v>
      </c>
      <c r="X42" s="105"/>
      <c r="Y42" s="105"/>
    </row>
    <row r="43" spans="1:25" s="96" customFormat="1" ht="20.25" customHeight="1" x14ac:dyDescent="0.25">
      <c r="A43" s="188" t="s">
        <v>120</v>
      </c>
      <c r="B43" s="109">
        <v>1009</v>
      </c>
      <c r="C43" s="97">
        <v>212</v>
      </c>
      <c r="D43" s="155">
        <v>3</v>
      </c>
      <c r="E43" s="99">
        <f t="shared" si="30"/>
        <v>91</v>
      </c>
      <c r="F43" s="97">
        <v>0.15</v>
      </c>
      <c r="G43" s="99">
        <f t="shared" si="16"/>
        <v>13773</v>
      </c>
      <c r="H43" s="135">
        <f t="shared" si="0"/>
        <v>0.12951399999999999</v>
      </c>
      <c r="I43" s="100">
        <f t="shared" si="17"/>
        <v>25940.76</v>
      </c>
      <c r="J43" s="100">
        <f t="shared" si="18"/>
        <v>7834.11</v>
      </c>
      <c r="K43" s="100">
        <f t="shared" si="19"/>
        <v>2594.08</v>
      </c>
      <c r="L43" s="100">
        <f t="shared" si="20"/>
        <v>2594.08</v>
      </c>
      <c r="M43" s="100">
        <f t="shared" si="21"/>
        <v>6485.19</v>
      </c>
      <c r="N43" s="100">
        <f t="shared" si="22"/>
        <v>45448.22</v>
      </c>
      <c r="O43" s="100">
        <f t="shared" si="23"/>
        <v>2272.41</v>
      </c>
      <c r="P43" s="100">
        <f t="shared" si="24"/>
        <v>47720.63</v>
      </c>
      <c r="Q43" s="100">
        <f t="shared" si="1"/>
        <v>9544.1299999999992</v>
      </c>
      <c r="R43" s="100">
        <f t="shared" si="25"/>
        <v>57264.76</v>
      </c>
      <c r="S43" s="104">
        <v>3745.2</v>
      </c>
      <c r="T43" s="108">
        <f t="shared" si="26"/>
        <v>12.7418</v>
      </c>
      <c r="U43" s="100">
        <f t="shared" si="27"/>
        <v>2.5499999999999998</v>
      </c>
      <c r="V43" s="100">
        <f t="shared" si="28"/>
        <v>15.29</v>
      </c>
      <c r="W43" s="149">
        <f t="shared" si="29"/>
        <v>1.2742</v>
      </c>
      <c r="X43" s="105"/>
      <c r="Y43" s="105"/>
    </row>
    <row r="44" spans="1:25" s="116" customFormat="1" x14ac:dyDescent="0.25">
      <c r="A44" s="188" t="s">
        <v>186</v>
      </c>
      <c r="B44" s="109">
        <v>4</v>
      </c>
      <c r="C44" s="97">
        <v>212</v>
      </c>
      <c r="D44" s="155">
        <v>4</v>
      </c>
      <c r="E44" s="99">
        <f t="shared" si="30"/>
        <v>121</v>
      </c>
      <c r="F44" s="97">
        <v>7.1</v>
      </c>
      <c r="G44" s="99">
        <f t="shared" si="16"/>
        <v>3436</v>
      </c>
      <c r="H44" s="135">
        <f t="shared" si="0"/>
        <v>3.2309999999999998E-2</v>
      </c>
      <c r="I44" s="100">
        <f t="shared" si="17"/>
        <v>6471.47</v>
      </c>
      <c r="J44" s="100">
        <f t="shared" si="18"/>
        <v>1954.38</v>
      </c>
      <c r="K44" s="100">
        <f t="shared" si="19"/>
        <v>647.15</v>
      </c>
      <c r="L44" s="100">
        <f t="shared" si="20"/>
        <v>647.15</v>
      </c>
      <c r="M44" s="100">
        <f t="shared" si="21"/>
        <v>1617.87</v>
      </c>
      <c r="N44" s="100">
        <f t="shared" si="22"/>
        <v>11338.02</v>
      </c>
      <c r="O44" s="100">
        <f t="shared" si="23"/>
        <v>566.9</v>
      </c>
      <c r="P44" s="100">
        <f t="shared" si="24"/>
        <v>11904.92</v>
      </c>
      <c r="Q44" s="100">
        <f t="shared" si="1"/>
        <v>2380.98</v>
      </c>
      <c r="R44" s="100">
        <f t="shared" si="25"/>
        <v>14285.9</v>
      </c>
      <c r="S44" s="104">
        <v>3745.2</v>
      </c>
      <c r="T44" s="100">
        <f t="shared" si="26"/>
        <v>3.18</v>
      </c>
      <c r="U44" s="100">
        <f t="shared" si="27"/>
        <v>0.64</v>
      </c>
      <c r="V44" s="100">
        <f t="shared" si="28"/>
        <v>3.81</v>
      </c>
      <c r="W44" s="149">
        <f t="shared" si="29"/>
        <v>0.3175</v>
      </c>
      <c r="X44" s="105"/>
      <c r="Y44" s="85"/>
    </row>
    <row r="45" spans="1:25" s="96" customFormat="1" x14ac:dyDescent="0.25">
      <c r="A45" s="188" t="s">
        <v>225</v>
      </c>
      <c r="B45" s="109">
        <v>8</v>
      </c>
      <c r="C45" s="97">
        <v>212</v>
      </c>
      <c r="D45" s="155">
        <v>5</v>
      </c>
      <c r="E45" s="99">
        <f t="shared" si="30"/>
        <v>151</v>
      </c>
      <c r="F45" s="97">
        <v>0.82699999999999996</v>
      </c>
      <c r="G45" s="99">
        <f t="shared" si="16"/>
        <v>999</v>
      </c>
      <c r="H45" s="135">
        <f t="shared" si="0"/>
        <v>9.3939999999999996E-3</v>
      </c>
      <c r="I45" s="100">
        <f t="shared" si="17"/>
        <v>1881.55</v>
      </c>
      <c r="J45" s="100">
        <f t="shared" si="18"/>
        <v>568.23</v>
      </c>
      <c r="K45" s="100">
        <f t="shared" si="19"/>
        <v>188.16</v>
      </c>
      <c r="L45" s="100">
        <f t="shared" si="20"/>
        <v>188.16</v>
      </c>
      <c r="M45" s="100">
        <f t="shared" si="21"/>
        <v>470.39</v>
      </c>
      <c r="N45" s="100">
        <f t="shared" si="22"/>
        <v>3296.49</v>
      </c>
      <c r="O45" s="100">
        <f t="shared" si="23"/>
        <v>164.82</v>
      </c>
      <c r="P45" s="100">
        <f t="shared" si="24"/>
        <v>3461.31</v>
      </c>
      <c r="Q45" s="100">
        <f t="shared" si="1"/>
        <v>692.26</v>
      </c>
      <c r="R45" s="100">
        <f t="shared" si="25"/>
        <v>4153.57</v>
      </c>
      <c r="S45" s="104">
        <v>3745.2</v>
      </c>
      <c r="T45" s="100">
        <f t="shared" si="26"/>
        <v>0.92</v>
      </c>
      <c r="U45" s="100">
        <f t="shared" si="27"/>
        <v>0.18</v>
      </c>
      <c r="V45" s="100">
        <f t="shared" si="28"/>
        <v>1.1100000000000001</v>
      </c>
      <c r="W45" s="195">
        <f t="shared" si="29"/>
        <v>9.2499999999999999E-2</v>
      </c>
    </row>
    <row r="46" spans="1:25" s="96" customFormat="1" ht="20.25" customHeight="1" x14ac:dyDescent="0.25">
      <c r="A46" s="188" t="s">
        <v>212</v>
      </c>
      <c r="B46" s="109">
        <v>100</v>
      </c>
      <c r="C46" s="97">
        <v>212</v>
      </c>
      <c r="D46" s="155">
        <v>5</v>
      </c>
      <c r="E46" s="99">
        <f t="shared" si="30"/>
        <v>151</v>
      </c>
      <c r="F46" s="97">
        <v>4.25</v>
      </c>
      <c r="G46" s="99">
        <f t="shared" si="16"/>
        <v>64175</v>
      </c>
      <c r="H46" s="135">
        <f t="shared" si="0"/>
        <v>0.60346599999999995</v>
      </c>
      <c r="I46" s="100">
        <f t="shared" si="17"/>
        <v>120870.06</v>
      </c>
      <c r="J46" s="100">
        <f t="shared" si="18"/>
        <v>36502.76</v>
      </c>
      <c r="K46" s="100">
        <f t="shared" si="19"/>
        <v>12087.01</v>
      </c>
      <c r="L46" s="100">
        <f t="shared" si="20"/>
        <v>12087.01</v>
      </c>
      <c r="M46" s="100">
        <f t="shared" si="21"/>
        <v>30217.52</v>
      </c>
      <c r="N46" s="100">
        <f t="shared" si="22"/>
        <v>211764.36</v>
      </c>
      <c r="O46" s="100">
        <f t="shared" si="23"/>
        <v>10588.22</v>
      </c>
      <c r="P46" s="100">
        <f t="shared" si="24"/>
        <v>222352.58</v>
      </c>
      <c r="Q46" s="100">
        <f t="shared" si="1"/>
        <v>44470.52</v>
      </c>
      <c r="R46" s="100">
        <f t="shared" si="25"/>
        <v>266823.09999999998</v>
      </c>
      <c r="S46" s="104">
        <v>3745.2</v>
      </c>
      <c r="T46" s="108">
        <f t="shared" si="26"/>
        <v>59.37</v>
      </c>
      <c r="U46" s="100">
        <f t="shared" si="27"/>
        <v>11.87</v>
      </c>
      <c r="V46" s="100">
        <f t="shared" si="28"/>
        <v>71.239999999999995</v>
      </c>
      <c r="W46" s="149">
        <f t="shared" si="29"/>
        <v>5.9367000000000001</v>
      </c>
      <c r="X46" s="105"/>
      <c r="Y46" s="105"/>
    </row>
    <row r="47" spans="1:25" s="96" customFormat="1" x14ac:dyDescent="0.25">
      <c r="A47" s="273" t="s">
        <v>27</v>
      </c>
      <c r="B47" s="274"/>
      <c r="C47" s="274"/>
      <c r="D47" s="275"/>
      <c r="E47" s="99"/>
      <c r="F47" s="97"/>
      <c r="G47" s="99"/>
      <c r="H47" s="135"/>
      <c r="I47" s="100"/>
      <c r="J47" s="100"/>
      <c r="K47" s="100"/>
      <c r="L47" s="100"/>
      <c r="M47" s="100"/>
      <c r="N47" s="100"/>
      <c r="O47" s="100"/>
      <c r="P47" s="100"/>
      <c r="Q47" s="100">
        <f t="shared" si="1"/>
        <v>0</v>
      </c>
      <c r="R47" s="100"/>
      <c r="S47" s="104">
        <v>3745.2</v>
      </c>
      <c r="T47" s="108"/>
      <c r="U47" s="100"/>
      <c r="V47" s="100"/>
      <c r="W47" s="149"/>
      <c r="X47" s="105"/>
      <c r="Y47" s="105"/>
    </row>
    <row r="48" spans="1:25" s="96" customFormat="1" ht="19.149999999999999" customHeight="1" x14ac:dyDescent="0.25">
      <c r="A48" s="188" t="s">
        <v>28</v>
      </c>
      <c r="B48" s="109">
        <v>1009</v>
      </c>
      <c r="C48" s="97">
        <v>153</v>
      </c>
      <c r="D48" s="155">
        <v>5</v>
      </c>
      <c r="E48" s="99">
        <f>C48/7*D48</f>
        <v>109</v>
      </c>
      <c r="F48" s="97">
        <v>0.13</v>
      </c>
      <c r="G48" s="99">
        <f>F48*E48*B48</f>
        <v>14298</v>
      </c>
      <c r="H48" s="135">
        <f t="shared" si="0"/>
        <v>0.13444999999999999</v>
      </c>
      <c r="I48" s="100">
        <f>4473*1.3*2.3*1.04*1.2*H48*12</f>
        <v>26929.4</v>
      </c>
      <c r="J48" s="100">
        <f>I48*30.2/100</f>
        <v>8132.68</v>
      </c>
      <c r="K48" s="100">
        <f>I48*10/100</f>
        <v>2692.94</v>
      </c>
      <c r="L48" s="100">
        <f>I48*10/100</f>
        <v>2692.94</v>
      </c>
      <c r="M48" s="100">
        <f>I48*25/100</f>
        <v>6732.35</v>
      </c>
      <c r="N48" s="100">
        <f>M48+L48+K48+J48+I48</f>
        <v>47180.31</v>
      </c>
      <c r="O48" s="100">
        <f>N48*5/100</f>
        <v>2359.02</v>
      </c>
      <c r="P48" s="100">
        <f>O48+N48</f>
        <v>49539.33</v>
      </c>
      <c r="Q48" s="100">
        <f t="shared" si="1"/>
        <v>9907.8700000000008</v>
      </c>
      <c r="R48" s="100">
        <f>Q48+P48</f>
        <v>59447.199999999997</v>
      </c>
      <c r="S48" s="104">
        <v>3745.2</v>
      </c>
      <c r="T48" s="108">
        <f>P48/S48</f>
        <v>13.227399999999999</v>
      </c>
      <c r="U48" s="100">
        <f>Q48/S48</f>
        <v>2.65</v>
      </c>
      <c r="V48" s="100">
        <f>R48/S48</f>
        <v>15.87</v>
      </c>
      <c r="W48" s="149">
        <f>V48/12</f>
        <v>1.3225</v>
      </c>
      <c r="X48" s="105"/>
      <c r="Y48" s="105"/>
    </row>
    <row r="49" spans="1:25" s="96" customFormat="1" ht="18.75" customHeight="1" x14ac:dyDescent="0.25">
      <c r="A49" s="188" t="s">
        <v>158</v>
      </c>
      <c r="B49" s="109">
        <v>24</v>
      </c>
      <c r="C49" s="97">
        <v>153</v>
      </c>
      <c r="D49" s="155">
        <v>1</v>
      </c>
      <c r="E49" s="99">
        <v>5</v>
      </c>
      <c r="F49" s="97">
        <v>2.21</v>
      </c>
      <c r="G49" s="99">
        <f>F49*E49*B49</f>
        <v>265</v>
      </c>
      <c r="H49" s="135">
        <f t="shared" si="0"/>
        <v>2.4919999999999999E-3</v>
      </c>
      <c r="I49" s="100">
        <f>4473*1.3*2.3*1.04*1.2*H49*12</f>
        <v>499.13</v>
      </c>
      <c r="J49" s="100">
        <f>I49*30.2/100</f>
        <v>150.74</v>
      </c>
      <c r="K49" s="100">
        <f>I49*10/100</f>
        <v>49.91</v>
      </c>
      <c r="L49" s="100">
        <f>I49*10/100</f>
        <v>49.91</v>
      </c>
      <c r="M49" s="100">
        <f>I49*25/100</f>
        <v>124.78</v>
      </c>
      <c r="N49" s="100">
        <f>M49+L49+K49+J49+I49</f>
        <v>874.47</v>
      </c>
      <c r="O49" s="100">
        <f>N49*5/100</f>
        <v>43.72</v>
      </c>
      <c r="P49" s="100">
        <f>O49+N49</f>
        <v>918.19</v>
      </c>
      <c r="Q49" s="100">
        <f t="shared" si="1"/>
        <v>183.64</v>
      </c>
      <c r="R49" s="100">
        <f>Q49+P49</f>
        <v>1101.83</v>
      </c>
      <c r="S49" s="104">
        <v>3745.2</v>
      </c>
      <c r="T49" s="108">
        <f>P49/S49</f>
        <v>0.2452</v>
      </c>
      <c r="U49" s="100">
        <f>Q49/S49</f>
        <v>0.05</v>
      </c>
      <c r="V49" s="100">
        <f>R49/S49</f>
        <v>0.28999999999999998</v>
      </c>
      <c r="W49" s="149">
        <f>V49/12</f>
        <v>2.4199999999999999E-2</v>
      </c>
      <c r="X49" s="105"/>
      <c r="Y49" s="105"/>
    </row>
    <row r="50" spans="1:25" s="116" customFormat="1" x14ac:dyDescent="0.25">
      <c r="A50" s="199" t="s">
        <v>294</v>
      </c>
      <c r="B50" s="109">
        <v>2</v>
      </c>
      <c r="C50" s="97">
        <v>153</v>
      </c>
      <c r="D50" s="155">
        <v>1</v>
      </c>
      <c r="E50" s="99">
        <v>5</v>
      </c>
      <c r="F50" s="97">
        <v>31.4</v>
      </c>
      <c r="G50" s="99">
        <f>F50*E50*B50</f>
        <v>314</v>
      </c>
      <c r="H50" s="108">
        <f t="shared" si="0"/>
        <v>3.0000000000000001E-3</v>
      </c>
      <c r="I50" s="100">
        <f>4473*1.3*2.3*1.04*1.2*H50*12</f>
        <v>600.88</v>
      </c>
      <c r="J50" s="100">
        <f>I50*30.2/100</f>
        <v>181.47</v>
      </c>
      <c r="K50" s="100">
        <f>I50*10/100</f>
        <v>60.09</v>
      </c>
      <c r="L50" s="100">
        <f>I50*10/100</f>
        <v>60.09</v>
      </c>
      <c r="M50" s="100">
        <f>I50*25/100</f>
        <v>150.22</v>
      </c>
      <c r="N50" s="100">
        <f>M50+L50+K50+J50+I50</f>
        <v>1052.75</v>
      </c>
      <c r="O50" s="100">
        <f>N50*5/100</f>
        <v>52.64</v>
      </c>
      <c r="P50" s="100">
        <f>O50+N50</f>
        <v>1105.3900000000001</v>
      </c>
      <c r="Q50" s="100">
        <f t="shared" si="1"/>
        <v>221.08</v>
      </c>
      <c r="R50" s="100">
        <f>Q50+P50</f>
        <v>1326.47</v>
      </c>
      <c r="S50" s="104">
        <v>3745.2</v>
      </c>
      <c r="T50" s="100">
        <f>P50/S50</f>
        <v>0.3</v>
      </c>
      <c r="U50" s="100">
        <f>Q50/S50</f>
        <v>0.06</v>
      </c>
      <c r="V50" s="100">
        <f>R50/S50</f>
        <v>0.35</v>
      </c>
      <c r="W50" s="195">
        <f>V50/12</f>
        <v>2.92E-2</v>
      </c>
      <c r="X50" s="196"/>
    </row>
    <row r="51" spans="1:25" s="96" customFormat="1" ht="21.4" customHeight="1" thickBot="1" x14ac:dyDescent="0.3">
      <c r="A51" s="250" t="s">
        <v>29</v>
      </c>
      <c r="B51" s="109">
        <v>411</v>
      </c>
      <c r="C51" s="97">
        <v>153</v>
      </c>
      <c r="D51" s="155">
        <v>5</v>
      </c>
      <c r="E51" s="99">
        <f>C51/7*D51</f>
        <v>109</v>
      </c>
      <c r="F51" s="97">
        <v>7.6999999999999999E-2</v>
      </c>
      <c r="G51" s="99">
        <f>F51*E51*B51</f>
        <v>3450</v>
      </c>
      <c r="H51" s="135">
        <f t="shared" si="0"/>
        <v>3.2441999999999999E-2</v>
      </c>
      <c r="I51" s="100">
        <f>4473*1.3*2.3*1.04*1.2*H51*12</f>
        <v>6497.91</v>
      </c>
      <c r="J51" s="100">
        <f>I51*30.2/100</f>
        <v>1962.37</v>
      </c>
      <c r="K51" s="100">
        <f>I51*10/100</f>
        <v>649.79</v>
      </c>
      <c r="L51" s="100">
        <f>I51*10/100</f>
        <v>649.79</v>
      </c>
      <c r="M51" s="100">
        <f>I51*25/100</f>
        <v>1624.48</v>
      </c>
      <c r="N51" s="100">
        <f>M51+L51+K51+J51+I51</f>
        <v>11384.34</v>
      </c>
      <c r="O51" s="100">
        <f>N51*5/100</f>
        <v>569.22</v>
      </c>
      <c r="P51" s="100">
        <f>O51+N51</f>
        <v>11953.56</v>
      </c>
      <c r="Q51" s="100">
        <f t="shared" si="1"/>
        <v>2390.71</v>
      </c>
      <c r="R51" s="100">
        <f>Q51+P51</f>
        <v>14344.27</v>
      </c>
      <c r="S51" s="104">
        <v>3745.2</v>
      </c>
      <c r="T51" s="108">
        <f>P51/S51</f>
        <v>3.1917</v>
      </c>
      <c r="U51" s="100">
        <f>Q51/S51</f>
        <v>0.64</v>
      </c>
      <c r="V51" s="100">
        <f>R51/S51</f>
        <v>3.83</v>
      </c>
      <c r="W51" s="149">
        <f>V51/12</f>
        <v>0.31919999999999998</v>
      </c>
      <c r="X51" s="105"/>
      <c r="Y51" s="105"/>
    </row>
    <row r="52" spans="1:25" s="1" customFormat="1" ht="15" customHeight="1" thickBot="1" x14ac:dyDescent="0.3">
      <c r="A52" s="8" t="s">
        <v>22</v>
      </c>
      <c r="B52" s="50"/>
      <c r="C52" s="51"/>
      <c r="D52" s="52"/>
      <c r="E52" s="9"/>
      <c r="F52" s="53"/>
      <c r="G52" s="54"/>
      <c r="H52" s="55"/>
      <c r="I52" s="10"/>
      <c r="J52" s="10"/>
      <c r="K52" s="10"/>
      <c r="L52" s="10"/>
      <c r="M52" s="10"/>
      <c r="N52" s="10"/>
      <c r="O52" s="10"/>
      <c r="P52" s="10"/>
      <c r="Q52" s="10"/>
      <c r="R52" s="11">
        <f>SUM(R12:R51)</f>
        <v>1493781.93</v>
      </c>
      <c r="S52" s="10"/>
      <c r="T52" s="10"/>
      <c r="U52" s="10"/>
      <c r="V52" s="10"/>
      <c r="W52" s="153">
        <f>SUM(W12:W51)</f>
        <v>33.240900000000003</v>
      </c>
      <c r="X52" s="86"/>
      <c r="Y52" s="86"/>
    </row>
    <row r="53" spans="1:25" s="96" customFormat="1" x14ac:dyDescent="0.25">
      <c r="B53" s="56"/>
      <c r="C53" s="57"/>
      <c r="D53" s="58"/>
      <c r="E53" s="12"/>
      <c r="F53" s="57"/>
      <c r="G53" s="12"/>
      <c r="H53" s="59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05"/>
      <c r="Y53" s="105"/>
    </row>
    <row r="54" spans="1:25" s="96" customFormat="1" ht="16.5" thickBot="1" x14ac:dyDescent="0.3">
      <c r="B54" s="14"/>
      <c r="C54" s="14"/>
      <c r="D54" s="60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87"/>
      <c r="V54" s="87"/>
      <c r="W54" s="87"/>
      <c r="X54" s="105"/>
      <c r="Y54" s="105"/>
    </row>
    <row r="55" spans="1:25" s="96" customFormat="1" x14ac:dyDescent="0.25">
      <c r="A55" s="276" t="s">
        <v>1</v>
      </c>
      <c r="B55" s="266" t="s">
        <v>30</v>
      </c>
      <c r="C55" s="266" t="s">
        <v>16</v>
      </c>
      <c r="D55" s="266" t="s">
        <v>31</v>
      </c>
      <c r="E55" s="266" t="s">
        <v>32</v>
      </c>
      <c r="F55" s="266" t="s">
        <v>33</v>
      </c>
      <c r="G55" s="266" t="s">
        <v>107</v>
      </c>
      <c r="H55" s="266" t="s">
        <v>34</v>
      </c>
      <c r="I55" s="266" t="s">
        <v>35</v>
      </c>
      <c r="J55" s="266" t="s">
        <v>36</v>
      </c>
      <c r="K55" s="266" t="s">
        <v>6</v>
      </c>
      <c r="L55" s="266" t="s">
        <v>7</v>
      </c>
      <c r="M55" s="266" t="s">
        <v>8</v>
      </c>
      <c r="N55" s="266" t="s">
        <v>9</v>
      </c>
      <c r="O55" s="266" t="s">
        <v>10</v>
      </c>
      <c r="P55" s="266" t="s">
        <v>11</v>
      </c>
      <c r="Q55" s="266" t="s">
        <v>12</v>
      </c>
      <c r="R55" s="266" t="s">
        <v>340</v>
      </c>
      <c r="S55" s="266" t="s">
        <v>13</v>
      </c>
      <c r="T55" s="266" t="s">
        <v>14</v>
      </c>
      <c r="U55" s="268" t="s">
        <v>15</v>
      </c>
      <c r="V55" s="268"/>
      <c r="W55" s="268"/>
      <c r="X55" s="269"/>
      <c r="Y55" s="105"/>
    </row>
    <row r="56" spans="1:25" s="96" customFormat="1" x14ac:dyDescent="0.25">
      <c r="A56" s="277"/>
      <c r="B56" s="267"/>
      <c r="C56" s="267"/>
      <c r="D56" s="267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70" t="s">
        <v>20</v>
      </c>
      <c r="V56" s="270" t="s">
        <v>21</v>
      </c>
      <c r="W56" s="270" t="s">
        <v>22</v>
      </c>
      <c r="X56" s="271" t="s">
        <v>23</v>
      </c>
      <c r="Y56" s="105"/>
    </row>
    <row r="57" spans="1:25" s="96" customFormat="1" x14ac:dyDescent="0.25">
      <c r="A57" s="277"/>
      <c r="B57" s="267"/>
      <c r="C57" s="267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70"/>
      <c r="V57" s="270"/>
      <c r="W57" s="270"/>
      <c r="X57" s="271"/>
      <c r="Y57" s="105"/>
    </row>
    <row r="58" spans="1:25" s="96" customFormat="1" ht="66" customHeight="1" x14ac:dyDescent="0.25">
      <c r="A58" s="277"/>
      <c r="B58" s="267"/>
      <c r="C58" s="267"/>
      <c r="D58" s="267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70"/>
      <c r="V58" s="270"/>
      <c r="W58" s="270"/>
      <c r="X58" s="271"/>
      <c r="Y58" s="105"/>
    </row>
    <row r="59" spans="1:25" s="96" customFormat="1" x14ac:dyDescent="0.25">
      <c r="A59" s="248">
        <v>1</v>
      </c>
      <c r="B59" s="106">
        <v>2</v>
      </c>
      <c r="C59" s="106">
        <v>3</v>
      </c>
      <c r="D59" s="245">
        <v>4</v>
      </c>
      <c r="E59" s="106">
        <v>5</v>
      </c>
      <c r="F59" s="106">
        <v>6</v>
      </c>
      <c r="G59" s="61">
        <v>7</v>
      </c>
      <c r="H59" s="106">
        <v>8</v>
      </c>
      <c r="I59" s="106">
        <v>9</v>
      </c>
      <c r="J59" s="106">
        <v>10</v>
      </c>
      <c r="K59" s="106">
        <v>11</v>
      </c>
      <c r="L59" s="106">
        <v>12</v>
      </c>
      <c r="M59" s="106">
        <v>13</v>
      </c>
      <c r="N59" s="106">
        <v>14</v>
      </c>
      <c r="O59" s="106">
        <v>15</v>
      </c>
      <c r="P59" s="106">
        <v>16</v>
      </c>
      <c r="Q59" s="106">
        <v>17</v>
      </c>
      <c r="R59" s="106">
        <v>18</v>
      </c>
      <c r="S59" s="106">
        <v>19</v>
      </c>
      <c r="T59" s="106">
        <v>20</v>
      </c>
      <c r="U59" s="94">
        <v>21</v>
      </c>
      <c r="V59" s="94">
        <v>22</v>
      </c>
      <c r="W59" s="94">
        <v>23</v>
      </c>
      <c r="X59" s="95">
        <v>24</v>
      </c>
      <c r="Y59" s="105"/>
    </row>
    <row r="60" spans="1:25" s="96" customFormat="1" ht="18.75" x14ac:dyDescent="0.25">
      <c r="A60" s="127" t="s">
        <v>144</v>
      </c>
      <c r="B60" s="106"/>
      <c r="C60" s="98"/>
      <c r="D60" s="155"/>
      <c r="E60" s="98"/>
      <c r="F60" s="111"/>
      <c r="G60" s="103"/>
      <c r="H60" s="112"/>
      <c r="I60" s="103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0"/>
      <c r="U60" s="104"/>
      <c r="V60" s="104"/>
      <c r="W60" s="104"/>
      <c r="X60" s="137"/>
      <c r="Y60" s="105"/>
    </row>
    <row r="61" spans="1:25" s="115" customFormat="1" ht="20.85" customHeight="1" x14ac:dyDescent="0.25">
      <c r="A61" s="124" t="s">
        <v>133</v>
      </c>
      <c r="B61" s="155" t="s">
        <v>37</v>
      </c>
      <c r="C61" s="155">
        <v>150</v>
      </c>
      <c r="D61" s="155">
        <v>0.36</v>
      </c>
      <c r="E61" s="155">
        <v>3.2</v>
      </c>
      <c r="F61" s="130">
        <f>D61*C61</f>
        <v>54</v>
      </c>
      <c r="G61" s="155">
        <f>F61/1970</f>
        <v>2.7411167512690401E-2</v>
      </c>
      <c r="H61" s="119">
        <f>G61*1.2</f>
        <v>3.2890000000000003E-2</v>
      </c>
      <c r="I61" s="118">
        <v>1.23</v>
      </c>
      <c r="J61" s="118">
        <f>4741.4*1.6*1.04*2.3*1.25*I61*H61*12</f>
        <v>11011.54</v>
      </c>
      <c r="K61" s="118">
        <f>J61*30.2/100</f>
        <v>3325.49</v>
      </c>
      <c r="L61" s="118">
        <f>J61*10/100</f>
        <v>1101.1500000000001</v>
      </c>
      <c r="M61" s="118">
        <f>J61*10/100</f>
        <v>1101.1500000000001</v>
      </c>
      <c r="N61" s="118">
        <f>J61*25/100</f>
        <v>2752.89</v>
      </c>
      <c r="O61" s="118">
        <f>N61+M61+L61+K61+J61</f>
        <v>19292.22</v>
      </c>
      <c r="P61" s="118">
        <f>O61*5/100</f>
        <v>964.61</v>
      </c>
      <c r="Q61" s="118">
        <f>P61+O61</f>
        <v>20256.830000000002</v>
      </c>
      <c r="R61" s="118">
        <f>Q61*20/100</f>
        <v>4051.37</v>
      </c>
      <c r="S61" s="118">
        <f>R61+Q61</f>
        <v>24308.2</v>
      </c>
      <c r="T61" s="155">
        <v>3745.2</v>
      </c>
      <c r="U61" s="160">
        <f>Q61/T61</f>
        <v>5.4087399999999999</v>
      </c>
      <c r="V61" s="160">
        <f>R61/T61</f>
        <v>1.08175</v>
      </c>
      <c r="W61" s="160">
        <f>S61/T61</f>
        <v>6.4904900000000003</v>
      </c>
      <c r="X61" s="147">
        <f>W61/12</f>
        <v>0.54090000000000005</v>
      </c>
      <c r="Y61" s="91"/>
    </row>
    <row r="62" spans="1:25" s="204" customFormat="1" ht="31.9" customHeight="1" x14ac:dyDescent="0.25">
      <c r="A62" s="173" t="s">
        <v>142</v>
      </c>
      <c r="B62" s="155" t="s">
        <v>264</v>
      </c>
      <c r="C62" s="155">
        <v>80</v>
      </c>
      <c r="D62" s="155">
        <v>0.39</v>
      </c>
      <c r="E62" s="155">
        <v>3.2</v>
      </c>
      <c r="F62" s="130">
        <f>D62*C62</f>
        <v>31</v>
      </c>
      <c r="G62" s="155">
        <f t="shared" ref="G62:G140" si="31">F62/1970</f>
        <v>1.5736040609137102E-2</v>
      </c>
      <c r="H62" s="119">
        <f>G62*1.2</f>
        <v>1.8880000000000001E-2</v>
      </c>
      <c r="I62" s="117">
        <f>65/54</f>
        <v>1.2037</v>
      </c>
      <c r="J62" s="118">
        <f>4741.4*1.6*1.04*2.3*1.25*I62*H62*12</f>
        <v>6185.85</v>
      </c>
      <c r="K62" s="131">
        <f>J62*30.2/100</f>
        <v>1868.13</v>
      </c>
      <c r="L62" s="131">
        <f>J62*10/100</f>
        <v>618.59</v>
      </c>
      <c r="M62" s="131">
        <f>J62*10/100</f>
        <v>618.59</v>
      </c>
      <c r="N62" s="131">
        <f>J62*25/100</f>
        <v>1546.46</v>
      </c>
      <c r="O62" s="131">
        <f>N62+M62+L62+K62+J62</f>
        <v>10837.62</v>
      </c>
      <c r="P62" s="131">
        <f>O62*5/100</f>
        <v>541.88</v>
      </c>
      <c r="Q62" s="131">
        <f>P62+O62</f>
        <v>11379.5</v>
      </c>
      <c r="R62" s="118">
        <f t="shared" ref="R62:R125" si="32">Q62*20/100</f>
        <v>2275.9</v>
      </c>
      <c r="S62" s="131">
        <f>R62+Q62</f>
        <v>13655.4</v>
      </c>
      <c r="T62" s="155">
        <v>3745.2</v>
      </c>
      <c r="U62" s="160">
        <f>Q62/T62</f>
        <v>3.0384199999999999</v>
      </c>
      <c r="V62" s="160">
        <f>R62/T62</f>
        <v>0.60768</v>
      </c>
      <c r="W62" s="160">
        <f>S62/T62</f>
        <v>3.6461100000000002</v>
      </c>
      <c r="X62" s="147">
        <f>W62/12</f>
        <v>0.30380000000000001</v>
      </c>
      <c r="Y62" s="203"/>
    </row>
    <row r="63" spans="1:25" s="116" customFormat="1" ht="24.2" customHeight="1" x14ac:dyDescent="0.25">
      <c r="A63" s="98" t="s">
        <v>183</v>
      </c>
      <c r="B63" s="122" t="s">
        <v>160</v>
      </c>
      <c r="C63" s="155">
        <v>45</v>
      </c>
      <c r="D63" s="129">
        <v>0.18</v>
      </c>
      <c r="E63" s="122">
        <v>2</v>
      </c>
      <c r="F63" s="130">
        <f>D63*C63</f>
        <v>8</v>
      </c>
      <c r="G63" s="155">
        <f t="shared" si="31"/>
        <v>4.06091370558376E-3</v>
      </c>
      <c r="H63" s="119">
        <f>G63*1.2</f>
        <v>4.8700000000000002E-3</v>
      </c>
      <c r="I63" s="117">
        <v>1.0900000000000001</v>
      </c>
      <c r="J63" s="131">
        <f>4741.4*1.6*1.04*2.3*1.25*I63*H63*12</f>
        <v>1444.89</v>
      </c>
      <c r="K63" s="131">
        <f>J63*30.2/100</f>
        <v>436.36</v>
      </c>
      <c r="L63" s="131">
        <f>J63*10/100</f>
        <v>144.49</v>
      </c>
      <c r="M63" s="131">
        <f>J63*10/100</f>
        <v>144.49</v>
      </c>
      <c r="N63" s="131">
        <f>J63*25/100</f>
        <v>361.22</v>
      </c>
      <c r="O63" s="131">
        <f>N63+M63+L63+K63+J63</f>
        <v>2531.4499999999998</v>
      </c>
      <c r="P63" s="131">
        <f>O63*5/100</f>
        <v>126.57</v>
      </c>
      <c r="Q63" s="131">
        <f>P63+O63</f>
        <v>2658.02</v>
      </c>
      <c r="R63" s="118">
        <f t="shared" si="32"/>
        <v>531.6</v>
      </c>
      <c r="S63" s="131">
        <f>R63+Q63</f>
        <v>3189.62</v>
      </c>
      <c r="T63" s="155">
        <v>3745.2</v>
      </c>
      <c r="U63" s="160">
        <f>Q63/T63</f>
        <v>0.70970999999999995</v>
      </c>
      <c r="V63" s="160">
        <f>R63/T63</f>
        <v>0.14194000000000001</v>
      </c>
      <c r="W63" s="160">
        <f>S63/T63</f>
        <v>0.85165999999999997</v>
      </c>
      <c r="X63" s="117">
        <f>W63/12</f>
        <v>7.0999999999999994E-2</v>
      </c>
      <c r="Y63" s="85"/>
    </row>
    <row r="64" spans="1:25" s="136" customFormat="1" ht="31.5" x14ac:dyDescent="0.25">
      <c r="A64" s="205" t="s">
        <v>184</v>
      </c>
      <c r="B64" s="122" t="s">
        <v>159</v>
      </c>
      <c r="C64" s="155">
        <v>540</v>
      </c>
      <c r="D64" s="129">
        <f>1.8/10</f>
        <v>0.18</v>
      </c>
      <c r="E64" s="122">
        <v>3</v>
      </c>
      <c r="F64" s="133">
        <f>D64*C64</f>
        <v>97.2</v>
      </c>
      <c r="G64" s="155">
        <f t="shared" si="31"/>
        <v>4.93401015228426E-2</v>
      </c>
      <c r="H64" s="119">
        <f>G64*1.2</f>
        <v>5.9209999999999999E-2</v>
      </c>
      <c r="I64" s="117">
        <v>1.2</v>
      </c>
      <c r="J64" s="131">
        <f>4741.4*1.6*1.04*2.3*1.25*I64*H64*12</f>
        <v>19339.95</v>
      </c>
      <c r="K64" s="131">
        <f>J64*30.2/100</f>
        <v>5840.66</v>
      </c>
      <c r="L64" s="131">
        <f>J64*10/100</f>
        <v>1934</v>
      </c>
      <c r="M64" s="131">
        <f>J64*10/100</f>
        <v>1934</v>
      </c>
      <c r="N64" s="131">
        <f>J64*25/100</f>
        <v>4834.99</v>
      </c>
      <c r="O64" s="131">
        <f>N64+M64+L64+K64+J64</f>
        <v>33883.599999999999</v>
      </c>
      <c r="P64" s="131">
        <f>O64*5/100</f>
        <v>1694.18</v>
      </c>
      <c r="Q64" s="131">
        <f>P64+O64</f>
        <v>35577.78</v>
      </c>
      <c r="R64" s="118">
        <f t="shared" si="32"/>
        <v>7115.56</v>
      </c>
      <c r="S64" s="131">
        <f>R64+Q64</f>
        <v>42693.34</v>
      </c>
      <c r="T64" s="155">
        <v>3745.2</v>
      </c>
      <c r="U64" s="160">
        <f>Q64/T64</f>
        <v>9.4995700000000003</v>
      </c>
      <c r="V64" s="160">
        <f>R64/T64</f>
        <v>1.89991</v>
      </c>
      <c r="W64" s="160">
        <f>S64/T64</f>
        <v>11.399480000000001</v>
      </c>
      <c r="X64" s="117">
        <f>W64/12</f>
        <v>0.95</v>
      </c>
      <c r="Y64" s="92"/>
    </row>
    <row r="65" spans="1:25" s="116" customFormat="1" ht="23.1" customHeight="1" x14ac:dyDescent="0.25">
      <c r="A65" s="120" t="s">
        <v>124</v>
      </c>
      <c r="B65" s="122"/>
      <c r="C65" s="155"/>
      <c r="D65" s="129"/>
      <c r="E65" s="122"/>
      <c r="F65" s="130"/>
      <c r="G65" s="155"/>
      <c r="H65" s="119"/>
      <c r="I65" s="117"/>
      <c r="J65" s="131"/>
      <c r="K65" s="131"/>
      <c r="L65" s="131"/>
      <c r="M65" s="131"/>
      <c r="N65" s="131"/>
      <c r="O65" s="131"/>
      <c r="P65" s="131"/>
      <c r="Q65" s="131"/>
      <c r="R65" s="118">
        <f t="shared" si="32"/>
        <v>0</v>
      </c>
      <c r="S65" s="131"/>
      <c r="T65" s="155">
        <v>3745.2</v>
      </c>
      <c r="U65" s="160"/>
      <c r="V65" s="160"/>
      <c r="W65" s="160"/>
      <c r="X65" s="117"/>
      <c r="Y65" s="85"/>
    </row>
    <row r="66" spans="1:25" s="116" customFormat="1" x14ac:dyDescent="0.25">
      <c r="A66" s="120" t="s">
        <v>122</v>
      </c>
      <c r="B66" s="122" t="s">
        <v>123</v>
      </c>
      <c r="C66" s="155">
        <v>689</v>
      </c>
      <c r="D66" s="129">
        <v>1.2E-2</v>
      </c>
      <c r="E66" s="122">
        <v>1</v>
      </c>
      <c r="F66" s="130">
        <f>D66*C66</f>
        <v>8</v>
      </c>
      <c r="G66" s="155">
        <f t="shared" si="31"/>
        <v>4.06091370558376E-3</v>
      </c>
      <c r="H66" s="119">
        <f>G66*1.2</f>
        <v>4.8700000000000002E-3</v>
      </c>
      <c r="I66" s="117">
        <v>1</v>
      </c>
      <c r="J66" s="131">
        <f>4741.4*1.6*1.04*2.3*1.25*I66*H66*12</f>
        <v>1325.59</v>
      </c>
      <c r="K66" s="131">
        <f>J66*30.2/100</f>
        <v>400.33</v>
      </c>
      <c r="L66" s="131">
        <f>J66*10/100</f>
        <v>132.56</v>
      </c>
      <c r="M66" s="131">
        <f>J66*10/100</f>
        <v>132.56</v>
      </c>
      <c r="N66" s="131">
        <f>J66*25/100</f>
        <v>331.4</v>
      </c>
      <c r="O66" s="131">
        <f>N66+M66+L66+K66+J66</f>
        <v>2322.44</v>
      </c>
      <c r="P66" s="131">
        <f>O66*5/100</f>
        <v>116.12</v>
      </c>
      <c r="Q66" s="131">
        <f>P66+O66</f>
        <v>2438.56</v>
      </c>
      <c r="R66" s="118">
        <f t="shared" si="32"/>
        <v>487.71</v>
      </c>
      <c r="S66" s="131">
        <f>R66+Q66</f>
        <v>2926.27</v>
      </c>
      <c r="T66" s="155">
        <v>3745.2</v>
      </c>
      <c r="U66" s="160">
        <f>Q66/T66</f>
        <v>0.65112000000000003</v>
      </c>
      <c r="V66" s="160">
        <f>R66/T66</f>
        <v>0.13022</v>
      </c>
      <c r="W66" s="160">
        <f>S66/T66</f>
        <v>0.78134000000000003</v>
      </c>
      <c r="X66" s="117">
        <f>W66/12</f>
        <v>6.5100000000000005E-2</v>
      </c>
      <c r="Y66" s="85"/>
    </row>
    <row r="67" spans="1:25" s="115" customFormat="1" ht="37.15" customHeight="1" x14ac:dyDescent="0.25">
      <c r="A67" s="124" t="s">
        <v>226</v>
      </c>
      <c r="B67" s="155" t="s">
        <v>37</v>
      </c>
      <c r="C67" s="155">
        <v>169.5</v>
      </c>
      <c r="D67" s="155">
        <v>0.08</v>
      </c>
      <c r="E67" s="155">
        <v>1</v>
      </c>
      <c r="F67" s="123">
        <f>D67*C67</f>
        <v>13.56</v>
      </c>
      <c r="G67" s="155">
        <f t="shared" si="31"/>
        <v>6.8832487309644702E-3</v>
      </c>
      <c r="H67" s="119">
        <f>G67*1.2</f>
        <v>8.26E-3</v>
      </c>
      <c r="I67" s="118">
        <v>1</v>
      </c>
      <c r="J67" s="119">
        <f>4741.4*1.6*1.04*2.3*1.25*I67*H67*12</f>
        <v>2248.32485</v>
      </c>
      <c r="K67" s="119">
        <f>J67*30.2/100</f>
        <v>678.9941</v>
      </c>
      <c r="L67" s="119">
        <f>J67*10/100</f>
        <v>224.83249000000001</v>
      </c>
      <c r="M67" s="119">
        <f>J67*10/100</f>
        <v>224.83249000000001</v>
      </c>
      <c r="N67" s="119">
        <f>J67*25/100</f>
        <v>562.08121000000006</v>
      </c>
      <c r="O67" s="119">
        <f>N67+M67+L67+K67+J67</f>
        <v>3939.0651400000002</v>
      </c>
      <c r="P67" s="119">
        <f>O67*5/100</f>
        <v>196.95326</v>
      </c>
      <c r="Q67" s="119">
        <f>P67+O67</f>
        <v>4136.0183999999999</v>
      </c>
      <c r="R67" s="118">
        <f t="shared" si="32"/>
        <v>827.2</v>
      </c>
      <c r="S67" s="119">
        <f>R67+Q67</f>
        <v>4963.2183999999997</v>
      </c>
      <c r="T67" s="155">
        <v>3745.2</v>
      </c>
      <c r="U67" s="160">
        <f>Q67/T67</f>
        <v>1.1043499999999999</v>
      </c>
      <c r="V67" s="160">
        <f>R67/T67</f>
        <v>0.22087000000000001</v>
      </c>
      <c r="W67" s="160">
        <f>S67/T67</f>
        <v>1.3252200000000001</v>
      </c>
      <c r="X67" s="147">
        <f>W67/12</f>
        <v>0.1104</v>
      </c>
      <c r="Y67" s="91"/>
    </row>
    <row r="68" spans="1:25" s="116" customFormat="1" ht="31.5" x14ac:dyDescent="0.25">
      <c r="A68" s="228" t="s">
        <v>296</v>
      </c>
      <c r="B68" s="122"/>
      <c r="C68" s="155"/>
      <c r="D68" s="129"/>
      <c r="E68" s="122"/>
      <c r="F68" s="130"/>
      <c r="G68" s="155"/>
      <c r="H68" s="123"/>
      <c r="I68" s="117"/>
      <c r="J68" s="131"/>
      <c r="K68" s="131"/>
      <c r="L68" s="131"/>
      <c r="M68" s="131"/>
      <c r="N68" s="131"/>
      <c r="O68" s="131"/>
      <c r="P68" s="131"/>
      <c r="Q68" s="131"/>
      <c r="R68" s="118">
        <f t="shared" si="32"/>
        <v>0</v>
      </c>
      <c r="S68" s="131"/>
      <c r="T68" s="155">
        <v>3745.2</v>
      </c>
      <c r="U68" s="131"/>
      <c r="V68" s="131"/>
      <c r="W68" s="131"/>
      <c r="X68" s="159"/>
    </row>
    <row r="69" spans="1:25" s="116" customFormat="1" ht="48" customHeight="1" x14ac:dyDescent="0.25">
      <c r="A69" s="228" t="s">
        <v>297</v>
      </c>
      <c r="B69" s="229" t="s">
        <v>298</v>
      </c>
      <c r="C69" s="155">
        <v>5</v>
      </c>
      <c r="D69" s="129">
        <f>59/100</f>
        <v>0.59</v>
      </c>
      <c r="E69" s="122">
        <v>2</v>
      </c>
      <c r="F69" s="130">
        <f t="shared" ref="F69:F70" si="33">D69*C69</f>
        <v>3</v>
      </c>
      <c r="G69" s="155">
        <f t="shared" ref="G69:G70" si="34">F69/1970</f>
        <v>1.5228426395939099E-3</v>
      </c>
      <c r="H69" s="123">
        <f t="shared" ref="H69:H70" si="35">G69*1.2</f>
        <v>2E-3</v>
      </c>
      <c r="I69" s="118">
        <v>1.0900000000000001</v>
      </c>
      <c r="J69" s="131">
        <f t="shared" ref="J69:J70" si="36">4741.4*1.6*1.04*2.3*1.25*I69*H69*12</f>
        <v>593.38</v>
      </c>
      <c r="K69" s="131">
        <f t="shared" ref="K69:K70" si="37">J69*30.2/100</f>
        <v>179.2</v>
      </c>
      <c r="L69" s="131">
        <f t="shared" ref="L69:L70" si="38">J69*10/100</f>
        <v>59.34</v>
      </c>
      <c r="M69" s="131">
        <f t="shared" ref="M69:M70" si="39">J69*10/100</f>
        <v>59.34</v>
      </c>
      <c r="N69" s="131">
        <f t="shared" ref="N69:N70" si="40">J69*25/100</f>
        <v>148.35</v>
      </c>
      <c r="O69" s="131">
        <f t="shared" ref="O69:O70" si="41">N69+M69+L69+K69+J69</f>
        <v>1039.6099999999999</v>
      </c>
      <c r="P69" s="131">
        <f t="shared" ref="P69:P70" si="42">O69*5/100</f>
        <v>51.98</v>
      </c>
      <c r="Q69" s="131">
        <f t="shared" ref="Q69:Q70" si="43">P69+O69</f>
        <v>1091.5899999999999</v>
      </c>
      <c r="R69" s="118">
        <f t="shared" si="32"/>
        <v>218.32</v>
      </c>
      <c r="S69" s="131">
        <f t="shared" ref="S69:S70" si="44">R69+Q69</f>
        <v>1309.9100000000001</v>
      </c>
      <c r="T69" s="155">
        <v>3745.2</v>
      </c>
      <c r="U69" s="131">
        <f t="shared" ref="U69:U70" si="45">Q69/T69</f>
        <v>0.28999999999999998</v>
      </c>
      <c r="V69" s="131">
        <f t="shared" ref="V69:V70" si="46">R69/T69</f>
        <v>0.06</v>
      </c>
      <c r="W69" s="131">
        <f t="shared" ref="W69:W70" si="47">S69/T69</f>
        <v>0.35</v>
      </c>
      <c r="X69" s="119">
        <f t="shared" ref="X69:X70" si="48">W69/12</f>
        <v>2.9170000000000001E-2</v>
      </c>
    </row>
    <row r="70" spans="1:25" s="116" customFormat="1" ht="45.75" customHeight="1" x14ac:dyDescent="0.25">
      <c r="A70" s="228" t="s">
        <v>297</v>
      </c>
      <c r="B70" s="229" t="s">
        <v>298</v>
      </c>
      <c r="C70" s="155">
        <v>5</v>
      </c>
      <c r="D70" s="129">
        <f>59/100</f>
        <v>0.59</v>
      </c>
      <c r="E70" s="122">
        <v>3</v>
      </c>
      <c r="F70" s="130">
        <f t="shared" si="33"/>
        <v>3</v>
      </c>
      <c r="G70" s="155">
        <f t="shared" si="34"/>
        <v>1.5228426395939099E-3</v>
      </c>
      <c r="H70" s="123">
        <f t="shared" si="35"/>
        <v>2E-3</v>
      </c>
      <c r="I70" s="118">
        <v>1.2</v>
      </c>
      <c r="J70" s="131">
        <f t="shared" si="36"/>
        <v>653.27</v>
      </c>
      <c r="K70" s="131">
        <f t="shared" si="37"/>
        <v>197.29</v>
      </c>
      <c r="L70" s="131">
        <f t="shared" si="38"/>
        <v>65.33</v>
      </c>
      <c r="M70" s="131">
        <f t="shared" si="39"/>
        <v>65.33</v>
      </c>
      <c r="N70" s="131">
        <f t="shared" si="40"/>
        <v>163.32</v>
      </c>
      <c r="O70" s="131">
        <f t="shared" si="41"/>
        <v>1144.54</v>
      </c>
      <c r="P70" s="131">
        <f t="shared" si="42"/>
        <v>57.23</v>
      </c>
      <c r="Q70" s="131">
        <f t="shared" si="43"/>
        <v>1201.77</v>
      </c>
      <c r="R70" s="118">
        <f t="shared" si="32"/>
        <v>240.35</v>
      </c>
      <c r="S70" s="131">
        <f t="shared" si="44"/>
        <v>1442.12</v>
      </c>
      <c r="T70" s="155">
        <v>3745.2</v>
      </c>
      <c r="U70" s="131">
        <f t="shared" si="45"/>
        <v>0.32</v>
      </c>
      <c r="V70" s="131">
        <f t="shared" si="46"/>
        <v>0.06</v>
      </c>
      <c r="W70" s="131">
        <f t="shared" si="47"/>
        <v>0.39</v>
      </c>
      <c r="X70" s="119">
        <f t="shared" si="48"/>
        <v>3.2500000000000001E-2</v>
      </c>
      <c r="Y70" s="185">
        <f>SUM(X69:X70)</f>
        <v>6.1670000000000003E-2</v>
      </c>
    </row>
    <row r="71" spans="1:25" s="116" customFormat="1" ht="47.25" x14ac:dyDescent="0.25">
      <c r="A71" s="248" t="s">
        <v>255</v>
      </c>
      <c r="B71" s="76"/>
      <c r="C71" s="76"/>
      <c r="D71" s="76"/>
      <c r="E71" s="76"/>
      <c r="F71" s="76"/>
      <c r="G71" s="155"/>
      <c r="H71" s="84"/>
      <c r="I71" s="76"/>
      <c r="J71" s="76"/>
      <c r="K71" s="76"/>
      <c r="L71" s="76"/>
      <c r="M71" s="76"/>
      <c r="N71" s="76"/>
      <c r="O71" s="76"/>
      <c r="P71" s="76"/>
      <c r="Q71" s="76"/>
      <c r="R71" s="118">
        <f t="shared" si="32"/>
        <v>0</v>
      </c>
      <c r="S71" s="77"/>
      <c r="T71" s="155">
        <v>3745.2</v>
      </c>
      <c r="U71" s="206"/>
      <c r="V71" s="206"/>
      <c r="W71" s="206"/>
      <c r="X71" s="148"/>
      <c r="Y71" s="85"/>
    </row>
    <row r="72" spans="1:25" s="116" customFormat="1" ht="31.5" x14ac:dyDescent="0.25">
      <c r="A72" s="175" t="s">
        <v>192</v>
      </c>
      <c r="B72" s="155" t="s">
        <v>193</v>
      </c>
      <c r="C72" s="155">
        <v>8</v>
      </c>
      <c r="D72" s="155">
        <f>60.65/100</f>
        <v>0.60650000000000004</v>
      </c>
      <c r="E72" s="155">
        <v>3</v>
      </c>
      <c r="F72" s="155">
        <f>D72*C72</f>
        <v>4.8520000000000003</v>
      </c>
      <c r="G72" s="155">
        <f t="shared" si="31"/>
        <v>2.4629441624365498E-3</v>
      </c>
      <c r="H72" s="119">
        <f>G72*1.2</f>
        <v>2.96E-3</v>
      </c>
      <c r="I72" s="155">
        <v>1.2</v>
      </c>
      <c r="J72" s="155">
        <f>4741.4*1.6*1.04*2.3*1.25*I72*H72*12</f>
        <v>966.83412234239995</v>
      </c>
      <c r="K72" s="155">
        <f>J72*30.2/100</f>
        <v>291.98390494740499</v>
      </c>
      <c r="L72" s="155">
        <f>J72*10/100</f>
        <v>96.683412234239995</v>
      </c>
      <c r="M72" s="155">
        <f>J72*10/100</f>
        <v>96.683412234239995</v>
      </c>
      <c r="N72" s="155">
        <f>J72*25/100</f>
        <v>241.70853058559999</v>
      </c>
      <c r="O72" s="155">
        <f>N72+M72+L72+K72+J72</f>
        <v>1693.8933823438799</v>
      </c>
      <c r="P72" s="155">
        <f>O72*5/100</f>
        <v>84.694669117193996</v>
      </c>
      <c r="Q72" s="155">
        <f>P72+O72</f>
        <v>1778.5880514610701</v>
      </c>
      <c r="R72" s="118">
        <f t="shared" si="32"/>
        <v>355.72</v>
      </c>
      <c r="S72" s="118">
        <f>R72+Q72</f>
        <v>2134.31</v>
      </c>
      <c r="T72" s="155">
        <v>3745.2</v>
      </c>
      <c r="U72" s="160">
        <f>Q72/T72</f>
        <v>0.47489999999999999</v>
      </c>
      <c r="V72" s="160">
        <f>R72/T72</f>
        <v>9.4979999999999995E-2</v>
      </c>
      <c r="W72" s="160">
        <f>S72/T72</f>
        <v>0.56988000000000005</v>
      </c>
      <c r="X72" s="147">
        <f>W72/12</f>
        <v>4.7500000000000001E-2</v>
      </c>
      <c r="Y72" s="85"/>
    </row>
    <row r="73" spans="1:25" s="116" customFormat="1" ht="19.5" customHeight="1" x14ac:dyDescent="0.25">
      <c r="A73" s="6" t="s">
        <v>299</v>
      </c>
      <c r="B73" s="76"/>
      <c r="C73" s="155"/>
      <c r="D73" s="155"/>
      <c r="E73" s="155"/>
      <c r="F73" s="155"/>
      <c r="G73" s="155"/>
      <c r="H73" s="155"/>
      <c r="I73" s="118"/>
      <c r="J73" s="155"/>
      <c r="K73" s="155"/>
      <c r="L73" s="155"/>
      <c r="M73" s="155"/>
      <c r="N73" s="155"/>
      <c r="O73" s="155"/>
      <c r="P73" s="155"/>
      <c r="Q73" s="155"/>
      <c r="R73" s="118">
        <f t="shared" si="32"/>
        <v>0</v>
      </c>
      <c r="S73" s="118"/>
      <c r="T73" s="155">
        <v>3745.2</v>
      </c>
      <c r="U73" s="155"/>
      <c r="V73" s="155"/>
      <c r="W73" s="155"/>
      <c r="X73" s="230"/>
    </row>
    <row r="74" spans="1:25" s="116" customFormat="1" ht="31.5" x14ac:dyDescent="0.25">
      <c r="A74" s="175" t="s">
        <v>235</v>
      </c>
      <c r="B74" s="76" t="s">
        <v>236</v>
      </c>
      <c r="C74" s="155">
        <v>5</v>
      </c>
      <c r="D74" s="155">
        <v>1.18</v>
      </c>
      <c r="E74" s="155">
        <v>2</v>
      </c>
      <c r="F74" s="155">
        <f>D74*C74</f>
        <v>5.9</v>
      </c>
      <c r="G74" s="155">
        <f t="shared" ref="G74:G75" si="49">F74/1970</f>
        <v>2.9949238578680201E-3</v>
      </c>
      <c r="H74" s="155">
        <f>G74*1.2</f>
        <v>3.5939086294416202E-3</v>
      </c>
      <c r="I74" s="118">
        <v>1.0900000000000001</v>
      </c>
      <c r="J74" s="155">
        <f>4741.4*1.6*1.04*2.3*1.25*I74*H74*12</f>
        <v>1066.2831391109801</v>
      </c>
      <c r="K74" s="155">
        <f>J74*30.2/100</f>
        <v>322.01750801151599</v>
      </c>
      <c r="L74" s="155">
        <f>J74*10/100</f>
        <v>106.628313911098</v>
      </c>
      <c r="M74" s="155">
        <f>J74*10/100</f>
        <v>106.628313911098</v>
      </c>
      <c r="N74" s="155">
        <f>J74*25/100</f>
        <v>266.57078477774502</v>
      </c>
      <c r="O74" s="155">
        <f>N74+M74+L74+K74+J74</f>
        <v>1868.12805972244</v>
      </c>
      <c r="P74" s="155">
        <f>O74*5/100</f>
        <v>93.406402986122004</v>
      </c>
      <c r="Q74" s="155">
        <f>P74+O74</f>
        <v>1961.5344627085601</v>
      </c>
      <c r="R74" s="118">
        <f t="shared" si="32"/>
        <v>392.31</v>
      </c>
      <c r="S74" s="118">
        <f>R74+Q74</f>
        <v>2353.84</v>
      </c>
      <c r="T74" s="155">
        <v>3745.2</v>
      </c>
      <c r="U74" s="155">
        <f>Q74/T74</f>
        <v>0.523746251924746</v>
      </c>
      <c r="V74" s="155">
        <f>R74/T74</f>
        <v>0.10475008010253101</v>
      </c>
      <c r="W74" s="155">
        <f>S74/T74</f>
        <v>0.62849514044643795</v>
      </c>
      <c r="X74" s="230">
        <f>W74/12</f>
        <v>5.237E-2</v>
      </c>
      <c r="Y74" s="231"/>
    </row>
    <row r="75" spans="1:25" s="116" customFormat="1" ht="31.5" x14ac:dyDescent="0.25">
      <c r="A75" s="175" t="s">
        <v>235</v>
      </c>
      <c r="B75" s="76" t="s">
        <v>236</v>
      </c>
      <c r="C75" s="155">
        <v>5</v>
      </c>
      <c r="D75" s="155">
        <v>1.18</v>
      </c>
      <c r="E75" s="155">
        <v>3</v>
      </c>
      <c r="F75" s="155">
        <f>D75*C75</f>
        <v>5.9</v>
      </c>
      <c r="G75" s="155">
        <f t="shared" si="49"/>
        <v>2.9949238578680201E-3</v>
      </c>
      <c r="H75" s="155">
        <f>G75*1.2</f>
        <v>3.5939086294416202E-3</v>
      </c>
      <c r="I75" s="118">
        <v>1.2</v>
      </c>
      <c r="J75" s="155">
        <f>4741.4*1.6*1.04*2.3*1.25*I75*H75*12</f>
        <v>1173.88969443411</v>
      </c>
      <c r="K75" s="155">
        <f>J75*30.2/100</f>
        <v>354.514687719101</v>
      </c>
      <c r="L75" s="155">
        <f>J75*10/100</f>
        <v>117.388969443411</v>
      </c>
      <c r="M75" s="155">
        <f>J75*10/100</f>
        <v>117.388969443411</v>
      </c>
      <c r="N75" s="155">
        <f>J75*25/100</f>
        <v>293.47242360852698</v>
      </c>
      <c r="O75" s="155">
        <f>N75+M75+L75+K75+J75</f>
        <v>2056.6547446485602</v>
      </c>
      <c r="P75" s="155">
        <f>O75*5/100</f>
        <v>102.832737232428</v>
      </c>
      <c r="Q75" s="155">
        <f>P75+O75</f>
        <v>2159.4874818809899</v>
      </c>
      <c r="R75" s="118">
        <f t="shared" si="32"/>
        <v>431.9</v>
      </c>
      <c r="S75" s="118">
        <f>R75+Q75</f>
        <v>2591.39</v>
      </c>
      <c r="T75" s="155">
        <v>3745.2</v>
      </c>
      <c r="U75" s="155">
        <f>Q75/T75</f>
        <v>0.57660137826577795</v>
      </c>
      <c r="V75" s="155">
        <f>R75/T75</f>
        <v>0.115320944141835</v>
      </c>
      <c r="W75" s="155">
        <f>S75/T75</f>
        <v>0.69192299476663499</v>
      </c>
      <c r="X75" s="230">
        <f>W75/12</f>
        <v>5.7660000000000003E-2</v>
      </c>
      <c r="Y75" s="231">
        <f>SUM(X74:X75)</f>
        <v>0.11003</v>
      </c>
    </row>
    <row r="76" spans="1:25" s="116" customFormat="1" ht="18.75" x14ac:dyDescent="0.25">
      <c r="A76" s="138" t="s">
        <v>194</v>
      </c>
      <c r="B76" s="154"/>
      <c r="C76" s="107"/>
      <c r="D76" s="107"/>
      <c r="E76" s="107"/>
      <c r="F76" s="130"/>
      <c r="G76" s="155"/>
      <c r="H76" s="119"/>
      <c r="I76" s="107"/>
      <c r="J76" s="131"/>
      <c r="K76" s="131"/>
      <c r="L76" s="131"/>
      <c r="M76" s="131"/>
      <c r="N76" s="131"/>
      <c r="O76" s="131"/>
      <c r="P76" s="131"/>
      <c r="Q76" s="131"/>
      <c r="R76" s="118">
        <f t="shared" si="32"/>
        <v>0</v>
      </c>
      <c r="S76" s="131"/>
      <c r="T76" s="155">
        <v>3745.2</v>
      </c>
      <c r="U76" s="160"/>
      <c r="V76" s="160"/>
      <c r="W76" s="160"/>
      <c r="X76" s="117"/>
      <c r="Y76" s="85"/>
    </row>
    <row r="77" spans="1:25" s="116" customFormat="1" ht="20.25" customHeight="1" x14ac:dyDescent="0.25">
      <c r="A77" s="207" t="s">
        <v>191</v>
      </c>
      <c r="B77" s="96"/>
      <c r="C77" s="208"/>
      <c r="D77" s="208"/>
      <c r="E77" s="208"/>
      <c r="F77" s="111"/>
      <c r="G77" s="155"/>
      <c r="H77" s="209"/>
      <c r="I77" s="208"/>
      <c r="J77" s="104"/>
      <c r="K77" s="104"/>
      <c r="L77" s="104"/>
      <c r="M77" s="104"/>
      <c r="N77" s="104"/>
      <c r="O77" s="104"/>
      <c r="P77" s="104"/>
      <c r="Q77" s="104"/>
      <c r="R77" s="118">
        <f t="shared" si="32"/>
        <v>0</v>
      </c>
      <c r="S77" s="104"/>
      <c r="T77" s="155">
        <v>3745.2</v>
      </c>
      <c r="U77" s="210"/>
      <c r="V77" s="210"/>
      <c r="W77" s="210"/>
      <c r="X77" s="103"/>
      <c r="Y77" s="85"/>
    </row>
    <row r="78" spans="1:25" s="116" customFormat="1" ht="31.5" x14ac:dyDescent="0.25">
      <c r="A78" s="4" t="s">
        <v>189</v>
      </c>
      <c r="B78" s="139" t="s">
        <v>190</v>
      </c>
      <c r="C78" s="107">
        <v>40</v>
      </c>
      <c r="D78" s="107">
        <v>0.9</v>
      </c>
      <c r="E78" s="107">
        <v>2</v>
      </c>
      <c r="F78" s="130">
        <f>D78*C78</f>
        <v>36</v>
      </c>
      <c r="G78" s="155">
        <f t="shared" si="31"/>
        <v>1.8274111675126901E-2</v>
      </c>
      <c r="H78" s="119">
        <f>G78*1.2</f>
        <v>2.1930000000000002E-2</v>
      </c>
      <c r="I78" s="107">
        <v>1.0900000000000001</v>
      </c>
      <c r="J78" s="131">
        <f>4741.4*1.6*1.04*2.3*1.25*I78*H78*12</f>
        <v>6506.45</v>
      </c>
      <c r="K78" s="131">
        <f>J78*30.2/100</f>
        <v>1964.95</v>
      </c>
      <c r="L78" s="131">
        <f>J78*10/100</f>
        <v>650.65</v>
      </c>
      <c r="M78" s="131">
        <f>J78*10/100</f>
        <v>650.65</v>
      </c>
      <c r="N78" s="131">
        <f>J78*25/100</f>
        <v>1626.61</v>
      </c>
      <c r="O78" s="131">
        <f>N78+M78+L78+K78+J78</f>
        <v>11399.31</v>
      </c>
      <c r="P78" s="131">
        <f>O78*5/100</f>
        <v>569.97</v>
      </c>
      <c r="Q78" s="131">
        <f>P78+O78</f>
        <v>11969.28</v>
      </c>
      <c r="R78" s="118">
        <f t="shared" si="32"/>
        <v>2393.86</v>
      </c>
      <c r="S78" s="131">
        <f>R78+Q78</f>
        <v>14363.14</v>
      </c>
      <c r="T78" s="155">
        <v>3745.2</v>
      </c>
      <c r="U78" s="160">
        <f>Q78/T78</f>
        <v>3.1959</v>
      </c>
      <c r="V78" s="160">
        <f>R78/T78</f>
        <v>0.63917999999999997</v>
      </c>
      <c r="W78" s="160">
        <f>S78/T78</f>
        <v>3.83508</v>
      </c>
      <c r="X78" s="117">
        <f>W78/12</f>
        <v>0.3196</v>
      </c>
      <c r="Y78" s="85"/>
    </row>
    <row r="79" spans="1:25" s="116" customFormat="1" ht="31.5" x14ac:dyDescent="0.25">
      <c r="A79" s="4" t="s">
        <v>189</v>
      </c>
      <c r="B79" s="139" t="s">
        <v>190</v>
      </c>
      <c r="C79" s="107">
        <v>40</v>
      </c>
      <c r="D79" s="107">
        <v>0.9</v>
      </c>
      <c r="E79" s="107">
        <v>4</v>
      </c>
      <c r="F79" s="130">
        <f>D79*C79</f>
        <v>36</v>
      </c>
      <c r="G79" s="155">
        <f t="shared" si="31"/>
        <v>1.8274111675126901E-2</v>
      </c>
      <c r="H79" s="119">
        <f>G79*1.2</f>
        <v>2.1930000000000002E-2</v>
      </c>
      <c r="I79" s="107">
        <v>1.35</v>
      </c>
      <c r="J79" s="131">
        <f>4741.4*1.6*1.04*2.3*1.25*I79*H79*12</f>
        <v>8058.45</v>
      </c>
      <c r="K79" s="131">
        <f>J79*30.2/100</f>
        <v>2433.65</v>
      </c>
      <c r="L79" s="131">
        <f>J79*10/100</f>
        <v>805.85</v>
      </c>
      <c r="M79" s="131">
        <f>J79*10/100</f>
        <v>805.85</v>
      </c>
      <c r="N79" s="131">
        <f>J79*25/100</f>
        <v>2014.61</v>
      </c>
      <c r="O79" s="131">
        <f>N79+M79+L79+K79+J79</f>
        <v>14118.41</v>
      </c>
      <c r="P79" s="131">
        <f>O79*5/100</f>
        <v>705.92</v>
      </c>
      <c r="Q79" s="131">
        <f>P79+O79</f>
        <v>14824.33</v>
      </c>
      <c r="R79" s="118">
        <f t="shared" si="32"/>
        <v>2964.87</v>
      </c>
      <c r="S79" s="131">
        <f>R79+Q79</f>
        <v>17789.2</v>
      </c>
      <c r="T79" s="155">
        <v>3745.2</v>
      </c>
      <c r="U79" s="160">
        <f>Q79/T79</f>
        <v>3.9582199999999998</v>
      </c>
      <c r="V79" s="160">
        <f>R79/T79</f>
        <v>0.79164999999999996</v>
      </c>
      <c r="W79" s="160">
        <f>S79/T79</f>
        <v>4.7498699999999996</v>
      </c>
      <c r="X79" s="117">
        <f>W79/12</f>
        <v>0.39579999999999999</v>
      </c>
      <c r="Y79" s="85">
        <f>SUM(X78:X79)</f>
        <v>0.72</v>
      </c>
    </row>
    <row r="80" spans="1:25" s="116" customFormat="1" ht="18.75" x14ac:dyDescent="0.3">
      <c r="A80" s="140" t="s">
        <v>140</v>
      </c>
      <c r="B80" s="139"/>
      <c r="C80" s="107"/>
      <c r="D80" s="107"/>
      <c r="E80" s="107"/>
      <c r="F80" s="130"/>
      <c r="G80" s="155"/>
      <c r="H80" s="119"/>
      <c r="I80" s="107"/>
      <c r="J80" s="131"/>
      <c r="K80" s="131"/>
      <c r="L80" s="131"/>
      <c r="M80" s="131"/>
      <c r="N80" s="131"/>
      <c r="O80" s="131"/>
      <c r="P80" s="131"/>
      <c r="Q80" s="131"/>
      <c r="R80" s="118">
        <f t="shared" si="32"/>
        <v>0</v>
      </c>
      <c r="S80" s="131"/>
      <c r="T80" s="155">
        <v>3745.2</v>
      </c>
      <c r="U80" s="131"/>
      <c r="V80" s="131"/>
      <c r="W80" s="131"/>
      <c r="X80" s="117"/>
      <c r="Y80" s="85"/>
    </row>
    <row r="81" spans="1:25" s="115" customFormat="1" ht="47.25" x14ac:dyDescent="0.25">
      <c r="A81" s="124" t="s">
        <v>234</v>
      </c>
      <c r="B81" s="155"/>
      <c r="C81" s="155"/>
      <c r="D81" s="155"/>
      <c r="E81" s="155"/>
      <c r="F81" s="155"/>
      <c r="G81" s="155"/>
      <c r="H81" s="155"/>
      <c r="I81" s="155"/>
      <c r="J81" s="119"/>
      <c r="K81" s="155"/>
      <c r="L81" s="155"/>
      <c r="M81" s="155"/>
      <c r="N81" s="155"/>
      <c r="O81" s="155"/>
      <c r="P81" s="155"/>
      <c r="Q81" s="155"/>
      <c r="R81" s="118">
        <f t="shared" si="32"/>
        <v>0</v>
      </c>
      <c r="S81" s="118"/>
      <c r="T81" s="155">
        <v>3745.2</v>
      </c>
      <c r="U81" s="155"/>
      <c r="V81" s="155"/>
      <c r="W81" s="155"/>
      <c r="X81" s="157"/>
    </row>
    <row r="82" spans="1:25" s="115" customFormat="1" ht="31.5" x14ac:dyDescent="0.25">
      <c r="A82" s="173" t="s">
        <v>235</v>
      </c>
      <c r="B82" s="155" t="s">
        <v>236</v>
      </c>
      <c r="C82" s="155">
        <v>4</v>
      </c>
      <c r="D82" s="155">
        <v>0.42</v>
      </c>
      <c r="E82" s="155">
        <v>2</v>
      </c>
      <c r="F82" s="155">
        <f>D82*C82</f>
        <v>1.68</v>
      </c>
      <c r="G82" s="155">
        <f t="shared" si="31"/>
        <v>8.52791878172589E-4</v>
      </c>
      <c r="H82" s="155">
        <f>G82*1.2</f>
        <v>1.02335025380711E-3</v>
      </c>
      <c r="I82" s="155">
        <v>1.0900000000000001</v>
      </c>
      <c r="J82" s="119">
        <f>4741.4*1.6*1.04*2.3*1.25*I82*H82*12</f>
        <v>303.61961000000002</v>
      </c>
      <c r="K82" s="155">
        <f>J82*30.2/100</f>
        <v>91.693122220000006</v>
      </c>
      <c r="L82" s="155">
        <f>J82*10/100</f>
        <v>30.361961000000001</v>
      </c>
      <c r="M82" s="155">
        <f>J82*10/100</f>
        <v>30.361961000000001</v>
      </c>
      <c r="N82" s="155">
        <f>J82*25/100</f>
        <v>75.904902500000006</v>
      </c>
      <c r="O82" s="155">
        <f>N82+M82+L82+K82+J82</f>
        <v>531.94155671999999</v>
      </c>
      <c r="P82" s="155">
        <f>O82*5/100</f>
        <v>26.597077836</v>
      </c>
      <c r="Q82" s="155">
        <f>P82+O82</f>
        <v>558.53863455600003</v>
      </c>
      <c r="R82" s="118">
        <f t="shared" si="32"/>
        <v>111.71</v>
      </c>
      <c r="S82" s="119">
        <f>R82+Q82</f>
        <v>670.24863000000005</v>
      </c>
      <c r="T82" s="155">
        <v>3745.2</v>
      </c>
      <c r="U82" s="155">
        <f>Q82/T82</f>
        <v>0.14913452807753899</v>
      </c>
      <c r="V82" s="155">
        <f>R82/T82</f>
        <v>2.9827512549396602E-2</v>
      </c>
      <c r="W82" s="155">
        <f>S82/T82</f>
        <v>0.178962039410445</v>
      </c>
      <c r="X82" s="157">
        <f>W82/12</f>
        <v>1.4914E-2</v>
      </c>
      <c r="Y82" s="212"/>
    </row>
    <row r="83" spans="1:25" s="115" customFormat="1" ht="31.5" x14ac:dyDescent="0.25">
      <c r="A83" s="173" t="s">
        <v>235</v>
      </c>
      <c r="B83" s="155" t="s">
        <v>236</v>
      </c>
      <c r="C83" s="155">
        <v>4</v>
      </c>
      <c r="D83" s="155">
        <v>0.42</v>
      </c>
      <c r="E83" s="155">
        <v>3</v>
      </c>
      <c r="F83" s="155">
        <f>D83*C83</f>
        <v>1.68</v>
      </c>
      <c r="G83" s="155">
        <f t="shared" si="31"/>
        <v>8.52791878172589E-4</v>
      </c>
      <c r="H83" s="155">
        <f>G83*1.2</f>
        <v>1.02335025380711E-3</v>
      </c>
      <c r="I83" s="155">
        <v>1.2</v>
      </c>
      <c r="J83" s="119">
        <f>4741.4*1.6*1.04*2.3*1.25*I83*H83*12</f>
        <v>334.26011999999997</v>
      </c>
      <c r="K83" s="155">
        <f>J83*30.2/100</f>
        <v>100.94655624000001</v>
      </c>
      <c r="L83" s="155">
        <f>J83*10/100</f>
        <v>33.426012</v>
      </c>
      <c r="M83" s="155">
        <f>J83*10/100</f>
        <v>33.426012</v>
      </c>
      <c r="N83" s="155">
        <f>J83*25/100</f>
        <v>83.565029999999993</v>
      </c>
      <c r="O83" s="155">
        <f>N83+M83+L83+K83+J83</f>
        <v>585.62373023999999</v>
      </c>
      <c r="P83" s="155">
        <f>O83*5/100</f>
        <v>29.281186512000001</v>
      </c>
      <c r="Q83" s="155">
        <f>P83+O83</f>
        <v>614.90491675199996</v>
      </c>
      <c r="R83" s="118">
        <f t="shared" si="32"/>
        <v>122.98</v>
      </c>
      <c r="S83" s="119">
        <f>R83+Q83</f>
        <v>737.88491999999997</v>
      </c>
      <c r="T83" s="155">
        <v>3745.2</v>
      </c>
      <c r="U83" s="155">
        <f>Q83/T83</f>
        <v>0.164184801012496</v>
      </c>
      <c r="V83" s="155">
        <f>R83/T83</f>
        <v>3.2836697639645397E-2</v>
      </c>
      <c r="W83" s="155">
        <f>S83/T83</f>
        <v>0.197021499519385</v>
      </c>
      <c r="X83" s="157">
        <f>W83/12</f>
        <v>1.6417999999999999E-2</v>
      </c>
      <c r="Y83" s="212">
        <f>SUM(X82:X83)</f>
        <v>3.1331999999999999E-2</v>
      </c>
    </row>
    <row r="84" spans="1:25" s="115" customFormat="1" ht="31.5" x14ac:dyDescent="0.25">
      <c r="A84" s="175" t="s">
        <v>329</v>
      </c>
      <c r="B84" s="76"/>
      <c r="C84" s="155"/>
      <c r="D84" s="155"/>
      <c r="E84" s="155"/>
      <c r="F84" s="155"/>
      <c r="G84" s="155"/>
      <c r="H84" s="155"/>
      <c r="I84" s="118"/>
      <c r="J84" s="155"/>
      <c r="K84" s="155"/>
      <c r="L84" s="155"/>
      <c r="M84" s="155"/>
      <c r="N84" s="155"/>
      <c r="O84" s="155"/>
      <c r="P84" s="155"/>
      <c r="Q84" s="155"/>
      <c r="R84" s="118">
        <f t="shared" si="32"/>
        <v>0</v>
      </c>
      <c r="S84" s="118"/>
      <c r="T84" s="155">
        <v>3745.2</v>
      </c>
      <c r="U84" s="155"/>
      <c r="V84" s="155"/>
      <c r="W84" s="155"/>
      <c r="X84" s="230"/>
      <c r="Y84" s="212"/>
    </row>
    <row r="85" spans="1:25" s="115" customFormat="1" ht="61.5" customHeight="1" x14ac:dyDescent="0.25">
      <c r="A85" s="175" t="s">
        <v>192</v>
      </c>
      <c r="B85" s="155" t="s">
        <v>330</v>
      </c>
      <c r="C85" s="155">
        <v>80</v>
      </c>
      <c r="D85" s="155">
        <f>75/100</f>
        <v>0.75</v>
      </c>
      <c r="E85" s="155">
        <v>2</v>
      </c>
      <c r="F85" s="155">
        <f>D85*C85</f>
        <v>60</v>
      </c>
      <c r="G85" s="155">
        <f t="shared" si="31"/>
        <v>3.0456852791878201E-2</v>
      </c>
      <c r="H85" s="155">
        <f>G85*1.2</f>
        <v>3.6548223350253803E-2</v>
      </c>
      <c r="I85" s="118">
        <v>1.0900000000000001</v>
      </c>
      <c r="J85" s="155">
        <f>4741.4*1.6*1.04*2.3*1.25*I85*H85*12</f>
        <v>10843.557346891401</v>
      </c>
      <c r="K85" s="155">
        <f>J85*30.2/100</f>
        <v>3274.7543187612</v>
      </c>
      <c r="L85" s="155">
        <f>J85*10/100</f>
        <v>1084.35573468914</v>
      </c>
      <c r="M85" s="155">
        <f>J85*10/100</f>
        <v>1084.35573468914</v>
      </c>
      <c r="N85" s="155">
        <f>J85*25/100</f>
        <v>2710.8893367228502</v>
      </c>
      <c r="O85" s="155">
        <f>N85+M85+L85+K85+J85</f>
        <v>18997.912471753702</v>
      </c>
      <c r="P85" s="155">
        <f>O85*5/100</f>
        <v>949.89562358768501</v>
      </c>
      <c r="Q85" s="155">
        <f>P85+O85</f>
        <v>19947.808095341399</v>
      </c>
      <c r="R85" s="118">
        <f t="shared" si="32"/>
        <v>3989.56</v>
      </c>
      <c r="S85" s="118">
        <f>R85+Q85</f>
        <v>23937.37</v>
      </c>
      <c r="T85" s="155">
        <v>3745.2</v>
      </c>
      <c r="U85" s="155">
        <f>Q85/T85</f>
        <v>5.3262330704211802</v>
      </c>
      <c r="V85" s="155">
        <f>R85/T85</f>
        <v>1.0652461817793399</v>
      </c>
      <c r="W85" s="155">
        <f>S85/T85</f>
        <v>6.3914797607604399</v>
      </c>
      <c r="X85" s="230">
        <f>W85/12</f>
        <v>0.53261999999999998</v>
      </c>
      <c r="Y85" s="212"/>
    </row>
    <row r="86" spans="1:25" s="115" customFormat="1" ht="66" customHeight="1" x14ac:dyDescent="0.25">
      <c r="A86" s="175" t="s">
        <v>192</v>
      </c>
      <c r="B86" s="155" t="s">
        <v>330</v>
      </c>
      <c r="C86" s="155">
        <v>80</v>
      </c>
      <c r="D86" s="155">
        <f>75/100</f>
        <v>0.75</v>
      </c>
      <c r="E86" s="155">
        <v>4</v>
      </c>
      <c r="F86" s="155">
        <f>D86*C86</f>
        <v>60</v>
      </c>
      <c r="G86" s="155">
        <f t="shared" si="31"/>
        <v>3.0456852791878201E-2</v>
      </c>
      <c r="H86" s="155">
        <f>G86*1.2</f>
        <v>3.6548223350253803E-2</v>
      </c>
      <c r="I86" s="118">
        <v>1.35</v>
      </c>
      <c r="J86" s="155">
        <f>4741.4*1.6*1.04*2.3*1.25*I86*H86*12</f>
        <v>13430.093961746201</v>
      </c>
      <c r="K86" s="155">
        <f>J86*30.2/100</f>
        <v>4055.8883764473499</v>
      </c>
      <c r="L86" s="155">
        <f>J86*10/100</f>
        <v>1343.00939617462</v>
      </c>
      <c r="M86" s="155">
        <f>J86*10/100</f>
        <v>1343.00939617462</v>
      </c>
      <c r="N86" s="155">
        <f>J86*25/100</f>
        <v>3357.5234904365502</v>
      </c>
      <c r="O86" s="155">
        <f>N86+M86+L86+K86+J86</f>
        <v>23529.5246209793</v>
      </c>
      <c r="P86" s="155">
        <f>O86*5/100</f>
        <v>1176.47623104897</v>
      </c>
      <c r="Q86" s="155">
        <f>P86+O86</f>
        <v>24706.000852028301</v>
      </c>
      <c r="R86" s="118">
        <f t="shared" si="32"/>
        <v>4941.2</v>
      </c>
      <c r="S86" s="118">
        <f>R86+Q86</f>
        <v>29647.200000000001</v>
      </c>
      <c r="T86" s="155">
        <v>3745.2</v>
      </c>
      <c r="U86" s="155">
        <f>Q86/T86</f>
        <v>6.5967106835491602</v>
      </c>
      <c r="V86" s="155">
        <f>R86/T86</f>
        <v>1.3193420912100799</v>
      </c>
      <c r="W86" s="155">
        <f>S86/T86</f>
        <v>7.9160525472604899</v>
      </c>
      <c r="X86" s="230">
        <f>W86/12</f>
        <v>0.65966999999999998</v>
      </c>
      <c r="Y86" s="232">
        <f>SUM(X85:X86)</f>
        <v>1.1922900000000001</v>
      </c>
    </row>
    <row r="87" spans="1:25" s="252" customFormat="1" ht="31.5" x14ac:dyDescent="0.25">
      <c r="A87" s="121" t="s">
        <v>331</v>
      </c>
      <c r="B87" s="80"/>
      <c r="C87" s="155"/>
      <c r="D87" s="79"/>
      <c r="E87" s="79"/>
      <c r="F87" s="81"/>
      <c r="G87" s="155"/>
      <c r="H87" s="123"/>
      <c r="I87" s="118"/>
      <c r="J87" s="82"/>
      <c r="K87" s="82"/>
      <c r="L87" s="82"/>
      <c r="M87" s="82"/>
      <c r="N87" s="82"/>
      <c r="O87" s="82"/>
      <c r="P87" s="82"/>
      <c r="Q87" s="82"/>
      <c r="R87" s="118">
        <f t="shared" si="32"/>
        <v>0</v>
      </c>
      <c r="S87" s="82"/>
      <c r="T87" s="155">
        <v>3745.2</v>
      </c>
      <c r="U87" s="82"/>
      <c r="V87" s="82"/>
      <c r="W87" s="82"/>
      <c r="X87" s="251"/>
    </row>
    <row r="88" spans="1:25" s="252" customFormat="1" ht="51" x14ac:dyDescent="0.25">
      <c r="A88" s="205" t="s">
        <v>303</v>
      </c>
      <c r="B88" s="80" t="s">
        <v>332</v>
      </c>
      <c r="C88" s="155">
        <v>40</v>
      </c>
      <c r="D88" s="80">
        <v>1.05</v>
      </c>
      <c r="E88" s="80">
        <v>2</v>
      </c>
      <c r="F88" s="144">
        <f t="shared" ref="F88:F89" si="50">D88*C88</f>
        <v>42</v>
      </c>
      <c r="G88" s="155">
        <f t="shared" si="31"/>
        <v>2.1319796954314699E-2</v>
      </c>
      <c r="H88" s="117">
        <f t="shared" ref="H88:H89" si="51">G88*1.2</f>
        <v>2.5600000000000001E-2</v>
      </c>
      <c r="I88" s="118">
        <v>1.0900000000000001</v>
      </c>
      <c r="J88" s="82">
        <f t="shared" ref="J88:J89" si="52">4741.4*1.6*1.04*2.3*1.25*I88*H88*12</f>
        <v>7595.31</v>
      </c>
      <c r="K88" s="82">
        <f t="shared" ref="K88:K89" si="53">J88*30.2/100</f>
        <v>2293.7800000000002</v>
      </c>
      <c r="L88" s="82">
        <f t="shared" ref="L88:L89" si="54">J88*10/100</f>
        <v>759.53</v>
      </c>
      <c r="M88" s="82">
        <f t="shared" ref="M88:M89" si="55">J88*10/100</f>
        <v>759.53</v>
      </c>
      <c r="N88" s="82">
        <f t="shared" ref="N88:N89" si="56">J88*25/100</f>
        <v>1898.83</v>
      </c>
      <c r="O88" s="82">
        <f t="shared" ref="O88:O89" si="57">N88+M88+L88+K88+J88</f>
        <v>13306.98</v>
      </c>
      <c r="P88" s="82">
        <f t="shared" ref="P88:P89" si="58">O88*5/100</f>
        <v>665.35</v>
      </c>
      <c r="Q88" s="82">
        <f t="shared" ref="Q88:Q89" si="59">P88+O88</f>
        <v>13972.33</v>
      </c>
      <c r="R88" s="118">
        <f t="shared" si="32"/>
        <v>2794.47</v>
      </c>
      <c r="S88" s="82">
        <f t="shared" ref="S88:S89" si="60">R88+Q88</f>
        <v>16766.8</v>
      </c>
      <c r="T88" s="155">
        <v>3745.2</v>
      </c>
      <c r="U88" s="82">
        <f t="shared" ref="U88:U89" si="61">Q88/T88</f>
        <v>3.73</v>
      </c>
      <c r="V88" s="82">
        <f t="shared" ref="V88:V89" si="62">R88/T88</f>
        <v>0.75</v>
      </c>
      <c r="W88" s="82">
        <f t="shared" ref="W88:W89" si="63">S88/T88</f>
        <v>4.4800000000000004</v>
      </c>
      <c r="X88" s="251">
        <f t="shared" ref="X88:X89" si="64">W88/12</f>
        <v>0.37333</v>
      </c>
    </row>
    <row r="89" spans="1:25" s="252" customFormat="1" ht="51" x14ac:dyDescent="0.25">
      <c r="A89" s="205" t="s">
        <v>303</v>
      </c>
      <c r="B89" s="80" t="s">
        <v>332</v>
      </c>
      <c r="C89" s="155">
        <v>40</v>
      </c>
      <c r="D89" s="80">
        <v>1.05</v>
      </c>
      <c r="E89" s="80">
        <v>4</v>
      </c>
      <c r="F89" s="144">
        <f t="shared" si="50"/>
        <v>42</v>
      </c>
      <c r="G89" s="155">
        <f t="shared" si="31"/>
        <v>2.1319796954314699E-2</v>
      </c>
      <c r="H89" s="117">
        <f t="shared" si="51"/>
        <v>2.5600000000000001E-2</v>
      </c>
      <c r="I89" s="118">
        <v>1.35</v>
      </c>
      <c r="J89" s="82">
        <f t="shared" si="52"/>
        <v>9407.0300000000007</v>
      </c>
      <c r="K89" s="82">
        <f t="shared" si="53"/>
        <v>2840.92</v>
      </c>
      <c r="L89" s="82">
        <f t="shared" si="54"/>
        <v>940.7</v>
      </c>
      <c r="M89" s="82">
        <f t="shared" si="55"/>
        <v>940.7</v>
      </c>
      <c r="N89" s="82">
        <f t="shared" si="56"/>
        <v>2351.7600000000002</v>
      </c>
      <c r="O89" s="82">
        <f t="shared" si="57"/>
        <v>16481.11</v>
      </c>
      <c r="P89" s="82">
        <f t="shared" si="58"/>
        <v>824.06</v>
      </c>
      <c r="Q89" s="82">
        <f t="shared" si="59"/>
        <v>17305.169999999998</v>
      </c>
      <c r="R89" s="118">
        <f t="shared" si="32"/>
        <v>3461.03</v>
      </c>
      <c r="S89" s="82">
        <f t="shared" si="60"/>
        <v>20766.2</v>
      </c>
      <c r="T89" s="155">
        <v>3745.2</v>
      </c>
      <c r="U89" s="82">
        <f t="shared" si="61"/>
        <v>4.62</v>
      </c>
      <c r="V89" s="82">
        <f t="shared" si="62"/>
        <v>0.92</v>
      </c>
      <c r="W89" s="82">
        <f t="shared" si="63"/>
        <v>5.54</v>
      </c>
      <c r="X89" s="251">
        <f t="shared" si="64"/>
        <v>0.46167000000000002</v>
      </c>
      <c r="Y89" s="253">
        <f>SUM(X88:X89)</f>
        <v>0.83499999999999996</v>
      </c>
    </row>
    <row r="90" spans="1:25" s="238" customFormat="1" x14ac:dyDescent="0.25">
      <c r="A90" s="120" t="s">
        <v>304</v>
      </c>
      <c r="B90" s="122"/>
      <c r="C90" s="155"/>
      <c r="D90" s="239"/>
      <c r="E90" s="129"/>
      <c r="F90" s="134"/>
      <c r="G90" s="155"/>
      <c r="H90" s="233"/>
      <c r="I90" s="118"/>
      <c r="J90" s="118"/>
      <c r="K90" s="118"/>
      <c r="L90" s="118"/>
      <c r="M90" s="118"/>
      <c r="N90" s="118"/>
      <c r="O90" s="118"/>
      <c r="P90" s="118"/>
      <c r="Q90" s="118"/>
      <c r="R90" s="118">
        <f t="shared" si="32"/>
        <v>0</v>
      </c>
      <c r="S90" s="118"/>
      <c r="T90" s="155">
        <v>3745.2</v>
      </c>
      <c r="U90" s="119"/>
      <c r="V90" s="119"/>
      <c r="W90" s="119"/>
      <c r="X90" s="119"/>
    </row>
    <row r="91" spans="1:25" s="238" customFormat="1" ht="47.25" x14ac:dyDescent="0.25">
      <c r="A91" s="98" t="s">
        <v>303</v>
      </c>
      <c r="B91" s="122" t="s">
        <v>305</v>
      </c>
      <c r="C91" s="155">
        <v>30</v>
      </c>
      <c r="D91" s="239">
        <v>3.43</v>
      </c>
      <c r="E91" s="129">
        <v>2</v>
      </c>
      <c r="F91" s="134">
        <f t="shared" ref="F91:F92" si="65">D91*C91</f>
        <v>102.9</v>
      </c>
      <c r="G91" s="155">
        <f t="shared" si="31"/>
        <v>5.2233502538071103E-2</v>
      </c>
      <c r="H91" s="233">
        <f t="shared" ref="H91:H92" si="66">G91*1.2</f>
        <v>6.2680200000000005E-2</v>
      </c>
      <c r="I91" s="118">
        <v>1.0900000000000001</v>
      </c>
      <c r="J91" s="118">
        <f t="shared" ref="J91:J92" si="67">4741.4*1.6*1.04*2.3*1.25*I91*H91*12</f>
        <v>18596.7</v>
      </c>
      <c r="K91" s="118">
        <f t="shared" ref="K91:K92" si="68">J91*30.2/100</f>
        <v>5616.2</v>
      </c>
      <c r="L91" s="118">
        <f t="shared" ref="L91:L92" si="69">J91*10/100</f>
        <v>1859.67</v>
      </c>
      <c r="M91" s="118">
        <f t="shared" ref="M91:M92" si="70">J91*10/100</f>
        <v>1859.67</v>
      </c>
      <c r="N91" s="118">
        <f t="shared" ref="N91:N92" si="71">J91*25/100</f>
        <v>4649.18</v>
      </c>
      <c r="O91" s="118">
        <f t="shared" ref="O91:O92" si="72">N91+M91+L91+K91+J91</f>
        <v>32581.42</v>
      </c>
      <c r="P91" s="118">
        <f t="shared" ref="P91:P92" si="73">O91*5/100</f>
        <v>1629.07</v>
      </c>
      <c r="Q91" s="118">
        <f t="shared" ref="Q91:Q92" si="74">P91+O91</f>
        <v>34210.49</v>
      </c>
      <c r="R91" s="118">
        <f t="shared" si="32"/>
        <v>6842.1</v>
      </c>
      <c r="S91" s="118">
        <f t="shared" ref="S91:S92" si="75">R91+Q91</f>
        <v>41052.589999999997</v>
      </c>
      <c r="T91" s="155">
        <v>3745.2</v>
      </c>
      <c r="U91" s="119">
        <f t="shared" ref="U91:U92" si="76">Q91/T91</f>
        <v>9.1344899999999996</v>
      </c>
      <c r="V91" s="119">
        <f t="shared" ref="V91:V92" si="77">R91/T91</f>
        <v>1.8269</v>
      </c>
      <c r="W91" s="119">
        <f t="shared" ref="W91:W92" si="78">S91/T91</f>
        <v>10.96139</v>
      </c>
      <c r="X91" s="119">
        <f t="shared" ref="X91:X92" si="79">W91/12</f>
        <v>0.91344999999999998</v>
      </c>
    </row>
    <row r="92" spans="1:25" s="238" customFormat="1" ht="47.25" x14ac:dyDescent="0.25">
      <c r="A92" s="205" t="s">
        <v>303</v>
      </c>
      <c r="B92" s="122" t="s">
        <v>305</v>
      </c>
      <c r="C92" s="155">
        <v>30</v>
      </c>
      <c r="D92" s="239">
        <v>3.43</v>
      </c>
      <c r="E92" s="129">
        <v>4</v>
      </c>
      <c r="F92" s="134">
        <f t="shared" si="65"/>
        <v>102.9</v>
      </c>
      <c r="G92" s="155">
        <f t="shared" si="31"/>
        <v>5.2233502538071103E-2</v>
      </c>
      <c r="H92" s="233">
        <f t="shared" si="66"/>
        <v>6.2680200000000005E-2</v>
      </c>
      <c r="I92" s="118">
        <v>1.35</v>
      </c>
      <c r="J92" s="118">
        <f t="shared" si="67"/>
        <v>23032.61</v>
      </c>
      <c r="K92" s="118">
        <f t="shared" si="68"/>
        <v>6955.85</v>
      </c>
      <c r="L92" s="118">
        <f t="shared" si="69"/>
        <v>2303.2600000000002</v>
      </c>
      <c r="M92" s="118">
        <f t="shared" si="70"/>
        <v>2303.2600000000002</v>
      </c>
      <c r="N92" s="118">
        <f t="shared" si="71"/>
        <v>5758.15</v>
      </c>
      <c r="O92" s="118">
        <f t="shared" si="72"/>
        <v>40353.129999999997</v>
      </c>
      <c r="P92" s="118">
        <f t="shared" si="73"/>
        <v>2017.66</v>
      </c>
      <c r="Q92" s="118">
        <f t="shared" si="74"/>
        <v>42370.79</v>
      </c>
      <c r="R92" s="118">
        <f t="shared" si="32"/>
        <v>8474.16</v>
      </c>
      <c r="S92" s="118">
        <f t="shared" si="75"/>
        <v>50844.95</v>
      </c>
      <c r="T92" s="155">
        <v>3745.2</v>
      </c>
      <c r="U92" s="119">
        <f t="shared" si="76"/>
        <v>11.313359999999999</v>
      </c>
      <c r="V92" s="119">
        <f t="shared" si="77"/>
        <v>2.26267</v>
      </c>
      <c r="W92" s="119">
        <f t="shared" si="78"/>
        <v>13.576029999999999</v>
      </c>
      <c r="X92" s="119">
        <f t="shared" si="79"/>
        <v>1.13134</v>
      </c>
      <c r="Y92" s="240">
        <f>SUM(X91:X92)</f>
        <v>2.0447899999999999</v>
      </c>
    </row>
    <row r="93" spans="1:25" s="96" customFormat="1" ht="18.75" x14ac:dyDescent="0.25">
      <c r="A93" s="127" t="s">
        <v>141</v>
      </c>
      <c r="B93" s="155"/>
      <c r="C93" s="155"/>
      <c r="D93" s="113"/>
      <c r="E93" s="155"/>
      <c r="F93" s="130"/>
      <c r="G93" s="155"/>
      <c r="H93" s="119"/>
      <c r="I93" s="117"/>
      <c r="J93" s="131"/>
      <c r="K93" s="131"/>
      <c r="L93" s="131"/>
      <c r="M93" s="131"/>
      <c r="N93" s="131"/>
      <c r="O93" s="131"/>
      <c r="P93" s="131"/>
      <c r="Q93" s="131"/>
      <c r="R93" s="118">
        <f t="shared" si="32"/>
        <v>0</v>
      </c>
      <c r="S93" s="131"/>
      <c r="T93" s="155">
        <v>3745.2</v>
      </c>
      <c r="U93" s="131"/>
      <c r="V93" s="131"/>
      <c r="W93" s="131"/>
      <c r="X93" s="147"/>
      <c r="Y93" s="105"/>
    </row>
    <row r="94" spans="1:25" s="215" customFormat="1" ht="31.5" x14ac:dyDescent="0.25">
      <c r="A94" s="170" t="s">
        <v>257</v>
      </c>
      <c r="B94" s="98"/>
      <c r="C94" s="155"/>
      <c r="D94" s="113"/>
      <c r="E94" s="155"/>
      <c r="F94" s="130"/>
      <c r="G94" s="155"/>
      <c r="H94" s="119"/>
      <c r="I94" s="117"/>
      <c r="J94" s="131"/>
      <c r="K94" s="131"/>
      <c r="L94" s="131"/>
      <c r="M94" s="131"/>
      <c r="N94" s="131"/>
      <c r="O94" s="131"/>
      <c r="P94" s="131"/>
      <c r="Q94" s="131"/>
      <c r="R94" s="118">
        <f t="shared" si="32"/>
        <v>0</v>
      </c>
      <c r="S94" s="131"/>
      <c r="T94" s="155">
        <v>3745.2</v>
      </c>
      <c r="U94" s="119"/>
      <c r="V94" s="119"/>
      <c r="W94" s="119"/>
      <c r="X94" s="213"/>
      <c r="Y94" s="214"/>
    </row>
    <row r="95" spans="1:25" s="215" customFormat="1" ht="63" x14ac:dyDescent="0.25">
      <c r="A95" s="175" t="s">
        <v>258</v>
      </c>
      <c r="B95" s="155" t="s">
        <v>259</v>
      </c>
      <c r="C95" s="155">
        <v>60</v>
      </c>
      <c r="D95" s="113">
        <v>1.85</v>
      </c>
      <c r="E95" s="155">
        <v>2</v>
      </c>
      <c r="F95" s="130">
        <f>D95*C95</f>
        <v>111</v>
      </c>
      <c r="G95" s="155">
        <f t="shared" si="31"/>
        <v>5.6345177664974599E-2</v>
      </c>
      <c r="H95" s="119">
        <f>G95*1.2</f>
        <v>6.7610000000000003E-2</v>
      </c>
      <c r="I95" s="117">
        <v>1.0900000000000001</v>
      </c>
      <c r="J95" s="131">
        <f>4741.4*1.6*1.04*2.3*1.25*I95*H95*12</f>
        <v>20059.330000000002</v>
      </c>
      <c r="K95" s="131">
        <f>J95*30.2/100</f>
        <v>6057.92</v>
      </c>
      <c r="L95" s="131">
        <f>J95*10/100</f>
        <v>2005.93</v>
      </c>
      <c r="M95" s="131">
        <f>J95*10/100</f>
        <v>2005.93</v>
      </c>
      <c r="N95" s="131">
        <f>J95*25/100</f>
        <v>5014.83</v>
      </c>
      <c r="O95" s="131">
        <f>N95+M95+L95+K95+J95</f>
        <v>35143.94</v>
      </c>
      <c r="P95" s="131">
        <f>O95*5/100</f>
        <v>1757.2</v>
      </c>
      <c r="Q95" s="131">
        <f>P95+O95</f>
        <v>36901.14</v>
      </c>
      <c r="R95" s="118">
        <f t="shared" si="32"/>
        <v>7380.23</v>
      </c>
      <c r="S95" s="131">
        <f>R95+Q95</f>
        <v>44281.37</v>
      </c>
      <c r="T95" s="155">
        <v>3745.2</v>
      </c>
      <c r="U95" s="119">
        <f>Q95/T95</f>
        <v>9.8529199999999992</v>
      </c>
      <c r="V95" s="119">
        <f>R95/T95</f>
        <v>1.97058</v>
      </c>
      <c r="W95" s="119">
        <f>S95/T95</f>
        <v>11.823499999999999</v>
      </c>
      <c r="X95" s="213">
        <f>W95/12</f>
        <v>0.99</v>
      </c>
      <c r="Y95" s="214"/>
    </row>
    <row r="96" spans="1:25" s="215" customFormat="1" ht="63" x14ac:dyDescent="0.25">
      <c r="A96" s="61" t="s">
        <v>258</v>
      </c>
      <c r="B96" s="113" t="s">
        <v>259</v>
      </c>
      <c r="C96" s="155">
        <v>60</v>
      </c>
      <c r="D96" s="113">
        <v>1.85</v>
      </c>
      <c r="E96" s="155">
        <v>4</v>
      </c>
      <c r="F96" s="130">
        <f>D96*C96</f>
        <v>111</v>
      </c>
      <c r="G96" s="155">
        <f t="shared" si="31"/>
        <v>5.6345177664974599E-2</v>
      </c>
      <c r="H96" s="119">
        <f>G96*1.2</f>
        <v>6.7610000000000003E-2</v>
      </c>
      <c r="I96" s="117">
        <v>1.35</v>
      </c>
      <c r="J96" s="131">
        <f>4741.4*1.6*1.04*2.3*1.25*I96*H96*12</f>
        <v>24844.13</v>
      </c>
      <c r="K96" s="131">
        <f>J96*30.2/100</f>
        <v>7502.93</v>
      </c>
      <c r="L96" s="131">
        <f>J96*10/100</f>
        <v>2484.41</v>
      </c>
      <c r="M96" s="131">
        <f>J96*10/100</f>
        <v>2484.41</v>
      </c>
      <c r="N96" s="131">
        <f>J96*25/100</f>
        <v>6211.03</v>
      </c>
      <c r="O96" s="131">
        <f>N96+M96+L96+K96+J96</f>
        <v>43526.91</v>
      </c>
      <c r="P96" s="131">
        <f>O96*5/100</f>
        <v>2176.35</v>
      </c>
      <c r="Q96" s="131">
        <f>P96+O96</f>
        <v>45703.26</v>
      </c>
      <c r="R96" s="118">
        <f t="shared" si="32"/>
        <v>9140.65</v>
      </c>
      <c r="S96" s="131">
        <f>R96+Q96</f>
        <v>54843.91</v>
      </c>
      <c r="T96" s="155">
        <v>3745.2</v>
      </c>
      <c r="U96" s="119">
        <f>Q96/T96</f>
        <v>12.20316</v>
      </c>
      <c r="V96" s="119">
        <f>R96/T96</f>
        <v>2.4406300000000001</v>
      </c>
      <c r="W96" s="119">
        <f>S96/T96</f>
        <v>14.643789999999999</v>
      </c>
      <c r="X96" s="213">
        <f>W96/12</f>
        <v>1.22</v>
      </c>
      <c r="Y96" s="214">
        <f>SUM(X95:X96)</f>
        <v>2.21</v>
      </c>
    </row>
    <row r="97" spans="1:25" s="234" customFormat="1" ht="31.5" x14ac:dyDescent="0.25">
      <c r="A97" s="6" t="s">
        <v>302</v>
      </c>
      <c r="B97" s="155"/>
      <c r="C97" s="155"/>
      <c r="D97" s="155"/>
      <c r="E97" s="155"/>
      <c r="F97" s="155"/>
      <c r="G97" s="155"/>
      <c r="H97" s="233"/>
      <c r="I97" s="155"/>
      <c r="J97" s="155"/>
      <c r="K97" s="155"/>
      <c r="L97" s="155"/>
      <c r="M97" s="155"/>
      <c r="N97" s="155"/>
      <c r="O97" s="155"/>
      <c r="P97" s="155"/>
      <c r="Q97" s="155"/>
      <c r="R97" s="118">
        <f t="shared" si="32"/>
        <v>0</v>
      </c>
      <c r="S97" s="118"/>
      <c r="T97" s="155">
        <v>3745.2</v>
      </c>
      <c r="U97" s="155"/>
      <c r="V97" s="155"/>
      <c r="W97" s="155"/>
      <c r="X97" s="157"/>
    </row>
    <row r="98" spans="1:25" s="234" customFormat="1" ht="63" x14ac:dyDescent="0.25">
      <c r="A98" s="175" t="s">
        <v>258</v>
      </c>
      <c r="B98" s="155" t="s">
        <v>259</v>
      </c>
      <c r="C98" s="155">
        <v>50</v>
      </c>
      <c r="D98" s="155">
        <v>2</v>
      </c>
      <c r="E98" s="155">
        <v>2</v>
      </c>
      <c r="F98" s="155">
        <f>D98*C98</f>
        <v>100</v>
      </c>
      <c r="G98" s="155">
        <f t="shared" ref="G98:G99" si="80">F98/1970</f>
        <v>5.0761421319797002E-2</v>
      </c>
      <c r="H98" s="233">
        <f>G98*1.2</f>
        <v>6.0913700000000001E-2</v>
      </c>
      <c r="I98" s="155">
        <v>1.0900000000000001</v>
      </c>
      <c r="J98" s="155">
        <f>4741.4*1.6*1.04*2.3*1.25*I98*H98*12</f>
        <v>18072.593921497701</v>
      </c>
      <c r="K98" s="155">
        <f>J98*30.2/100</f>
        <v>5457.92336429231</v>
      </c>
      <c r="L98" s="155">
        <f>J98*10/100</f>
        <v>1807.2593921497701</v>
      </c>
      <c r="M98" s="155">
        <f>J98*10/100</f>
        <v>1807.2593921497701</v>
      </c>
      <c r="N98" s="155">
        <f>J98*25/100</f>
        <v>4518.1484803744297</v>
      </c>
      <c r="O98" s="155">
        <f>N98+M98+L98+K98+J98</f>
        <v>31663.184550464</v>
      </c>
      <c r="P98" s="155">
        <f>O98*5/100</f>
        <v>1583.1592275231999</v>
      </c>
      <c r="Q98" s="155">
        <f>P98+O98</f>
        <v>33246.343777987197</v>
      </c>
      <c r="R98" s="118">
        <f t="shared" si="32"/>
        <v>6649.27</v>
      </c>
      <c r="S98" s="118">
        <f>R98+Q98</f>
        <v>39895.61</v>
      </c>
      <c r="T98" s="155">
        <v>3745.2</v>
      </c>
      <c r="U98" s="155">
        <f>Q98/T98</f>
        <v>8.8770543036385803</v>
      </c>
      <c r="V98" s="155">
        <f>R98/T98</f>
        <v>1.7754111929937</v>
      </c>
      <c r="W98" s="155">
        <f>S98/T98</f>
        <v>10.652464487877801</v>
      </c>
      <c r="X98" s="157">
        <f>W98/12</f>
        <v>0.88770499999999997</v>
      </c>
      <c r="Y98" s="235"/>
    </row>
    <row r="99" spans="1:25" s="234" customFormat="1" ht="63" x14ac:dyDescent="0.25">
      <c r="A99" s="175" t="s">
        <v>258</v>
      </c>
      <c r="B99" s="155" t="s">
        <v>259</v>
      </c>
      <c r="C99" s="155">
        <v>50</v>
      </c>
      <c r="D99" s="155">
        <v>2</v>
      </c>
      <c r="E99" s="155">
        <v>4</v>
      </c>
      <c r="F99" s="155">
        <f>D99*C99</f>
        <v>100</v>
      </c>
      <c r="G99" s="155">
        <f t="shared" si="80"/>
        <v>5.0761421319797002E-2</v>
      </c>
      <c r="H99" s="233">
        <f>G99*1.2</f>
        <v>6.0913700000000001E-2</v>
      </c>
      <c r="I99" s="155">
        <v>1.35</v>
      </c>
      <c r="J99" s="155">
        <f>4741.4*1.6*1.04*2.3*1.25*I99*H99*12</f>
        <v>22383.487884423699</v>
      </c>
      <c r="K99" s="155">
        <f>J99*30.2/100</f>
        <v>6759.8133410959599</v>
      </c>
      <c r="L99" s="155">
        <f>J99*10/100</f>
        <v>2238.3487884423698</v>
      </c>
      <c r="M99" s="155">
        <f>J99*10/100</f>
        <v>2238.3487884423698</v>
      </c>
      <c r="N99" s="155">
        <f>J99*25/100</f>
        <v>5595.8719711059202</v>
      </c>
      <c r="O99" s="155">
        <f>N99+M99+L99+K99+J99</f>
        <v>39215.870773510302</v>
      </c>
      <c r="P99" s="155">
        <f>O99*5/100</f>
        <v>1960.79353867552</v>
      </c>
      <c r="Q99" s="155">
        <f>P99+O99</f>
        <v>41176.6643121858</v>
      </c>
      <c r="R99" s="118">
        <f t="shared" si="32"/>
        <v>8235.33</v>
      </c>
      <c r="S99" s="118">
        <f>R99+Q99</f>
        <v>49411.99</v>
      </c>
      <c r="T99" s="155">
        <v>3745.2</v>
      </c>
      <c r="U99" s="155">
        <f>Q99/T99</f>
        <v>10.994516798084399</v>
      </c>
      <c r="V99" s="155">
        <f>R99/T99</f>
        <v>2.1989025953220098</v>
      </c>
      <c r="W99" s="155">
        <f>S99/T99</f>
        <v>13.193418242016399</v>
      </c>
      <c r="X99" s="157">
        <f>W99/12</f>
        <v>1.0994520000000001</v>
      </c>
      <c r="Y99" s="235">
        <f>SUM(X98:X99)</f>
        <v>1.9871570000000001</v>
      </c>
    </row>
    <row r="100" spans="1:25" s="136" customFormat="1" ht="31.5" x14ac:dyDescent="0.25">
      <c r="A100" s="173" t="s">
        <v>195</v>
      </c>
      <c r="B100" s="76"/>
      <c r="C100" s="76"/>
      <c r="D100" s="76"/>
      <c r="E100" s="76"/>
      <c r="F100" s="76"/>
      <c r="G100" s="155"/>
      <c r="H100" s="84"/>
      <c r="I100" s="169"/>
      <c r="J100" s="76"/>
      <c r="K100" s="76"/>
      <c r="L100" s="76"/>
      <c r="M100" s="76"/>
      <c r="N100" s="76"/>
      <c r="O100" s="76"/>
      <c r="P100" s="76"/>
      <c r="Q100" s="76"/>
      <c r="R100" s="118">
        <f t="shared" si="32"/>
        <v>0</v>
      </c>
      <c r="S100" s="77"/>
      <c r="T100" s="155">
        <v>3745.2</v>
      </c>
      <c r="U100" s="84"/>
      <c r="V100" s="84"/>
      <c r="W100" s="84"/>
      <c r="X100" s="148"/>
      <c r="Y100" s="92"/>
    </row>
    <row r="101" spans="1:25" s="115" customFormat="1" x14ac:dyDescent="0.25">
      <c r="A101" s="174" t="s">
        <v>196</v>
      </c>
      <c r="B101" s="76"/>
      <c r="C101" s="76"/>
      <c r="D101" s="76"/>
      <c r="E101" s="76"/>
      <c r="F101" s="76"/>
      <c r="G101" s="155"/>
      <c r="H101" s="84"/>
      <c r="I101" s="169"/>
      <c r="J101" s="76"/>
      <c r="K101" s="76"/>
      <c r="L101" s="76"/>
      <c r="M101" s="76"/>
      <c r="N101" s="76"/>
      <c r="O101" s="76"/>
      <c r="P101" s="76"/>
      <c r="Q101" s="76"/>
      <c r="R101" s="118">
        <f t="shared" si="32"/>
        <v>0</v>
      </c>
      <c r="S101" s="77"/>
      <c r="T101" s="155">
        <v>3745.2</v>
      </c>
      <c r="U101" s="84"/>
      <c r="V101" s="84"/>
      <c r="W101" s="84"/>
      <c r="X101" s="148"/>
      <c r="Y101" s="91"/>
    </row>
    <row r="102" spans="1:25" s="115" customFormat="1" x14ac:dyDescent="0.25">
      <c r="A102" s="175" t="s">
        <v>197</v>
      </c>
      <c r="B102" s="76" t="s">
        <v>198</v>
      </c>
      <c r="C102" s="76">
        <v>30</v>
      </c>
      <c r="D102" s="76">
        <v>0.45</v>
      </c>
      <c r="E102" s="76">
        <v>2</v>
      </c>
      <c r="F102" s="76">
        <f>D102*C102</f>
        <v>13.5</v>
      </c>
      <c r="G102" s="155">
        <f t="shared" si="31"/>
        <v>6.8527918781725898E-3</v>
      </c>
      <c r="H102" s="84">
        <f>G102*1.2</f>
        <v>8.2199999999999999E-3</v>
      </c>
      <c r="I102" s="169">
        <v>1.0900000000000001</v>
      </c>
      <c r="J102" s="76">
        <f>4741.4*1.6*1.04*2.3*1.25*I102*H102*12</f>
        <v>2438.8064102937601</v>
      </c>
      <c r="K102" s="76">
        <f>J102*30.2/100</f>
        <v>736.51953590871597</v>
      </c>
      <c r="L102" s="76">
        <f>J102*10/100</f>
        <v>243.88064102937599</v>
      </c>
      <c r="M102" s="76">
        <f>J102*10/100</f>
        <v>243.88064102937599</v>
      </c>
      <c r="N102" s="76">
        <f>J102*25/100</f>
        <v>609.70160257344003</v>
      </c>
      <c r="O102" s="76">
        <f>N102+M102+L102+K102+J102</f>
        <v>4272.7888308346701</v>
      </c>
      <c r="P102" s="76">
        <f>O102*5/100</f>
        <v>213.63944154173399</v>
      </c>
      <c r="Q102" s="76">
        <f>P102+O102</f>
        <v>4486.4282723763999</v>
      </c>
      <c r="R102" s="118">
        <f t="shared" si="32"/>
        <v>897.29</v>
      </c>
      <c r="S102" s="77">
        <f>R102+Q102</f>
        <v>5383.72</v>
      </c>
      <c r="T102" s="155">
        <v>3745.2</v>
      </c>
      <c r="U102" s="84">
        <f>Q102/T102</f>
        <v>1.19791</v>
      </c>
      <c r="V102" s="84">
        <f>R102/T102</f>
        <v>0.23957999999999999</v>
      </c>
      <c r="W102" s="84">
        <f>S102/T102</f>
        <v>1.4375</v>
      </c>
      <c r="X102" s="148">
        <f>W102/12</f>
        <v>0.1198</v>
      </c>
      <c r="Y102" s="91"/>
    </row>
    <row r="103" spans="1:25" s="115" customFormat="1" x14ac:dyDescent="0.25">
      <c r="A103" s="175" t="s">
        <v>197</v>
      </c>
      <c r="B103" s="76" t="s">
        <v>198</v>
      </c>
      <c r="C103" s="76">
        <v>30</v>
      </c>
      <c r="D103" s="76">
        <v>0.45</v>
      </c>
      <c r="E103" s="76">
        <v>4</v>
      </c>
      <c r="F103" s="76">
        <f>D103*C103</f>
        <v>13.5</v>
      </c>
      <c r="G103" s="155">
        <f t="shared" si="31"/>
        <v>6.8527918781725898E-3</v>
      </c>
      <c r="H103" s="84">
        <f>G103*1.2</f>
        <v>8.2199999999999999E-3</v>
      </c>
      <c r="I103" s="169">
        <v>1.35</v>
      </c>
      <c r="J103" s="76">
        <f>4741.4*1.6*1.04*2.3*1.25*I103*H103*12</f>
        <v>3020.5400494464002</v>
      </c>
      <c r="K103" s="76">
        <f>J103*30.2/100</f>
        <v>912.20309493281297</v>
      </c>
      <c r="L103" s="76">
        <f>J103*10/100</f>
        <v>302.05400494463998</v>
      </c>
      <c r="M103" s="76">
        <f>J103*10/100</f>
        <v>302.05400494463998</v>
      </c>
      <c r="N103" s="76">
        <f>J103*25/100</f>
        <v>755.13501236160005</v>
      </c>
      <c r="O103" s="76">
        <f>N103+M103+L103+K103+J103</f>
        <v>5291.9861666300903</v>
      </c>
      <c r="P103" s="76">
        <f>O103*5/100</f>
        <v>264.59930833150497</v>
      </c>
      <c r="Q103" s="76">
        <f>P103+O103</f>
        <v>5556.5854749616001</v>
      </c>
      <c r="R103" s="118">
        <f t="shared" si="32"/>
        <v>1111.32</v>
      </c>
      <c r="S103" s="77">
        <f>R103+Q103</f>
        <v>6667.91</v>
      </c>
      <c r="T103" s="155">
        <v>3745.2</v>
      </c>
      <c r="U103" s="84">
        <f>Q103/T103</f>
        <v>1.48366</v>
      </c>
      <c r="V103" s="84">
        <f>R103/T103</f>
        <v>0.29672999999999999</v>
      </c>
      <c r="W103" s="84">
        <f>S103/T103</f>
        <v>1.7803899999999999</v>
      </c>
      <c r="X103" s="148">
        <f>W103/12</f>
        <v>0.1484</v>
      </c>
      <c r="Y103" s="91">
        <f>SUM(X102:X103)</f>
        <v>0.27</v>
      </c>
    </row>
    <row r="104" spans="1:25" s="115" customFormat="1" ht="18" customHeight="1" x14ac:dyDescent="0.25">
      <c r="A104" s="176" t="s">
        <v>199</v>
      </c>
      <c r="B104" s="76"/>
      <c r="C104" s="76"/>
      <c r="D104" s="76"/>
      <c r="E104" s="76"/>
      <c r="F104" s="76"/>
      <c r="G104" s="155"/>
      <c r="H104" s="84"/>
      <c r="I104" s="169"/>
      <c r="J104" s="76"/>
      <c r="K104" s="76"/>
      <c r="L104" s="76"/>
      <c r="M104" s="76"/>
      <c r="N104" s="76"/>
      <c r="O104" s="76"/>
      <c r="P104" s="76"/>
      <c r="Q104" s="76"/>
      <c r="R104" s="118">
        <f t="shared" si="32"/>
        <v>0</v>
      </c>
      <c r="S104" s="77"/>
      <c r="T104" s="155">
        <v>3745.2</v>
      </c>
      <c r="U104" s="84"/>
      <c r="V104" s="84"/>
      <c r="W104" s="84"/>
      <c r="X104" s="148"/>
      <c r="Y104" s="91"/>
    </row>
    <row r="105" spans="1:25" s="115" customFormat="1" x14ac:dyDescent="0.25">
      <c r="A105" s="175" t="s">
        <v>197</v>
      </c>
      <c r="B105" s="76" t="s">
        <v>198</v>
      </c>
      <c r="C105" s="76">
        <v>30</v>
      </c>
      <c r="D105" s="76">
        <v>0.86</v>
      </c>
      <c r="E105" s="76">
        <v>2</v>
      </c>
      <c r="F105" s="76">
        <f>D105*C105</f>
        <v>25.8</v>
      </c>
      <c r="G105" s="155">
        <f t="shared" si="31"/>
        <v>1.3096446700507599E-2</v>
      </c>
      <c r="H105" s="84">
        <f>G105*1.2</f>
        <v>1.5720000000000001E-2</v>
      </c>
      <c r="I105" s="169">
        <v>1.0900000000000001</v>
      </c>
      <c r="J105" s="76">
        <f>4741.4*1.6*1.04*2.3*1.25*I105*H105*12</f>
        <v>4663.99474085376</v>
      </c>
      <c r="K105" s="76">
        <f>J105*30.2/100</f>
        <v>1408.5264117378399</v>
      </c>
      <c r="L105" s="76">
        <f>J105*10/100</f>
        <v>466.39947408537603</v>
      </c>
      <c r="M105" s="76">
        <f>J105*10/100</f>
        <v>466.39947408537603</v>
      </c>
      <c r="N105" s="76">
        <f>J105*25/100</f>
        <v>1165.99868521344</v>
      </c>
      <c r="O105" s="76">
        <f>N105+M105+L105+K105+J105</f>
        <v>8171.31878597579</v>
      </c>
      <c r="P105" s="76">
        <f>O105*5/100</f>
        <v>408.56593929879</v>
      </c>
      <c r="Q105" s="76">
        <f>P105+O105</f>
        <v>8579.88472527458</v>
      </c>
      <c r="R105" s="118">
        <f t="shared" si="32"/>
        <v>1715.98</v>
      </c>
      <c r="S105" s="77">
        <f>R105+Q105</f>
        <v>10295.86</v>
      </c>
      <c r="T105" s="155">
        <v>3745.2</v>
      </c>
      <c r="U105" s="84">
        <f>Q105/T105</f>
        <v>2.2909000000000002</v>
      </c>
      <c r="V105" s="84">
        <f>R105/T105</f>
        <v>0.45817999999999998</v>
      </c>
      <c r="W105" s="84">
        <f>S105/T105</f>
        <v>2.7490800000000002</v>
      </c>
      <c r="X105" s="148">
        <f>W105/12</f>
        <v>0.2291</v>
      </c>
      <c r="Y105" s="91"/>
    </row>
    <row r="106" spans="1:25" s="115" customFormat="1" x14ac:dyDescent="0.25">
      <c r="A106" s="175" t="s">
        <v>197</v>
      </c>
      <c r="B106" s="76" t="s">
        <v>198</v>
      </c>
      <c r="C106" s="76">
        <v>30</v>
      </c>
      <c r="D106" s="76">
        <v>0.86</v>
      </c>
      <c r="E106" s="76">
        <v>4</v>
      </c>
      <c r="F106" s="76">
        <f>D106*C106</f>
        <v>25.8</v>
      </c>
      <c r="G106" s="155">
        <f t="shared" si="31"/>
        <v>1.3096446700507599E-2</v>
      </c>
      <c r="H106" s="84">
        <f>G106*1.2</f>
        <v>1.5720000000000001E-2</v>
      </c>
      <c r="I106" s="169">
        <v>1.35</v>
      </c>
      <c r="J106" s="76">
        <f>4741.4*1.6*1.04*2.3*1.25*I106*H106*12</f>
        <v>5776.5072478463999</v>
      </c>
      <c r="K106" s="76">
        <f>J106*30.2/100</f>
        <v>1744.50518884961</v>
      </c>
      <c r="L106" s="76">
        <f>J106*10/100</f>
        <v>577.65072478464003</v>
      </c>
      <c r="M106" s="76">
        <f>J106*10/100</f>
        <v>577.65072478464003</v>
      </c>
      <c r="N106" s="76">
        <f>J106*25/100</f>
        <v>1444.1268119616</v>
      </c>
      <c r="O106" s="76">
        <f>N106+M106+L106+K106+J106</f>
        <v>10120.440698226899</v>
      </c>
      <c r="P106" s="76">
        <f>O106*5/100</f>
        <v>506.02203491134497</v>
      </c>
      <c r="Q106" s="76">
        <f>P106+O106</f>
        <v>10626.4627331382</v>
      </c>
      <c r="R106" s="118">
        <f t="shared" si="32"/>
        <v>2125.29</v>
      </c>
      <c r="S106" s="77">
        <f>R106+Q106</f>
        <v>12751.75</v>
      </c>
      <c r="T106" s="155">
        <v>3745.2</v>
      </c>
      <c r="U106" s="84">
        <f>Q106/T106</f>
        <v>2.8373599999999999</v>
      </c>
      <c r="V106" s="84">
        <f>R106/T106</f>
        <v>0.56747000000000003</v>
      </c>
      <c r="W106" s="84">
        <f>S106/T106</f>
        <v>3.40482</v>
      </c>
      <c r="X106" s="148">
        <f>W106/12</f>
        <v>0.28370000000000001</v>
      </c>
      <c r="Y106" s="91">
        <f>SUM(X105:X106)</f>
        <v>0.51</v>
      </c>
    </row>
    <row r="107" spans="1:25" s="96" customFormat="1" ht="20.25" customHeight="1" x14ac:dyDescent="0.25">
      <c r="A107" s="127" t="s">
        <v>38</v>
      </c>
      <c r="B107" s="132"/>
      <c r="C107" s="132"/>
      <c r="D107" s="113"/>
      <c r="E107" s="155"/>
      <c r="F107" s="130"/>
      <c r="G107" s="155"/>
      <c r="H107" s="119"/>
      <c r="I107" s="117"/>
      <c r="J107" s="131"/>
      <c r="K107" s="131"/>
      <c r="L107" s="131"/>
      <c r="M107" s="131"/>
      <c r="N107" s="131"/>
      <c r="O107" s="131"/>
      <c r="P107" s="131"/>
      <c r="Q107" s="131"/>
      <c r="R107" s="118">
        <f t="shared" si="32"/>
        <v>0</v>
      </c>
      <c r="S107" s="131"/>
      <c r="T107" s="155">
        <v>3745.2</v>
      </c>
      <c r="U107" s="119"/>
      <c r="V107" s="119"/>
      <c r="W107" s="119"/>
      <c r="X107" s="147"/>
      <c r="Y107" s="105"/>
    </row>
    <row r="108" spans="1:25" s="116" customFormat="1" x14ac:dyDescent="0.25">
      <c r="A108" s="121" t="s">
        <v>201</v>
      </c>
      <c r="B108" s="122"/>
      <c r="C108" s="155"/>
      <c r="D108" s="129"/>
      <c r="E108" s="122"/>
      <c r="F108" s="130"/>
      <c r="G108" s="155"/>
      <c r="H108" s="119"/>
      <c r="I108" s="117"/>
      <c r="J108" s="131"/>
      <c r="K108" s="131"/>
      <c r="L108" s="131"/>
      <c r="M108" s="131"/>
      <c r="N108" s="131"/>
      <c r="O108" s="131"/>
      <c r="P108" s="131"/>
      <c r="Q108" s="131"/>
      <c r="R108" s="118">
        <f t="shared" si="32"/>
        <v>0</v>
      </c>
      <c r="S108" s="131"/>
      <c r="T108" s="155">
        <v>3745.2</v>
      </c>
      <c r="U108" s="119"/>
      <c r="V108" s="119"/>
      <c r="W108" s="119"/>
      <c r="X108" s="117"/>
      <c r="Y108" s="85"/>
    </row>
    <row r="109" spans="1:25" s="116" customFormat="1" x14ac:dyDescent="0.25">
      <c r="A109" s="177" t="s">
        <v>89</v>
      </c>
      <c r="B109" s="129" t="s">
        <v>200</v>
      </c>
      <c r="C109" s="155">
        <v>15</v>
      </c>
      <c r="D109" s="129">
        <f>64.84/10</f>
        <v>6.484</v>
      </c>
      <c r="E109" s="122">
        <v>3.4</v>
      </c>
      <c r="F109" s="130">
        <f>D109*C109</f>
        <v>97</v>
      </c>
      <c r="G109" s="155">
        <f t="shared" si="31"/>
        <v>4.9238578680203003E-2</v>
      </c>
      <c r="H109" s="119">
        <f>G109*1.2</f>
        <v>5.9089999999999997E-2</v>
      </c>
      <c r="I109" s="117">
        <v>1.2629999999999999</v>
      </c>
      <c r="J109" s="131">
        <f>4741.4*1.6*1.04*2.3*1.25*I109*H109*12</f>
        <v>20314.04</v>
      </c>
      <c r="K109" s="131">
        <f>J109*30.2/100</f>
        <v>6134.84</v>
      </c>
      <c r="L109" s="131">
        <f>J109*10/100</f>
        <v>2031.4</v>
      </c>
      <c r="M109" s="131">
        <f>J109*10/100</f>
        <v>2031.4</v>
      </c>
      <c r="N109" s="131">
        <f>J109*25/100</f>
        <v>5078.51</v>
      </c>
      <c r="O109" s="131">
        <f>N109+M109+L109+K109+J109</f>
        <v>35590.19</v>
      </c>
      <c r="P109" s="131">
        <f>O109*5/100</f>
        <v>1779.51</v>
      </c>
      <c r="Q109" s="131">
        <f>P109+O109</f>
        <v>37369.699999999997</v>
      </c>
      <c r="R109" s="118">
        <f t="shared" si="32"/>
        <v>7473.94</v>
      </c>
      <c r="S109" s="131">
        <f>R109+Q109</f>
        <v>44843.64</v>
      </c>
      <c r="T109" s="155">
        <v>3745.2</v>
      </c>
      <c r="U109" s="119">
        <f>Q109/T109</f>
        <v>9.9780300000000004</v>
      </c>
      <c r="V109" s="119">
        <f>R109/T109</f>
        <v>1.9956100000000001</v>
      </c>
      <c r="W109" s="119">
        <f>S109/T109</f>
        <v>11.97363</v>
      </c>
      <c r="X109" s="117">
        <f>W109/12</f>
        <v>0.99780000000000002</v>
      </c>
      <c r="Y109" s="85"/>
    </row>
    <row r="110" spans="1:25" s="96" customFormat="1" x14ac:dyDescent="0.25">
      <c r="A110" s="124" t="s">
        <v>134</v>
      </c>
      <c r="B110" s="155"/>
      <c r="C110" s="155"/>
      <c r="D110" s="113"/>
      <c r="E110" s="155"/>
      <c r="F110" s="130"/>
      <c r="G110" s="155"/>
      <c r="H110" s="119"/>
      <c r="I110" s="117"/>
      <c r="J110" s="131"/>
      <c r="K110" s="131"/>
      <c r="L110" s="131"/>
      <c r="M110" s="131"/>
      <c r="N110" s="131"/>
      <c r="O110" s="131"/>
      <c r="P110" s="131"/>
      <c r="Q110" s="131"/>
      <c r="R110" s="118">
        <f t="shared" si="32"/>
        <v>0</v>
      </c>
      <c r="S110" s="131"/>
      <c r="T110" s="155">
        <v>3745.2</v>
      </c>
      <c r="U110" s="119"/>
      <c r="V110" s="119"/>
      <c r="W110" s="119"/>
      <c r="X110" s="147"/>
      <c r="Y110" s="105"/>
    </row>
    <row r="111" spans="1:25" s="96" customFormat="1" x14ac:dyDescent="0.25">
      <c r="A111" s="124" t="s">
        <v>89</v>
      </c>
      <c r="B111" s="155" t="s">
        <v>90</v>
      </c>
      <c r="C111" s="155">
        <v>10</v>
      </c>
      <c r="D111" s="113">
        <v>0.47</v>
      </c>
      <c r="E111" s="155">
        <v>4</v>
      </c>
      <c r="F111" s="133">
        <f>D111*C111</f>
        <v>4.7</v>
      </c>
      <c r="G111" s="155">
        <f t="shared" si="31"/>
        <v>2.3857868020304598E-3</v>
      </c>
      <c r="H111" s="119">
        <f>G111*1.2</f>
        <v>2.8600000000000001E-3</v>
      </c>
      <c r="I111" s="117">
        <v>1.35</v>
      </c>
      <c r="J111" s="131">
        <f>4741.4*1.6*1.04*2.3*1.25*I111*H111*12</f>
        <v>1050.94</v>
      </c>
      <c r="K111" s="131">
        <f>J111*30.2/100</f>
        <v>317.38</v>
      </c>
      <c r="L111" s="131">
        <f>J111*10/100</f>
        <v>105.09</v>
      </c>
      <c r="M111" s="131">
        <f>J111*10/100</f>
        <v>105.09</v>
      </c>
      <c r="N111" s="131">
        <f>J111*25/100</f>
        <v>262.74</v>
      </c>
      <c r="O111" s="131">
        <f>N111+M111+L111+K111+J111</f>
        <v>1841.24</v>
      </c>
      <c r="P111" s="131">
        <f>O111*5/100</f>
        <v>92.06</v>
      </c>
      <c r="Q111" s="131">
        <f>P111+O111</f>
        <v>1933.3</v>
      </c>
      <c r="R111" s="118">
        <f t="shared" si="32"/>
        <v>386.66</v>
      </c>
      <c r="S111" s="131">
        <f>R111+Q111</f>
        <v>2319.96</v>
      </c>
      <c r="T111" s="155">
        <v>3745.2</v>
      </c>
      <c r="U111" s="119">
        <f>Q111/T111</f>
        <v>0.51620999999999995</v>
      </c>
      <c r="V111" s="119">
        <f>R111/T111</f>
        <v>0.10324</v>
      </c>
      <c r="W111" s="119">
        <f>S111/T111</f>
        <v>0.61944999999999995</v>
      </c>
      <c r="X111" s="147">
        <f>W111/12</f>
        <v>5.16E-2</v>
      </c>
      <c r="Y111" s="105"/>
    </row>
    <row r="112" spans="1:25" s="116" customFormat="1" ht="31.5" x14ac:dyDescent="0.25">
      <c r="A112" s="106" t="s">
        <v>227</v>
      </c>
      <c r="B112" s="122"/>
      <c r="C112" s="155"/>
      <c r="D112" s="129"/>
      <c r="E112" s="122"/>
      <c r="F112" s="130"/>
      <c r="G112" s="155"/>
      <c r="H112" s="123"/>
      <c r="I112" s="117"/>
      <c r="J112" s="131"/>
      <c r="K112" s="131"/>
      <c r="L112" s="131"/>
      <c r="M112" s="131"/>
      <c r="N112" s="131"/>
      <c r="O112" s="131"/>
      <c r="P112" s="131"/>
      <c r="Q112" s="131"/>
      <c r="R112" s="118">
        <f t="shared" si="32"/>
        <v>0</v>
      </c>
      <c r="S112" s="131"/>
      <c r="T112" s="155">
        <v>3745.2</v>
      </c>
      <c r="U112" s="119"/>
      <c r="V112" s="119"/>
      <c r="W112" s="119"/>
      <c r="X112" s="159"/>
    </row>
    <row r="113" spans="1:25" s="116" customFormat="1" x14ac:dyDescent="0.25">
      <c r="A113" s="178" t="s">
        <v>89</v>
      </c>
      <c r="B113" s="179" t="s">
        <v>228</v>
      </c>
      <c r="C113" s="155">
        <v>6</v>
      </c>
      <c r="D113" s="129">
        <f>9.1/10</f>
        <v>0.91</v>
      </c>
      <c r="E113" s="122">
        <v>3</v>
      </c>
      <c r="F113" s="133">
        <f>D113*C113</f>
        <v>5.46</v>
      </c>
      <c r="G113" s="155">
        <f t="shared" si="31"/>
        <v>2.7715736040609101E-3</v>
      </c>
      <c r="H113" s="123">
        <f>G113*1.2</f>
        <v>3.0000000000000001E-3</v>
      </c>
      <c r="I113" s="117">
        <v>1.2</v>
      </c>
      <c r="J113" s="131">
        <f>4741.4*1.6*1.04*2.3*1.25*I113*H113*12</f>
        <v>979.9</v>
      </c>
      <c r="K113" s="131">
        <f>J113*30.2/100</f>
        <v>295.93</v>
      </c>
      <c r="L113" s="131">
        <f>J113*10/100</f>
        <v>97.99</v>
      </c>
      <c r="M113" s="131">
        <f>J113*10/100</f>
        <v>97.99</v>
      </c>
      <c r="N113" s="131">
        <f>J113*25/100</f>
        <v>244.98</v>
      </c>
      <c r="O113" s="131">
        <f>N113+M113+L113+K113+J113</f>
        <v>1716.79</v>
      </c>
      <c r="P113" s="131">
        <f>O113*5/100</f>
        <v>85.84</v>
      </c>
      <c r="Q113" s="131">
        <f>P113+O113</f>
        <v>1802.63</v>
      </c>
      <c r="R113" s="118">
        <f t="shared" si="32"/>
        <v>360.53</v>
      </c>
      <c r="S113" s="131">
        <f>R113+Q113</f>
        <v>2163.16</v>
      </c>
      <c r="T113" s="155">
        <v>3745.2</v>
      </c>
      <c r="U113" s="119">
        <f>Q113/T113</f>
        <v>0.48132000000000003</v>
      </c>
      <c r="V113" s="119">
        <f>R113/T113</f>
        <v>9.6259999999999998E-2</v>
      </c>
      <c r="W113" s="119">
        <f>S113/T113</f>
        <v>0.57757999999999998</v>
      </c>
      <c r="X113" s="159">
        <f>W113/12</f>
        <v>4.8129999999999999E-2</v>
      </c>
    </row>
    <row r="114" spans="1:25" s="116" customFormat="1" ht="31.5" x14ac:dyDescent="0.25">
      <c r="A114" s="180" t="s">
        <v>229</v>
      </c>
      <c r="B114" s="180"/>
      <c r="C114" s="98"/>
      <c r="D114" s="79"/>
      <c r="E114" s="80"/>
      <c r="F114" s="142"/>
      <c r="G114" s="155"/>
      <c r="H114" s="112"/>
      <c r="I114" s="103"/>
      <c r="J114" s="143"/>
      <c r="K114" s="143"/>
      <c r="L114" s="143"/>
      <c r="M114" s="143"/>
      <c r="N114" s="143"/>
      <c r="O114" s="143"/>
      <c r="P114" s="143"/>
      <c r="Q114" s="143"/>
      <c r="R114" s="118">
        <f t="shared" si="32"/>
        <v>0</v>
      </c>
      <c r="S114" s="143"/>
      <c r="T114" s="155">
        <v>3745.2</v>
      </c>
      <c r="U114" s="216"/>
      <c r="V114" s="216"/>
      <c r="W114" s="216"/>
      <c r="X114" s="168"/>
    </row>
    <row r="115" spans="1:25" s="116" customFormat="1" x14ac:dyDescent="0.25">
      <c r="A115" s="180" t="s">
        <v>89</v>
      </c>
      <c r="B115" s="122" t="s">
        <v>216</v>
      </c>
      <c r="C115" s="155">
        <v>6</v>
      </c>
      <c r="D115" s="129">
        <v>0.66</v>
      </c>
      <c r="E115" s="122">
        <v>3</v>
      </c>
      <c r="F115" s="130">
        <f t="shared" ref="F115" si="81">D115*C115</f>
        <v>4</v>
      </c>
      <c r="G115" s="155">
        <f t="shared" si="31"/>
        <v>2.03045685279188E-3</v>
      </c>
      <c r="H115" s="123">
        <f t="shared" ref="H115" si="82">G115*1.2</f>
        <v>2E-3</v>
      </c>
      <c r="I115" s="117">
        <v>1.2</v>
      </c>
      <c r="J115" s="131">
        <f t="shared" ref="J115" si="83">4741.4*1.6*1.04*2.3*1.25*I115*H115*12</f>
        <v>653.27</v>
      </c>
      <c r="K115" s="131">
        <f t="shared" ref="K115" si="84">J115*30.2/100</f>
        <v>197.29</v>
      </c>
      <c r="L115" s="131">
        <f t="shared" ref="L115" si="85">J115*10/100</f>
        <v>65.33</v>
      </c>
      <c r="M115" s="131">
        <f t="shared" ref="M115" si="86">J115*10/100</f>
        <v>65.33</v>
      </c>
      <c r="N115" s="131">
        <f t="shared" ref="N115" si="87">J115*25/100</f>
        <v>163.32</v>
      </c>
      <c r="O115" s="131">
        <f t="shared" ref="O115" si="88">N115+M115+L115+K115+J115</f>
        <v>1144.54</v>
      </c>
      <c r="P115" s="131">
        <f t="shared" ref="P115" si="89">O115*5/100</f>
        <v>57.23</v>
      </c>
      <c r="Q115" s="131">
        <f t="shared" ref="Q115" si="90">P115+O115</f>
        <v>1201.77</v>
      </c>
      <c r="R115" s="118">
        <f t="shared" si="32"/>
        <v>240.35</v>
      </c>
      <c r="S115" s="131">
        <f t="shared" ref="S115" si="91">R115+Q115</f>
        <v>1442.12</v>
      </c>
      <c r="T115" s="155">
        <v>3745.2</v>
      </c>
      <c r="U115" s="119">
        <f t="shared" ref="U115" si="92">Q115/T115</f>
        <v>0.32088</v>
      </c>
      <c r="V115" s="119">
        <f t="shared" ref="V115" si="93">R115/T115</f>
        <v>6.4180000000000001E-2</v>
      </c>
      <c r="W115" s="119">
        <f t="shared" ref="W115" si="94">S115/T115</f>
        <v>0.38506000000000001</v>
      </c>
      <c r="X115" s="159">
        <f t="shared" ref="X115" si="95">W115/12</f>
        <v>3.209E-2</v>
      </c>
    </row>
    <row r="116" spans="1:25" s="115" customFormat="1" ht="40.5" customHeight="1" x14ac:dyDescent="0.25">
      <c r="A116" s="174" t="s">
        <v>300</v>
      </c>
      <c r="B116" s="155"/>
      <c r="C116" s="155"/>
      <c r="D116" s="155"/>
      <c r="E116" s="155"/>
      <c r="F116" s="155"/>
      <c r="G116" s="155"/>
      <c r="H116" s="155"/>
      <c r="I116" s="118"/>
      <c r="J116" s="155"/>
      <c r="K116" s="155"/>
      <c r="L116" s="155"/>
      <c r="M116" s="155"/>
      <c r="N116" s="155"/>
      <c r="O116" s="155"/>
      <c r="P116" s="155"/>
      <c r="Q116" s="155"/>
      <c r="R116" s="118">
        <f t="shared" si="32"/>
        <v>0</v>
      </c>
      <c r="S116" s="118"/>
      <c r="T116" s="155">
        <v>3745.2</v>
      </c>
      <c r="U116" s="155"/>
      <c r="V116" s="155"/>
      <c r="W116" s="155"/>
      <c r="X116" s="157"/>
      <c r="Y116" s="232"/>
    </row>
    <row r="117" spans="1:25" s="115" customFormat="1" x14ac:dyDescent="0.25">
      <c r="A117" s="175" t="s">
        <v>89</v>
      </c>
      <c r="B117" s="155" t="s">
        <v>301</v>
      </c>
      <c r="C117" s="155">
        <v>6</v>
      </c>
      <c r="D117" s="155">
        <v>0.52</v>
      </c>
      <c r="E117" s="155">
        <v>3</v>
      </c>
      <c r="F117" s="155">
        <f>D117*C117</f>
        <v>3.12</v>
      </c>
      <c r="G117" s="155">
        <f t="shared" ref="G117" si="96">F117/1970</f>
        <v>1.58375634517767E-3</v>
      </c>
      <c r="H117" s="155">
        <f>G117*1.2</f>
        <v>1.9005076142131999E-3</v>
      </c>
      <c r="I117" s="118">
        <v>1.2</v>
      </c>
      <c r="J117" s="155">
        <f>4741.4*1.6*1.04*2.3*1.25*I117*H117*12</f>
        <v>620.76878756515805</v>
      </c>
      <c r="K117" s="155">
        <f>J117*30.2/100</f>
        <v>187.472173844678</v>
      </c>
      <c r="L117" s="155">
        <f>J117*10/100</f>
        <v>62.076878756515796</v>
      </c>
      <c r="M117" s="155">
        <f>J117*10/100</f>
        <v>62.076878756515796</v>
      </c>
      <c r="N117" s="155">
        <f>J117*25/100</f>
        <v>155.19219689129</v>
      </c>
      <c r="O117" s="155">
        <f>N117+M117+L117+K117+J117</f>
        <v>1087.58691581416</v>
      </c>
      <c r="P117" s="155">
        <f>O117*5/100</f>
        <v>54.379345790708001</v>
      </c>
      <c r="Q117" s="155">
        <f>P117+O117</f>
        <v>1141.9662616048699</v>
      </c>
      <c r="R117" s="118">
        <f t="shared" si="32"/>
        <v>228.39</v>
      </c>
      <c r="S117" s="118">
        <f>R117+Q117</f>
        <v>1370.36</v>
      </c>
      <c r="T117" s="155">
        <v>3745.2</v>
      </c>
      <c r="U117" s="155">
        <f>Q117/T117</f>
        <v>0.30491462715071799</v>
      </c>
      <c r="V117" s="155">
        <f>R117/T117</f>
        <v>6.0982057033002197E-2</v>
      </c>
      <c r="W117" s="155">
        <f>S117/T117</f>
        <v>0.36589768236676301</v>
      </c>
      <c r="X117" s="157">
        <f>W117/12</f>
        <v>3.0491000000000001E-2</v>
      </c>
      <c r="Y117" s="232"/>
    </row>
    <row r="118" spans="1:25" s="96" customFormat="1" ht="33.75" customHeight="1" x14ac:dyDescent="0.25">
      <c r="A118" s="162" t="s">
        <v>261</v>
      </c>
      <c r="B118" s="155" t="s">
        <v>230</v>
      </c>
      <c r="C118" s="155">
        <v>9</v>
      </c>
      <c r="D118" s="113">
        <v>1.4</v>
      </c>
      <c r="E118" s="155">
        <v>5</v>
      </c>
      <c r="F118" s="133">
        <f t="shared" ref="F118" si="97">D118*C118</f>
        <v>12.6</v>
      </c>
      <c r="G118" s="155">
        <f t="shared" si="31"/>
        <v>6.3959390862944202E-3</v>
      </c>
      <c r="H118" s="123">
        <f t="shared" ref="H118" si="98">G118*1.2</f>
        <v>8.0000000000000002E-3</v>
      </c>
      <c r="I118" s="117">
        <v>1.54</v>
      </c>
      <c r="J118" s="131">
        <f t="shared" ref="J118" si="99">4741.4*1.6*1.04*2.3*1.25*I118*H118*12</f>
        <v>3353.43</v>
      </c>
      <c r="K118" s="131">
        <f t="shared" ref="K118" si="100">J118*30.2/100</f>
        <v>1012.74</v>
      </c>
      <c r="L118" s="131">
        <f t="shared" ref="L118" si="101">J118*10/100</f>
        <v>335.34</v>
      </c>
      <c r="M118" s="131">
        <f t="shared" ref="M118" si="102">J118*10/100</f>
        <v>335.34</v>
      </c>
      <c r="N118" s="131">
        <f t="shared" ref="N118" si="103">J118*25/100</f>
        <v>838.36</v>
      </c>
      <c r="O118" s="131">
        <f t="shared" ref="O118" si="104">N118+M118+L118+K118+J118</f>
        <v>5875.21</v>
      </c>
      <c r="P118" s="131">
        <f t="shared" ref="P118" si="105">O118*5/100</f>
        <v>293.76</v>
      </c>
      <c r="Q118" s="131">
        <f t="shared" ref="Q118" si="106">P118+O118</f>
        <v>6168.97</v>
      </c>
      <c r="R118" s="118">
        <f t="shared" si="32"/>
        <v>1233.79</v>
      </c>
      <c r="S118" s="131">
        <f t="shared" ref="S118" si="107">R118+Q118</f>
        <v>7402.76</v>
      </c>
      <c r="T118" s="155">
        <v>3745.2</v>
      </c>
      <c r="U118" s="119">
        <f t="shared" ref="U118" si="108">Q118/T118</f>
        <v>1.64717</v>
      </c>
      <c r="V118" s="119">
        <f t="shared" ref="V118" si="109">R118/T118</f>
        <v>0.32943</v>
      </c>
      <c r="W118" s="119">
        <f t="shared" ref="W118" si="110">S118/T118</f>
        <v>1.9765999999999999</v>
      </c>
      <c r="X118" s="158">
        <f t="shared" ref="X118" si="111">W118/12</f>
        <v>0.16472000000000001</v>
      </c>
    </row>
    <row r="119" spans="1:25" s="115" customFormat="1" ht="31.5" x14ac:dyDescent="0.25">
      <c r="A119" s="124" t="s">
        <v>125</v>
      </c>
      <c r="B119" s="155"/>
      <c r="C119" s="155"/>
      <c r="D119" s="155"/>
      <c r="E119" s="155"/>
      <c r="F119" s="155"/>
      <c r="G119" s="155"/>
      <c r="H119" s="119"/>
      <c r="I119" s="117"/>
      <c r="J119" s="155"/>
      <c r="K119" s="155"/>
      <c r="L119" s="155"/>
      <c r="M119" s="155"/>
      <c r="N119" s="155"/>
      <c r="O119" s="155"/>
      <c r="P119" s="155"/>
      <c r="Q119" s="155"/>
      <c r="R119" s="118">
        <f t="shared" si="32"/>
        <v>0</v>
      </c>
      <c r="S119" s="118"/>
      <c r="T119" s="155">
        <v>3745.2</v>
      </c>
      <c r="U119" s="119"/>
      <c r="V119" s="119"/>
      <c r="W119" s="119"/>
      <c r="X119" s="147"/>
      <c r="Y119" s="91"/>
    </row>
    <row r="120" spans="1:25" s="115" customFormat="1" x14ac:dyDescent="0.25">
      <c r="A120" s="124" t="s">
        <v>89</v>
      </c>
      <c r="B120" s="155" t="s">
        <v>126</v>
      </c>
      <c r="C120" s="155">
        <v>9</v>
      </c>
      <c r="D120" s="155">
        <v>0.15</v>
      </c>
      <c r="E120" s="155">
        <v>3</v>
      </c>
      <c r="F120" s="155">
        <f>D120*C120</f>
        <v>1.35</v>
      </c>
      <c r="G120" s="155">
        <f t="shared" si="31"/>
        <v>6.8527918781725904E-4</v>
      </c>
      <c r="H120" s="119">
        <f>G120*1.2</f>
        <v>8.1999999999999998E-4</v>
      </c>
      <c r="I120" s="117">
        <v>1.2</v>
      </c>
      <c r="J120" s="155">
        <f>4741.4*1.6*1.04*2.3*1.25*I120*H120*12</f>
        <v>267.83918254079998</v>
      </c>
      <c r="K120" s="155">
        <f>J120*30.2/100</f>
        <v>80.8874331273216</v>
      </c>
      <c r="L120" s="155">
        <f>J120*10/100</f>
        <v>26.78391825408</v>
      </c>
      <c r="M120" s="155">
        <f>J120*10/100</f>
        <v>26.78391825408</v>
      </c>
      <c r="N120" s="155">
        <f>J120*25/100</f>
        <v>66.959795635199995</v>
      </c>
      <c r="O120" s="155">
        <f>N120+M120+L120+K120+J120</f>
        <v>469.254247811482</v>
      </c>
      <c r="P120" s="155">
        <f>O120*5/100</f>
        <v>23.462712390574101</v>
      </c>
      <c r="Q120" s="155">
        <f>P120+O120</f>
        <v>492.71696020205599</v>
      </c>
      <c r="R120" s="118">
        <f t="shared" si="32"/>
        <v>98.54</v>
      </c>
      <c r="S120" s="118">
        <f>R120+Q120</f>
        <v>591.26</v>
      </c>
      <c r="T120" s="155">
        <v>3745.2</v>
      </c>
      <c r="U120" s="119">
        <f>Q120/T120</f>
        <v>0.13156000000000001</v>
      </c>
      <c r="V120" s="119">
        <f>R120/T120</f>
        <v>2.631E-2</v>
      </c>
      <c r="W120" s="119">
        <f>S120/T120</f>
        <v>0.15787000000000001</v>
      </c>
      <c r="X120" s="147">
        <f>W120/12</f>
        <v>1.32E-2</v>
      </c>
      <c r="Y120" s="91"/>
    </row>
    <row r="121" spans="1:25" s="96" customFormat="1" x14ac:dyDescent="0.25">
      <c r="A121" s="124" t="s">
        <v>93</v>
      </c>
      <c r="B121" s="155"/>
      <c r="C121" s="155"/>
      <c r="D121" s="113"/>
      <c r="E121" s="155"/>
      <c r="F121" s="130"/>
      <c r="G121" s="155"/>
      <c r="H121" s="119"/>
      <c r="I121" s="117"/>
      <c r="J121" s="131"/>
      <c r="K121" s="131"/>
      <c r="L121" s="131"/>
      <c r="M121" s="131"/>
      <c r="N121" s="131"/>
      <c r="O121" s="131"/>
      <c r="P121" s="131"/>
      <c r="Q121" s="131"/>
      <c r="R121" s="118">
        <f t="shared" si="32"/>
        <v>0</v>
      </c>
      <c r="S121" s="131"/>
      <c r="T121" s="155">
        <v>3745.2</v>
      </c>
      <c r="U121" s="119"/>
      <c r="V121" s="119"/>
      <c r="W121" s="119"/>
      <c r="X121" s="147"/>
      <c r="Y121" s="105"/>
    </row>
    <row r="122" spans="1:25" s="96" customFormat="1" x14ac:dyDescent="0.25">
      <c r="A122" s="124" t="s">
        <v>91</v>
      </c>
      <c r="B122" s="155" t="s">
        <v>92</v>
      </c>
      <c r="C122" s="155">
        <v>100</v>
      </c>
      <c r="D122" s="113">
        <v>0.23</v>
      </c>
      <c r="E122" s="155">
        <v>2</v>
      </c>
      <c r="F122" s="130">
        <f>D122*C122</f>
        <v>23</v>
      </c>
      <c r="G122" s="155">
        <f t="shared" si="31"/>
        <v>1.1675126903553301E-2</v>
      </c>
      <c r="H122" s="119">
        <f>G122*1.2</f>
        <v>1.401E-2</v>
      </c>
      <c r="I122" s="117">
        <v>1.0900000000000001</v>
      </c>
      <c r="J122" s="131">
        <f>4741.4*1.6*1.04*2.3*1.25*I122*H122*12</f>
        <v>4156.6499999999996</v>
      </c>
      <c r="K122" s="131">
        <f>J122*30.2/100</f>
        <v>1255.31</v>
      </c>
      <c r="L122" s="131">
        <f>J122*10/100</f>
        <v>415.67</v>
      </c>
      <c r="M122" s="131">
        <f>J122*10/100</f>
        <v>415.67</v>
      </c>
      <c r="N122" s="131">
        <f>J122*25/100</f>
        <v>1039.1600000000001</v>
      </c>
      <c r="O122" s="131">
        <f>N122+M122+L122+K122+J122</f>
        <v>7282.46</v>
      </c>
      <c r="P122" s="131">
        <f>O122*5/100</f>
        <v>364.12</v>
      </c>
      <c r="Q122" s="131">
        <f>P122+O122</f>
        <v>7646.58</v>
      </c>
      <c r="R122" s="118">
        <f t="shared" si="32"/>
        <v>1529.32</v>
      </c>
      <c r="S122" s="131">
        <f>R122+Q122</f>
        <v>9175.9</v>
      </c>
      <c r="T122" s="155">
        <v>3745.2</v>
      </c>
      <c r="U122" s="119">
        <f>Q122/T122</f>
        <v>2.0417000000000001</v>
      </c>
      <c r="V122" s="119">
        <f>R122/T122</f>
        <v>0.40833999999999998</v>
      </c>
      <c r="W122" s="119">
        <f>S122/T122</f>
        <v>2.45004</v>
      </c>
      <c r="X122" s="147">
        <f>W122/12</f>
        <v>0.20419999999999999</v>
      </c>
      <c r="Y122" s="105"/>
    </row>
    <row r="123" spans="1:25" s="96" customFormat="1" x14ac:dyDescent="0.25">
      <c r="A123" s="124" t="s">
        <v>91</v>
      </c>
      <c r="B123" s="155" t="s">
        <v>92</v>
      </c>
      <c r="C123" s="155">
        <v>100</v>
      </c>
      <c r="D123" s="113">
        <v>0.23</v>
      </c>
      <c r="E123" s="155">
        <v>3</v>
      </c>
      <c r="F123" s="130">
        <f>D123*C123</f>
        <v>23</v>
      </c>
      <c r="G123" s="155">
        <f t="shared" si="31"/>
        <v>1.1675126903553301E-2</v>
      </c>
      <c r="H123" s="119">
        <f>G123*1.2</f>
        <v>1.401E-2</v>
      </c>
      <c r="I123" s="117">
        <v>1.2</v>
      </c>
      <c r="J123" s="131">
        <f>4741.4*1.6*1.04*2.3*1.25*I123*H123*12</f>
        <v>4576.13</v>
      </c>
      <c r="K123" s="131">
        <f>J123*30.2/100</f>
        <v>1381.99</v>
      </c>
      <c r="L123" s="131">
        <f>J123*10/100</f>
        <v>457.61</v>
      </c>
      <c r="M123" s="131">
        <f>J123*10/100</f>
        <v>457.61</v>
      </c>
      <c r="N123" s="131">
        <f>J123*25/100</f>
        <v>1144.03</v>
      </c>
      <c r="O123" s="131">
        <f>N123+M123+L123+K123+J123</f>
        <v>8017.37</v>
      </c>
      <c r="P123" s="131">
        <f>O123*5/100</f>
        <v>400.87</v>
      </c>
      <c r="Q123" s="131">
        <f>P123+O123</f>
        <v>8418.24</v>
      </c>
      <c r="R123" s="118">
        <f t="shared" si="32"/>
        <v>1683.65</v>
      </c>
      <c r="S123" s="131">
        <f>R123+Q123</f>
        <v>10101.89</v>
      </c>
      <c r="T123" s="155">
        <v>3745.2</v>
      </c>
      <c r="U123" s="119">
        <f>Q123/T123</f>
        <v>2.2477399999999998</v>
      </c>
      <c r="V123" s="119">
        <f>R123/T123</f>
        <v>0.44955000000000001</v>
      </c>
      <c r="W123" s="119">
        <f>S123/T123</f>
        <v>2.6972900000000002</v>
      </c>
      <c r="X123" s="147">
        <f>W123/12</f>
        <v>0.2248</v>
      </c>
      <c r="Y123" s="105">
        <f>SUM(X122:X123)</f>
        <v>0.43</v>
      </c>
    </row>
    <row r="124" spans="1:25" s="96" customFormat="1" ht="18.75" x14ac:dyDescent="0.25">
      <c r="A124" s="128" t="s">
        <v>135</v>
      </c>
      <c r="B124" s="155"/>
      <c r="C124" s="155"/>
      <c r="D124" s="113"/>
      <c r="E124" s="155"/>
      <c r="F124" s="130"/>
      <c r="G124" s="155"/>
      <c r="H124" s="119"/>
      <c r="I124" s="117"/>
      <c r="J124" s="131"/>
      <c r="K124" s="131"/>
      <c r="L124" s="131"/>
      <c r="M124" s="131"/>
      <c r="N124" s="131"/>
      <c r="O124" s="131"/>
      <c r="P124" s="131"/>
      <c r="Q124" s="131"/>
      <c r="R124" s="118">
        <f t="shared" si="32"/>
        <v>0</v>
      </c>
      <c r="S124" s="131"/>
      <c r="T124" s="155">
        <v>3745.2</v>
      </c>
      <c r="U124" s="119"/>
      <c r="V124" s="119"/>
      <c r="W124" s="119"/>
      <c r="X124" s="117"/>
      <c r="Y124" s="105"/>
    </row>
    <row r="125" spans="1:25" s="116" customFormat="1" ht="34.5" customHeight="1" x14ac:dyDescent="0.25">
      <c r="A125" s="121" t="s">
        <v>129</v>
      </c>
      <c r="B125" s="122"/>
      <c r="C125" s="155"/>
      <c r="D125" s="129"/>
      <c r="E125" s="122"/>
      <c r="F125" s="130"/>
      <c r="G125" s="155"/>
      <c r="H125" s="119"/>
      <c r="I125" s="117"/>
      <c r="J125" s="131"/>
      <c r="K125" s="131"/>
      <c r="L125" s="131"/>
      <c r="M125" s="131"/>
      <c r="N125" s="131"/>
      <c r="O125" s="131"/>
      <c r="P125" s="131"/>
      <c r="Q125" s="131"/>
      <c r="R125" s="118">
        <f t="shared" si="32"/>
        <v>0</v>
      </c>
      <c r="S125" s="131"/>
      <c r="T125" s="155">
        <v>3745.2</v>
      </c>
      <c r="U125" s="119"/>
      <c r="V125" s="119"/>
      <c r="W125" s="119"/>
      <c r="X125" s="117"/>
      <c r="Y125" s="85"/>
    </row>
    <row r="126" spans="1:25" s="116" customFormat="1" ht="47.25" x14ac:dyDescent="0.25">
      <c r="A126" s="120" t="s">
        <v>127</v>
      </c>
      <c r="B126" s="122" t="s">
        <v>128</v>
      </c>
      <c r="C126" s="155">
        <v>50</v>
      </c>
      <c r="D126" s="129">
        <v>0.04</v>
      </c>
      <c r="E126" s="122">
        <v>2</v>
      </c>
      <c r="F126" s="133">
        <f>D126*C126</f>
        <v>2</v>
      </c>
      <c r="G126" s="155">
        <f t="shared" si="31"/>
        <v>1.01522842639594E-3</v>
      </c>
      <c r="H126" s="119">
        <f>G126*1.2</f>
        <v>1.2199999999999999E-3</v>
      </c>
      <c r="I126" s="117">
        <v>1.0900000000000001</v>
      </c>
      <c r="J126" s="131">
        <f>4741.4*1.6*1.04*2.3*1.25*I126*H126*12</f>
        <v>361.96</v>
      </c>
      <c r="K126" s="131">
        <f>J126*30.2/100</f>
        <v>109.31</v>
      </c>
      <c r="L126" s="131">
        <f>J126*10/100</f>
        <v>36.200000000000003</v>
      </c>
      <c r="M126" s="131">
        <f>J126*10/100</f>
        <v>36.200000000000003</v>
      </c>
      <c r="N126" s="131">
        <f>J126*25/100</f>
        <v>90.49</v>
      </c>
      <c r="O126" s="131">
        <f>N126+M126+L126+K126+J126</f>
        <v>634.16</v>
      </c>
      <c r="P126" s="131">
        <f>O126*5/100</f>
        <v>31.71</v>
      </c>
      <c r="Q126" s="131">
        <f>P126+O126</f>
        <v>665.87</v>
      </c>
      <c r="R126" s="118">
        <f t="shared" ref="R126:R186" si="112">Q126*20/100</f>
        <v>133.16999999999999</v>
      </c>
      <c r="S126" s="131">
        <f>R126+Q126</f>
        <v>799.04</v>
      </c>
      <c r="T126" s="155">
        <v>3745.2</v>
      </c>
      <c r="U126" s="119">
        <f>Q126/T126</f>
        <v>0.17779</v>
      </c>
      <c r="V126" s="119">
        <f>R126/T126</f>
        <v>3.5560000000000001E-2</v>
      </c>
      <c r="W126" s="119">
        <f>S126/T126</f>
        <v>0.21335000000000001</v>
      </c>
      <c r="X126" s="117">
        <f>W126/12</f>
        <v>1.78E-2</v>
      </c>
      <c r="Y126" s="85"/>
    </row>
    <row r="127" spans="1:25" s="96" customFormat="1" ht="22.5" customHeight="1" x14ac:dyDescent="0.25">
      <c r="A127" s="127" t="s">
        <v>39</v>
      </c>
      <c r="B127" s="155"/>
      <c r="C127" s="155"/>
      <c r="D127" s="113"/>
      <c r="E127" s="155"/>
      <c r="F127" s="130"/>
      <c r="G127" s="155"/>
      <c r="H127" s="119"/>
      <c r="I127" s="117"/>
      <c r="J127" s="131"/>
      <c r="K127" s="131"/>
      <c r="L127" s="131"/>
      <c r="M127" s="131"/>
      <c r="N127" s="131"/>
      <c r="O127" s="131"/>
      <c r="P127" s="131"/>
      <c r="Q127" s="131"/>
      <c r="R127" s="118">
        <f t="shared" si="112"/>
        <v>0</v>
      </c>
      <c r="S127" s="131"/>
      <c r="T127" s="155">
        <v>3745.2</v>
      </c>
      <c r="U127" s="119"/>
      <c r="V127" s="119"/>
      <c r="W127" s="119"/>
      <c r="X127" s="147"/>
      <c r="Y127" s="105"/>
    </row>
    <row r="128" spans="1:25" s="242" customFormat="1" ht="31.5" x14ac:dyDescent="0.25">
      <c r="A128" s="124" t="s">
        <v>306</v>
      </c>
      <c r="B128" s="155" t="s">
        <v>230</v>
      </c>
      <c r="C128" s="155">
        <v>4</v>
      </c>
      <c r="D128" s="241">
        <v>1.06</v>
      </c>
      <c r="E128" s="155">
        <v>4</v>
      </c>
      <c r="F128" s="134">
        <f>D128*C128</f>
        <v>4.24</v>
      </c>
      <c r="G128" s="155">
        <f t="shared" si="31"/>
        <v>2.1522842639593899E-3</v>
      </c>
      <c r="H128" s="233">
        <f>G128*1.2</f>
        <v>2.5826999999999998E-3</v>
      </c>
      <c r="I128" s="118">
        <v>1.35</v>
      </c>
      <c r="J128" s="118">
        <f>4741.4*1.6*1.04*2.3*1.25*I128*H128*12</f>
        <v>949.04</v>
      </c>
      <c r="K128" s="118">
        <f>J128*30.2/100</f>
        <v>286.61</v>
      </c>
      <c r="L128" s="118">
        <f>J128*10/100</f>
        <v>94.9</v>
      </c>
      <c r="M128" s="118">
        <f>J128*10/100</f>
        <v>94.9</v>
      </c>
      <c r="N128" s="118">
        <f>J128*25/100</f>
        <v>237.26</v>
      </c>
      <c r="O128" s="118">
        <f>N128+M128+L128+K128+J128</f>
        <v>1662.71</v>
      </c>
      <c r="P128" s="118">
        <f>O128*5/100</f>
        <v>83.14</v>
      </c>
      <c r="Q128" s="118">
        <f>P128+O128</f>
        <v>1745.85</v>
      </c>
      <c r="R128" s="118">
        <f t="shared" si="112"/>
        <v>349.17</v>
      </c>
      <c r="S128" s="118">
        <f>R128+Q128</f>
        <v>2095.02</v>
      </c>
      <c r="T128" s="155">
        <v>3745.2</v>
      </c>
      <c r="U128" s="119">
        <f>Q128/T128</f>
        <v>0.46616000000000002</v>
      </c>
      <c r="V128" s="119">
        <f>R128/T128</f>
        <v>9.3229999999999993E-2</v>
      </c>
      <c r="W128" s="119">
        <f>S128/T128</f>
        <v>0.55939000000000005</v>
      </c>
      <c r="X128" s="230">
        <f>W128/12</f>
        <v>4.6620000000000002E-2</v>
      </c>
    </row>
    <row r="129" spans="1:25" s="115" customFormat="1" ht="31.5" x14ac:dyDescent="0.25">
      <c r="A129" s="124" t="s">
        <v>237</v>
      </c>
      <c r="B129" s="155" t="s">
        <v>230</v>
      </c>
      <c r="C129" s="155">
        <v>30</v>
      </c>
      <c r="D129" s="113">
        <v>0.08</v>
      </c>
      <c r="E129" s="155">
        <v>3</v>
      </c>
      <c r="F129" s="133">
        <f>D129*C129</f>
        <v>2.4</v>
      </c>
      <c r="G129" s="155">
        <f t="shared" si="31"/>
        <v>1.21827411167513E-3</v>
      </c>
      <c r="H129" s="119">
        <f>G129*1.2</f>
        <v>1.4599999999999999E-3</v>
      </c>
      <c r="I129" s="119">
        <v>1.2</v>
      </c>
      <c r="J129" s="119">
        <f>4741.4*1.6*1.04*2.3*1.25*I129*H129*12</f>
        <v>476.88440000000003</v>
      </c>
      <c r="K129" s="119">
        <f>J129*30.2/100</f>
        <v>144.01909000000001</v>
      </c>
      <c r="L129" s="119">
        <f>J129*10/100</f>
        <v>47.68844</v>
      </c>
      <c r="M129" s="119">
        <f>J129*10/100</f>
        <v>47.68844</v>
      </c>
      <c r="N129" s="119">
        <f>J129*25/100</f>
        <v>119.22110000000001</v>
      </c>
      <c r="O129" s="119">
        <f>N129+M129+L129+K129+J129</f>
        <v>835.50147000000004</v>
      </c>
      <c r="P129" s="119">
        <f>O129*5/100</f>
        <v>41.775069999999999</v>
      </c>
      <c r="Q129" s="119">
        <f>P129+O129</f>
        <v>877.27653999999995</v>
      </c>
      <c r="R129" s="118">
        <f t="shared" si="112"/>
        <v>175.46</v>
      </c>
      <c r="S129" s="119">
        <f>R129+Q129</f>
        <v>1052.7365400000001</v>
      </c>
      <c r="T129" s="155">
        <v>3745.2</v>
      </c>
      <c r="U129" s="119">
        <f>Q129/T129</f>
        <v>0.23424</v>
      </c>
      <c r="V129" s="119">
        <f>R129/T129</f>
        <v>4.6850000000000003E-2</v>
      </c>
      <c r="W129" s="119">
        <f>S129/T129</f>
        <v>0.28109000000000001</v>
      </c>
      <c r="X129" s="158">
        <f>W129/12</f>
        <v>2.342E-2</v>
      </c>
    </row>
    <row r="130" spans="1:25" s="116" customFormat="1" ht="19.5" customHeight="1" x14ac:dyDescent="0.25">
      <c r="A130" s="121" t="s">
        <v>238</v>
      </c>
      <c r="B130" s="122"/>
      <c r="C130" s="155"/>
      <c r="D130" s="129"/>
      <c r="E130" s="122"/>
      <c r="F130" s="130"/>
      <c r="G130" s="155"/>
      <c r="H130" s="123"/>
      <c r="I130" s="117"/>
      <c r="J130" s="131"/>
      <c r="K130" s="131"/>
      <c r="L130" s="131"/>
      <c r="M130" s="131"/>
      <c r="N130" s="131"/>
      <c r="O130" s="131"/>
      <c r="P130" s="131"/>
      <c r="Q130" s="131"/>
      <c r="R130" s="118">
        <f t="shared" si="112"/>
        <v>0</v>
      </c>
      <c r="S130" s="131"/>
      <c r="T130" s="155">
        <v>3745.2</v>
      </c>
      <c r="U130" s="119"/>
      <c r="V130" s="119"/>
      <c r="W130" s="119"/>
      <c r="X130" s="159"/>
    </row>
    <row r="131" spans="1:25" s="116" customFormat="1" x14ac:dyDescent="0.25">
      <c r="A131" s="120" t="s">
        <v>239</v>
      </c>
      <c r="B131" s="122" t="s">
        <v>240</v>
      </c>
      <c r="C131" s="155">
        <v>10</v>
      </c>
      <c r="D131" s="129">
        <v>0.44</v>
      </c>
      <c r="E131" s="122">
        <v>3</v>
      </c>
      <c r="F131" s="133">
        <f>D131*C131</f>
        <v>4.4000000000000004</v>
      </c>
      <c r="G131" s="155">
        <f t="shared" si="31"/>
        <v>2.23350253807107E-3</v>
      </c>
      <c r="H131" s="160">
        <f>G131*1.2</f>
        <v>2.6800000000000001E-3</v>
      </c>
      <c r="I131" s="117">
        <v>1.2</v>
      </c>
      <c r="J131" s="161">
        <f>4741.4*1.6*1.04*2.3*1.25*I131*H131*12</f>
        <v>875.37684000000002</v>
      </c>
      <c r="K131" s="131">
        <f>J131*30.2/100</f>
        <v>264.36</v>
      </c>
      <c r="L131" s="131">
        <f>J131*10/100</f>
        <v>87.54</v>
      </c>
      <c r="M131" s="131">
        <f>J131*10/100</f>
        <v>87.54</v>
      </c>
      <c r="N131" s="131">
        <f>J131*25/100</f>
        <v>218.84</v>
      </c>
      <c r="O131" s="131">
        <f>N131+M131+L131+K131+J131</f>
        <v>1533.66</v>
      </c>
      <c r="P131" s="131">
        <f>O131*5/100</f>
        <v>76.680000000000007</v>
      </c>
      <c r="Q131" s="131">
        <f>P131+O131</f>
        <v>1610.34</v>
      </c>
      <c r="R131" s="118">
        <f t="shared" si="112"/>
        <v>322.07</v>
      </c>
      <c r="S131" s="131">
        <f>R131+Q131</f>
        <v>1932.41</v>
      </c>
      <c r="T131" s="155">
        <v>3745.2</v>
      </c>
      <c r="U131" s="119">
        <f>Q131/T131</f>
        <v>0.42997000000000002</v>
      </c>
      <c r="V131" s="119">
        <f>R131/T131</f>
        <v>8.5999999999999993E-2</v>
      </c>
      <c r="W131" s="119">
        <f>S131/T131</f>
        <v>0.51597000000000004</v>
      </c>
      <c r="X131" s="159">
        <f>W131/12</f>
        <v>4.2999999999999997E-2</v>
      </c>
    </row>
    <row r="132" spans="1:25" s="242" customFormat="1" ht="31.5" x14ac:dyDescent="0.25">
      <c r="A132" s="173" t="s">
        <v>307</v>
      </c>
      <c r="B132" s="155" t="s">
        <v>308</v>
      </c>
      <c r="C132" s="155">
        <v>50</v>
      </c>
      <c r="D132" s="241">
        <v>0.19</v>
      </c>
      <c r="E132" s="155">
        <v>3</v>
      </c>
      <c r="F132" s="134">
        <f>D132*C132</f>
        <v>9.5</v>
      </c>
      <c r="G132" s="155">
        <f t="shared" si="31"/>
        <v>4.8223350253807102E-3</v>
      </c>
      <c r="H132" s="233">
        <f>G132*1.2</f>
        <v>5.7867999999999999E-3</v>
      </c>
      <c r="I132" s="118">
        <v>1.2</v>
      </c>
      <c r="J132" s="118">
        <f>4741.4*1.6*1.04*2.3*1.25*I132*H132*12</f>
        <v>1890.16</v>
      </c>
      <c r="K132" s="118">
        <f>J132*30.2/100</f>
        <v>570.83000000000004</v>
      </c>
      <c r="L132" s="118">
        <f>J132*10/100</f>
        <v>189.02</v>
      </c>
      <c r="M132" s="118">
        <f>J132*10/100</f>
        <v>189.02</v>
      </c>
      <c r="N132" s="118">
        <f>J132*25/100</f>
        <v>472.54</v>
      </c>
      <c r="O132" s="118">
        <f>N132+M132+L132+K132+J132</f>
        <v>3311.57</v>
      </c>
      <c r="P132" s="118">
        <f>O132*5/100</f>
        <v>165.58</v>
      </c>
      <c r="Q132" s="118">
        <f>P132+O132</f>
        <v>3477.15</v>
      </c>
      <c r="R132" s="118">
        <f t="shared" si="112"/>
        <v>695.43</v>
      </c>
      <c r="S132" s="118">
        <f>R132+Q132</f>
        <v>4172.58</v>
      </c>
      <c r="T132" s="155">
        <v>3745.2</v>
      </c>
      <c r="U132" s="119">
        <f>Q132/T132</f>
        <v>0.92842999999999998</v>
      </c>
      <c r="V132" s="119">
        <f>R132/T132</f>
        <v>0.18568999999999999</v>
      </c>
      <c r="W132" s="119">
        <f>S132/T132</f>
        <v>1.1141099999999999</v>
      </c>
      <c r="X132" s="230">
        <f>W132/12</f>
        <v>9.2840000000000006E-2</v>
      </c>
    </row>
    <row r="133" spans="1:25" s="116" customFormat="1" ht="31.5" x14ac:dyDescent="0.25">
      <c r="A133" s="125" t="s">
        <v>130</v>
      </c>
      <c r="B133" s="155" t="s">
        <v>131</v>
      </c>
      <c r="C133" s="155">
        <v>26</v>
      </c>
      <c r="D133" s="113">
        <v>0.16</v>
      </c>
      <c r="E133" s="155">
        <v>3</v>
      </c>
      <c r="F133" s="155">
        <f>D133*C133</f>
        <v>4.16</v>
      </c>
      <c r="G133" s="155">
        <f t="shared" si="31"/>
        <v>2.1116751269035501E-3</v>
      </c>
      <c r="H133" s="119">
        <f>G133*1.2</f>
        <v>2.5300000000000001E-3</v>
      </c>
      <c r="I133" s="117">
        <v>1.2</v>
      </c>
      <c r="J133" s="118">
        <f>4741.4*1.6*1.04*2.3*1.25*I133*H133*12</f>
        <v>826.38</v>
      </c>
      <c r="K133" s="118">
        <f>J133*30.2/100</f>
        <v>249.57</v>
      </c>
      <c r="L133" s="118">
        <f>J133*10/100</f>
        <v>82.64</v>
      </c>
      <c r="M133" s="118">
        <f>J133*10/100</f>
        <v>82.64</v>
      </c>
      <c r="N133" s="118">
        <f>J133*25/100</f>
        <v>206.6</v>
      </c>
      <c r="O133" s="118">
        <f>N133+M133+L133+K133+J133</f>
        <v>1447.83</v>
      </c>
      <c r="P133" s="118">
        <f>O133*5/100</f>
        <v>72.39</v>
      </c>
      <c r="Q133" s="118">
        <f>P133+O133</f>
        <v>1520.22</v>
      </c>
      <c r="R133" s="118">
        <f t="shared" si="112"/>
        <v>304.04000000000002</v>
      </c>
      <c r="S133" s="118">
        <f>R133+Q133</f>
        <v>1824.26</v>
      </c>
      <c r="T133" s="155">
        <v>3745.2</v>
      </c>
      <c r="U133" s="119">
        <f>Q133/T133</f>
        <v>0.40590999999999999</v>
      </c>
      <c r="V133" s="119">
        <f>R133/T133</f>
        <v>8.1180000000000002E-2</v>
      </c>
      <c r="W133" s="119">
        <f>S133/T133</f>
        <v>0.48709000000000002</v>
      </c>
      <c r="X133" s="147">
        <f>W133/12</f>
        <v>4.0599999999999997E-2</v>
      </c>
      <c r="Y133" s="85"/>
    </row>
    <row r="134" spans="1:25" s="96" customFormat="1" x14ac:dyDescent="0.25">
      <c r="A134" s="124" t="s">
        <v>136</v>
      </c>
      <c r="B134" s="155" t="s">
        <v>230</v>
      </c>
      <c r="C134" s="155">
        <v>152</v>
      </c>
      <c r="D134" s="113">
        <v>9.5000000000000001E-2</v>
      </c>
      <c r="E134" s="155">
        <v>3</v>
      </c>
      <c r="F134" s="130">
        <f>D134*C134</f>
        <v>14</v>
      </c>
      <c r="G134" s="155">
        <f t="shared" si="31"/>
        <v>7.1065989847715703E-3</v>
      </c>
      <c r="H134" s="119">
        <f>G134*1.2</f>
        <v>8.5299999999999994E-3</v>
      </c>
      <c r="I134" s="117">
        <v>1.2</v>
      </c>
      <c r="J134" s="131">
        <f>4741.4*1.6*1.04*2.3*1.25*I134*H134*12</f>
        <v>2786.18</v>
      </c>
      <c r="K134" s="131">
        <f>J134*30.2/100</f>
        <v>841.43</v>
      </c>
      <c r="L134" s="131">
        <f>J134*10/100</f>
        <v>278.62</v>
      </c>
      <c r="M134" s="131">
        <f>J134*10/100</f>
        <v>278.62</v>
      </c>
      <c r="N134" s="131">
        <f>J134*25/100</f>
        <v>696.55</v>
      </c>
      <c r="O134" s="131">
        <f>N134+M134+L134+K134+J134</f>
        <v>4881.3999999999996</v>
      </c>
      <c r="P134" s="131">
        <f>O134*5/100</f>
        <v>244.07</v>
      </c>
      <c r="Q134" s="131">
        <f>P134+O134</f>
        <v>5125.47</v>
      </c>
      <c r="R134" s="118">
        <f t="shared" si="112"/>
        <v>1025.0899999999999</v>
      </c>
      <c r="S134" s="131">
        <f>R134+Q134</f>
        <v>6150.56</v>
      </c>
      <c r="T134" s="155">
        <v>3745.2</v>
      </c>
      <c r="U134" s="119">
        <f>Q134/T134</f>
        <v>1.3685400000000001</v>
      </c>
      <c r="V134" s="119">
        <f>R134/T134</f>
        <v>0.27371000000000001</v>
      </c>
      <c r="W134" s="119">
        <f>S134/T134</f>
        <v>1.64225</v>
      </c>
      <c r="X134" s="147">
        <f>W134/12</f>
        <v>0.13689999999999999</v>
      </c>
      <c r="Y134" s="105"/>
    </row>
    <row r="135" spans="1:25" s="116" customFormat="1" ht="31.5" x14ac:dyDescent="0.25">
      <c r="A135" s="125" t="s">
        <v>132</v>
      </c>
      <c r="B135" s="155" t="s">
        <v>339</v>
      </c>
      <c r="C135" s="155">
        <v>106</v>
      </c>
      <c r="D135" s="113">
        <v>0.2</v>
      </c>
      <c r="E135" s="155">
        <v>3</v>
      </c>
      <c r="F135" s="155">
        <f>D135*C135</f>
        <v>21.2</v>
      </c>
      <c r="G135" s="155">
        <f t="shared" si="31"/>
        <v>1.0761421319797E-2</v>
      </c>
      <c r="H135" s="119">
        <f>G135*1.2</f>
        <v>1.291E-2</v>
      </c>
      <c r="I135" s="117">
        <v>1.2</v>
      </c>
      <c r="J135" s="155">
        <f>4741.4*1.6*1.04*2.3*1.25*I135*H135*12</f>
        <v>4216.8339592703996</v>
      </c>
      <c r="K135" s="155">
        <f>J135*30.2/100</f>
        <v>1273.4838556996599</v>
      </c>
      <c r="L135" s="155">
        <f>J135*10/100</f>
        <v>421.68339592704001</v>
      </c>
      <c r="M135" s="155">
        <f>J135*10/100</f>
        <v>421.68339592704001</v>
      </c>
      <c r="N135" s="155">
        <f>J135*25/100</f>
        <v>1054.2084898175999</v>
      </c>
      <c r="O135" s="155">
        <f>N135+M135+L135+K135+J135</f>
        <v>7387.8930966417402</v>
      </c>
      <c r="P135" s="155">
        <f>O135*5/100</f>
        <v>369.39465483208699</v>
      </c>
      <c r="Q135" s="155">
        <f>P135+O135</f>
        <v>7757.2877514738302</v>
      </c>
      <c r="R135" s="118">
        <f t="shared" si="112"/>
        <v>1551.46</v>
      </c>
      <c r="S135" s="118">
        <f>R135+Q135</f>
        <v>9308.75</v>
      </c>
      <c r="T135" s="155">
        <v>3745.2</v>
      </c>
      <c r="U135" s="119">
        <f>Q135/T135</f>
        <v>2.0712600000000001</v>
      </c>
      <c r="V135" s="119">
        <f>R135/T135</f>
        <v>0.41425000000000001</v>
      </c>
      <c r="W135" s="119">
        <f>S135/T135</f>
        <v>2.4855100000000001</v>
      </c>
      <c r="X135" s="147">
        <f>W135/12</f>
        <v>0.20710000000000001</v>
      </c>
      <c r="Y135" s="85"/>
    </row>
    <row r="136" spans="1:25" s="96" customFormat="1" ht="18.75" x14ac:dyDescent="0.25">
      <c r="A136" s="127" t="s">
        <v>157</v>
      </c>
      <c r="B136" s="155"/>
      <c r="C136" s="155"/>
      <c r="D136" s="113"/>
      <c r="E136" s="155"/>
      <c r="F136" s="130"/>
      <c r="G136" s="155"/>
      <c r="H136" s="119"/>
      <c r="I136" s="117"/>
      <c r="J136" s="131"/>
      <c r="K136" s="131"/>
      <c r="L136" s="131"/>
      <c r="M136" s="131"/>
      <c r="N136" s="131"/>
      <c r="O136" s="131"/>
      <c r="P136" s="131"/>
      <c r="Q136" s="131"/>
      <c r="R136" s="118">
        <f t="shared" si="112"/>
        <v>0</v>
      </c>
      <c r="S136" s="131"/>
      <c r="T136" s="155">
        <v>3745.2</v>
      </c>
      <c r="U136" s="119"/>
      <c r="V136" s="119"/>
      <c r="W136" s="119"/>
      <c r="X136" s="147"/>
      <c r="Y136" s="105"/>
    </row>
    <row r="137" spans="1:25" s="96" customFormat="1" x14ac:dyDescent="0.25">
      <c r="A137" s="162" t="s">
        <v>249</v>
      </c>
      <c r="B137" s="155" t="s">
        <v>247</v>
      </c>
      <c r="C137" s="155">
        <v>12</v>
      </c>
      <c r="D137" s="113">
        <v>0.18</v>
      </c>
      <c r="E137" s="155">
        <v>3</v>
      </c>
      <c r="F137" s="130">
        <f t="shared" ref="F137:F140" si="113">D137*C137</f>
        <v>2</v>
      </c>
      <c r="G137" s="155">
        <f t="shared" si="31"/>
        <v>1.01522842639594E-3</v>
      </c>
      <c r="H137" s="123">
        <f t="shared" ref="H137:H140" si="114">G137*1.2</f>
        <v>1E-3</v>
      </c>
      <c r="I137" s="117">
        <v>1.2</v>
      </c>
      <c r="J137" s="131">
        <f t="shared" ref="J137:J140" si="115">4741.4*1.6*1.04*2.3*1.25*I137*H137*12</f>
        <v>326.63</v>
      </c>
      <c r="K137" s="131">
        <f t="shared" ref="K137:K140" si="116">J137*30.2/100</f>
        <v>98.64</v>
      </c>
      <c r="L137" s="131">
        <f t="shared" ref="L137:L140" si="117">J137*10/100</f>
        <v>32.659999999999997</v>
      </c>
      <c r="M137" s="131">
        <f t="shared" ref="M137:M140" si="118">J137*10/100</f>
        <v>32.659999999999997</v>
      </c>
      <c r="N137" s="131">
        <f t="shared" ref="N137:N140" si="119">J137*25/100</f>
        <v>81.66</v>
      </c>
      <c r="O137" s="131">
        <f t="shared" ref="O137:O140" si="120">N137+M137+L137+K137+J137</f>
        <v>572.25</v>
      </c>
      <c r="P137" s="131">
        <f t="shared" ref="P137:P140" si="121">O137*5/100</f>
        <v>28.61</v>
      </c>
      <c r="Q137" s="131">
        <f t="shared" ref="Q137:Q140" si="122">P137+O137</f>
        <v>600.86</v>
      </c>
      <c r="R137" s="118">
        <f t="shared" si="112"/>
        <v>120.17</v>
      </c>
      <c r="S137" s="131">
        <f t="shared" ref="S137:S140" si="123">R137+Q137</f>
        <v>721.03</v>
      </c>
      <c r="T137" s="155">
        <v>3745.2</v>
      </c>
      <c r="U137" s="119">
        <f t="shared" ref="U137:U140" si="124">Q137/T137</f>
        <v>0.16042999999999999</v>
      </c>
      <c r="V137" s="119">
        <f t="shared" ref="V137:V140" si="125">R137/T137</f>
        <v>3.209E-2</v>
      </c>
      <c r="W137" s="119">
        <f t="shared" ref="W137:W140" si="126">S137/T137</f>
        <v>0.19252</v>
      </c>
      <c r="X137" s="158">
        <f t="shared" ref="X137:X140" si="127">W137/12</f>
        <v>1.6039999999999999E-2</v>
      </c>
      <c r="Y137" s="167"/>
    </row>
    <row r="138" spans="1:25" s="96" customFormat="1" x14ac:dyDescent="0.25">
      <c r="A138" s="162" t="s">
        <v>250</v>
      </c>
      <c r="B138" s="155" t="s">
        <v>247</v>
      </c>
      <c r="C138" s="155">
        <v>16</v>
      </c>
      <c r="D138" s="113">
        <v>0.28999999999999998</v>
      </c>
      <c r="E138" s="155">
        <v>3</v>
      </c>
      <c r="F138" s="130">
        <f t="shared" si="113"/>
        <v>5</v>
      </c>
      <c r="G138" s="155">
        <f t="shared" si="31"/>
        <v>2.5380710659898501E-3</v>
      </c>
      <c r="H138" s="123">
        <f t="shared" si="114"/>
        <v>3.0000000000000001E-3</v>
      </c>
      <c r="I138" s="117">
        <v>1.2</v>
      </c>
      <c r="J138" s="131">
        <f t="shared" si="115"/>
        <v>979.9</v>
      </c>
      <c r="K138" s="131">
        <f t="shared" si="116"/>
        <v>295.93</v>
      </c>
      <c r="L138" s="131">
        <f t="shared" si="117"/>
        <v>97.99</v>
      </c>
      <c r="M138" s="131">
        <f t="shared" si="118"/>
        <v>97.99</v>
      </c>
      <c r="N138" s="131">
        <f t="shared" si="119"/>
        <v>244.98</v>
      </c>
      <c r="O138" s="131">
        <f t="shared" si="120"/>
        <v>1716.79</v>
      </c>
      <c r="P138" s="131">
        <f t="shared" si="121"/>
        <v>85.84</v>
      </c>
      <c r="Q138" s="131">
        <f t="shared" si="122"/>
        <v>1802.63</v>
      </c>
      <c r="R138" s="118">
        <f t="shared" si="112"/>
        <v>360.53</v>
      </c>
      <c r="S138" s="131">
        <f t="shared" si="123"/>
        <v>2163.16</v>
      </c>
      <c r="T138" s="155">
        <v>3745.2</v>
      </c>
      <c r="U138" s="119">
        <f t="shared" si="124"/>
        <v>0.48132000000000003</v>
      </c>
      <c r="V138" s="119">
        <f t="shared" si="125"/>
        <v>9.6259999999999998E-2</v>
      </c>
      <c r="W138" s="119">
        <f t="shared" si="126"/>
        <v>0.57757999999999998</v>
      </c>
      <c r="X138" s="158">
        <f t="shared" si="127"/>
        <v>4.8129999999999999E-2</v>
      </c>
      <c r="Y138" s="167"/>
    </row>
    <row r="139" spans="1:25" s="96" customFormat="1" x14ac:dyDescent="0.25">
      <c r="A139" s="162" t="s">
        <v>251</v>
      </c>
      <c r="B139" s="155" t="s">
        <v>247</v>
      </c>
      <c r="C139" s="155">
        <v>18</v>
      </c>
      <c r="D139" s="113">
        <v>0.21</v>
      </c>
      <c r="E139" s="155">
        <v>3</v>
      </c>
      <c r="F139" s="130">
        <f t="shared" si="113"/>
        <v>4</v>
      </c>
      <c r="G139" s="155">
        <f t="shared" si="31"/>
        <v>2.03045685279188E-3</v>
      </c>
      <c r="H139" s="123">
        <f t="shared" si="114"/>
        <v>2E-3</v>
      </c>
      <c r="I139" s="117">
        <v>1.2</v>
      </c>
      <c r="J139" s="131">
        <f t="shared" si="115"/>
        <v>653.27</v>
      </c>
      <c r="K139" s="131">
        <f t="shared" si="116"/>
        <v>197.29</v>
      </c>
      <c r="L139" s="131">
        <f t="shared" si="117"/>
        <v>65.33</v>
      </c>
      <c r="M139" s="131">
        <f t="shared" si="118"/>
        <v>65.33</v>
      </c>
      <c r="N139" s="131">
        <f t="shared" si="119"/>
        <v>163.32</v>
      </c>
      <c r="O139" s="131">
        <f t="shared" si="120"/>
        <v>1144.54</v>
      </c>
      <c r="P139" s="131">
        <f t="shared" si="121"/>
        <v>57.23</v>
      </c>
      <c r="Q139" s="131">
        <f t="shared" si="122"/>
        <v>1201.77</v>
      </c>
      <c r="R139" s="118">
        <f t="shared" si="112"/>
        <v>240.35</v>
      </c>
      <c r="S139" s="131">
        <f t="shared" si="123"/>
        <v>1442.12</v>
      </c>
      <c r="T139" s="155">
        <v>3745.2</v>
      </c>
      <c r="U139" s="119">
        <f t="shared" si="124"/>
        <v>0.32088</v>
      </c>
      <c r="V139" s="119">
        <f t="shared" si="125"/>
        <v>6.4180000000000001E-2</v>
      </c>
      <c r="W139" s="119">
        <f t="shared" si="126"/>
        <v>0.38506000000000001</v>
      </c>
      <c r="X139" s="158">
        <f t="shared" si="127"/>
        <v>3.209E-2</v>
      </c>
      <c r="Y139" s="167"/>
    </row>
    <row r="140" spans="1:25" s="96" customFormat="1" x14ac:dyDescent="0.25">
      <c r="A140" s="162" t="s">
        <v>252</v>
      </c>
      <c r="B140" s="155" t="s">
        <v>248</v>
      </c>
      <c r="C140" s="155">
        <v>12</v>
      </c>
      <c r="D140" s="113">
        <v>0.46</v>
      </c>
      <c r="E140" s="155">
        <v>3</v>
      </c>
      <c r="F140" s="130">
        <f t="shared" si="113"/>
        <v>6</v>
      </c>
      <c r="G140" s="155">
        <f t="shared" si="31"/>
        <v>3.0456852791878198E-3</v>
      </c>
      <c r="H140" s="123">
        <f t="shared" si="114"/>
        <v>4.0000000000000001E-3</v>
      </c>
      <c r="I140" s="117">
        <v>1.2</v>
      </c>
      <c r="J140" s="131">
        <f t="shared" si="115"/>
        <v>1306.53</v>
      </c>
      <c r="K140" s="131">
        <f t="shared" si="116"/>
        <v>394.57</v>
      </c>
      <c r="L140" s="131">
        <f t="shared" si="117"/>
        <v>130.65</v>
      </c>
      <c r="M140" s="131">
        <f t="shared" si="118"/>
        <v>130.65</v>
      </c>
      <c r="N140" s="131">
        <f t="shared" si="119"/>
        <v>326.63</v>
      </c>
      <c r="O140" s="131">
        <f t="shared" si="120"/>
        <v>2289.0300000000002</v>
      </c>
      <c r="P140" s="131">
        <f t="shared" si="121"/>
        <v>114.45</v>
      </c>
      <c r="Q140" s="131">
        <f t="shared" si="122"/>
        <v>2403.48</v>
      </c>
      <c r="R140" s="118">
        <f t="shared" si="112"/>
        <v>480.7</v>
      </c>
      <c r="S140" s="131">
        <f t="shared" si="123"/>
        <v>2884.18</v>
      </c>
      <c r="T140" s="155">
        <v>3745.2</v>
      </c>
      <c r="U140" s="119">
        <f t="shared" si="124"/>
        <v>0.64175000000000004</v>
      </c>
      <c r="V140" s="119">
        <f t="shared" si="125"/>
        <v>0.12834999999999999</v>
      </c>
      <c r="W140" s="119">
        <f t="shared" si="126"/>
        <v>0.77010000000000001</v>
      </c>
      <c r="X140" s="158">
        <f t="shared" si="127"/>
        <v>6.4180000000000001E-2</v>
      </c>
      <c r="Y140" s="167"/>
    </row>
    <row r="141" spans="1:25" s="116" customFormat="1" ht="31.5" x14ac:dyDescent="0.25">
      <c r="A141" s="78" t="s">
        <v>254</v>
      </c>
      <c r="B141" s="141"/>
      <c r="C141" s="98"/>
      <c r="D141" s="79"/>
      <c r="E141" s="80"/>
      <c r="F141" s="142"/>
      <c r="G141" s="155"/>
      <c r="H141" s="112"/>
      <c r="I141" s="103"/>
      <c r="J141" s="143"/>
      <c r="K141" s="143"/>
      <c r="L141" s="143"/>
      <c r="M141" s="143"/>
      <c r="N141" s="143"/>
      <c r="O141" s="143"/>
      <c r="P141" s="143"/>
      <c r="Q141" s="143"/>
      <c r="R141" s="118">
        <f t="shared" si="112"/>
        <v>0</v>
      </c>
      <c r="S141" s="143"/>
      <c r="T141" s="155">
        <v>3745.2</v>
      </c>
      <c r="U141" s="216"/>
      <c r="V141" s="216"/>
      <c r="W141" s="216"/>
      <c r="X141" s="168"/>
    </row>
    <row r="142" spans="1:25" s="116" customFormat="1" x14ac:dyDescent="0.25">
      <c r="A142" s="106" t="s">
        <v>94</v>
      </c>
      <c r="B142" s="122" t="s">
        <v>253</v>
      </c>
      <c r="C142" s="155">
        <v>9</v>
      </c>
      <c r="D142" s="129">
        <f>47/100</f>
        <v>0.47</v>
      </c>
      <c r="E142" s="122">
        <v>4</v>
      </c>
      <c r="F142" s="130">
        <f t="shared" ref="F142" si="128">D142*C142</f>
        <v>4</v>
      </c>
      <c r="G142" s="155">
        <f t="shared" ref="G142:G180" si="129">F142/1970</f>
        <v>2.03045685279188E-3</v>
      </c>
      <c r="H142" s="123">
        <f t="shared" ref="H142" si="130">G142*1.2</f>
        <v>2E-3</v>
      </c>
      <c r="I142" s="117">
        <v>1.35</v>
      </c>
      <c r="J142" s="131">
        <f t="shared" ref="J142" si="131">4741.4*1.6*1.04*2.3*1.25*I142*H142*12</f>
        <v>734.92</v>
      </c>
      <c r="K142" s="131">
        <f t="shared" ref="K142" si="132">J142*30.2/100</f>
        <v>221.95</v>
      </c>
      <c r="L142" s="131">
        <f t="shared" ref="L142" si="133">J142*10/100</f>
        <v>73.489999999999995</v>
      </c>
      <c r="M142" s="131">
        <f t="shared" ref="M142" si="134">J142*10/100</f>
        <v>73.489999999999995</v>
      </c>
      <c r="N142" s="131">
        <f t="shared" ref="N142" si="135">J142*25/100</f>
        <v>183.73</v>
      </c>
      <c r="O142" s="131">
        <f t="shared" ref="O142" si="136">N142+M142+L142+K142+J142</f>
        <v>1287.58</v>
      </c>
      <c r="P142" s="131">
        <f t="shared" ref="P142" si="137">O142*5/100</f>
        <v>64.38</v>
      </c>
      <c r="Q142" s="131">
        <f t="shared" ref="Q142" si="138">P142+O142</f>
        <v>1351.96</v>
      </c>
      <c r="R142" s="118">
        <f t="shared" si="112"/>
        <v>270.39</v>
      </c>
      <c r="S142" s="131">
        <f t="shared" ref="S142" si="139">R142+Q142</f>
        <v>1622.35</v>
      </c>
      <c r="T142" s="155">
        <v>3745.2</v>
      </c>
      <c r="U142" s="119">
        <f t="shared" ref="U142" si="140">Q142/T142</f>
        <v>0.36098000000000002</v>
      </c>
      <c r="V142" s="119">
        <f t="shared" ref="V142" si="141">R142/T142</f>
        <v>7.22E-2</v>
      </c>
      <c r="W142" s="119">
        <f t="shared" ref="W142" si="142">S142/T142</f>
        <v>0.43318000000000001</v>
      </c>
      <c r="X142" s="159">
        <f t="shared" ref="X142" si="143">W142/12</f>
        <v>3.61E-2</v>
      </c>
    </row>
    <row r="143" spans="1:25" s="116" customFormat="1" ht="31.5" x14ac:dyDescent="0.25">
      <c r="A143" s="170" t="s">
        <v>231</v>
      </c>
      <c r="B143" s="155"/>
      <c r="C143" s="155"/>
      <c r="D143" s="113"/>
      <c r="E143" s="155"/>
      <c r="F143" s="155"/>
      <c r="G143" s="155"/>
      <c r="H143" s="155"/>
      <c r="I143" s="117"/>
      <c r="J143" s="155"/>
      <c r="K143" s="155"/>
      <c r="L143" s="155"/>
      <c r="M143" s="155"/>
      <c r="N143" s="155"/>
      <c r="O143" s="155"/>
      <c r="P143" s="155"/>
      <c r="Q143" s="155"/>
      <c r="R143" s="118">
        <f t="shared" si="112"/>
        <v>0</v>
      </c>
      <c r="S143" s="118"/>
      <c r="T143" s="155">
        <v>3745.2</v>
      </c>
      <c r="U143" s="119"/>
      <c r="V143" s="119"/>
      <c r="W143" s="119"/>
      <c r="X143" s="157"/>
    </row>
    <row r="144" spans="1:25" s="116" customFormat="1" ht="17.25" customHeight="1" x14ac:dyDescent="0.25">
      <c r="A144" s="162" t="s">
        <v>232</v>
      </c>
      <c r="B144" s="155" t="s">
        <v>233</v>
      </c>
      <c r="C144" s="155">
        <v>1</v>
      </c>
      <c r="D144" s="113">
        <v>18</v>
      </c>
      <c r="E144" s="155">
        <v>5</v>
      </c>
      <c r="F144" s="155">
        <f t="shared" ref="F144" si="144">D144*C144</f>
        <v>18</v>
      </c>
      <c r="G144" s="155">
        <f t="shared" si="129"/>
        <v>9.1370558375634507E-3</v>
      </c>
      <c r="H144" s="155">
        <f t="shared" ref="H144" si="145">G144*1.2</f>
        <v>1.09644670050761E-2</v>
      </c>
      <c r="I144" s="117">
        <v>1.54</v>
      </c>
      <c r="J144" s="155">
        <f t="shared" ref="J144" si="146">4741.4*1.6*1.04*2.3*1.25*I144*H144*12</f>
        <v>4596.0766002420096</v>
      </c>
      <c r="K144" s="155">
        <f t="shared" ref="K144" si="147">J144*30.2/100</f>
        <v>1388.01513327309</v>
      </c>
      <c r="L144" s="155">
        <f t="shared" ref="L144" si="148">J144*10/100</f>
        <v>459.60766002420098</v>
      </c>
      <c r="M144" s="155">
        <f t="shared" ref="M144" si="149">J144*10/100</f>
        <v>459.60766002420098</v>
      </c>
      <c r="N144" s="155">
        <f t="shared" ref="N144" si="150">J144*25/100</f>
        <v>1149.0191500604999</v>
      </c>
      <c r="O144" s="155">
        <f t="shared" ref="O144" si="151">N144+M144+L144+K144+J144</f>
        <v>8052.3262036240003</v>
      </c>
      <c r="P144" s="155">
        <f t="shared" ref="P144" si="152">O144*5/100</f>
        <v>402.61631018119999</v>
      </c>
      <c r="Q144" s="155">
        <f t="shared" ref="Q144" si="153">P144+O144</f>
        <v>8454.9425138051993</v>
      </c>
      <c r="R144" s="118">
        <f t="shared" si="112"/>
        <v>1690.99</v>
      </c>
      <c r="S144" s="118">
        <f t="shared" ref="S144" si="154">R144+Q144</f>
        <v>10145.93</v>
      </c>
      <c r="T144" s="155">
        <v>3745.2</v>
      </c>
      <c r="U144" s="119">
        <f t="shared" ref="U144" si="155">Q144/T144</f>
        <v>2.2575400000000001</v>
      </c>
      <c r="V144" s="119">
        <f t="shared" ref="V144" si="156">R144/T144</f>
        <v>0.45151000000000002</v>
      </c>
      <c r="W144" s="119">
        <f t="shared" ref="W144" si="157">S144/T144</f>
        <v>2.70905</v>
      </c>
      <c r="X144" s="157">
        <f t="shared" ref="X144" si="158">W144/12</f>
        <v>0.22575400000000001</v>
      </c>
    </row>
    <row r="145" spans="1:25" s="96" customFormat="1" ht="31.5" x14ac:dyDescent="0.25">
      <c r="A145" s="163" t="s">
        <v>241</v>
      </c>
      <c r="B145" s="247" t="s">
        <v>242</v>
      </c>
      <c r="C145" s="247">
        <v>45</v>
      </c>
      <c r="D145" s="146">
        <v>0.10100000000000001</v>
      </c>
      <c r="E145" s="247">
        <v>3</v>
      </c>
      <c r="F145" s="155">
        <f t="shared" ref="F145" si="159">D145*C145</f>
        <v>4.5449999999999999</v>
      </c>
      <c r="G145" s="155">
        <f t="shared" si="129"/>
        <v>2.3071065989847699E-3</v>
      </c>
      <c r="H145" s="155">
        <f t="shared" ref="H145" si="160">G145*1.2</f>
        <v>2.7685279187817202E-3</v>
      </c>
      <c r="I145" s="164">
        <v>1.2</v>
      </c>
      <c r="J145" s="155">
        <f t="shared" ref="J145" si="161">4741.4*1.6*1.04*2.3*1.25*I145*H145*12</f>
        <v>904.29299342424201</v>
      </c>
      <c r="K145" s="155">
        <f t="shared" ref="K145" si="162">J145*30.2/100</f>
        <v>273.09648401412102</v>
      </c>
      <c r="L145" s="155">
        <f t="shared" ref="L145" si="163">J145*10/100</f>
        <v>90.429299342424201</v>
      </c>
      <c r="M145" s="155">
        <f t="shared" ref="M145" si="164">J145*10/100</f>
        <v>90.429299342424201</v>
      </c>
      <c r="N145" s="155">
        <f t="shared" ref="N145" si="165">J145*25/100</f>
        <v>226.07324835606099</v>
      </c>
      <c r="O145" s="155">
        <f t="shared" ref="O145" si="166">N145+M145+L145+K145+J145</f>
        <v>1584.3213244792701</v>
      </c>
      <c r="P145" s="155">
        <f t="shared" ref="P145" si="167">O145*5/100</f>
        <v>79.216066223963495</v>
      </c>
      <c r="Q145" s="155">
        <f t="shared" ref="Q145" si="168">P145+O145</f>
        <v>1663.5373907032299</v>
      </c>
      <c r="R145" s="118">
        <f t="shared" si="112"/>
        <v>332.71</v>
      </c>
      <c r="S145" s="118">
        <f t="shared" ref="S145" si="169">R145+Q145</f>
        <v>1996.25</v>
      </c>
      <c r="T145" s="155">
        <v>3745.2</v>
      </c>
      <c r="U145" s="119">
        <f t="shared" ref="U145" si="170">Q145/T145</f>
        <v>0.44418000000000002</v>
      </c>
      <c r="V145" s="119">
        <f t="shared" ref="V145" si="171">R145/T145</f>
        <v>8.8840000000000002E-2</v>
      </c>
      <c r="W145" s="119">
        <f t="shared" ref="W145" si="172">S145/T145</f>
        <v>0.53302000000000005</v>
      </c>
      <c r="X145" s="157">
        <f t="shared" ref="X145" si="173">W145/12</f>
        <v>4.4417999999999999E-2</v>
      </c>
    </row>
    <row r="146" spans="1:25" s="116" customFormat="1" ht="31.5" x14ac:dyDescent="0.25">
      <c r="A146" s="78" t="s">
        <v>203</v>
      </c>
      <c r="B146" s="80"/>
      <c r="C146" s="155"/>
      <c r="D146" s="79"/>
      <c r="E146" s="80"/>
      <c r="F146" s="81"/>
      <c r="G146" s="155"/>
      <c r="H146" s="119"/>
      <c r="I146" s="117"/>
      <c r="J146" s="82"/>
      <c r="K146" s="82"/>
      <c r="L146" s="82"/>
      <c r="M146" s="82"/>
      <c r="N146" s="82"/>
      <c r="O146" s="82"/>
      <c r="P146" s="82"/>
      <c r="Q146" s="82"/>
      <c r="R146" s="118">
        <f t="shared" si="112"/>
        <v>0</v>
      </c>
      <c r="S146" s="82"/>
      <c r="T146" s="155">
        <v>3745.2</v>
      </c>
      <c r="U146" s="217"/>
      <c r="V146" s="217"/>
      <c r="W146" s="217"/>
      <c r="X146" s="144"/>
      <c r="Y146" s="85"/>
    </row>
    <row r="147" spans="1:25" s="116" customFormat="1" x14ac:dyDescent="0.25">
      <c r="A147" s="106" t="s">
        <v>40</v>
      </c>
      <c r="B147" s="122" t="s">
        <v>202</v>
      </c>
      <c r="C147" s="155">
        <v>4</v>
      </c>
      <c r="D147" s="129">
        <f>21/100</f>
        <v>0.21</v>
      </c>
      <c r="E147" s="122">
        <v>3</v>
      </c>
      <c r="F147" s="130">
        <f t="shared" ref="F147:F148" si="174">D147*C147</f>
        <v>1</v>
      </c>
      <c r="G147" s="155">
        <f t="shared" si="129"/>
        <v>5.0761421319797E-4</v>
      </c>
      <c r="H147" s="119">
        <f t="shared" ref="H147:H148" si="175">G147*1.2</f>
        <v>6.0999999999999997E-4</v>
      </c>
      <c r="I147" s="117">
        <v>1.2</v>
      </c>
      <c r="J147" s="131">
        <f t="shared" ref="J147:J148" si="176">4741.4*1.6*1.04*2.3*1.25*I147*H147*12</f>
        <v>199.25</v>
      </c>
      <c r="K147" s="131">
        <f t="shared" ref="K147:K148" si="177">J147*30.2/100</f>
        <v>60.17</v>
      </c>
      <c r="L147" s="131">
        <f t="shared" ref="L147:L148" si="178">J147*10/100</f>
        <v>19.93</v>
      </c>
      <c r="M147" s="131">
        <f t="shared" ref="M147:M148" si="179">J147*10/100</f>
        <v>19.93</v>
      </c>
      <c r="N147" s="131">
        <f t="shared" ref="N147:N148" si="180">J147*25/100</f>
        <v>49.81</v>
      </c>
      <c r="O147" s="131">
        <f t="shared" ref="O147:O148" si="181">N147+M147+L147+K147+J147</f>
        <v>349.09</v>
      </c>
      <c r="P147" s="131">
        <f t="shared" ref="P147:P148" si="182">O147*5/100</f>
        <v>17.45</v>
      </c>
      <c r="Q147" s="131">
        <f t="shared" ref="Q147:Q148" si="183">P147+O147</f>
        <v>366.54</v>
      </c>
      <c r="R147" s="118">
        <f t="shared" si="112"/>
        <v>73.31</v>
      </c>
      <c r="S147" s="131">
        <f t="shared" ref="S147:S148" si="184">R147+Q147</f>
        <v>439.85</v>
      </c>
      <c r="T147" s="155">
        <v>3745.2</v>
      </c>
      <c r="U147" s="119">
        <f t="shared" ref="U147:U148" si="185">Q147/T147</f>
        <v>9.7869999999999999E-2</v>
      </c>
      <c r="V147" s="119">
        <f t="shared" ref="V147:V148" si="186">R147/T147</f>
        <v>1.9570000000000001E-2</v>
      </c>
      <c r="W147" s="119">
        <f t="shared" ref="W147:W148" si="187">S147/T147</f>
        <v>0.11744</v>
      </c>
      <c r="X147" s="117">
        <f t="shared" ref="X147:X148" si="188">W147/12</f>
        <v>9.7999999999999997E-3</v>
      </c>
      <c r="Y147" s="85"/>
    </row>
    <row r="148" spans="1:25" s="116" customFormat="1" x14ac:dyDescent="0.25">
      <c r="A148" s="106" t="s">
        <v>40</v>
      </c>
      <c r="B148" s="122" t="s">
        <v>202</v>
      </c>
      <c r="C148" s="155">
        <v>4</v>
      </c>
      <c r="D148" s="129">
        <f>21/100</f>
        <v>0.21</v>
      </c>
      <c r="E148" s="122">
        <v>4</v>
      </c>
      <c r="F148" s="130">
        <f t="shared" si="174"/>
        <v>1</v>
      </c>
      <c r="G148" s="155">
        <f t="shared" si="129"/>
        <v>5.0761421319797E-4</v>
      </c>
      <c r="H148" s="119">
        <f t="shared" si="175"/>
        <v>6.0999999999999997E-4</v>
      </c>
      <c r="I148" s="117">
        <v>1.35</v>
      </c>
      <c r="J148" s="131">
        <f t="shared" si="176"/>
        <v>224.15</v>
      </c>
      <c r="K148" s="131">
        <f t="shared" si="177"/>
        <v>67.69</v>
      </c>
      <c r="L148" s="131">
        <f t="shared" si="178"/>
        <v>22.42</v>
      </c>
      <c r="M148" s="131">
        <f t="shared" si="179"/>
        <v>22.42</v>
      </c>
      <c r="N148" s="131">
        <f t="shared" si="180"/>
        <v>56.04</v>
      </c>
      <c r="O148" s="131">
        <f t="shared" si="181"/>
        <v>392.72</v>
      </c>
      <c r="P148" s="131">
        <f t="shared" si="182"/>
        <v>19.64</v>
      </c>
      <c r="Q148" s="131">
        <f t="shared" si="183"/>
        <v>412.36</v>
      </c>
      <c r="R148" s="118">
        <f t="shared" si="112"/>
        <v>82.47</v>
      </c>
      <c r="S148" s="131">
        <f t="shared" si="184"/>
        <v>494.83</v>
      </c>
      <c r="T148" s="155">
        <v>3745.2</v>
      </c>
      <c r="U148" s="119">
        <f t="shared" si="185"/>
        <v>0.1101</v>
      </c>
      <c r="V148" s="119">
        <f t="shared" si="186"/>
        <v>2.2020000000000001E-2</v>
      </c>
      <c r="W148" s="119">
        <f t="shared" si="187"/>
        <v>0.13211999999999999</v>
      </c>
      <c r="X148" s="117">
        <f t="shared" si="188"/>
        <v>1.0999999999999999E-2</v>
      </c>
      <c r="Y148" s="184">
        <f>SUM(X147:X148)</f>
        <v>2.0799999999999999E-2</v>
      </c>
    </row>
    <row r="149" spans="1:25" s="96" customFormat="1" ht="47.25" x14ac:dyDescent="0.25">
      <c r="A149" s="125" t="s">
        <v>137</v>
      </c>
      <c r="B149" s="155"/>
      <c r="C149" s="155"/>
      <c r="D149" s="113"/>
      <c r="E149" s="155"/>
      <c r="F149" s="130"/>
      <c r="G149" s="155"/>
      <c r="H149" s="119"/>
      <c r="I149" s="117"/>
      <c r="J149" s="131"/>
      <c r="K149" s="131"/>
      <c r="L149" s="131"/>
      <c r="M149" s="131"/>
      <c r="N149" s="131"/>
      <c r="O149" s="131"/>
      <c r="P149" s="131"/>
      <c r="Q149" s="131"/>
      <c r="R149" s="118">
        <f t="shared" si="112"/>
        <v>0</v>
      </c>
      <c r="S149" s="131"/>
      <c r="T149" s="155">
        <v>3745.2</v>
      </c>
      <c r="U149" s="119"/>
      <c r="V149" s="119"/>
      <c r="W149" s="119"/>
      <c r="X149" s="147"/>
      <c r="Y149" s="105"/>
    </row>
    <row r="150" spans="1:25" s="96" customFormat="1" ht="47.25" x14ac:dyDescent="0.25">
      <c r="A150" s="173" t="s">
        <v>94</v>
      </c>
      <c r="B150" s="155" t="s">
        <v>95</v>
      </c>
      <c r="C150" s="155">
        <v>15</v>
      </c>
      <c r="D150" s="113">
        <f>47.415/100</f>
        <v>0.47415000000000002</v>
      </c>
      <c r="E150" s="155">
        <v>2</v>
      </c>
      <c r="F150" s="119">
        <f>D150*C150</f>
        <v>7.1122500000000004</v>
      </c>
      <c r="G150" s="155">
        <f t="shared" si="129"/>
        <v>3.6102791878172601E-3</v>
      </c>
      <c r="H150" s="119">
        <f>G150*1.2</f>
        <v>4.3299999999999996E-3</v>
      </c>
      <c r="I150" s="117">
        <v>1.0900000000000001</v>
      </c>
      <c r="J150" s="131">
        <f>4741.4*1.6*1.04*2.3*1.25*I150*H150*12</f>
        <v>1284.68</v>
      </c>
      <c r="K150" s="131">
        <f>J150*30.2/100</f>
        <v>387.97</v>
      </c>
      <c r="L150" s="131">
        <f>J150*10/100</f>
        <v>128.47</v>
      </c>
      <c r="M150" s="131">
        <f>J150*10/100</f>
        <v>128.47</v>
      </c>
      <c r="N150" s="131">
        <f>J150*25/100</f>
        <v>321.17</v>
      </c>
      <c r="O150" s="131">
        <f>N150+M150+L150+K150+J150</f>
        <v>2250.7600000000002</v>
      </c>
      <c r="P150" s="131">
        <f>O150*5/100</f>
        <v>112.54</v>
      </c>
      <c r="Q150" s="131">
        <f>P150+O150</f>
        <v>2363.3000000000002</v>
      </c>
      <c r="R150" s="118">
        <f t="shared" si="112"/>
        <v>472.66</v>
      </c>
      <c r="S150" s="131">
        <f>R150+Q150</f>
        <v>2835.96</v>
      </c>
      <c r="T150" s="155">
        <v>3745.2</v>
      </c>
      <c r="U150" s="119">
        <f>Q150/T150</f>
        <v>0.63102000000000003</v>
      </c>
      <c r="V150" s="119">
        <f>R150/T150</f>
        <v>0.12620000000000001</v>
      </c>
      <c r="W150" s="119">
        <f>S150/T150</f>
        <v>0.75722999999999996</v>
      </c>
      <c r="X150" s="147">
        <f>W150/12</f>
        <v>6.3100000000000003E-2</v>
      </c>
      <c r="Y150" s="105"/>
    </row>
    <row r="151" spans="1:25" s="96" customFormat="1" ht="47.25" x14ac:dyDescent="0.25">
      <c r="A151" s="173" t="s">
        <v>94</v>
      </c>
      <c r="B151" s="155" t="s">
        <v>95</v>
      </c>
      <c r="C151" s="155">
        <v>15</v>
      </c>
      <c r="D151" s="113">
        <f>47.415/100</f>
        <v>0.47415000000000002</v>
      </c>
      <c r="E151" s="155">
        <v>4</v>
      </c>
      <c r="F151" s="119">
        <f>D151*C151</f>
        <v>7.1122500000000004</v>
      </c>
      <c r="G151" s="155">
        <f t="shared" si="129"/>
        <v>3.6102791878172601E-3</v>
      </c>
      <c r="H151" s="119">
        <f>G151*1.2</f>
        <v>4.3299999999999996E-3</v>
      </c>
      <c r="I151" s="117">
        <v>1.35</v>
      </c>
      <c r="J151" s="131">
        <f>4741.4*1.6*1.04*2.3*1.25*I151*H151*12</f>
        <v>1591.11</v>
      </c>
      <c r="K151" s="131">
        <f>J151*30.2/100</f>
        <v>480.52</v>
      </c>
      <c r="L151" s="131">
        <f>J151*10/100</f>
        <v>159.11000000000001</v>
      </c>
      <c r="M151" s="131">
        <f>J151*10/100</f>
        <v>159.11000000000001</v>
      </c>
      <c r="N151" s="131">
        <f>J151*25/100</f>
        <v>397.78</v>
      </c>
      <c r="O151" s="131">
        <f>N151+M151+L151+K151+J151</f>
        <v>2787.63</v>
      </c>
      <c r="P151" s="131">
        <f>O151*5/100</f>
        <v>139.38</v>
      </c>
      <c r="Q151" s="131">
        <f>P151+O151</f>
        <v>2927.01</v>
      </c>
      <c r="R151" s="118">
        <f t="shared" si="112"/>
        <v>585.4</v>
      </c>
      <c r="S151" s="131">
        <f>R151+Q151</f>
        <v>3512.41</v>
      </c>
      <c r="T151" s="155">
        <v>3745.2</v>
      </c>
      <c r="U151" s="119">
        <f>Q151/T151</f>
        <v>0.78154000000000001</v>
      </c>
      <c r="V151" s="119">
        <f>R151/T151</f>
        <v>0.15631</v>
      </c>
      <c r="W151" s="119">
        <f>S151/T151</f>
        <v>0.93784000000000001</v>
      </c>
      <c r="X151" s="147">
        <f>W151/12</f>
        <v>7.8200000000000006E-2</v>
      </c>
      <c r="Y151" s="183">
        <f>SUM(X150:X151)</f>
        <v>0.14130000000000001</v>
      </c>
    </row>
    <row r="152" spans="1:25" s="116" customFormat="1" ht="47.25" x14ac:dyDescent="0.25">
      <c r="A152" s="78" t="s">
        <v>311</v>
      </c>
      <c r="B152" s="141"/>
      <c r="C152" s="98"/>
      <c r="D152" s="79"/>
      <c r="E152" s="80"/>
      <c r="F152" s="142"/>
      <c r="G152" s="243"/>
      <c r="H152" s="112"/>
      <c r="I152" s="103"/>
      <c r="J152" s="143"/>
      <c r="K152" s="143"/>
      <c r="L152" s="143"/>
      <c r="M152" s="143"/>
      <c r="N152" s="143"/>
      <c r="O152" s="143"/>
      <c r="P152" s="143"/>
      <c r="Q152" s="143"/>
      <c r="R152" s="118">
        <f t="shared" si="112"/>
        <v>0</v>
      </c>
      <c r="S152" s="143"/>
      <c r="T152" s="155">
        <v>3745.2</v>
      </c>
      <c r="U152" s="143"/>
      <c r="V152" s="143"/>
      <c r="W152" s="143"/>
      <c r="X152" s="168"/>
    </row>
    <row r="153" spans="1:25" s="116" customFormat="1" ht="48" thickBot="1" x14ac:dyDescent="0.3">
      <c r="A153" s="260" t="s">
        <v>94</v>
      </c>
      <c r="B153" s="122" t="s">
        <v>95</v>
      </c>
      <c r="C153" s="155">
        <v>12</v>
      </c>
      <c r="D153" s="129">
        <f>57.75/100</f>
        <v>0.57750000000000001</v>
      </c>
      <c r="E153" s="122">
        <v>2</v>
      </c>
      <c r="F153" s="130">
        <f t="shared" ref="F153:F154" si="189">D153*C153</f>
        <v>7</v>
      </c>
      <c r="G153" s="117">
        <f>F153/1970</f>
        <v>3.5999999999999999E-3</v>
      </c>
      <c r="H153" s="123">
        <f t="shared" ref="H153:H154" si="190">G153*1.2</f>
        <v>4.0000000000000001E-3</v>
      </c>
      <c r="I153" s="117">
        <v>1.0900000000000001</v>
      </c>
      <c r="J153" s="131">
        <f t="shared" ref="J153:J154" si="191">4741.4*1.6*1.04*2.3*1.25*I153*H153*12</f>
        <v>1186.77</v>
      </c>
      <c r="K153" s="131">
        <f t="shared" ref="K153:K154" si="192">J153*30.2/100</f>
        <v>358.4</v>
      </c>
      <c r="L153" s="131">
        <f t="shared" ref="L153:L154" si="193">J153*10/100</f>
        <v>118.68</v>
      </c>
      <c r="M153" s="131">
        <f t="shared" ref="M153:M154" si="194">J153*10/100</f>
        <v>118.68</v>
      </c>
      <c r="N153" s="131">
        <f t="shared" ref="N153:N154" si="195">J153*25/100</f>
        <v>296.69</v>
      </c>
      <c r="O153" s="131">
        <f t="shared" ref="O153:O154" si="196">N153+M153+L153+K153+J153</f>
        <v>2079.2199999999998</v>
      </c>
      <c r="P153" s="131">
        <f t="shared" ref="P153:P154" si="197">O153*5/100</f>
        <v>103.96</v>
      </c>
      <c r="Q153" s="131">
        <f t="shared" ref="Q153:Q154" si="198">P153+O153</f>
        <v>2183.1799999999998</v>
      </c>
      <c r="R153" s="118">
        <f t="shared" si="112"/>
        <v>436.64</v>
      </c>
      <c r="S153" s="131">
        <f t="shared" ref="S153:S154" si="199">R153+Q153</f>
        <v>2619.8200000000002</v>
      </c>
      <c r="T153" s="155">
        <v>3745.2</v>
      </c>
      <c r="U153" s="131">
        <f t="shared" ref="U153:U154" si="200">Q153/T153</f>
        <v>0.57999999999999996</v>
      </c>
      <c r="V153" s="131">
        <f t="shared" ref="V153:V154" si="201">R153/T153</f>
        <v>0.12</v>
      </c>
      <c r="W153" s="131">
        <f t="shared" ref="W153:W154" si="202">S153/T153</f>
        <v>0.7</v>
      </c>
      <c r="X153" s="159">
        <f t="shared" ref="X153:X154" si="203">W153/12</f>
        <v>5.833E-2</v>
      </c>
    </row>
    <row r="154" spans="1:25" s="116" customFormat="1" ht="48" thickBot="1" x14ac:dyDescent="0.3">
      <c r="A154" s="260" t="s">
        <v>94</v>
      </c>
      <c r="B154" s="122" t="s">
        <v>95</v>
      </c>
      <c r="C154" s="155">
        <v>12</v>
      </c>
      <c r="D154" s="129">
        <f>57.75/100</f>
        <v>0.57750000000000001</v>
      </c>
      <c r="E154" s="122">
        <v>4</v>
      </c>
      <c r="F154" s="130">
        <f t="shared" si="189"/>
        <v>7</v>
      </c>
      <c r="G154" s="117">
        <f>F154/1970</f>
        <v>3.5999999999999999E-3</v>
      </c>
      <c r="H154" s="123">
        <f t="shared" si="190"/>
        <v>4.0000000000000001E-3</v>
      </c>
      <c r="I154" s="117">
        <v>1.35</v>
      </c>
      <c r="J154" s="131">
        <f t="shared" si="191"/>
        <v>1469.85</v>
      </c>
      <c r="K154" s="131">
        <f t="shared" si="192"/>
        <v>443.89</v>
      </c>
      <c r="L154" s="131">
        <f t="shared" si="193"/>
        <v>146.99</v>
      </c>
      <c r="M154" s="131">
        <f t="shared" si="194"/>
        <v>146.99</v>
      </c>
      <c r="N154" s="131">
        <f t="shared" si="195"/>
        <v>367.46</v>
      </c>
      <c r="O154" s="131">
        <f t="shared" si="196"/>
        <v>2575.1799999999998</v>
      </c>
      <c r="P154" s="131">
        <f t="shared" si="197"/>
        <v>128.76</v>
      </c>
      <c r="Q154" s="131">
        <f t="shared" si="198"/>
        <v>2703.94</v>
      </c>
      <c r="R154" s="118">
        <f t="shared" si="112"/>
        <v>540.79</v>
      </c>
      <c r="S154" s="131">
        <f t="shared" si="199"/>
        <v>3244.73</v>
      </c>
      <c r="T154" s="155">
        <v>3745.2</v>
      </c>
      <c r="U154" s="131">
        <f t="shared" si="200"/>
        <v>0.72</v>
      </c>
      <c r="V154" s="131">
        <f t="shared" si="201"/>
        <v>0.14000000000000001</v>
      </c>
      <c r="W154" s="131">
        <f t="shared" si="202"/>
        <v>0.87</v>
      </c>
      <c r="X154" s="159">
        <f t="shared" si="203"/>
        <v>7.2499999999999995E-2</v>
      </c>
      <c r="Y154" s="185">
        <f>SUM(X153:X154)</f>
        <v>0.13083</v>
      </c>
    </row>
    <row r="155" spans="1:25" s="116" customFormat="1" ht="47.25" x14ac:dyDescent="0.25">
      <c r="A155" s="78" t="s">
        <v>309</v>
      </c>
      <c r="B155" s="145"/>
      <c r="C155" s="155"/>
      <c r="D155" s="129"/>
      <c r="E155" s="122"/>
      <c r="F155" s="130"/>
      <c r="G155" s="155"/>
      <c r="H155" s="123"/>
      <c r="I155" s="118"/>
      <c r="J155" s="131"/>
      <c r="K155" s="131"/>
      <c r="L155" s="131"/>
      <c r="M155" s="131"/>
      <c r="N155" s="131"/>
      <c r="O155" s="131"/>
      <c r="P155" s="131"/>
      <c r="Q155" s="131"/>
      <c r="R155" s="118">
        <f t="shared" si="112"/>
        <v>0</v>
      </c>
      <c r="S155" s="131"/>
      <c r="T155" s="155">
        <v>3745.2</v>
      </c>
      <c r="U155" s="131"/>
      <c r="V155" s="131"/>
      <c r="W155" s="131"/>
      <c r="X155" s="159"/>
    </row>
    <row r="156" spans="1:25" s="116" customFormat="1" ht="47.25" x14ac:dyDescent="0.25">
      <c r="A156" s="236" t="s">
        <v>310</v>
      </c>
      <c r="B156" s="145" t="s">
        <v>95</v>
      </c>
      <c r="C156" s="155">
        <v>20</v>
      </c>
      <c r="D156" s="129">
        <f>35/100</f>
        <v>0.35</v>
      </c>
      <c r="E156" s="122">
        <v>4</v>
      </c>
      <c r="F156" s="133">
        <f>D156*C156</f>
        <v>7</v>
      </c>
      <c r="G156" s="155">
        <f t="shared" ref="G156:G157" si="204">F156/1970</f>
        <v>3.5532994923857899E-3</v>
      </c>
      <c r="H156" s="161">
        <f>G156*1.2</f>
        <v>4.2640000000000004E-3</v>
      </c>
      <c r="I156" s="118">
        <v>1.35</v>
      </c>
      <c r="J156" s="131">
        <f>4741.4*1.6*1.04*2.3*1.25*I156*H156*12</f>
        <v>1566.86</v>
      </c>
      <c r="K156" s="131">
        <f>J156*30.2/100</f>
        <v>473.19</v>
      </c>
      <c r="L156" s="131">
        <f>J156*10/100</f>
        <v>156.69</v>
      </c>
      <c r="M156" s="131">
        <f>J156*10/100</f>
        <v>156.69</v>
      </c>
      <c r="N156" s="131">
        <f>J156*25/100</f>
        <v>391.72</v>
      </c>
      <c r="O156" s="131">
        <f>N156+M156+L156+K156+J156</f>
        <v>2745.15</v>
      </c>
      <c r="P156" s="131">
        <f>O156*5/100</f>
        <v>137.26</v>
      </c>
      <c r="Q156" s="131">
        <f>P156+O156</f>
        <v>2882.41</v>
      </c>
      <c r="R156" s="118">
        <f t="shared" si="112"/>
        <v>576.48</v>
      </c>
      <c r="S156" s="131">
        <f>R156+Q156</f>
        <v>3458.89</v>
      </c>
      <c r="T156" s="155">
        <v>3745.2</v>
      </c>
      <c r="U156" s="131">
        <f>Q156/T156</f>
        <v>0.77</v>
      </c>
      <c r="V156" s="131">
        <f>R156/T156</f>
        <v>0.15</v>
      </c>
      <c r="W156" s="131">
        <f>S156/T156</f>
        <v>0.92</v>
      </c>
      <c r="X156" s="159">
        <f>W156/12</f>
        <v>7.6670000000000002E-2</v>
      </c>
    </row>
    <row r="157" spans="1:25" s="116" customFormat="1" ht="47.25" x14ac:dyDescent="0.25">
      <c r="A157" s="236" t="s">
        <v>94</v>
      </c>
      <c r="B157" s="145" t="s">
        <v>95</v>
      </c>
      <c r="C157" s="155">
        <v>20</v>
      </c>
      <c r="D157" s="129">
        <f>35/100</f>
        <v>0.35</v>
      </c>
      <c r="E157" s="122">
        <v>2</v>
      </c>
      <c r="F157" s="133">
        <f>D157*C157</f>
        <v>7</v>
      </c>
      <c r="G157" s="155">
        <f t="shared" si="204"/>
        <v>3.5532994923857899E-3</v>
      </c>
      <c r="H157" s="161">
        <f>G157*1.2</f>
        <v>4.2640000000000004E-3</v>
      </c>
      <c r="I157" s="118">
        <v>1.0900000000000001</v>
      </c>
      <c r="J157" s="131">
        <f>4741.4*1.6*1.04*2.3*1.25*I157*H157*12</f>
        <v>1265.0899999999999</v>
      </c>
      <c r="K157" s="131">
        <f>J157*30.2/100</f>
        <v>382.06</v>
      </c>
      <c r="L157" s="131">
        <f>J157*10/100</f>
        <v>126.51</v>
      </c>
      <c r="M157" s="131">
        <f>J157*10/100</f>
        <v>126.51</v>
      </c>
      <c r="N157" s="131">
        <f>J157*25/100</f>
        <v>316.27</v>
      </c>
      <c r="O157" s="131">
        <f>N157+M157+L157+K157+J157</f>
        <v>2216.44</v>
      </c>
      <c r="P157" s="131">
        <f>O157*5/100</f>
        <v>110.82</v>
      </c>
      <c r="Q157" s="131">
        <f>P157+O157</f>
        <v>2327.2600000000002</v>
      </c>
      <c r="R157" s="118">
        <f t="shared" si="112"/>
        <v>465.45</v>
      </c>
      <c r="S157" s="131">
        <f>R157+Q157</f>
        <v>2792.71</v>
      </c>
      <c r="T157" s="155">
        <v>3745.2</v>
      </c>
      <c r="U157" s="131">
        <f>Q157/T157</f>
        <v>0.62</v>
      </c>
      <c r="V157" s="131">
        <f>R157/T157</f>
        <v>0.12</v>
      </c>
      <c r="W157" s="131">
        <f>S157/T157</f>
        <v>0.75</v>
      </c>
      <c r="X157" s="159">
        <f>W157/12</f>
        <v>6.25E-2</v>
      </c>
      <c r="Y157" s="185">
        <f>SUM(X156:X157)</f>
        <v>0.13916999999999999</v>
      </c>
    </row>
    <row r="158" spans="1:25" s="102" customFormat="1" ht="47.25" x14ac:dyDescent="0.25">
      <c r="A158" s="125" t="s">
        <v>153</v>
      </c>
      <c r="B158" s="155"/>
      <c r="C158" s="155"/>
      <c r="D158" s="113"/>
      <c r="E158" s="155"/>
      <c r="F158" s="130"/>
      <c r="G158" s="155"/>
      <c r="H158" s="119"/>
      <c r="I158" s="117"/>
      <c r="J158" s="131"/>
      <c r="K158" s="131"/>
      <c r="L158" s="131"/>
      <c r="M158" s="131"/>
      <c r="N158" s="131"/>
      <c r="O158" s="131"/>
      <c r="P158" s="131"/>
      <c r="Q158" s="131"/>
      <c r="R158" s="118">
        <f t="shared" si="112"/>
        <v>0</v>
      </c>
      <c r="S158" s="131"/>
      <c r="T158" s="155">
        <v>3745.2</v>
      </c>
      <c r="U158" s="119"/>
      <c r="V158" s="119"/>
      <c r="W158" s="119"/>
      <c r="X158" s="147"/>
      <c r="Y158" s="93"/>
    </row>
    <row r="159" spans="1:25" s="102" customFormat="1" x14ac:dyDescent="0.25">
      <c r="A159" s="124" t="s">
        <v>94</v>
      </c>
      <c r="B159" s="155" t="s">
        <v>96</v>
      </c>
      <c r="C159" s="155">
        <v>16</v>
      </c>
      <c r="D159" s="113">
        <f>116.75/100</f>
        <v>1.1675</v>
      </c>
      <c r="E159" s="155">
        <v>3</v>
      </c>
      <c r="F159" s="130">
        <f>D159*C159</f>
        <v>19</v>
      </c>
      <c r="G159" s="155">
        <f t="shared" si="129"/>
        <v>9.6446700507614204E-3</v>
      </c>
      <c r="H159" s="119">
        <f>G159*1.2</f>
        <v>1.157E-2</v>
      </c>
      <c r="I159" s="117">
        <v>1.2</v>
      </c>
      <c r="J159" s="131">
        <f>4741.4*1.6*1.04*2.3*1.25*I159*H159*12</f>
        <v>3779.15</v>
      </c>
      <c r="K159" s="131">
        <f>J159*30.2/100</f>
        <v>1141.3</v>
      </c>
      <c r="L159" s="131">
        <f>J159*10/100</f>
        <v>377.92</v>
      </c>
      <c r="M159" s="131">
        <f>J159*10/100</f>
        <v>377.92</v>
      </c>
      <c r="N159" s="131">
        <f>J159*25/100</f>
        <v>944.79</v>
      </c>
      <c r="O159" s="131">
        <f>N159+M159+L159+K159+J159</f>
        <v>6621.08</v>
      </c>
      <c r="P159" s="131">
        <f>O159*5/100</f>
        <v>331.05</v>
      </c>
      <c r="Q159" s="131">
        <f>P159+O159</f>
        <v>6952.13</v>
      </c>
      <c r="R159" s="118">
        <f t="shared" si="112"/>
        <v>1390.43</v>
      </c>
      <c r="S159" s="131">
        <f>R159+Q159</f>
        <v>8342.56</v>
      </c>
      <c r="T159" s="155">
        <v>3745.2</v>
      </c>
      <c r="U159" s="119">
        <f>Q159/T159</f>
        <v>1.8562799999999999</v>
      </c>
      <c r="V159" s="119">
        <f>R159/T159</f>
        <v>0.37125999999999998</v>
      </c>
      <c r="W159" s="119">
        <f>S159/T159</f>
        <v>2.2275299999999998</v>
      </c>
      <c r="X159" s="147">
        <f>W159/12</f>
        <v>0.18559999999999999</v>
      </c>
      <c r="Y159" s="93"/>
    </row>
    <row r="160" spans="1:25" s="102" customFormat="1" x14ac:dyDescent="0.25">
      <c r="A160" s="124" t="s">
        <v>94</v>
      </c>
      <c r="B160" s="155" t="s">
        <v>96</v>
      </c>
      <c r="C160" s="155">
        <v>16</v>
      </c>
      <c r="D160" s="113">
        <f>116.75/100</f>
        <v>1.1675</v>
      </c>
      <c r="E160" s="155">
        <v>5</v>
      </c>
      <c r="F160" s="130">
        <f>D160*C160</f>
        <v>19</v>
      </c>
      <c r="G160" s="155">
        <f t="shared" si="129"/>
        <v>9.6446700507614204E-3</v>
      </c>
      <c r="H160" s="119">
        <f>G160*1.2</f>
        <v>1.157E-2</v>
      </c>
      <c r="I160" s="117">
        <v>1.54</v>
      </c>
      <c r="J160" s="131">
        <f>4741.4*1.6*1.04*2.3*1.25*I160*H160*12</f>
        <v>4849.8999999999996</v>
      </c>
      <c r="K160" s="131">
        <f>J160*30.2/100</f>
        <v>1464.67</v>
      </c>
      <c r="L160" s="131">
        <f>J160*10/100</f>
        <v>484.99</v>
      </c>
      <c r="M160" s="131">
        <f>J160*10/100</f>
        <v>484.99</v>
      </c>
      <c r="N160" s="131">
        <f>J160*25/100</f>
        <v>1212.48</v>
      </c>
      <c r="O160" s="131">
        <f>N160+M160+L160+K160+J160</f>
        <v>8497.0300000000007</v>
      </c>
      <c r="P160" s="131">
        <f>O160*5/100</f>
        <v>424.85</v>
      </c>
      <c r="Q160" s="131">
        <f>P160+O160</f>
        <v>8921.8799999999992</v>
      </c>
      <c r="R160" s="118">
        <f t="shared" si="112"/>
        <v>1784.38</v>
      </c>
      <c r="S160" s="131">
        <f>R160+Q160</f>
        <v>10706.26</v>
      </c>
      <c r="T160" s="155">
        <v>3745.2</v>
      </c>
      <c r="U160" s="119">
        <f>Q160/T160</f>
        <v>2.3822199999999998</v>
      </c>
      <c r="V160" s="119">
        <f>R160/T160</f>
        <v>0.47643999999999997</v>
      </c>
      <c r="W160" s="119">
        <f>S160/T160</f>
        <v>2.85866</v>
      </c>
      <c r="X160" s="147">
        <f>W160/12</f>
        <v>0.2382</v>
      </c>
      <c r="Y160" s="93">
        <f>SUM(X159:X160)</f>
        <v>0.42</v>
      </c>
    </row>
    <row r="161" spans="1:25" s="96" customFormat="1" ht="39.75" customHeight="1" x14ac:dyDescent="0.25">
      <c r="A161" s="125" t="s">
        <v>152</v>
      </c>
      <c r="B161" s="155"/>
      <c r="C161" s="155"/>
      <c r="D161" s="113"/>
      <c r="E161" s="155"/>
      <c r="F161" s="130"/>
      <c r="G161" s="155"/>
      <c r="H161" s="119"/>
      <c r="I161" s="117"/>
      <c r="J161" s="131"/>
      <c r="K161" s="131"/>
      <c r="L161" s="131"/>
      <c r="M161" s="131"/>
      <c r="N161" s="131"/>
      <c r="O161" s="131"/>
      <c r="P161" s="131"/>
      <c r="Q161" s="131"/>
      <c r="R161" s="118">
        <f t="shared" si="112"/>
        <v>0</v>
      </c>
      <c r="S161" s="131"/>
      <c r="T161" s="155">
        <v>3745.2</v>
      </c>
      <c r="U161" s="119"/>
      <c r="V161" s="119"/>
      <c r="W161" s="119"/>
      <c r="X161" s="147"/>
      <c r="Y161" s="105"/>
    </row>
    <row r="162" spans="1:25" s="96" customFormat="1" ht="35.25" customHeight="1" x14ac:dyDescent="0.25">
      <c r="A162" s="173" t="s">
        <v>94</v>
      </c>
      <c r="B162" s="155" t="s">
        <v>97</v>
      </c>
      <c r="C162" s="155">
        <v>6</v>
      </c>
      <c r="D162" s="113">
        <f>58/100</f>
        <v>0.57999999999999996</v>
      </c>
      <c r="E162" s="155">
        <v>3</v>
      </c>
      <c r="F162" s="130">
        <f>D162*C162</f>
        <v>3</v>
      </c>
      <c r="G162" s="155">
        <f t="shared" si="129"/>
        <v>1.5228426395939099E-3</v>
      </c>
      <c r="H162" s="119">
        <f>G162*1.2</f>
        <v>1.83E-3</v>
      </c>
      <c r="I162" s="117">
        <v>1.2</v>
      </c>
      <c r="J162" s="131">
        <f>4741.4*1.6*1.04*2.3*1.25*I162*H162*12</f>
        <v>597.74</v>
      </c>
      <c r="K162" s="131">
        <f>J162*30.2/100</f>
        <v>180.52</v>
      </c>
      <c r="L162" s="131">
        <f>J162*10/100</f>
        <v>59.77</v>
      </c>
      <c r="M162" s="131">
        <f>J162*10/100</f>
        <v>59.77</v>
      </c>
      <c r="N162" s="131">
        <f>J162*25/100</f>
        <v>149.44</v>
      </c>
      <c r="O162" s="131">
        <f>N162+M162+L162+K162+J162</f>
        <v>1047.24</v>
      </c>
      <c r="P162" s="131">
        <f>O162*5/100</f>
        <v>52.36</v>
      </c>
      <c r="Q162" s="131">
        <f>P162+O162</f>
        <v>1099.5999999999999</v>
      </c>
      <c r="R162" s="118">
        <f t="shared" si="112"/>
        <v>219.92</v>
      </c>
      <c r="S162" s="131">
        <f>R162+Q162</f>
        <v>1319.52</v>
      </c>
      <c r="T162" s="155">
        <v>3745.2</v>
      </c>
      <c r="U162" s="119">
        <f>Q162/T162</f>
        <v>0.29360000000000003</v>
      </c>
      <c r="V162" s="119">
        <f>R162/T162</f>
        <v>5.8720000000000001E-2</v>
      </c>
      <c r="W162" s="119">
        <f>S162/T162</f>
        <v>0.35232000000000002</v>
      </c>
      <c r="X162" s="147">
        <f>W162/12</f>
        <v>2.9399999999999999E-2</v>
      </c>
      <c r="Y162" s="105"/>
    </row>
    <row r="163" spans="1:25" s="102" customFormat="1" ht="31.5" x14ac:dyDescent="0.25">
      <c r="A163" s="162" t="s">
        <v>243</v>
      </c>
      <c r="B163" s="155"/>
      <c r="C163" s="155"/>
      <c r="D163" s="113"/>
      <c r="E163" s="155"/>
      <c r="F163" s="130"/>
      <c r="G163" s="155"/>
      <c r="H163" s="160"/>
      <c r="I163" s="117"/>
      <c r="J163" s="131"/>
      <c r="K163" s="131"/>
      <c r="L163" s="131"/>
      <c r="M163" s="131"/>
      <c r="N163" s="131"/>
      <c r="O163" s="131"/>
      <c r="P163" s="131"/>
      <c r="Q163" s="131"/>
      <c r="R163" s="118">
        <f t="shared" si="112"/>
        <v>0</v>
      </c>
      <c r="S163" s="131"/>
      <c r="T163" s="155">
        <v>3745.2</v>
      </c>
      <c r="U163" s="119"/>
      <c r="V163" s="119"/>
      <c r="W163" s="119"/>
      <c r="X163" s="158"/>
      <c r="Y163" s="165"/>
    </row>
    <row r="164" spans="1:25" s="102" customFormat="1" x14ac:dyDescent="0.25">
      <c r="A164" s="186" t="s">
        <v>40</v>
      </c>
      <c r="B164" s="281" t="s">
        <v>244</v>
      </c>
      <c r="C164" s="155">
        <v>6</v>
      </c>
      <c r="D164" s="113">
        <v>0.40500000000000003</v>
      </c>
      <c r="E164" s="155">
        <v>3</v>
      </c>
      <c r="F164" s="130">
        <f t="shared" ref="F164:F165" si="205">D164*C164</f>
        <v>2</v>
      </c>
      <c r="G164" s="155">
        <f t="shared" si="129"/>
        <v>1.01522842639594E-3</v>
      </c>
      <c r="H164" s="160">
        <f t="shared" ref="H164:H165" si="206">G164*1.2</f>
        <v>1.2199999999999999E-3</v>
      </c>
      <c r="I164" s="117">
        <v>1.2</v>
      </c>
      <c r="J164" s="131">
        <f t="shared" ref="J164:J165" si="207">4741.4*1.6*1.04*2.3*1.25*I164*H164*12</f>
        <v>398.49</v>
      </c>
      <c r="K164" s="131">
        <f t="shared" ref="K164:K165" si="208">J164*30.2/100</f>
        <v>120.34</v>
      </c>
      <c r="L164" s="131">
        <f t="shared" ref="L164:L165" si="209">J164*10/100</f>
        <v>39.85</v>
      </c>
      <c r="M164" s="131">
        <f t="shared" ref="M164:M165" si="210">J164*10/100</f>
        <v>39.85</v>
      </c>
      <c r="N164" s="131">
        <f t="shared" ref="N164:N165" si="211">J164*25/100</f>
        <v>99.62</v>
      </c>
      <c r="O164" s="131">
        <f t="shared" ref="O164:O165" si="212">N164+M164+L164+K164+J164</f>
        <v>698.15</v>
      </c>
      <c r="P164" s="131">
        <f t="shared" ref="P164:P165" si="213">O164*5/100</f>
        <v>34.909999999999997</v>
      </c>
      <c r="Q164" s="131">
        <f t="shared" ref="Q164:Q165" si="214">P164+O164</f>
        <v>733.06</v>
      </c>
      <c r="R164" s="118">
        <f t="shared" si="112"/>
        <v>146.61000000000001</v>
      </c>
      <c r="S164" s="131">
        <f t="shared" ref="S164:S165" si="215">R164+Q164</f>
        <v>879.67</v>
      </c>
      <c r="T164" s="155">
        <v>3745.2</v>
      </c>
      <c r="U164" s="119">
        <f t="shared" ref="U164:U165" si="216">Q164/T164</f>
        <v>0.19572999999999999</v>
      </c>
      <c r="V164" s="119">
        <f t="shared" ref="V164:V165" si="217">R164/T164</f>
        <v>3.9149999999999997E-2</v>
      </c>
      <c r="W164" s="119">
        <f t="shared" ref="W164:W165" si="218">S164/T164</f>
        <v>0.23488000000000001</v>
      </c>
      <c r="X164" s="158">
        <f t="shared" ref="X164:X165" si="219">W164/12</f>
        <v>1.9570000000000001E-2</v>
      </c>
    </row>
    <row r="165" spans="1:25" s="102" customFormat="1" x14ac:dyDescent="0.25">
      <c r="A165" s="186" t="s">
        <v>40</v>
      </c>
      <c r="B165" s="283"/>
      <c r="C165" s="155">
        <v>6</v>
      </c>
      <c r="D165" s="113">
        <v>0.40500000000000003</v>
      </c>
      <c r="E165" s="155">
        <v>4</v>
      </c>
      <c r="F165" s="130">
        <f t="shared" si="205"/>
        <v>2</v>
      </c>
      <c r="G165" s="155">
        <f t="shared" si="129"/>
        <v>1.01522842639594E-3</v>
      </c>
      <c r="H165" s="160">
        <f t="shared" si="206"/>
        <v>1.2199999999999999E-3</v>
      </c>
      <c r="I165" s="117">
        <v>1.35</v>
      </c>
      <c r="J165" s="131">
        <f t="shared" si="207"/>
        <v>448.3</v>
      </c>
      <c r="K165" s="131">
        <f t="shared" si="208"/>
        <v>135.38999999999999</v>
      </c>
      <c r="L165" s="131">
        <f t="shared" si="209"/>
        <v>44.83</v>
      </c>
      <c r="M165" s="131">
        <f t="shared" si="210"/>
        <v>44.83</v>
      </c>
      <c r="N165" s="131">
        <f t="shared" si="211"/>
        <v>112.08</v>
      </c>
      <c r="O165" s="131">
        <f t="shared" si="212"/>
        <v>785.43</v>
      </c>
      <c r="P165" s="131">
        <f t="shared" si="213"/>
        <v>39.270000000000003</v>
      </c>
      <c r="Q165" s="131">
        <f t="shared" si="214"/>
        <v>824.7</v>
      </c>
      <c r="R165" s="118">
        <f t="shared" si="112"/>
        <v>164.94</v>
      </c>
      <c r="S165" s="131">
        <f t="shared" si="215"/>
        <v>989.64</v>
      </c>
      <c r="T165" s="155">
        <v>3745.2</v>
      </c>
      <c r="U165" s="119">
        <f t="shared" si="216"/>
        <v>0.22020000000000001</v>
      </c>
      <c r="V165" s="119">
        <f t="shared" si="217"/>
        <v>4.4040000000000003E-2</v>
      </c>
      <c r="W165" s="119">
        <f t="shared" si="218"/>
        <v>0.26423999999999997</v>
      </c>
      <c r="X165" s="158">
        <f t="shared" si="219"/>
        <v>2.2020000000000001E-2</v>
      </c>
      <c r="Y165" s="166">
        <f>SUM(X164:X165)</f>
        <v>4.1590000000000002E-2</v>
      </c>
    </row>
    <row r="166" spans="1:25" s="102" customFormat="1" ht="31.5" x14ac:dyDescent="0.25">
      <c r="A166" s="162" t="s">
        <v>245</v>
      </c>
      <c r="B166" s="155" t="s">
        <v>246</v>
      </c>
      <c r="C166" s="155"/>
      <c r="D166" s="113"/>
      <c r="E166" s="155"/>
      <c r="F166" s="130"/>
      <c r="G166" s="155"/>
      <c r="H166" s="160"/>
      <c r="I166" s="117"/>
      <c r="J166" s="131"/>
      <c r="K166" s="131"/>
      <c r="L166" s="131"/>
      <c r="M166" s="131"/>
      <c r="N166" s="131"/>
      <c r="O166" s="131"/>
      <c r="P166" s="131"/>
      <c r="Q166" s="131"/>
      <c r="R166" s="118">
        <f t="shared" si="112"/>
        <v>0</v>
      </c>
      <c r="S166" s="131"/>
      <c r="T166" s="155">
        <v>3745.2</v>
      </c>
      <c r="U166" s="119"/>
      <c r="V166" s="119"/>
      <c r="W166" s="119"/>
      <c r="X166" s="158"/>
      <c r="Y166" s="165"/>
    </row>
    <row r="167" spans="1:25" s="102" customFormat="1" ht="15.75" customHeight="1" x14ac:dyDescent="0.25">
      <c r="A167" s="186" t="s">
        <v>40</v>
      </c>
      <c r="B167" s="281" t="s">
        <v>244</v>
      </c>
      <c r="C167" s="155">
        <v>6</v>
      </c>
      <c r="D167" s="113">
        <v>0.66500000000000004</v>
      </c>
      <c r="E167" s="155">
        <v>3</v>
      </c>
      <c r="F167" s="130">
        <f t="shared" ref="F167:F168" si="220">D167*C167</f>
        <v>4</v>
      </c>
      <c r="G167" s="155">
        <f t="shared" si="129"/>
        <v>2.03045685279188E-3</v>
      </c>
      <c r="H167" s="160">
        <f t="shared" ref="H167:H168" si="221">G167*1.2</f>
        <v>2.4399999999999999E-3</v>
      </c>
      <c r="I167" s="117">
        <v>1.2</v>
      </c>
      <c r="J167" s="131">
        <f t="shared" ref="J167:J168" si="222">4741.4*1.6*1.04*2.3*1.25*I167*H167*12</f>
        <v>796.98</v>
      </c>
      <c r="K167" s="131">
        <f t="shared" ref="K167:K168" si="223">J167*30.2/100</f>
        <v>240.69</v>
      </c>
      <c r="L167" s="131">
        <f t="shared" ref="L167:L168" si="224">J167*10/100</f>
        <v>79.7</v>
      </c>
      <c r="M167" s="131">
        <f t="shared" ref="M167:M168" si="225">J167*10/100</f>
        <v>79.7</v>
      </c>
      <c r="N167" s="131">
        <f t="shared" ref="N167:N168" si="226">J167*25/100</f>
        <v>199.25</v>
      </c>
      <c r="O167" s="131">
        <f t="shared" ref="O167:O168" si="227">N167+M167+L167+K167+J167</f>
        <v>1396.32</v>
      </c>
      <c r="P167" s="131">
        <f t="shared" ref="P167:P168" si="228">O167*5/100</f>
        <v>69.819999999999993</v>
      </c>
      <c r="Q167" s="131">
        <f t="shared" ref="Q167:Q168" si="229">P167+O167</f>
        <v>1466.14</v>
      </c>
      <c r="R167" s="118">
        <f t="shared" si="112"/>
        <v>293.23</v>
      </c>
      <c r="S167" s="131">
        <f t="shared" ref="S167:S168" si="230">R167+Q167</f>
        <v>1759.37</v>
      </c>
      <c r="T167" s="155">
        <v>3745.2</v>
      </c>
      <c r="U167" s="119">
        <f t="shared" ref="U167:U168" si="231">Q167/T167</f>
        <v>0.39146999999999998</v>
      </c>
      <c r="V167" s="119">
        <f t="shared" ref="V167:V168" si="232">R167/T167</f>
        <v>7.8289999999999998E-2</v>
      </c>
      <c r="W167" s="119">
        <f t="shared" ref="W167:W168" si="233">S167/T167</f>
        <v>0.46977000000000002</v>
      </c>
      <c r="X167" s="158">
        <f t="shared" ref="X167:X168" si="234">W167/12</f>
        <v>3.9149999999999997E-2</v>
      </c>
    </row>
    <row r="168" spans="1:25" s="102" customFormat="1" ht="15.75" customHeight="1" x14ac:dyDescent="0.25">
      <c r="A168" s="186" t="s">
        <v>40</v>
      </c>
      <c r="B168" s="283"/>
      <c r="C168" s="155">
        <v>6</v>
      </c>
      <c r="D168" s="113">
        <v>0.66500000000000004</v>
      </c>
      <c r="E168" s="155">
        <v>4</v>
      </c>
      <c r="F168" s="130">
        <f t="shared" si="220"/>
        <v>4</v>
      </c>
      <c r="G168" s="155">
        <f t="shared" si="129"/>
        <v>2.03045685279188E-3</v>
      </c>
      <c r="H168" s="160">
        <f t="shared" si="221"/>
        <v>2.4399999999999999E-3</v>
      </c>
      <c r="I168" s="117">
        <v>1.35</v>
      </c>
      <c r="J168" s="131">
        <f t="shared" si="222"/>
        <v>896.61</v>
      </c>
      <c r="K168" s="131">
        <f t="shared" si="223"/>
        <v>270.77999999999997</v>
      </c>
      <c r="L168" s="131">
        <f t="shared" si="224"/>
        <v>89.66</v>
      </c>
      <c r="M168" s="131">
        <f t="shared" si="225"/>
        <v>89.66</v>
      </c>
      <c r="N168" s="131">
        <f t="shared" si="226"/>
        <v>224.15</v>
      </c>
      <c r="O168" s="131">
        <f t="shared" si="227"/>
        <v>1570.86</v>
      </c>
      <c r="P168" s="131">
        <f t="shared" si="228"/>
        <v>78.540000000000006</v>
      </c>
      <c r="Q168" s="131">
        <f t="shared" si="229"/>
        <v>1649.4</v>
      </c>
      <c r="R168" s="118">
        <f t="shared" si="112"/>
        <v>329.88</v>
      </c>
      <c r="S168" s="131">
        <f t="shared" si="230"/>
        <v>1979.28</v>
      </c>
      <c r="T168" s="155">
        <v>3745.2</v>
      </c>
      <c r="U168" s="119">
        <f t="shared" si="231"/>
        <v>0.44040000000000001</v>
      </c>
      <c r="V168" s="119">
        <f t="shared" si="232"/>
        <v>8.8080000000000006E-2</v>
      </c>
      <c r="W168" s="119">
        <f t="shared" si="233"/>
        <v>0.52847999999999995</v>
      </c>
      <c r="X168" s="158">
        <f t="shared" si="234"/>
        <v>4.4040000000000003E-2</v>
      </c>
      <c r="Y168" s="166">
        <f>SUM(X167:X168)</f>
        <v>8.319E-2</v>
      </c>
    </row>
    <row r="169" spans="1:25" s="96" customFormat="1" ht="30.75" customHeight="1" x14ac:dyDescent="0.25">
      <c r="A169" s="125" t="s">
        <v>138</v>
      </c>
      <c r="B169" s="247"/>
      <c r="C169" s="155"/>
      <c r="D169" s="113"/>
      <c r="E169" s="155"/>
      <c r="F169" s="130"/>
      <c r="G169" s="155"/>
      <c r="H169" s="119"/>
      <c r="I169" s="117"/>
      <c r="J169" s="131"/>
      <c r="K169" s="131"/>
      <c r="L169" s="131"/>
      <c r="M169" s="131"/>
      <c r="N169" s="131"/>
      <c r="O169" s="131"/>
      <c r="P169" s="131"/>
      <c r="Q169" s="131"/>
      <c r="R169" s="118">
        <f t="shared" si="112"/>
        <v>0</v>
      </c>
      <c r="S169" s="131"/>
      <c r="T169" s="155">
        <v>3745.2</v>
      </c>
      <c r="U169" s="119"/>
      <c r="V169" s="119"/>
      <c r="W169" s="119"/>
      <c r="X169" s="147"/>
      <c r="Y169" s="105"/>
    </row>
    <row r="170" spans="1:25" s="96" customFormat="1" ht="16.5" customHeight="1" x14ac:dyDescent="0.25">
      <c r="A170" s="124" t="s">
        <v>94</v>
      </c>
      <c r="B170" s="247" t="s">
        <v>101</v>
      </c>
      <c r="C170" s="155">
        <v>3</v>
      </c>
      <c r="D170" s="113">
        <v>0.31</v>
      </c>
      <c r="E170" s="155">
        <v>3</v>
      </c>
      <c r="F170" s="130">
        <f>D170*C170</f>
        <v>1</v>
      </c>
      <c r="G170" s="155">
        <f t="shared" si="129"/>
        <v>5.0761421319797E-4</v>
      </c>
      <c r="H170" s="119">
        <f>G170*1.2</f>
        <v>6.0999999999999997E-4</v>
      </c>
      <c r="I170" s="117">
        <v>1.2</v>
      </c>
      <c r="J170" s="131">
        <f>4741.4*1.6*1.04*2.3*1.25*I170*H170*12</f>
        <v>199.25</v>
      </c>
      <c r="K170" s="131">
        <f>J170*30.2/100</f>
        <v>60.17</v>
      </c>
      <c r="L170" s="131">
        <f>J170*10/100</f>
        <v>19.93</v>
      </c>
      <c r="M170" s="131">
        <f>J170*10/100</f>
        <v>19.93</v>
      </c>
      <c r="N170" s="131">
        <f>J170*25/100</f>
        <v>49.81</v>
      </c>
      <c r="O170" s="131">
        <f>N170+M170+L170+K170+J170</f>
        <v>349.09</v>
      </c>
      <c r="P170" s="131">
        <f>O170*5/100</f>
        <v>17.45</v>
      </c>
      <c r="Q170" s="131">
        <f>P170+O170</f>
        <v>366.54</v>
      </c>
      <c r="R170" s="118">
        <f t="shared" si="112"/>
        <v>73.31</v>
      </c>
      <c r="S170" s="131">
        <f>R170+Q170</f>
        <v>439.85</v>
      </c>
      <c r="T170" s="155">
        <v>3745.2</v>
      </c>
      <c r="U170" s="119">
        <f>Q170/T170</f>
        <v>9.7869999999999999E-2</v>
      </c>
      <c r="V170" s="119">
        <f>R170/T170</f>
        <v>1.9570000000000001E-2</v>
      </c>
      <c r="W170" s="119">
        <f>S170/T170</f>
        <v>0.11744</v>
      </c>
      <c r="X170" s="147">
        <f>W170/12</f>
        <v>9.7999999999999997E-3</v>
      </c>
      <c r="Y170" s="105"/>
    </row>
    <row r="171" spans="1:25" s="116" customFormat="1" ht="31.5" x14ac:dyDescent="0.25">
      <c r="A171" s="78" t="s">
        <v>260</v>
      </c>
      <c r="B171" s="141"/>
      <c r="C171" s="98"/>
      <c r="D171" s="79"/>
      <c r="E171" s="80"/>
      <c r="F171" s="142"/>
      <c r="G171" s="155"/>
      <c r="H171" s="112"/>
      <c r="I171" s="103"/>
      <c r="J171" s="143"/>
      <c r="K171" s="143"/>
      <c r="L171" s="143"/>
      <c r="M171" s="143"/>
      <c r="N171" s="143"/>
      <c r="O171" s="143"/>
      <c r="P171" s="143"/>
      <c r="Q171" s="143"/>
      <c r="R171" s="118">
        <f t="shared" si="112"/>
        <v>0</v>
      </c>
      <c r="S171" s="143"/>
      <c r="T171" s="155">
        <v>3745.2</v>
      </c>
      <c r="U171" s="216"/>
      <c r="V171" s="216"/>
      <c r="W171" s="216"/>
      <c r="X171" s="168"/>
    </row>
    <row r="172" spans="1:25" s="116" customFormat="1" ht="16.5" thickBot="1" x14ac:dyDescent="0.3">
      <c r="A172" s="181" t="s">
        <v>94</v>
      </c>
      <c r="B172" s="122" t="s">
        <v>98</v>
      </c>
      <c r="C172" s="155">
        <v>2</v>
      </c>
      <c r="D172" s="129">
        <f>154/100</f>
        <v>1.54</v>
      </c>
      <c r="E172" s="122">
        <v>3</v>
      </c>
      <c r="F172" s="130">
        <f t="shared" ref="F172:F173" si="235">D172*C172</f>
        <v>3</v>
      </c>
      <c r="G172" s="155">
        <f t="shared" si="129"/>
        <v>1.5228426395939099E-3</v>
      </c>
      <c r="H172" s="123">
        <f t="shared" ref="H172:H173" si="236">G172*1.2</f>
        <v>2E-3</v>
      </c>
      <c r="I172" s="117">
        <v>1.2</v>
      </c>
      <c r="J172" s="131">
        <f t="shared" ref="J172:J173" si="237">4741.4*1.6*1.04*2.3*1.25*I172*H172*12</f>
        <v>653.27</v>
      </c>
      <c r="K172" s="131">
        <f t="shared" ref="K172:K173" si="238">J172*30.2/100</f>
        <v>197.29</v>
      </c>
      <c r="L172" s="131">
        <f t="shared" ref="L172:L173" si="239">J172*10/100</f>
        <v>65.33</v>
      </c>
      <c r="M172" s="131">
        <f t="shared" ref="M172:M173" si="240">J172*10/100</f>
        <v>65.33</v>
      </c>
      <c r="N172" s="131">
        <f t="shared" ref="N172:N173" si="241">J172*25/100</f>
        <v>163.32</v>
      </c>
      <c r="O172" s="131">
        <f t="shared" ref="O172:O173" si="242">N172+M172+L172+K172+J172</f>
        <v>1144.54</v>
      </c>
      <c r="P172" s="131">
        <f t="shared" ref="P172:P173" si="243">O172*5/100</f>
        <v>57.23</v>
      </c>
      <c r="Q172" s="131">
        <f t="shared" ref="Q172:Q173" si="244">P172+O172</f>
        <v>1201.77</v>
      </c>
      <c r="R172" s="118">
        <f t="shared" si="112"/>
        <v>240.35</v>
      </c>
      <c r="S172" s="131">
        <f t="shared" ref="S172:S173" si="245">R172+Q172</f>
        <v>1442.12</v>
      </c>
      <c r="T172" s="155">
        <v>3745.2</v>
      </c>
      <c r="U172" s="119">
        <f t="shared" ref="U172:U173" si="246">Q172/T172</f>
        <v>0.32088</v>
      </c>
      <c r="V172" s="119">
        <f t="shared" ref="V172:V173" si="247">R172/T172</f>
        <v>6.4180000000000001E-2</v>
      </c>
      <c r="W172" s="119">
        <f t="shared" ref="W172:W173" si="248">S172/T172</f>
        <v>0.38506000000000001</v>
      </c>
      <c r="X172" s="159">
        <f t="shared" ref="X172:X173" si="249">W172/12</f>
        <v>3.209E-2</v>
      </c>
    </row>
    <row r="173" spans="1:25" s="116" customFormat="1" ht="16.5" thickBot="1" x14ac:dyDescent="0.3">
      <c r="A173" s="181" t="s">
        <v>94</v>
      </c>
      <c r="B173" s="122" t="s">
        <v>98</v>
      </c>
      <c r="C173" s="155">
        <v>2</v>
      </c>
      <c r="D173" s="129">
        <f>154/100</f>
        <v>1.54</v>
      </c>
      <c r="E173" s="122">
        <v>4</v>
      </c>
      <c r="F173" s="130">
        <f t="shared" si="235"/>
        <v>3</v>
      </c>
      <c r="G173" s="155">
        <f t="shared" si="129"/>
        <v>1.5228426395939099E-3</v>
      </c>
      <c r="H173" s="123">
        <f t="shared" si="236"/>
        <v>2E-3</v>
      </c>
      <c r="I173" s="117">
        <v>1.35</v>
      </c>
      <c r="J173" s="131">
        <f t="shared" si="237"/>
        <v>734.92</v>
      </c>
      <c r="K173" s="131">
        <f t="shared" si="238"/>
        <v>221.95</v>
      </c>
      <c r="L173" s="131">
        <f t="shared" si="239"/>
        <v>73.489999999999995</v>
      </c>
      <c r="M173" s="131">
        <f t="shared" si="240"/>
        <v>73.489999999999995</v>
      </c>
      <c r="N173" s="131">
        <f t="shared" si="241"/>
        <v>183.73</v>
      </c>
      <c r="O173" s="131">
        <f t="shared" si="242"/>
        <v>1287.58</v>
      </c>
      <c r="P173" s="131">
        <f t="shared" si="243"/>
        <v>64.38</v>
      </c>
      <c r="Q173" s="131">
        <f t="shared" si="244"/>
        <v>1351.96</v>
      </c>
      <c r="R173" s="118">
        <f t="shared" si="112"/>
        <v>270.39</v>
      </c>
      <c r="S173" s="131">
        <f t="shared" si="245"/>
        <v>1622.35</v>
      </c>
      <c r="T173" s="155">
        <v>3745.2</v>
      </c>
      <c r="U173" s="119">
        <f t="shared" si="246"/>
        <v>0.36098000000000002</v>
      </c>
      <c r="V173" s="119">
        <f t="shared" si="247"/>
        <v>7.22E-2</v>
      </c>
      <c r="W173" s="119">
        <f t="shared" si="248"/>
        <v>0.43318000000000001</v>
      </c>
      <c r="X173" s="159">
        <f t="shared" si="249"/>
        <v>3.61E-2</v>
      </c>
      <c r="Y173" s="185">
        <f>SUM(X172:X173)</f>
        <v>6.8190000000000001E-2</v>
      </c>
    </row>
    <row r="174" spans="1:25" s="96" customFormat="1" ht="36.75" customHeight="1" x14ac:dyDescent="0.25">
      <c r="A174" s="121" t="s">
        <v>139</v>
      </c>
      <c r="B174" s="146"/>
      <c r="C174" s="155"/>
      <c r="D174" s="113"/>
      <c r="E174" s="155"/>
      <c r="F174" s="130"/>
      <c r="G174" s="155"/>
      <c r="H174" s="119"/>
      <c r="I174" s="117"/>
      <c r="J174" s="131"/>
      <c r="K174" s="131"/>
      <c r="L174" s="131"/>
      <c r="M174" s="131"/>
      <c r="N174" s="131"/>
      <c r="O174" s="131"/>
      <c r="P174" s="131"/>
      <c r="Q174" s="131"/>
      <c r="R174" s="118">
        <f t="shared" si="112"/>
        <v>0</v>
      </c>
      <c r="S174" s="131"/>
      <c r="T174" s="155">
        <v>3745.2</v>
      </c>
      <c r="U174" s="119"/>
      <c r="V174" s="119"/>
      <c r="W174" s="119"/>
      <c r="X174" s="147"/>
      <c r="Y174" s="105"/>
    </row>
    <row r="175" spans="1:25" s="96" customFormat="1" ht="47.25" x14ac:dyDescent="0.25">
      <c r="A175" s="124" t="s">
        <v>99</v>
      </c>
      <c r="B175" s="247" t="s">
        <v>100</v>
      </c>
      <c r="C175" s="155">
        <v>65</v>
      </c>
      <c r="D175" s="113">
        <f>49.5/100</f>
        <v>0.495</v>
      </c>
      <c r="E175" s="155">
        <v>2</v>
      </c>
      <c r="F175" s="130">
        <f>D175*C175</f>
        <v>32</v>
      </c>
      <c r="G175" s="155">
        <f t="shared" si="129"/>
        <v>1.6243654822334998E-2</v>
      </c>
      <c r="H175" s="119">
        <f>G175*1.2</f>
        <v>1.949E-2</v>
      </c>
      <c r="I175" s="117">
        <v>1.0900000000000001</v>
      </c>
      <c r="J175" s="131">
        <f>4741.4*1.6*1.04*2.3*1.25*I175*H175*12</f>
        <v>5782.52</v>
      </c>
      <c r="K175" s="131">
        <f>J175*30.2/100</f>
        <v>1746.32</v>
      </c>
      <c r="L175" s="131">
        <f>J175*10/100</f>
        <v>578.25</v>
      </c>
      <c r="M175" s="131">
        <f>J175*10/100</f>
        <v>578.25</v>
      </c>
      <c r="N175" s="131">
        <f>J175*25/100</f>
        <v>1445.63</v>
      </c>
      <c r="O175" s="131">
        <f>N175+M175+L175+K175+J175</f>
        <v>10130.969999999999</v>
      </c>
      <c r="P175" s="131">
        <f>O175*5/100</f>
        <v>506.55</v>
      </c>
      <c r="Q175" s="131">
        <f>P175+O175</f>
        <v>10637.52</v>
      </c>
      <c r="R175" s="118">
        <f t="shared" si="112"/>
        <v>2127.5</v>
      </c>
      <c r="S175" s="131">
        <f>R175+Q175</f>
        <v>12765.02</v>
      </c>
      <c r="T175" s="155">
        <v>3745.2</v>
      </c>
      <c r="U175" s="119">
        <f>Q175/T175</f>
        <v>2.8403100000000001</v>
      </c>
      <c r="V175" s="119">
        <f>R175/T175</f>
        <v>0.56806000000000001</v>
      </c>
      <c r="W175" s="119">
        <f>S175/T175</f>
        <v>3.4083700000000001</v>
      </c>
      <c r="X175" s="147">
        <f>W175/12</f>
        <v>0.28399999999999997</v>
      </c>
      <c r="Y175" s="105"/>
    </row>
    <row r="176" spans="1:25" s="96" customFormat="1" ht="47.25" x14ac:dyDescent="0.25">
      <c r="A176" s="124" t="s">
        <v>99</v>
      </c>
      <c r="B176" s="247" t="s">
        <v>100</v>
      </c>
      <c r="C176" s="155">
        <v>65</v>
      </c>
      <c r="D176" s="113">
        <f>49.5/100</f>
        <v>0.495</v>
      </c>
      <c r="E176" s="155">
        <v>3</v>
      </c>
      <c r="F176" s="130">
        <f>D176*C176</f>
        <v>32</v>
      </c>
      <c r="G176" s="155">
        <f t="shared" si="129"/>
        <v>1.6243654822334998E-2</v>
      </c>
      <c r="H176" s="119">
        <f>G176*1.2</f>
        <v>1.949E-2</v>
      </c>
      <c r="I176" s="117">
        <v>1.2</v>
      </c>
      <c r="J176" s="131">
        <f>4741.4*1.6*1.04*2.3*1.25*I176*H176*12</f>
        <v>6366.08</v>
      </c>
      <c r="K176" s="131">
        <f>J176*30.2/100</f>
        <v>1922.56</v>
      </c>
      <c r="L176" s="131">
        <f>J176*10/100</f>
        <v>636.61</v>
      </c>
      <c r="M176" s="131">
        <f>J176*10/100</f>
        <v>636.61</v>
      </c>
      <c r="N176" s="131">
        <f>J176*25/100</f>
        <v>1591.52</v>
      </c>
      <c r="O176" s="131">
        <f>N176+M176+L176+K176+J176</f>
        <v>11153.38</v>
      </c>
      <c r="P176" s="131">
        <f>O176*5/100</f>
        <v>557.66999999999996</v>
      </c>
      <c r="Q176" s="131">
        <f>P176+O176</f>
        <v>11711.05</v>
      </c>
      <c r="R176" s="118">
        <f t="shared" si="112"/>
        <v>2342.21</v>
      </c>
      <c r="S176" s="131">
        <f>R176+Q176</f>
        <v>14053.26</v>
      </c>
      <c r="T176" s="155">
        <v>3745.2</v>
      </c>
      <c r="U176" s="119">
        <f>Q176/T176</f>
        <v>3.1269499999999999</v>
      </c>
      <c r="V176" s="119">
        <f>R176/T176</f>
        <v>0.62539</v>
      </c>
      <c r="W176" s="119">
        <f>S176/T176</f>
        <v>3.7523399999999998</v>
      </c>
      <c r="X176" s="147">
        <f>W176/12</f>
        <v>0.31269999999999998</v>
      </c>
      <c r="Y176" s="105">
        <f>SUM(X175:X176)</f>
        <v>0.6</v>
      </c>
    </row>
    <row r="177" spans="1:25" s="96" customFormat="1" ht="37.700000000000003" customHeight="1" x14ac:dyDescent="0.25">
      <c r="A177" s="124" t="s">
        <v>269</v>
      </c>
      <c r="B177" s="155" t="s">
        <v>37</v>
      </c>
      <c r="C177" s="155"/>
      <c r="D177" s="113"/>
      <c r="E177" s="155"/>
      <c r="F177" s="130"/>
      <c r="G177" s="155"/>
      <c r="H177" s="123"/>
      <c r="I177" s="117"/>
      <c r="J177" s="131"/>
      <c r="K177" s="131"/>
      <c r="L177" s="131"/>
      <c r="M177" s="131"/>
      <c r="N177" s="131"/>
      <c r="O177" s="131"/>
      <c r="P177" s="131"/>
      <c r="Q177" s="131"/>
      <c r="R177" s="118">
        <f t="shared" si="112"/>
        <v>0</v>
      </c>
      <c r="S177" s="131"/>
      <c r="T177" s="155">
        <v>3745.2</v>
      </c>
      <c r="U177" s="131"/>
      <c r="V177" s="131"/>
      <c r="W177" s="131"/>
      <c r="X177" s="147"/>
      <c r="Y177" s="105"/>
    </row>
    <row r="178" spans="1:25" s="96" customFormat="1" x14ac:dyDescent="0.25">
      <c r="A178" s="182" t="s">
        <v>41</v>
      </c>
      <c r="B178" s="281" t="s">
        <v>42</v>
      </c>
      <c r="C178" s="155">
        <v>3745.2</v>
      </c>
      <c r="D178" s="113">
        <f>56.6/1000</f>
        <v>5.6599999999999998E-2</v>
      </c>
      <c r="E178" s="155">
        <v>4</v>
      </c>
      <c r="F178" s="130">
        <f>D178*C178</f>
        <v>212</v>
      </c>
      <c r="G178" s="155">
        <f t="shared" si="129"/>
        <v>0.10761421319797</v>
      </c>
      <c r="H178" s="123">
        <f>G178*1.2</f>
        <v>0.129</v>
      </c>
      <c r="I178" s="117">
        <v>1.35</v>
      </c>
      <c r="J178" s="131">
        <f>4741.4*1.6*1.04*2.3*1.25*I178*H178*12</f>
        <v>47402.64</v>
      </c>
      <c r="K178" s="131">
        <f>J178*30.2/100</f>
        <v>14315.6</v>
      </c>
      <c r="L178" s="131">
        <f>J178*10/100</f>
        <v>4740.26</v>
      </c>
      <c r="M178" s="131">
        <f>J178*10/100</f>
        <v>4740.26</v>
      </c>
      <c r="N178" s="131">
        <f>J178*25/100</f>
        <v>11850.66</v>
      </c>
      <c r="O178" s="131">
        <f>N178+M178+L178+K178+J178</f>
        <v>83049.42</v>
      </c>
      <c r="P178" s="131">
        <f>O178*5/100</f>
        <v>4152.47</v>
      </c>
      <c r="Q178" s="131">
        <f>P178+O178</f>
        <v>87201.89</v>
      </c>
      <c r="R178" s="118">
        <f t="shared" si="112"/>
        <v>17440.38</v>
      </c>
      <c r="S178" s="131">
        <f>R178+Q178</f>
        <v>104642.27</v>
      </c>
      <c r="T178" s="155">
        <v>3745.2</v>
      </c>
      <c r="U178" s="131">
        <f>Q178/T178</f>
        <v>23.28</v>
      </c>
      <c r="V178" s="131">
        <f>R178/T178</f>
        <v>4.66</v>
      </c>
      <c r="W178" s="131">
        <f>S178/T178</f>
        <v>27.94</v>
      </c>
      <c r="X178" s="147">
        <f>W178/12</f>
        <v>2.3283</v>
      </c>
      <c r="Y178" s="105"/>
    </row>
    <row r="179" spans="1:25" s="96" customFormat="1" x14ac:dyDescent="0.25">
      <c r="A179" s="182" t="s">
        <v>43</v>
      </c>
      <c r="B179" s="282"/>
      <c r="C179" s="155">
        <v>3745.2</v>
      </c>
      <c r="D179" s="113">
        <f>5.6/1000</f>
        <v>5.5999999999999999E-3</v>
      </c>
      <c r="E179" s="155">
        <v>2</v>
      </c>
      <c r="F179" s="130">
        <f>D179*C179</f>
        <v>21</v>
      </c>
      <c r="G179" s="155">
        <f t="shared" si="129"/>
        <v>1.06598984771574E-2</v>
      </c>
      <c r="H179" s="123">
        <f>G179*1.2</f>
        <v>1.2999999999999999E-2</v>
      </c>
      <c r="I179" s="117">
        <v>1.0900000000000001</v>
      </c>
      <c r="J179" s="131">
        <f>4741.4*1.6*1.04*2.3*1.25*I179*H179*12</f>
        <v>3856.99</v>
      </c>
      <c r="K179" s="131">
        <f>J179*30.2/100</f>
        <v>1164.81</v>
      </c>
      <c r="L179" s="131">
        <f>J179*10/100</f>
        <v>385.7</v>
      </c>
      <c r="M179" s="131">
        <f>J179*10/100</f>
        <v>385.7</v>
      </c>
      <c r="N179" s="131">
        <f>J179*25/100</f>
        <v>964.25</v>
      </c>
      <c r="O179" s="131">
        <f>N179+M179+L179+K179+J179</f>
        <v>6757.45</v>
      </c>
      <c r="P179" s="131">
        <f>O179*5/100</f>
        <v>337.87</v>
      </c>
      <c r="Q179" s="131">
        <f>P179+O179</f>
        <v>7095.32</v>
      </c>
      <c r="R179" s="118">
        <f t="shared" si="112"/>
        <v>1419.06</v>
      </c>
      <c r="S179" s="131">
        <f>R179+Q179</f>
        <v>8514.3799999999992</v>
      </c>
      <c r="T179" s="155">
        <v>3745.2</v>
      </c>
      <c r="U179" s="131">
        <f>Q179/T179</f>
        <v>1.89</v>
      </c>
      <c r="V179" s="131">
        <f>R179/T179</f>
        <v>0.38</v>
      </c>
      <c r="W179" s="131">
        <f>S179/T179</f>
        <v>2.27</v>
      </c>
      <c r="X179" s="147">
        <f>W179/12</f>
        <v>0.18920000000000001</v>
      </c>
      <c r="Y179" s="105"/>
    </row>
    <row r="180" spans="1:25" s="96" customFormat="1" x14ac:dyDescent="0.25">
      <c r="A180" s="182" t="s">
        <v>44</v>
      </c>
      <c r="B180" s="283"/>
      <c r="C180" s="155">
        <v>3745.2</v>
      </c>
      <c r="D180" s="113">
        <f>5.6/1000</f>
        <v>5.5999999999999999E-3</v>
      </c>
      <c r="E180" s="155">
        <v>3</v>
      </c>
      <c r="F180" s="130">
        <f>D180*C180</f>
        <v>21</v>
      </c>
      <c r="G180" s="155">
        <f t="shared" si="129"/>
        <v>1.06598984771574E-2</v>
      </c>
      <c r="H180" s="123">
        <f>G180*1.2</f>
        <v>1.2999999999999999E-2</v>
      </c>
      <c r="I180" s="117">
        <v>1.2</v>
      </c>
      <c r="J180" s="131">
        <f>4741.4*1.6*1.04*2.3*1.25*I180*H180*12</f>
        <v>4246.2299999999996</v>
      </c>
      <c r="K180" s="131">
        <f>J180*30.2/100</f>
        <v>1282.3599999999999</v>
      </c>
      <c r="L180" s="131">
        <f>J180*10/100</f>
        <v>424.62</v>
      </c>
      <c r="M180" s="131">
        <f>J180*10/100</f>
        <v>424.62</v>
      </c>
      <c r="N180" s="131">
        <f>J180*25/100</f>
        <v>1061.56</v>
      </c>
      <c r="O180" s="131">
        <f>N180+M180+L180+K180+J180</f>
        <v>7439.39</v>
      </c>
      <c r="P180" s="131">
        <f>O180*5/100</f>
        <v>371.97</v>
      </c>
      <c r="Q180" s="131">
        <f>P180+O180</f>
        <v>7811.36</v>
      </c>
      <c r="R180" s="118">
        <f t="shared" si="112"/>
        <v>1562.27</v>
      </c>
      <c r="S180" s="131">
        <f>R180+Q180</f>
        <v>9373.6299999999992</v>
      </c>
      <c r="T180" s="155">
        <v>3745.2</v>
      </c>
      <c r="U180" s="131">
        <f>Q180/T180</f>
        <v>2.09</v>
      </c>
      <c r="V180" s="131">
        <f>R180/T180</f>
        <v>0.42</v>
      </c>
      <c r="W180" s="131">
        <f>S180/T180</f>
        <v>2.5</v>
      </c>
      <c r="X180" s="147">
        <f>W180/12</f>
        <v>0.20830000000000001</v>
      </c>
      <c r="Y180" s="183">
        <f>SUM(X178:X180)</f>
        <v>2.7258</v>
      </c>
    </row>
    <row r="181" spans="1:25" s="96" customFormat="1" ht="47.25" x14ac:dyDescent="0.25">
      <c r="A181" s="125" t="s">
        <v>45</v>
      </c>
      <c r="B181" s="155" t="s">
        <v>46</v>
      </c>
      <c r="C181" s="155">
        <v>3745.2</v>
      </c>
      <c r="D181" s="155"/>
      <c r="E181" s="155"/>
      <c r="F181" s="123"/>
      <c r="G181" s="117"/>
      <c r="H181" s="123"/>
      <c r="I181" s="117"/>
      <c r="J181" s="131"/>
      <c r="K181" s="131"/>
      <c r="L181" s="131"/>
      <c r="M181" s="131"/>
      <c r="N181" s="131"/>
      <c r="O181" s="131"/>
      <c r="P181" s="131"/>
      <c r="Q181" s="131"/>
      <c r="R181" s="118">
        <f t="shared" si="112"/>
        <v>0</v>
      </c>
      <c r="S181" s="131"/>
      <c r="T181" s="155">
        <v>3745.2</v>
      </c>
      <c r="U181" s="131"/>
      <c r="V181" s="131"/>
      <c r="W181" s="131"/>
      <c r="X181" s="147"/>
      <c r="Y181" s="105"/>
    </row>
    <row r="182" spans="1:25" s="96" customFormat="1" ht="31.5" x14ac:dyDescent="0.25">
      <c r="A182" s="98" t="s">
        <v>47</v>
      </c>
      <c r="B182" s="155" t="s">
        <v>48</v>
      </c>
      <c r="C182" s="155">
        <v>3745.2</v>
      </c>
      <c r="D182" s="155">
        <f>0.11*1.3*3</f>
        <v>0.42899999999999999</v>
      </c>
      <c r="E182" s="155">
        <v>4</v>
      </c>
      <c r="F182" s="123">
        <f>D182*C182/100000</f>
        <v>1.6E-2</v>
      </c>
      <c r="G182" s="117"/>
      <c r="H182" s="123">
        <f>F182*1.2</f>
        <v>1.9E-2</v>
      </c>
      <c r="I182" s="117">
        <v>1.35</v>
      </c>
      <c r="J182" s="131">
        <f>4741.4*1.6*1.75*2.3*I182*H182*12</f>
        <v>9398.5499999999993</v>
      </c>
      <c r="K182" s="131">
        <f>J182*30.2/100</f>
        <v>2838.36</v>
      </c>
      <c r="L182" s="131">
        <f>J182*20%</f>
        <v>1879.71</v>
      </c>
      <c r="M182" s="131">
        <f>J182*10/100</f>
        <v>939.86</v>
      </c>
      <c r="N182" s="131">
        <f>J182*25/100</f>
        <v>2349.64</v>
      </c>
      <c r="O182" s="131">
        <f>N182+M182+L182+K182+J182</f>
        <v>17406.12</v>
      </c>
      <c r="P182" s="131">
        <f>O182*5/100</f>
        <v>870.31</v>
      </c>
      <c r="Q182" s="131">
        <f>P182+O182</f>
        <v>18276.43</v>
      </c>
      <c r="R182" s="118">
        <f t="shared" si="112"/>
        <v>3655.29</v>
      </c>
      <c r="S182" s="131">
        <f>R182+Q182</f>
        <v>21931.72</v>
      </c>
      <c r="T182" s="155">
        <v>3745.2</v>
      </c>
      <c r="U182" s="131">
        <f>Q182/T182</f>
        <v>4.88</v>
      </c>
      <c r="V182" s="131">
        <f>R182/T182</f>
        <v>0.98</v>
      </c>
      <c r="W182" s="131">
        <f t="shared" ref="W182:W194" si="250">S182/T182</f>
        <v>5.86</v>
      </c>
      <c r="X182" s="147">
        <f>W182/12</f>
        <v>0.48830000000000001</v>
      </c>
      <c r="Y182" s="105"/>
    </row>
    <row r="183" spans="1:25" s="96" customFormat="1" ht="31.5" x14ac:dyDescent="0.25">
      <c r="A183" s="98" t="s">
        <v>40</v>
      </c>
      <c r="B183" s="155" t="s">
        <v>48</v>
      </c>
      <c r="C183" s="155">
        <v>3745.2</v>
      </c>
      <c r="D183" s="155">
        <f>0.21*3*1.3</f>
        <v>0.81899999999999995</v>
      </c>
      <c r="E183" s="155">
        <v>4</v>
      </c>
      <c r="F183" s="123">
        <f>D183*C183/100000</f>
        <v>3.1E-2</v>
      </c>
      <c r="G183" s="117"/>
      <c r="H183" s="123">
        <f>F183*1.2</f>
        <v>3.6999999999999998E-2</v>
      </c>
      <c r="I183" s="117">
        <v>1.35</v>
      </c>
      <c r="J183" s="131">
        <f>4741.4*1.6*1.75*2.3*I183*H183*12</f>
        <v>18302.45</v>
      </c>
      <c r="K183" s="131">
        <f>J183*30.2/100</f>
        <v>5527.34</v>
      </c>
      <c r="L183" s="131">
        <f>J183*20%</f>
        <v>3660.49</v>
      </c>
      <c r="M183" s="131">
        <f>J183*10/100</f>
        <v>1830.25</v>
      </c>
      <c r="N183" s="131">
        <f>J183*25/100</f>
        <v>4575.6099999999997</v>
      </c>
      <c r="O183" s="131">
        <f>N183+M183+L183+K183+J183</f>
        <v>33896.14</v>
      </c>
      <c r="P183" s="131">
        <f>O183*5/100</f>
        <v>1694.81</v>
      </c>
      <c r="Q183" s="131">
        <f>P183+O183</f>
        <v>35590.949999999997</v>
      </c>
      <c r="R183" s="118">
        <f t="shared" si="112"/>
        <v>7118.19</v>
      </c>
      <c r="S183" s="131">
        <f>R183+Q183</f>
        <v>42709.14</v>
      </c>
      <c r="T183" s="155">
        <v>3745.2</v>
      </c>
      <c r="U183" s="131">
        <f>Q183/T183</f>
        <v>9.5</v>
      </c>
      <c r="V183" s="131">
        <f>R183/T183</f>
        <v>1.9</v>
      </c>
      <c r="W183" s="131">
        <f t="shared" si="250"/>
        <v>11.4</v>
      </c>
      <c r="X183" s="147">
        <f>W183/12</f>
        <v>0.95</v>
      </c>
      <c r="Y183" s="105"/>
    </row>
    <row r="184" spans="1:25" s="96" customFormat="1" ht="42.75" customHeight="1" x14ac:dyDescent="0.25">
      <c r="A184" s="98" t="s">
        <v>40</v>
      </c>
      <c r="B184" s="155" t="s">
        <v>48</v>
      </c>
      <c r="C184" s="155">
        <v>3745.2</v>
      </c>
      <c r="D184" s="155">
        <f>0.21*3*1.3</f>
        <v>0.81899999999999995</v>
      </c>
      <c r="E184" s="155">
        <v>3</v>
      </c>
      <c r="F184" s="123">
        <f t="shared" ref="F184" si="251">D184*C184/100000</f>
        <v>3.1E-2</v>
      </c>
      <c r="G184" s="117"/>
      <c r="H184" s="123">
        <f t="shared" ref="H184" si="252">F184*1.2</f>
        <v>3.6999999999999998E-2</v>
      </c>
      <c r="I184" s="117">
        <v>1.2</v>
      </c>
      <c r="J184" s="131">
        <f t="shared" ref="J184" si="253">4741.4*1.6*1.75*2.3*I184*H184*12</f>
        <v>16268.84</v>
      </c>
      <c r="K184" s="131">
        <f t="shared" ref="K184" si="254">J184*30.2/100</f>
        <v>4913.1899999999996</v>
      </c>
      <c r="L184" s="131">
        <f t="shared" ref="L184" si="255">J184*20%</f>
        <v>3253.77</v>
      </c>
      <c r="M184" s="131">
        <f t="shared" ref="M184" si="256">J184*10/100</f>
        <v>1626.88</v>
      </c>
      <c r="N184" s="131">
        <f t="shared" ref="N184" si="257">J184*25/100</f>
        <v>4067.21</v>
      </c>
      <c r="O184" s="131">
        <f t="shared" ref="O184" si="258">N184+M184+L184+K184+J184</f>
        <v>30129.89</v>
      </c>
      <c r="P184" s="131">
        <f t="shared" ref="P184" si="259">O184*5/100</f>
        <v>1506.49</v>
      </c>
      <c r="Q184" s="131">
        <f t="shared" ref="Q184" si="260">P184+O184</f>
        <v>31636.38</v>
      </c>
      <c r="R184" s="118">
        <f t="shared" si="112"/>
        <v>6327.28</v>
      </c>
      <c r="S184" s="131">
        <f>R184+Q184</f>
        <v>37963.660000000003</v>
      </c>
      <c r="T184" s="155">
        <v>3745.2</v>
      </c>
      <c r="U184" s="131">
        <f t="shared" ref="U184" si="261">Q184/T184</f>
        <v>8.4499999999999993</v>
      </c>
      <c r="V184" s="131">
        <f t="shared" ref="V184" si="262">R184/T184</f>
        <v>1.69</v>
      </c>
      <c r="W184" s="131">
        <f t="shared" si="250"/>
        <v>10.14</v>
      </c>
      <c r="X184" s="147">
        <f>W184/12</f>
        <v>0.84499999999999997</v>
      </c>
      <c r="Y184" s="105"/>
    </row>
    <row r="185" spans="1:25" s="96" customFormat="1" ht="31.5" x14ac:dyDescent="0.25">
      <c r="A185" s="98" t="s">
        <v>49</v>
      </c>
      <c r="B185" s="155" t="s">
        <v>48</v>
      </c>
      <c r="C185" s="155">
        <v>3745.2</v>
      </c>
      <c r="D185" s="155">
        <f>0.11*3*1.3</f>
        <v>0.42899999999999999</v>
      </c>
      <c r="E185" s="155">
        <v>5</v>
      </c>
      <c r="F185" s="123">
        <f>D185*C185/100000</f>
        <v>1.6E-2</v>
      </c>
      <c r="G185" s="117"/>
      <c r="H185" s="123">
        <f>F185*1.2</f>
        <v>1.9E-2</v>
      </c>
      <c r="I185" s="134">
        <v>1.54</v>
      </c>
      <c r="J185" s="131">
        <f>4741.4*1.6*1.75*2.3*I185*H185*12</f>
        <v>10721.31</v>
      </c>
      <c r="K185" s="131">
        <f>J185*30.2/100</f>
        <v>3237.84</v>
      </c>
      <c r="L185" s="131">
        <f>J185*20%</f>
        <v>2144.2600000000002</v>
      </c>
      <c r="M185" s="131">
        <f>J185*10/100</f>
        <v>1072.1300000000001</v>
      </c>
      <c r="N185" s="131">
        <f>J185*25/100</f>
        <v>2680.33</v>
      </c>
      <c r="O185" s="131">
        <f>N185+M185+L185+K185+J185</f>
        <v>19855.87</v>
      </c>
      <c r="P185" s="131">
        <f>O185*5/100</f>
        <v>992.79</v>
      </c>
      <c r="Q185" s="131">
        <f>P185+O185</f>
        <v>20848.66</v>
      </c>
      <c r="R185" s="118">
        <f t="shared" si="112"/>
        <v>4169.7299999999996</v>
      </c>
      <c r="S185" s="131">
        <f t="shared" ref="S185:S186" si="263">R185+Q185</f>
        <v>25018.39</v>
      </c>
      <c r="T185" s="155">
        <v>3745.2</v>
      </c>
      <c r="U185" s="131">
        <f>Q185/T185</f>
        <v>5.57</v>
      </c>
      <c r="V185" s="131">
        <f>R185/T185</f>
        <v>1.1100000000000001</v>
      </c>
      <c r="W185" s="131">
        <f t="shared" si="250"/>
        <v>6.68</v>
      </c>
      <c r="X185" s="147">
        <f t="shared" ref="X185:X186" si="264">W185/12</f>
        <v>0.55669999999999997</v>
      </c>
      <c r="Y185" s="105"/>
    </row>
    <row r="186" spans="1:25" s="96" customFormat="1" ht="31.5" x14ac:dyDescent="0.25">
      <c r="A186" s="98" t="s">
        <v>50</v>
      </c>
      <c r="B186" s="155" t="s">
        <v>48</v>
      </c>
      <c r="C186" s="155">
        <v>3745.2</v>
      </c>
      <c r="D186" s="155">
        <f>0.11*3*1.3</f>
        <v>0.42899999999999999</v>
      </c>
      <c r="E186" s="155">
        <v>5</v>
      </c>
      <c r="F186" s="123">
        <f>D186*C186/100000</f>
        <v>1.6E-2</v>
      </c>
      <c r="G186" s="117"/>
      <c r="H186" s="123">
        <f>F186*1.2</f>
        <v>1.9E-2</v>
      </c>
      <c r="I186" s="117">
        <v>1.54</v>
      </c>
      <c r="J186" s="131">
        <f>4741.4*1.6*1.75*2.3*I186*H186*12</f>
        <v>10721.31</v>
      </c>
      <c r="K186" s="131">
        <f>J186*30.2/100</f>
        <v>3237.84</v>
      </c>
      <c r="L186" s="131">
        <f>J186*20%</f>
        <v>2144.2600000000002</v>
      </c>
      <c r="M186" s="131">
        <f>J186*10/100</f>
        <v>1072.1300000000001</v>
      </c>
      <c r="N186" s="131">
        <f>J186*25/100</f>
        <v>2680.33</v>
      </c>
      <c r="O186" s="131">
        <f>N186+M186+L186+K186+J186</f>
        <v>19855.87</v>
      </c>
      <c r="P186" s="131">
        <f>O186*5/100</f>
        <v>992.79</v>
      </c>
      <c r="Q186" s="131">
        <f>P186+O186</f>
        <v>20848.66</v>
      </c>
      <c r="R186" s="118">
        <f t="shared" si="112"/>
        <v>4169.7299999999996</v>
      </c>
      <c r="S186" s="131">
        <f t="shared" si="263"/>
        <v>25018.39</v>
      </c>
      <c r="T186" s="155">
        <v>3745.2</v>
      </c>
      <c r="U186" s="131">
        <f>Q186/T186</f>
        <v>5.57</v>
      </c>
      <c r="V186" s="131">
        <f>R186/T186</f>
        <v>1.1100000000000001</v>
      </c>
      <c r="W186" s="131">
        <f t="shared" si="250"/>
        <v>6.68</v>
      </c>
      <c r="X186" s="147">
        <f t="shared" si="264"/>
        <v>0.55669999999999997</v>
      </c>
      <c r="Y186" s="105"/>
    </row>
    <row r="187" spans="1:25" s="96" customFormat="1" x14ac:dyDescent="0.25">
      <c r="A187" s="120" t="s">
        <v>334</v>
      </c>
      <c r="B187" s="155" t="s">
        <v>37</v>
      </c>
      <c r="C187" s="155">
        <v>3745.2</v>
      </c>
      <c r="D187" s="155"/>
      <c r="E187" s="155"/>
      <c r="F187" s="123"/>
      <c r="G187" s="117"/>
      <c r="H187" s="123"/>
      <c r="I187" s="117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>
        <f>3745.2*0.17*12</f>
        <v>7640.21</v>
      </c>
      <c r="T187" s="155">
        <v>3745.2</v>
      </c>
      <c r="U187" s="131"/>
      <c r="V187" s="131"/>
      <c r="W187" s="131">
        <f t="shared" si="250"/>
        <v>2.04</v>
      </c>
      <c r="X187" s="147">
        <f t="shared" ref="X187:X194" si="265">W187/12</f>
        <v>0.17</v>
      </c>
      <c r="Y187" s="105">
        <f>SUM(X182:X187)</f>
        <v>3.57</v>
      </c>
    </row>
    <row r="188" spans="1:25" s="96" customFormat="1" x14ac:dyDescent="0.25">
      <c r="A188" s="126" t="s">
        <v>88</v>
      </c>
      <c r="B188" s="247"/>
      <c r="C188" s="155"/>
      <c r="D188" s="113"/>
      <c r="E188" s="155"/>
      <c r="F188" s="130"/>
      <c r="G188" s="117"/>
      <c r="H188" s="123"/>
      <c r="I188" s="117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>
        <f>21.04*131*12</f>
        <v>33074.879999999997</v>
      </c>
      <c r="T188" s="155">
        <v>3745.2</v>
      </c>
      <c r="U188" s="131"/>
      <c r="V188" s="131"/>
      <c r="W188" s="131">
        <f t="shared" si="250"/>
        <v>8.83</v>
      </c>
      <c r="X188" s="147">
        <f t="shared" si="265"/>
        <v>0.73580000000000001</v>
      </c>
      <c r="Y188" s="105"/>
    </row>
    <row r="189" spans="1:25" s="116" customFormat="1" ht="20.25" customHeight="1" x14ac:dyDescent="0.25">
      <c r="A189" s="218" t="s">
        <v>325</v>
      </c>
      <c r="B189" s="76"/>
      <c r="C189" s="76"/>
      <c r="D189" s="76"/>
      <c r="E189" s="76"/>
      <c r="F189" s="219"/>
      <c r="G189" s="84"/>
      <c r="H189" s="219"/>
      <c r="I189" s="169"/>
      <c r="J189" s="88"/>
      <c r="K189" s="88"/>
      <c r="L189" s="88"/>
      <c r="M189" s="88"/>
      <c r="N189" s="88"/>
      <c r="O189" s="88"/>
      <c r="P189" s="88"/>
      <c r="Q189" s="88"/>
      <c r="R189" s="88"/>
      <c r="S189" s="88">
        <f>197.12*2</f>
        <v>394.24</v>
      </c>
      <c r="T189" s="155">
        <v>3745.2</v>
      </c>
      <c r="U189" s="220"/>
      <c r="V189" s="88"/>
      <c r="W189" s="88">
        <f t="shared" si="250"/>
        <v>0.11</v>
      </c>
      <c r="X189" s="221">
        <f t="shared" si="265"/>
        <v>9.1669999999999998E-3</v>
      </c>
      <c r="Y189" s="85"/>
    </row>
    <row r="190" spans="1:25" s="96" customFormat="1" ht="19.5" customHeight="1" x14ac:dyDescent="0.25">
      <c r="A190" s="126" t="s">
        <v>108</v>
      </c>
      <c r="B190" s="247"/>
      <c r="C190" s="155"/>
      <c r="D190" s="113"/>
      <c r="E190" s="155"/>
      <c r="F190" s="130"/>
      <c r="G190" s="117"/>
      <c r="H190" s="123"/>
      <c r="I190" s="117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>
        <f>1.16*270*2</f>
        <v>626.4</v>
      </c>
      <c r="T190" s="155">
        <v>3745.2</v>
      </c>
      <c r="U190" s="131"/>
      <c r="V190" s="131"/>
      <c r="W190" s="131">
        <f t="shared" si="250"/>
        <v>0.17</v>
      </c>
      <c r="X190" s="147">
        <f t="shared" si="265"/>
        <v>1.4200000000000001E-2</v>
      </c>
      <c r="Y190" s="105"/>
    </row>
    <row r="191" spans="1:25" s="96" customFormat="1" x14ac:dyDescent="0.25">
      <c r="A191" s="124" t="s">
        <v>217</v>
      </c>
      <c r="B191" s="155"/>
      <c r="C191" s="155"/>
      <c r="D191" s="155"/>
      <c r="E191" s="155"/>
      <c r="F191" s="123"/>
      <c r="G191" s="117"/>
      <c r="H191" s="123"/>
      <c r="I191" s="117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>
        <f>1.29*80*2</f>
        <v>206.4</v>
      </c>
      <c r="T191" s="155">
        <v>3745.2</v>
      </c>
      <c r="U191" s="131"/>
      <c r="V191" s="131"/>
      <c r="W191" s="131">
        <f t="shared" si="250"/>
        <v>0.06</v>
      </c>
      <c r="X191" s="147">
        <f t="shared" si="265"/>
        <v>5.0000000000000001E-3</v>
      </c>
      <c r="Y191" s="105"/>
    </row>
    <row r="192" spans="1:25" s="96" customFormat="1" x14ac:dyDescent="0.25">
      <c r="A192" s="124" t="s">
        <v>109</v>
      </c>
      <c r="B192" s="155"/>
      <c r="C192" s="155"/>
      <c r="D192" s="155"/>
      <c r="E192" s="155"/>
      <c r="F192" s="123"/>
      <c r="G192" s="117"/>
      <c r="H192" s="123"/>
      <c r="I192" s="117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>
        <f>1.44*80*2</f>
        <v>230.4</v>
      </c>
      <c r="T192" s="155">
        <v>3745.2</v>
      </c>
      <c r="U192" s="131"/>
      <c r="V192" s="131"/>
      <c r="W192" s="131">
        <f t="shared" si="250"/>
        <v>0.06</v>
      </c>
      <c r="X192" s="147">
        <f t="shared" si="265"/>
        <v>5.0000000000000001E-3</v>
      </c>
      <c r="Y192" s="105">
        <f>SUM(X191:X192)</f>
        <v>0.01</v>
      </c>
    </row>
    <row r="193" spans="1:25" s="204" customFormat="1" ht="19.5" customHeight="1" x14ac:dyDescent="0.25">
      <c r="A193" s="226" t="s">
        <v>289</v>
      </c>
      <c r="B193" s="155" t="s">
        <v>290</v>
      </c>
      <c r="C193" s="155">
        <v>1</v>
      </c>
      <c r="D193" s="155"/>
      <c r="E193" s="155"/>
      <c r="F193" s="123"/>
      <c r="G193" s="117"/>
      <c r="H193" s="123"/>
      <c r="I193" s="117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>
        <f>1900*C193</f>
        <v>1900</v>
      </c>
      <c r="T193" s="155">
        <v>3745.2</v>
      </c>
      <c r="U193" s="131"/>
      <c r="V193" s="131"/>
      <c r="W193" s="131">
        <f>S193/T193</f>
        <v>0.51</v>
      </c>
      <c r="X193" s="158">
        <f>W193/12</f>
        <v>4.2500000000000003E-2</v>
      </c>
    </row>
    <row r="194" spans="1:25" s="204" customFormat="1" ht="16.5" thickBot="1" x14ac:dyDescent="0.3">
      <c r="A194" s="124" t="s">
        <v>143</v>
      </c>
      <c r="B194" s="155"/>
      <c r="C194" s="155"/>
      <c r="D194" s="155"/>
      <c r="E194" s="155"/>
      <c r="F194" s="123"/>
      <c r="G194" s="117"/>
      <c r="H194" s="123"/>
      <c r="I194" s="117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>
        <f>3.4*12*3745.2</f>
        <v>152804.16</v>
      </c>
      <c r="T194" s="155">
        <v>3745.2</v>
      </c>
      <c r="U194" s="131"/>
      <c r="V194" s="131"/>
      <c r="W194" s="131">
        <f t="shared" si="250"/>
        <v>40.799999999999997</v>
      </c>
      <c r="X194" s="147">
        <f t="shared" si="265"/>
        <v>3.4</v>
      </c>
      <c r="Y194" s="203"/>
    </row>
    <row r="195" spans="1:25" s="96" customFormat="1" ht="16.5" thickBot="1" x14ac:dyDescent="0.3">
      <c r="A195" s="66" t="s">
        <v>22</v>
      </c>
      <c r="B195" s="15"/>
      <c r="C195" s="15"/>
      <c r="D195" s="62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6">
        <f>SUM(S61:S194)</f>
        <v>1217143.1200000001</v>
      </c>
      <c r="T195" s="17"/>
      <c r="U195" s="16"/>
      <c r="V195" s="16"/>
      <c r="W195" s="16"/>
      <c r="X195" s="150">
        <f>SUM(X61:X194)</f>
        <v>27.0883</v>
      </c>
      <c r="Y195" s="105"/>
    </row>
    <row r="196" spans="1:25" s="96" customFormat="1" ht="16.5" thickBot="1" x14ac:dyDescent="0.3">
      <c r="A196" s="67" t="s">
        <v>51</v>
      </c>
      <c r="B196" s="18"/>
      <c r="C196" s="18"/>
      <c r="D196" s="63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9">
        <f>S195+R52</f>
        <v>2710925.05</v>
      </c>
      <c r="T196" s="18"/>
      <c r="U196" s="89"/>
      <c r="V196" s="89"/>
      <c r="W196" s="89"/>
      <c r="X196" s="227">
        <f>X195+W52</f>
        <v>60.3292</v>
      </c>
      <c r="Y196" s="105"/>
    </row>
    <row r="197" spans="1:25" s="96" customFormat="1" x14ac:dyDescent="0.25">
      <c r="A197" s="38"/>
      <c r="B197" s="39"/>
      <c r="C197" s="39"/>
      <c r="D197" s="64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40"/>
      <c r="T197" s="39"/>
      <c r="U197" s="90"/>
      <c r="V197" s="90"/>
      <c r="W197" s="90"/>
      <c r="X197" s="151">
        <v>60.33</v>
      </c>
      <c r="Y197" s="105"/>
    </row>
    <row r="198" spans="1:25" s="96" customFormat="1" x14ac:dyDescent="0.25">
      <c r="A198" s="72"/>
      <c r="B198" s="39"/>
      <c r="C198" s="39"/>
      <c r="D198" s="64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40"/>
      <c r="T198" s="39"/>
      <c r="U198" s="90"/>
      <c r="V198" s="90"/>
      <c r="W198" s="90"/>
      <c r="X198" s="152">
        <f>X196-X197</f>
        <v>-8.0000000000000004E-4</v>
      </c>
      <c r="Y198" s="105"/>
    </row>
    <row r="199" spans="1:25" s="96" customFormat="1" x14ac:dyDescent="0.25">
      <c r="A199" s="38"/>
      <c r="B199" s="39"/>
      <c r="C199" s="39"/>
      <c r="D199" s="64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40"/>
      <c r="T199" s="39"/>
      <c r="U199" s="39"/>
      <c r="V199" s="39"/>
      <c r="W199" s="39"/>
      <c r="X199" s="41"/>
    </row>
    <row r="201" spans="1:25" x14ac:dyDescent="0.25">
      <c r="D201" s="2"/>
    </row>
    <row r="202" spans="1:25" x14ac:dyDescent="0.25">
      <c r="D202" s="2"/>
    </row>
    <row r="203" spans="1:25" x14ac:dyDescent="0.25">
      <c r="D203" s="2"/>
    </row>
    <row r="204" spans="1:25" x14ac:dyDescent="0.25">
      <c r="D204" s="2"/>
    </row>
    <row r="205" spans="1:25" x14ac:dyDescent="0.25">
      <c r="D205" s="2"/>
    </row>
    <row r="206" spans="1:25" x14ac:dyDescent="0.25">
      <c r="D206" s="2"/>
    </row>
  </sheetData>
  <mergeCells count="57">
    <mergeCell ref="B3:K3"/>
    <mergeCell ref="A5:A8"/>
    <mergeCell ref="B5:E5"/>
    <mergeCell ref="F5:F8"/>
    <mergeCell ref="G5:G8"/>
    <mergeCell ref="H5:H8"/>
    <mergeCell ref="I5:I8"/>
    <mergeCell ref="J5:J8"/>
    <mergeCell ref="K5:K8"/>
    <mergeCell ref="E6:E8"/>
    <mergeCell ref="B6:B8"/>
    <mergeCell ref="C6:C8"/>
    <mergeCell ref="D6:D8"/>
    <mergeCell ref="O5:O8"/>
    <mergeCell ref="P5:P8"/>
    <mergeCell ref="P55:P58"/>
    <mergeCell ref="Q55:Q58"/>
    <mergeCell ref="R55:R58"/>
    <mergeCell ref="B178:B180"/>
    <mergeCell ref="L5:L8"/>
    <mergeCell ref="M5:M8"/>
    <mergeCell ref="N5:N8"/>
    <mergeCell ref="A41:D41"/>
    <mergeCell ref="B164:B165"/>
    <mergeCell ref="B167:B168"/>
    <mergeCell ref="W6:W8"/>
    <mergeCell ref="A47:D47"/>
    <mergeCell ref="A55:A58"/>
    <mergeCell ref="B55:B58"/>
    <mergeCell ref="C55:C58"/>
    <mergeCell ref="D55:D58"/>
    <mergeCell ref="E55:E58"/>
    <mergeCell ref="F55:F58"/>
    <mergeCell ref="G55:G58"/>
    <mergeCell ref="R5:R8"/>
    <mergeCell ref="S5:S8"/>
    <mergeCell ref="T5:W5"/>
    <mergeCell ref="V6:V8"/>
    <mergeCell ref="Q5:Q8"/>
    <mergeCell ref="T6:T8"/>
    <mergeCell ref="U6:U8"/>
    <mergeCell ref="A2:B2"/>
    <mergeCell ref="T55:T58"/>
    <mergeCell ref="U55:X55"/>
    <mergeCell ref="U56:U58"/>
    <mergeCell ref="V56:V58"/>
    <mergeCell ref="W56:W58"/>
    <mergeCell ref="X56:X58"/>
    <mergeCell ref="S55:S58"/>
    <mergeCell ref="H55:H58"/>
    <mergeCell ref="I55:I58"/>
    <mergeCell ref="J55:J58"/>
    <mergeCell ref="K55:K58"/>
    <mergeCell ref="L55:L58"/>
    <mergeCell ref="M55:M58"/>
    <mergeCell ref="N55:N58"/>
    <mergeCell ref="O55:O58"/>
  </mergeCells>
  <pageMargins left="0.31496062992125984" right="0.11811023622047245" top="0.35433070866141736" bottom="0.35433070866141736" header="0" footer="0"/>
  <pageSetup paperSize="9" scale="35" fitToHeight="0" orientation="landscape" r:id="rId1"/>
  <rowBreaks count="1" manualBreakCount="1">
    <brk id="1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2"/>
  <sheetViews>
    <sheetView tabSelected="1" zoomScaleNormal="100" zoomScaleSheetLayoutView="90" workbookViewId="0">
      <selection activeCell="F6" sqref="F6"/>
    </sheetView>
  </sheetViews>
  <sheetFormatPr defaultColWidth="8.85546875" defaultRowHeight="12.75" x14ac:dyDescent="0.2"/>
  <cols>
    <col min="1" max="1" width="3.7109375" style="20" customWidth="1"/>
    <col min="2" max="2" width="12.140625" style="20" customWidth="1"/>
    <col min="3" max="3" width="45.140625" style="20" customWidth="1"/>
    <col min="4" max="4" width="26" style="20" customWidth="1"/>
    <col min="5" max="5" width="15.85546875" style="23" customWidth="1"/>
    <col min="6" max="6" width="16.5703125" style="23" customWidth="1"/>
    <col min="7" max="7" width="11" style="20" customWidth="1"/>
    <col min="8" max="8" width="9.7109375" style="20" customWidth="1"/>
    <col min="9" max="257" width="8.85546875" style="20"/>
    <col min="258" max="258" width="8.28515625" style="20" customWidth="1"/>
    <col min="259" max="259" width="45.140625" style="20" customWidth="1"/>
    <col min="260" max="260" width="23.7109375" style="20" customWidth="1"/>
    <col min="261" max="261" width="14.28515625" style="20" customWidth="1"/>
    <col min="262" max="262" width="16.5703125" style="20" customWidth="1"/>
    <col min="263" max="513" width="8.85546875" style="20"/>
    <col min="514" max="514" width="8.28515625" style="20" customWidth="1"/>
    <col min="515" max="515" width="45.140625" style="20" customWidth="1"/>
    <col min="516" max="516" width="23.7109375" style="20" customWidth="1"/>
    <col min="517" max="517" width="14.28515625" style="20" customWidth="1"/>
    <col min="518" max="518" width="16.5703125" style="20" customWidth="1"/>
    <col min="519" max="769" width="8.85546875" style="20"/>
    <col min="770" max="770" width="8.28515625" style="20" customWidth="1"/>
    <col min="771" max="771" width="45.140625" style="20" customWidth="1"/>
    <col min="772" max="772" width="23.7109375" style="20" customWidth="1"/>
    <col min="773" max="773" width="14.28515625" style="20" customWidth="1"/>
    <col min="774" max="774" width="16.5703125" style="20" customWidth="1"/>
    <col min="775" max="1025" width="8.85546875" style="20"/>
    <col min="1026" max="1026" width="8.28515625" style="20" customWidth="1"/>
    <col min="1027" max="1027" width="45.140625" style="20" customWidth="1"/>
    <col min="1028" max="1028" width="23.7109375" style="20" customWidth="1"/>
    <col min="1029" max="1029" width="14.28515625" style="20" customWidth="1"/>
    <col min="1030" max="1030" width="16.5703125" style="20" customWidth="1"/>
    <col min="1031" max="1281" width="8.85546875" style="20"/>
    <col min="1282" max="1282" width="8.28515625" style="20" customWidth="1"/>
    <col min="1283" max="1283" width="45.140625" style="20" customWidth="1"/>
    <col min="1284" max="1284" width="23.7109375" style="20" customWidth="1"/>
    <col min="1285" max="1285" width="14.28515625" style="20" customWidth="1"/>
    <col min="1286" max="1286" width="16.5703125" style="20" customWidth="1"/>
    <col min="1287" max="1537" width="8.85546875" style="20"/>
    <col min="1538" max="1538" width="8.28515625" style="20" customWidth="1"/>
    <col min="1539" max="1539" width="45.140625" style="20" customWidth="1"/>
    <col min="1540" max="1540" width="23.7109375" style="20" customWidth="1"/>
    <col min="1541" max="1541" width="14.28515625" style="20" customWidth="1"/>
    <col min="1542" max="1542" width="16.5703125" style="20" customWidth="1"/>
    <col min="1543" max="1793" width="8.85546875" style="20"/>
    <col min="1794" max="1794" width="8.28515625" style="20" customWidth="1"/>
    <col min="1795" max="1795" width="45.140625" style="20" customWidth="1"/>
    <col min="1796" max="1796" width="23.7109375" style="20" customWidth="1"/>
    <col min="1797" max="1797" width="14.28515625" style="20" customWidth="1"/>
    <col min="1798" max="1798" width="16.5703125" style="20" customWidth="1"/>
    <col min="1799" max="2049" width="8.85546875" style="20"/>
    <col min="2050" max="2050" width="8.28515625" style="20" customWidth="1"/>
    <col min="2051" max="2051" width="45.140625" style="20" customWidth="1"/>
    <col min="2052" max="2052" width="23.7109375" style="20" customWidth="1"/>
    <col min="2053" max="2053" width="14.28515625" style="20" customWidth="1"/>
    <col min="2054" max="2054" width="16.5703125" style="20" customWidth="1"/>
    <col min="2055" max="2305" width="8.85546875" style="20"/>
    <col min="2306" max="2306" width="8.28515625" style="20" customWidth="1"/>
    <col min="2307" max="2307" width="45.140625" style="20" customWidth="1"/>
    <col min="2308" max="2308" width="23.7109375" style="20" customWidth="1"/>
    <col min="2309" max="2309" width="14.28515625" style="20" customWidth="1"/>
    <col min="2310" max="2310" width="16.5703125" style="20" customWidth="1"/>
    <col min="2311" max="2561" width="8.85546875" style="20"/>
    <col min="2562" max="2562" width="8.28515625" style="20" customWidth="1"/>
    <col min="2563" max="2563" width="45.140625" style="20" customWidth="1"/>
    <col min="2564" max="2564" width="23.7109375" style="20" customWidth="1"/>
    <col min="2565" max="2565" width="14.28515625" style="20" customWidth="1"/>
    <col min="2566" max="2566" width="16.5703125" style="20" customWidth="1"/>
    <col min="2567" max="2817" width="8.85546875" style="20"/>
    <col min="2818" max="2818" width="8.28515625" style="20" customWidth="1"/>
    <col min="2819" max="2819" width="45.140625" style="20" customWidth="1"/>
    <col min="2820" max="2820" width="23.7109375" style="20" customWidth="1"/>
    <col min="2821" max="2821" width="14.28515625" style="20" customWidth="1"/>
    <col min="2822" max="2822" width="16.5703125" style="20" customWidth="1"/>
    <col min="2823" max="3073" width="8.85546875" style="20"/>
    <col min="3074" max="3074" width="8.28515625" style="20" customWidth="1"/>
    <col min="3075" max="3075" width="45.140625" style="20" customWidth="1"/>
    <col min="3076" max="3076" width="23.7109375" style="20" customWidth="1"/>
    <col min="3077" max="3077" width="14.28515625" style="20" customWidth="1"/>
    <col min="3078" max="3078" width="16.5703125" style="20" customWidth="1"/>
    <col min="3079" max="3329" width="8.85546875" style="20"/>
    <col min="3330" max="3330" width="8.28515625" style="20" customWidth="1"/>
    <col min="3331" max="3331" width="45.140625" style="20" customWidth="1"/>
    <col min="3332" max="3332" width="23.7109375" style="20" customWidth="1"/>
    <col min="3333" max="3333" width="14.28515625" style="20" customWidth="1"/>
    <col min="3334" max="3334" width="16.5703125" style="20" customWidth="1"/>
    <col min="3335" max="3585" width="8.85546875" style="20"/>
    <col min="3586" max="3586" width="8.28515625" style="20" customWidth="1"/>
    <col min="3587" max="3587" width="45.140625" style="20" customWidth="1"/>
    <col min="3588" max="3588" width="23.7109375" style="20" customWidth="1"/>
    <col min="3589" max="3589" width="14.28515625" style="20" customWidth="1"/>
    <col min="3590" max="3590" width="16.5703125" style="20" customWidth="1"/>
    <col min="3591" max="3841" width="8.85546875" style="20"/>
    <col min="3842" max="3842" width="8.28515625" style="20" customWidth="1"/>
    <col min="3843" max="3843" width="45.140625" style="20" customWidth="1"/>
    <col min="3844" max="3844" width="23.7109375" style="20" customWidth="1"/>
    <col min="3845" max="3845" width="14.28515625" style="20" customWidth="1"/>
    <col min="3846" max="3846" width="16.5703125" style="20" customWidth="1"/>
    <col min="3847" max="4097" width="8.85546875" style="20"/>
    <col min="4098" max="4098" width="8.28515625" style="20" customWidth="1"/>
    <col min="4099" max="4099" width="45.140625" style="20" customWidth="1"/>
    <col min="4100" max="4100" width="23.7109375" style="20" customWidth="1"/>
    <col min="4101" max="4101" width="14.28515625" style="20" customWidth="1"/>
    <col min="4102" max="4102" width="16.5703125" style="20" customWidth="1"/>
    <col min="4103" max="4353" width="8.85546875" style="20"/>
    <col min="4354" max="4354" width="8.28515625" style="20" customWidth="1"/>
    <col min="4355" max="4355" width="45.140625" style="20" customWidth="1"/>
    <col min="4356" max="4356" width="23.7109375" style="20" customWidth="1"/>
    <col min="4357" max="4357" width="14.28515625" style="20" customWidth="1"/>
    <col min="4358" max="4358" width="16.5703125" style="20" customWidth="1"/>
    <col min="4359" max="4609" width="8.85546875" style="20"/>
    <col min="4610" max="4610" width="8.28515625" style="20" customWidth="1"/>
    <col min="4611" max="4611" width="45.140625" style="20" customWidth="1"/>
    <col min="4612" max="4612" width="23.7109375" style="20" customWidth="1"/>
    <col min="4613" max="4613" width="14.28515625" style="20" customWidth="1"/>
    <col min="4614" max="4614" width="16.5703125" style="20" customWidth="1"/>
    <col min="4615" max="4865" width="8.85546875" style="20"/>
    <col min="4866" max="4866" width="8.28515625" style="20" customWidth="1"/>
    <col min="4867" max="4867" width="45.140625" style="20" customWidth="1"/>
    <col min="4868" max="4868" width="23.7109375" style="20" customWidth="1"/>
    <col min="4869" max="4869" width="14.28515625" style="20" customWidth="1"/>
    <col min="4870" max="4870" width="16.5703125" style="20" customWidth="1"/>
    <col min="4871" max="5121" width="8.85546875" style="20"/>
    <col min="5122" max="5122" width="8.28515625" style="20" customWidth="1"/>
    <col min="5123" max="5123" width="45.140625" style="20" customWidth="1"/>
    <col min="5124" max="5124" width="23.7109375" style="20" customWidth="1"/>
    <col min="5125" max="5125" width="14.28515625" style="20" customWidth="1"/>
    <col min="5126" max="5126" width="16.5703125" style="20" customWidth="1"/>
    <col min="5127" max="5377" width="8.85546875" style="20"/>
    <col min="5378" max="5378" width="8.28515625" style="20" customWidth="1"/>
    <col min="5379" max="5379" width="45.140625" style="20" customWidth="1"/>
    <col min="5380" max="5380" width="23.7109375" style="20" customWidth="1"/>
    <col min="5381" max="5381" width="14.28515625" style="20" customWidth="1"/>
    <col min="5382" max="5382" width="16.5703125" style="20" customWidth="1"/>
    <col min="5383" max="5633" width="8.85546875" style="20"/>
    <col min="5634" max="5634" width="8.28515625" style="20" customWidth="1"/>
    <col min="5635" max="5635" width="45.140625" style="20" customWidth="1"/>
    <col min="5636" max="5636" width="23.7109375" style="20" customWidth="1"/>
    <col min="5637" max="5637" width="14.28515625" style="20" customWidth="1"/>
    <col min="5638" max="5638" width="16.5703125" style="20" customWidth="1"/>
    <col min="5639" max="5889" width="8.85546875" style="20"/>
    <col min="5890" max="5890" width="8.28515625" style="20" customWidth="1"/>
    <col min="5891" max="5891" width="45.140625" style="20" customWidth="1"/>
    <col min="5892" max="5892" width="23.7109375" style="20" customWidth="1"/>
    <col min="5893" max="5893" width="14.28515625" style="20" customWidth="1"/>
    <col min="5894" max="5894" width="16.5703125" style="20" customWidth="1"/>
    <col min="5895" max="6145" width="8.85546875" style="20"/>
    <col min="6146" max="6146" width="8.28515625" style="20" customWidth="1"/>
    <col min="6147" max="6147" width="45.140625" style="20" customWidth="1"/>
    <col min="6148" max="6148" width="23.7109375" style="20" customWidth="1"/>
    <col min="6149" max="6149" width="14.28515625" style="20" customWidth="1"/>
    <col min="6150" max="6150" width="16.5703125" style="20" customWidth="1"/>
    <col min="6151" max="6401" width="8.85546875" style="20"/>
    <col min="6402" max="6402" width="8.28515625" style="20" customWidth="1"/>
    <col min="6403" max="6403" width="45.140625" style="20" customWidth="1"/>
    <col min="6404" max="6404" width="23.7109375" style="20" customWidth="1"/>
    <col min="6405" max="6405" width="14.28515625" style="20" customWidth="1"/>
    <col min="6406" max="6406" width="16.5703125" style="20" customWidth="1"/>
    <col min="6407" max="6657" width="8.85546875" style="20"/>
    <col min="6658" max="6658" width="8.28515625" style="20" customWidth="1"/>
    <col min="6659" max="6659" width="45.140625" style="20" customWidth="1"/>
    <col min="6660" max="6660" width="23.7109375" style="20" customWidth="1"/>
    <col min="6661" max="6661" width="14.28515625" style="20" customWidth="1"/>
    <col min="6662" max="6662" width="16.5703125" style="20" customWidth="1"/>
    <col min="6663" max="6913" width="8.85546875" style="20"/>
    <col min="6914" max="6914" width="8.28515625" style="20" customWidth="1"/>
    <col min="6915" max="6915" width="45.140625" style="20" customWidth="1"/>
    <col min="6916" max="6916" width="23.7109375" style="20" customWidth="1"/>
    <col min="6917" max="6917" width="14.28515625" style="20" customWidth="1"/>
    <col min="6918" max="6918" width="16.5703125" style="20" customWidth="1"/>
    <col min="6919" max="7169" width="8.85546875" style="20"/>
    <col min="7170" max="7170" width="8.28515625" style="20" customWidth="1"/>
    <col min="7171" max="7171" width="45.140625" style="20" customWidth="1"/>
    <col min="7172" max="7172" width="23.7109375" style="20" customWidth="1"/>
    <col min="7173" max="7173" width="14.28515625" style="20" customWidth="1"/>
    <col min="7174" max="7174" width="16.5703125" style="20" customWidth="1"/>
    <col min="7175" max="7425" width="8.85546875" style="20"/>
    <col min="7426" max="7426" width="8.28515625" style="20" customWidth="1"/>
    <col min="7427" max="7427" width="45.140625" style="20" customWidth="1"/>
    <col min="7428" max="7428" width="23.7109375" style="20" customWidth="1"/>
    <col min="7429" max="7429" width="14.28515625" style="20" customWidth="1"/>
    <col min="7430" max="7430" width="16.5703125" style="20" customWidth="1"/>
    <col min="7431" max="7681" width="8.85546875" style="20"/>
    <col min="7682" max="7682" width="8.28515625" style="20" customWidth="1"/>
    <col min="7683" max="7683" width="45.140625" style="20" customWidth="1"/>
    <col min="7684" max="7684" width="23.7109375" style="20" customWidth="1"/>
    <col min="7685" max="7685" width="14.28515625" style="20" customWidth="1"/>
    <col min="7686" max="7686" width="16.5703125" style="20" customWidth="1"/>
    <col min="7687" max="7937" width="8.85546875" style="20"/>
    <col min="7938" max="7938" width="8.28515625" style="20" customWidth="1"/>
    <col min="7939" max="7939" width="45.140625" style="20" customWidth="1"/>
    <col min="7940" max="7940" width="23.7109375" style="20" customWidth="1"/>
    <col min="7941" max="7941" width="14.28515625" style="20" customWidth="1"/>
    <col min="7942" max="7942" width="16.5703125" style="20" customWidth="1"/>
    <col min="7943" max="8193" width="8.85546875" style="20"/>
    <col min="8194" max="8194" width="8.28515625" style="20" customWidth="1"/>
    <col min="8195" max="8195" width="45.140625" style="20" customWidth="1"/>
    <col min="8196" max="8196" width="23.7109375" style="20" customWidth="1"/>
    <col min="8197" max="8197" width="14.28515625" style="20" customWidth="1"/>
    <col min="8198" max="8198" width="16.5703125" style="20" customWidth="1"/>
    <col min="8199" max="8449" width="8.85546875" style="20"/>
    <col min="8450" max="8450" width="8.28515625" style="20" customWidth="1"/>
    <col min="8451" max="8451" width="45.140625" style="20" customWidth="1"/>
    <col min="8452" max="8452" width="23.7109375" style="20" customWidth="1"/>
    <col min="8453" max="8453" width="14.28515625" style="20" customWidth="1"/>
    <col min="8454" max="8454" width="16.5703125" style="20" customWidth="1"/>
    <col min="8455" max="8705" width="8.85546875" style="20"/>
    <col min="8706" max="8706" width="8.28515625" style="20" customWidth="1"/>
    <col min="8707" max="8707" width="45.140625" style="20" customWidth="1"/>
    <col min="8708" max="8708" width="23.7109375" style="20" customWidth="1"/>
    <col min="8709" max="8709" width="14.28515625" style="20" customWidth="1"/>
    <col min="8710" max="8710" width="16.5703125" style="20" customWidth="1"/>
    <col min="8711" max="8961" width="8.85546875" style="20"/>
    <col min="8962" max="8962" width="8.28515625" style="20" customWidth="1"/>
    <col min="8963" max="8963" width="45.140625" style="20" customWidth="1"/>
    <col min="8964" max="8964" width="23.7109375" style="20" customWidth="1"/>
    <col min="8965" max="8965" width="14.28515625" style="20" customWidth="1"/>
    <col min="8966" max="8966" width="16.5703125" style="20" customWidth="1"/>
    <col min="8967" max="9217" width="8.85546875" style="20"/>
    <col min="9218" max="9218" width="8.28515625" style="20" customWidth="1"/>
    <col min="9219" max="9219" width="45.140625" style="20" customWidth="1"/>
    <col min="9220" max="9220" width="23.7109375" style="20" customWidth="1"/>
    <col min="9221" max="9221" width="14.28515625" style="20" customWidth="1"/>
    <col min="9222" max="9222" width="16.5703125" style="20" customWidth="1"/>
    <col min="9223" max="9473" width="8.85546875" style="20"/>
    <col min="9474" max="9474" width="8.28515625" style="20" customWidth="1"/>
    <col min="9475" max="9475" width="45.140625" style="20" customWidth="1"/>
    <col min="9476" max="9476" width="23.7109375" style="20" customWidth="1"/>
    <col min="9477" max="9477" width="14.28515625" style="20" customWidth="1"/>
    <col min="9478" max="9478" width="16.5703125" style="20" customWidth="1"/>
    <col min="9479" max="9729" width="8.85546875" style="20"/>
    <col min="9730" max="9730" width="8.28515625" style="20" customWidth="1"/>
    <col min="9731" max="9731" width="45.140625" style="20" customWidth="1"/>
    <col min="9732" max="9732" width="23.7109375" style="20" customWidth="1"/>
    <col min="9733" max="9733" width="14.28515625" style="20" customWidth="1"/>
    <col min="9734" max="9734" width="16.5703125" style="20" customWidth="1"/>
    <col min="9735" max="9985" width="8.85546875" style="20"/>
    <col min="9986" max="9986" width="8.28515625" style="20" customWidth="1"/>
    <col min="9987" max="9987" width="45.140625" style="20" customWidth="1"/>
    <col min="9988" max="9988" width="23.7109375" style="20" customWidth="1"/>
    <col min="9989" max="9989" width="14.28515625" style="20" customWidth="1"/>
    <col min="9990" max="9990" width="16.5703125" style="20" customWidth="1"/>
    <col min="9991" max="10241" width="8.85546875" style="20"/>
    <col min="10242" max="10242" width="8.28515625" style="20" customWidth="1"/>
    <col min="10243" max="10243" width="45.140625" style="20" customWidth="1"/>
    <col min="10244" max="10244" width="23.7109375" style="20" customWidth="1"/>
    <col min="10245" max="10245" width="14.28515625" style="20" customWidth="1"/>
    <col min="10246" max="10246" width="16.5703125" style="20" customWidth="1"/>
    <col min="10247" max="10497" width="8.85546875" style="20"/>
    <col min="10498" max="10498" width="8.28515625" style="20" customWidth="1"/>
    <col min="10499" max="10499" width="45.140625" style="20" customWidth="1"/>
    <col min="10500" max="10500" width="23.7109375" style="20" customWidth="1"/>
    <col min="10501" max="10501" width="14.28515625" style="20" customWidth="1"/>
    <col min="10502" max="10502" width="16.5703125" style="20" customWidth="1"/>
    <col min="10503" max="10753" width="8.85546875" style="20"/>
    <col min="10754" max="10754" width="8.28515625" style="20" customWidth="1"/>
    <col min="10755" max="10755" width="45.140625" style="20" customWidth="1"/>
    <col min="10756" max="10756" width="23.7109375" style="20" customWidth="1"/>
    <col min="10757" max="10757" width="14.28515625" style="20" customWidth="1"/>
    <col min="10758" max="10758" width="16.5703125" style="20" customWidth="1"/>
    <col min="10759" max="11009" width="8.85546875" style="20"/>
    <col min="11010" max="11010" width="8.28515625" style="20" customWidth="1"/>
    <col min="11011" max="11011" width="45.140625" style="20" customWidth="1"/>
    <col min="11012" max="11012" width="23.7109375" style="20" customWidth="1"/>
    <col min="11013" max="11013" width="14.28515625" style="20" customWidth="1"/>
    <col min="11014" max="11014" width="16.5703125" style="20" customWidth="1"/>
    <col min="11015" max="11265" width="8.85546875" style="20"/>
    <col min="11266" max="11266" width="8.28515625" style="20" customWidth="1"/>
    <col min="11267" max="11267" width="45.140625" style="20" customWidth="1"/>
    <col min="11268" max="11268" width="23.7109375" style="20" customWidth="1"/>
    <col min="11269" max="11269" width="14.28515625" style="20" customWidth="1"/>
    <col min="11270" max="11270" width="16.5703125" style="20" customWidth="1"/>
    <col min="11271" max="11521" width="8.85546875" style="20"/>
    <col min="11522" max="11522" width="8.28515625" style="20" customWidth="1"/>
    <col min="11523" max="11523" width="45.140625" style="20" customWidth="1"/>
    <col min="11524" max="11524" width="23.7109375" style="20" customWidth="1"/>
    <col min="11525" max="11525" width="14.28515625" style="20" customWidth="1"/>
    <col min="11526" max="11526" width="16.5703125" style="20" customWidth="1"/>
    <col min="11527" max="11777" width="8.85546875" style="20"/>
    <col min="11778" max="11778" width="8.28515625" style="20" customWidth="1"/>
    <col min="11779" max="11779" width="45.140625" style="20" customWidth="1"/>
    <col min="11780" max="11780" width="23.7109375" style="20" customWidth="1"/>
    <col min="11781" max="11781" width="14.28515625" style="20" customWidth="1"/>
    <col min="11782" max="11782" width="16.5703125" style="20" customWidth="1"/>
    <col min="11783" max="12033" width="8.85546875" style="20"/>
    <col min="12034" max="12034" width="8.28515625" style="20" customWidth="1"/>
    <col min="12035" max="12035" width="45.140625" style="20" customWidth="1"/>
    <col min="12036" max="12036" width="23.7109375" style="20" customWidth="1"/>
    <col min="12037" max="12037" width="14.28515625" style="20" customWidth="1"/>
    <col min="12038" max="12038" width="16.5703125" style="20" customWidth="1"/>
    <col min="12039" max="12289" width="8.85546875" style="20"/>
    <col min="12290" max="12290" width="8.28515625" style="20" customWidth="1"/>
    <col min="12291" max="12291" width="45.140625" style="20" customWidth="1"/>
    <col min="12292" max="12292" width="23.7109375" style="20" customWidth="1"/>
    <col min="12293" max="12293" width="14.28515625" style="20" customWidth="1"/>
    <col min="12294" max="12294" width="16.5703125" style="20" customWidth="1"/>
    <col min="12295" max="12545" width="8.85546875" style="20"/>
    <col min="12546" max="12546" width="8.28515625" style="20" customWidth="1"/>
    <col min="12547" max="12547" width="45.140625" style="20" customWidth="1"/>
    <col min="12548" max="12548" width="23.7109375" style="20" customWidth="1"/>
    <col min="12549" max="12549" width="14.28515625" style="20" customWidth="1"/>
    <col min="12550" max="12550" width="16.5703125" style="20" customWidth="1"/>
    <col min="12551" max="12801" width="8.85546875" style="20"/>
    <col min="12802" max="12802" width="8.28515625" style="20" customWidth="1"/>
    <col min="12803" max="12803" width="45.140625" style="20" customWidth="1"/>
    <col min="12804" max="12804" width="23.7109375" style="20" customWidth="1"/>
    <col min="12805" max="12805" width="14.28515625" style="20" customWidth="1"/>
    <col min="12806" max="12806" width="16.5703125" style="20" customWidth="1"/>
    <col min="12807" max="13057" width="8.85546875" style="20"/>
    <col min="13058" max="13058" width="8.28515625" style="20" customWidth="1"/>
    <col min="13059" max="13059" width="45.140625" style="20" customWidth="1"/>
    <col min="13060" max="13060" width="23.7109375" style="20" customWidth="1"/>
    <col min="13061" max="13061" width="14.28515625" style="20" customWidth="1"/>
    <col min="13062" max="13062" width="16.5703125" style="20" customWidth="1"/>
    <col min="13063" max="13313" width="8.85546875" style="20"/>
    <col min="13314" max="13314" width="8.28515625" style="20" customWidth="1"/>
    <col min="13315" max="13315" width="45.140625" style="20" customWidth="1"/>
    <col min="13316" max="13316" width="23.7109375" style="20" customWidth="1"/>
    <col min="13317" max="13317" width="14.28515625" style="20" customWidth="1"/>
    <col min="13318" max="13318" width="16.5703125" style="20" customWidth="1"/>
    <col min="13319" max="13569" width="8.85546875" style="20"/>
    <col min="13570" max="13570" width="8.28515625" style="20" customWidth="1"/>
    <col min="13571" max="13571" width="45.140625" style="20" customWidth="1"/>
    <col min="13572" max="13572" width="23.7109375" style="20" customWidth="1"/>
    <col min="13573" max="13573" width="14.28515625" style="20" customWidth="1"/>
    <col min="13574" max="13574" width="16.5703125" style="20" customWidth="1"/>
    <col min="13575" max="13825" width="8.85546875" style="20"/>
    <col min="13826" max="13826" width="8.28515625" style="20" customWidth="1"/>
    <col min="13827" max="13827" width="45.140625" style="20" customWidth="1"/>
    <col min="13828" max="13828" width="23.7109375" style="20" customWidth="1"/>
    <col min="13829" max="13829" width="14.28515625" style="20" customWidth="1"/>
    <col min="13830" max="13830" width="16.5703125" style="20" customWidth="1"/>
    <col min="13831" max="14081" width="8.85546875" style="20"/>
    <col min="14082" max="14082" width="8.28515625" style="20" customWidth="1"/>
    <col min="14083" max="14083" width="45.140625" style="20" customWidth="1"/>
    <col min="14084" max="14084" width="23.7109375" style="20" customWidth="1"/>
    <col min="14085" max="14085" width="14.28515625" style="20" customWidth="1"/>
    <col min="14086" max="14086" width="16.5703125" style="20" customWidth="1"/>
    <col min="14087" max="14337" width="8.85546875" style="20"/>
    <col min="14338" max="14338" width="8.28515625" style="20" customWidth="1"/>
    <col min="14339" max="14339" width="45.140625" style="20" customWidth="1"/>
    <col min="14340" max="14340" width="23.7109375" style="20" customWidth="1"/>
    <col min="14341" max="14341" width="14.28515625" style="20" customWidth="1"/>
    <col min="14342" max="14342" width="16.5703125" style="20" customWidth="1"/>
    <col min="14343" max="14593" width="8.85546875" style="20"/>
    <col min="14594" max="14594" width="8.28515625" style="20" customWidth="1"/>
    <col min="14595" max="14595" width="45.140625" style="20" customWidth="1"/>
    <col min="14596" max="14596" width="23.7109375" style="20" customWidth="1"/>
    <col min="14597" max="14597" width="14.28515625" style="20" customWidth="1"/>
    <col min="14598" max="14598" width="16.5703125" style="20" customWidth="1"/>
    <col min="14599" max="14849" width="8.85546875" style="20"/>
    <col min="14850" max="14850" width="8.28515625" style="20" customWidth="1"/>
    <col min="14851" max="14851" width="45.140625" style="20" customWidth="1"/>
    <col min="14852" max="14852" width="23.7109375" style="20" customWidth="1"/>
    <col min="14853" max="14853" width="14.28515625" style="20" customWidth="1"/>
    <col min="14854" max="14854" width="16.5703125" style="20" customWidth="1"/>
    <col min="14855" max="15105" width="8.85546875" style="20"/>
    <col min="15106" max="15106" width="8.28515625" style="20" customWidth="1"/>
    <col min="15107" max="15107" width="45.140625" style="20" customWidth="1"/>
    <col min="15108" max="15108" width="23.7109375" style="20" customWidth="1"/>
    <col min="15109" max="15109" width="14.28515625" style="20" customWidth="1"/>
    <col min="15110" max="15110" width="16.5703125" style="20" customWidth="1"/>
    <col min="15111" max="15361" width="8.85546875" style="20"/>
    <col min="15362" max="15362" width="8.28515625" style="20" customWidth="1"/>
    <col min="15363" max="15363" width="45.140625" style="20" customWidth="1"/>
    <col min="15364" max="15364" width="23.7109375" style="20" customWidth="1"/>
    <col min="15365" max="15365" width="14.28515625" style="20" customWidth="1"/>
    <col min="15366" max="15366" width="16.5703125" style="20" customWidth="1"/>
    <col min="15367" max="15617" width="8.85546875" style="20"/>
    <col min="15618" max="15618" width="8.28515625" style="20" customWidth="1"/>
    <col min="15619" max="15619" width="45.140625" style="20" customWidth="1"/>
    <col min="15620" max="15620" width="23.7109375" style="20" customWidth="1"/>
    <col min="15621" max="15621" width="14.28515625" style="20" customWidth="1"/>
    <col min="15622" max="15622" width="16.5703125" style="20" customWidth="1"/>
    <col min="15623" max="15873" width="8.85546875" style="20"/>
    <col min="15874" max="15874" width="8.28515625" style="20" customWidth="1"/>
    <col min="15875" max="15875" width="45.140625" style="20" customWidth="1"/>
    <col min="15876" max="15876" width="23.7109375" style="20" customWidth="1"/>
    <col min="15877" max="15877" width="14.28515625" style="20" customWidth="1"/>
    <col min="15878" max="15878" width="16.5703125" style="20" customWidth="1"/>
    <col min="15879" max="16129" width="8.85546875" style="20"/>
    <col min="16130" max="16130" width="8.28515625" style="20" customWidth="1"/>
    <col min="16131" max="16131" width="45.140625" style="20" customWidth="1"/>
    <col min="16132" max="16132" width="23.7109375" style="20" customWidth="1"/>
    <col min="16133" max="16133" width="14.28515625" style="20" customWidth="1"/>
    <col min="16134" max="16134" width="16.5703125" style="20" customWidth="1"/>
    <col min="16135" max="16384" width="8.85546875" style="20"/>
  </cols>
  <sheetData>
    <row r="1" spans="2:7" ht="16.5" thickBot="1" x14ac:dyDescent="0.25">
      <c r="B1" s="7">
        <v>3745.2</v>
      </c>
      <c r="D1" s="303"/>
      <c r="E1" s="303"/>
      <c r="F1" s="303"/>
      <c r="G1" s="21"/>
    </row>
    <row r="2" spans="2:7" ht="16.899999999999999" customHeight="1" x14ac:dyDescent="0.2">
      <c r="B2" s="296" t="s">
        <v>52</v>
      </c>
      <c r="C2" s="298" t="s">
        <v>53</v>
      </c>
      <c r="D2" s="298" t="s">
        <v>54</v>
      </c>
      <c r="E2" s="300" t="s">
        <v>55</v>
      </c>
      <c r="F2" s="289" t="s">
        <v>56</v>
      </c>
      <c r="G2" s="21"/>
    </row>
    <row r="3" spans="2:7" ht="46.7" customHeight="1" thickBot="1" x14ac:dyDescent="0.25">
      <c r="B3" s="297"/>
      <c r="C3" s="299"/>
      <c r="D3" s="299"/>
      <c r="E3" s="300"/>
      <c r="F3" s="290"/>
      <c r="G3" s="21"/>
    </row>
    <row r="4" spans="2:7" ht="20.25" customHeight="1" x14ac:dyDescent="0.2">
      <c r="B4" s="301" t="s">
        <v>57</v>
      </c>
      <c r="C4" s="302"/>
      <c r="D4" s="302"/>
      <c r="E4" s="83"/>
      <c r="F4" s="24"/>
      <c r="G4" s="21"/>
    </row>
    <row r="5" spans="2:7" ht="30" x14ac:dyDescent="0.25">
      <c r="B5" s="25">
        <v>1</v>
      </c>
      <c r="C5" s="26" t="s">
        <v>146</v>
      </c>
      <c r="D5" s="45"/>
      <c r="E5" s="27"/>
      <c r="F5" s="28"/>
      <c r="G5" s="21"/>
    </row>
    <row r="6" spans="2:7" ht="15.75" x14ac:dyDescent="0.25">
      <c r="B6" s="25"/>
      <c r="C6" s="26" t="s">
        <v>167</v>
      </c>
      <c r="D6" s="29" t="s">
        <v>326</v>
      </c>
      <c r="E6" s="27">
        <v>3.45</v>
      </c>
      <c r="F6" s="28">
        <f>E6*12*$B$1</f>
        <v>155051.28</v>
      </c>
      <c r="G6" s="304">
        <f>$E$109/SUM($E$6:$E$108)*E6</f>
        <v>3.45</v>
      </c>
    </row>
    <row r="7" spans="2:7" ht="15.75" x14ac:dyDescent="0.25">
      <c r="B7" s="25"/>
      <c r="C7" s="26" t="s">
        <v>168</v>
      </c>
      <c r="D7" s="29" t="s">
        <v>62</v>
      </c>
      <c r="E7" s="27">
        <v>2.42</v>
      </c>
      <c r="F7" s="28">
        <f t="shared" ref="F7:F71" si="0">E7*12*$B$1</f>
        <v>108760.61</v>
      </c>
      <c r="G7" s="304">
        <f>$E$109/SUM($E$6:$E$108)*E7</f>
        <v>2.42</v>
      </c>
    </row>
    <row r="8" spans="2:7" ht="30" x14ac:dyDescent="0.25">
      <c r="B8" s="25">
        <v>2</v>
      </c>
      <c r="C8" s="26" t="s">
        <v>147</v>
      </c>
      <c r="D8" s="29"/>
      <c r="E8" s="27"/>
      <c r="F8" s="28"/>
      <c r="G8" s="304"/>
    </row>
    <row r="9" spans="2:7" ht="15.75" x14ac:dyDescent="0.25">
      <c r="B9" s="25"/>
      <c r="C9" s="26" t="s">
        <v>167</v>
      </c>
      <c r="D9" s="29" t="s">
        <v>75</v>
      </c>
      <c r="E9" s="27">
        <v>0.42</v>
      </c>
      <c r="F9" s="28">
        <f t="shared" si="0"/>
        <v>18875.810000000001</v>
      </c>
      <c r="G9" s="304">
        <f>$E$109/SUM($E$6:$E$108)*E9</f>
        <v>0.42</v>
      </c>
    </row>
    <row r="10" spans="2:7" ht="15.75" x14ac:dyDescent="0.25">
      <c r="B10" s="25"/>
      <c r="C10" s="26" t="s">
        <v>168</v>
      </c>
      <c r="D10" s="29" t="s">
        <v>75</v>
      </c>
      <c r="E10" s="27">
        <v>0.64</v>
      </c>
      <c r="F10" s="28">
        <f t="shared" si="0"/>
        <v>28763.14</v>
      </c>
      <c r="G10" s="304">
        <f>$E$109/SUM($E$6:$E$108)*E10</f>
        <v>0.64</v>
      </c>
    </row>
    <row r="11" spans="2:7" ht="15.75" x14ac:dyDescent="0.25">
      <c r="B11" s="25">
        <v>3</v>
      </c>
      <c r="C11" s="222" t="s">
        <v>106</v>
      </c>
      <c r="D11" s="223" t="s">
        <v>61</v>
      </c>
      <c r="E11" s="27">
        <v>0.12</v>
      </c>
      <c r="F11" s="28">
        <f t="shared" si="0"/>
        <v>5393.09</v>
      </c>
      <c r="G11" s="304">
        <f>$E$109/SUM($E$6:$E$108)*E11</f>
        <v>0.12</v>
      </c>
    </row>
    <row r="12" spans="2:7" ht="45" x14ac:dyDescent="0.2">
      <c r="B12" s="25">
        <v>4</v>
      </c>
      <c r="C12" s="30" t="s">
        <v>293</v>
      </c>
      <c r="D12" s="29" t="s">
        <v>61</v>
      </c>
      <c r="E12" s="31">
        <v>0.12</v>
      </c>
      <c r="F12" s="28">
        <f t="shared" si="0"/>
        <v>5393.09</v>
      </c>
      <c r="G12" s="304">
        <f>$E$109/SUM($E$6:$E$108)*E12</f>
        <v>0.12</v>
      </c>
    </row>
    <row r="13" spans="2:7" ht="15.75" x14ac:dyDescent="0.2">
      <c r="B13" s="25">
        <v>5</v>
      </c>
      <c r="C13" s="30" t="s">
        <v>60</v>
      </c>
      <c r="D13" s="29" t="s">
        <v>61</v>
      </c>
      <c r="E13" s="31">
        <v>0.01</v>
      </c>
      <c r="F13" s="28">
        <f t="shared" si="0"/>
        <v>449.42</v>
      </c>
      <c r="G13" s="304">
        <f>$E$109/SUM($E$6:$E$108)*E13</f>
        <v>0.01</v>
      </c>
    </row>
    <row r="14" spans="2:7" ht="15.75" x14ac:dyDescent="0.2">
      <c r="B14" s="291" t="s">
        <v>213</v>
      </c>
      <c r="C14" s="292"/>
      <c r="D14" s="292"/>
      <c r="E14" s="31"/>
      <c r="F14" s="28"/>
      <c r="G14" s="304"/>
    </row>
    <row r="15" spans="2:7" ht="30" x14ac:dyDescent="0.2">
      <c r="B15" s="25">
        <v>6</v>
      </c>
      <c r="C15" s="30" t="s">
        <v>69</v>
      </c>
      <c r="D15" s="29"/>
      <c r="E15" s="31"/>
      <c r="F15" s="28"/>
      <c r="G15" s="304"/>
    </row>
    <row r="16" spans="2:7" ht="15.75" x14ac:dyDescent="0.25">
      <c r="B16" s="25"/>
      <c r="C16" s="33" t="s">
        <v>70</v>
      </c>
      <c r="D16" s="29" t="s">
        <v>161</v>
      </c>
      <c r="E16" s="31">
        <v>0.36</v>
      </c>
      <c r="F16" s="28">
        <f t="shared" si="0"/>
        <v>16179.26</v>
      </c>
      <c r="G16" s="304">
        <f>$E$109/SUM($E$6:$E$108)*E16</f>
        <v>0.36</v>
      </c>
    </row>
    <row r="17" spans="2:7" ht="18" customHeight="1" x14ac:dyDescent="0.25">
      <c r="B17" s="25"/>
      <c r="C17" s="33" t="s">
        <v>71</v>
      </c>
      <c r="D17" s="29" t="s">
        <v>58</v>
      </c>
      <c r="E17" s="31">
        <v>0.51</v>
      </c>
      <c r="F17" s="28">
        <f t="shared" si="0"/>
        <v>22920.62</v>
      </c>
      <c r="G17" s="304">
        <f>$E$109/SUM($E$6:$E$108)*E17</f>
        <v>0.51</v>
      </c>
    </row>
    <row r="18" spans="2:7" ht="15.75" x14ac:dyDescent="0.25">
      <c r="B18" s="25"/>
      <c r="C18" s="33" t="s">
        <v>72</v>
      </c>
      <c r="D18" s="29" t="s">
        <v>66</v>
      </c>
      <c r="E18" s="31">
        <v>1.25</v>
      </c>
      <c r="F18" s="28">
        <f t="shared" si="0"/>
        <v>56178</v>
      </c>
      <c r="G18" s="304">
        <f>$E$109/SUM($E$6:$E$108)*E18</f>
        <v>1.25</v>
      </c>
    </row>
    <row r="19" spans="2:7" ht="30" customHeight="1" x14ac:dyDescent="0.25">
      <c r="B19" s="25"/>
      <c r="C19" s="33" t="s">
        <v>156</v>
      </c>
      <c r="D19" s="29" t="s">
        <v>59</v>
      </c>
      <c r="E19" s="31">
        <v>0.12</v>
      </c>
      <c r="F19" s="28">
        <f t="shared" si="0"/>
        <v>5393.09</v>
      </c>
      <c r="G19" s="304">
        <f>$E$109/SUM($E$6:$E$108)*E19</f>
        <v>0.12</v>
      </c>
    </row>
    <row r="20" spans="2:7" ht="30" x14ac:dyDescent="0.25">
      <c r="B20" s="25"/>
      <c r="C20" s="33" t="s">
        <v>162</v>
      </c>
      <c r="D20" s="29" t="s">
        <v>148</v>
      </c>
      <c r="E20" s="31">
        <v>1</v>
      </c>
      <c r="F20" s="28">
        <f t="shared" si="0"/>
        <v>44942.400000000001</v>
      </c>
      <c r="G20" s="304">
        <f>$E$109/SUM($E$6:$E$108)*E20</f>
        <v>1</v>
      </c>
    </row>
    <row r="21" spans="2:7" ht="28.5" customHeight="1" x14ac:dyDescent="0.25">
      <c r="B21" s="25"/>
      <c r="C21" s="211" t="s">
        <v>73</v>
      </c>
      <c r="D21" s="29" t="s">
        <v>110</v>
      </c>
      <c r="E21" s="31">
        <v>0.11</v>
      </c>
      <c r="F21" s="28">
        <f t="shared" si="0"/>
        <v>4943.66</v>
      </c>
      <c r="G21" s="304">
        <f>$E$109/SUM($E$6:$E$108)*E21</f>
        <v>0.11</v>
      </c>
    </row>
    <row r="22" spans="2:7" ht="14.65" customHeight="1" x14ac:dyDescent="0.25">
      <c r="B22" s="25"/>
      <c r="C22" s="33" t="s">
        <v>74</v>
      </c>
      <c r="D22" s="29" t="s">
        <v>59</v>
      </c>
      <c r="E22" s="31">
        <v>0.02</v>
      </c>
      <c r="F22" s="28">
        <f t="shared" si="0"/>
        <v>898.85</v>
      </c>
      <c r="G22" s="304">
        <f>$E$109/SUM($E$6:$E$108)*E22</f>
        <v>0.02</v>
      </c>
    </row>
    <row r="23" spans="2:7" ht="16.899999999999999" customHeight="1" x14ac:dyDescent="0.25">
      <c r="B23" s="25"/>
      <c r="C23" s="224" t="s">
        <v>87</v>
      </c>
      <c r="D23" s="29" t="s">
        <v>75</v>
      </c>
      <c r="E23" s="31">
        <v>0.3</v>
      </c>
      <c r="F23" s="28">
        <f t="shared" si="0"/>
        <v>13482.72</v>
      </c>
      <c r="G23" s="304">
        <f>$E$109/SUM($E$6:$E$108)*E23</f>
        <v>0.3</v>
      </c>
    </row>
    <row r="24" spans="2:7" ht="30" x14ac:dyDescent="0.2">
      <c r="B24" s="25"/>
      <c r="C24" s="30" t="s">
        <v>174</v>
      </c>
      <c r="D24" s="29" t="s">
        <v>67</v>
      </c>
      <c r="E24" s="31">
        <v>0.02</v>
      </c>
      <c r="F24" s="28">
        <f t="shared" si="0"/>
        <v>898.85</v>
      </c>
      <c r="G24" s="304">
        <f>$E$109/SUM($E$6:$E$108)*E24</f>
        <v>0.02</v>
      </c>
    </row>
    <row r="25" spans="2:7" ht="15.75" x14ac:dyDescent="0.2">
      <c r="B25" s="291" t="s">
        <v>175</v>
      </c>
      <c r="C25" s="292"/>
      <c r="D25" s="292"/>
      <c r="E25" s="31"/>
      <c r="F25" s="28"/>
      <c r="G25" s="304"/>
    </row>
    <row r="26" spans="2:7" ht="30" x14ac:dyDescent="0.25">
      <c r="B26" s="25">
        <v>7</v>
      </c>
      <c r="C26" s="33" t="s">
        <v>169</v>
      </c>
      <c r="D26" s="29"/>
      <c r="E26" s="31"/>
      <c r="F26" s="28"/>
      <c r="G26" s="304"/>
    </row>
    <row r="27" spans="2:7" ht="15.75" x14ac:dyDescent="0.25">
      <c r="B27" s="25"/>
      <c r="C27" s="224" t="s">
        <v>76</v>
      </c>
      <c r="D27" s="29" t="s">
        <v>326</v>
      </c>
      <c r="E27" s="31">
        <v>0.03</v>
      </c>
      <c r="F27" s="28">
        <f t="shared" si="0"/>
        <v>1348.27</v>
      </c>
      <c r="G27" s="304">
        <f>$E$109/SUM($E$6:$E$108)*E27</f>
        <v>0.03</v>
      </c>
    </row>
    <row r="28" spans="2:7" ht="15.75" x14ac:dyDescent="0.25">
      <c r="B28" s="25"/>
      <c r="C28" s="224" t="s">
        <v>77</v>
      </c>
      <c r="D28" s="29" t="s">
        <v>161</v>
      </c>
      <c r="E28" s="31">
        <v>0.21</v>
      </c>
      <c r="F28" s="28">
        <f t="shared" si="0"/>
        <v>9437.9</v>
      </c>
      <c r="G28" s="304">
        <f>$E$109/SUM($E$6:$E$108)*E28</f>
        <v>0.21</v>
      </c>
    </row>
    <row r="29" spans="2:7" ht="15.75" customHeight="1" x14ac:dyDescent="0.25">
      <c r="B29" s="25"/>
      <c r="C29" s="224" t="s">
        <v>78</v>
      </c>
      <c r="D29" s="29" t="s">
        <v>79</v>
      </c>
      <c r="E29" s="306">
        <v>3.4</v>
      </c>
      <c r="F29" s="28">
        <f t="shared" si="0"/>
        <v>152804.16</v>
      </c>
      <c r="G29" s="304">
        <f>$E$109/SUM($E$6:$E$108)*E29</f>
        <v>3.4</v>
      </c>
    </row>
    <row r="30" spans="2:7" ht="15.75" customHeight="1" x14ac:dyDescent="0.25">
      <c r="B30" s="29"/>
      <c r="C30" s="224" t="s">
        <v>291</v>
      </c>
      <c r="D30" s="29" t="s">
        <v>178</v>
      </c>
      <c r="E30" s="31">
        <v>0.04</v>
      </c>
      <c r="F30" s="28">
        <f t="shared" si="0"/>
        <v>1797.7</v>
      </c>
      <c r="G30" s="304">
        <f>$E$109/SUM($E$6:$E$108)*E30</f>
        <v>0.04</v>
      </c>
    </row>
    <row r="31" spans="2:7" ht="30.4" customHeight="1" x14ac:dyDescent="0.2">
      <c r="B31" s="293" t="s">
        <v>176</v>
      </c>
      <c r="C31" s="294"/>
      <c r="D31" s="295"/>
      <c r="E31" s="42"/>
      <c r="F31" s="28"/>
      <c r="G31" s="304"/>
    </row>
    <row r="32" spans="2:7" ht="30.95" customHeight="1" x14ac:dyDescent="0.2">
      <c r="B32" s="25">
        <v>8</v>
      </c>
      <c r="C32" s="32" t="s">
        <v>181</v>
      </c>
      <c r="D32" s="29" t="s">
        <v>326</v>
      </c>
      <c r="E32" s="31">
        <v>12.69</v>
      </c>
      <c r="F32" s="28">
        <f>E32*12*$B$1-0.01</f>
        <v>570319.05000000005</v>
      </c>
      <c r="G32" s="304">
        <f>$E$109/SUM($E$6:$E$108)*E32</f>
        <v>12.69</v>
      </c>
    </row>
    <row r="33" spans="2:7" ht="15" customHeight="1" x14ac:dyDescent="0.2">
      <c r="B33" s="25">
        <v>9</v>
      </c>
      <c r="C33" s="32" t="s">
        <v>204</v>
      </c>
      <c r="D33" s="29" t="s">
        <v>326</v>
      </c>
      <c r="E33" s="31">
        <v>0.32</v>
      </c>
      <c r="F33" s="28">
        <f t="shared" si="0"/>
        <v>14381.57</v>
      </c>
      <c r="G33" s="304">
        <f>$E$109/SUM($E$6:$E$108)*E33</f>
        <v>0.32</v>
      </c>
    </row>
    <row r="34" spans="2:7" ht="15.75" x14ac:dyDescent="0.2">
      <c r="B34" s="25">
        <v>10</v>
      </c>
      <c r="C34" s="30" t="s">
        <v>63</v>
      </c>
      <c r="D34" s="29" t="s">
        <v>326</v>
      </c>
      <c r="E34" s="31">
        <v>5.94</v>
      </c>
      <c r="F34" s="28">
        <f t="shared" si="0"/>
        <v>266957.86</v>
      </c>
      <c r="G34" s="304">
        <f>$E$109/SUM($E$6:$E$108)*E34</f>
        <v>5.94</v>
      </c>
    </row>
    <row r="35" spans="2:7" ht="15.75" x14ac:dyDescent="0.2">
      <c r="B35" s="25">
        <v>11</v>
      </c>
      <c r="C35" s="30" t="s">
        <v>102</v>
      </c>
      <c r="D35" s="29" t="s">
        <v>326</v>
      </c>
      <c r="E35" s="31">
        <v>0.09</v>
      </c>
      <c r="F35" s="28">
        <f t="shared" si="0"/>
        <v>4044.82</v>
      </c>
      <c r="G35" s="304">
        <f>$E$109/SUM($E$6:$E$108)*E35</f>
        <v>0.09</v>
      </c>
    </row>
    <row r="36" spans="2:7" ht="15.75" x14ac:dyDescent="0.2">
      <c r="B36" s="25">
        <v>12</v>
      </c>
      <c r="C36" s="30" t="s">
        <v>64</v>
      </c>
      <c r="D36" s="29" t="s">
        <v>326</v>
      </c>
      <c r="E36" s="31">
        <v>1.27</v>
      </c>
      <c r="F36" s="28">
        <f t="shared" si="0"/>
        <v>57076.85</v>
      </c>
      <c r="G36" s="304">
        <f>$E$109/SUM($E$6:$E$108)*E36</f>
        <v>1.27</v>
      </c>
    </row>
    <row r="37" spans="2:7" ht="14.65" customHeight="1" x14ac:dyDescent="0.2">
      <c r="B37" s="293" t="s">
        <v>177</v>
      </c>
      <c r="C37" s="294"/>
      <c r="D37" s="295"/>
      <c r="E37" s="42"/>
      <c r="F37" s="28"/>
      <c r="G37" s="304"/>
    </row>
    <row r="38" spans="2:7" ht="15.75" x14ac:dyDescent="0.2">
      <c r="B38" s="25">
        <v>13</v>
      </c>
      <c r="C38" s="30" t="s">
        <v>65</v>
      </c>
      <c r="D38" s="29" t="s">
        <v>326</v>
      </c>
      <c r="E38" s="31">
        <v>1.32</v>
      </c>
      <c r="F38" s="28">
        <f t="shared" si="0"/>
        <v>59323.97</v>
      </c>
      <c r="G38" s="304">
        <f>$E$109/SUM($E$6:$E$108)*E38</f>
        <v>1.32</v>
      </c>
    </row>
    <row r="39" spans="2:7" ht="15.75" x14ac:dyDescent="0.2">
      <c r="B39" s="25">
        <v>14</v>
      </c>
      <c r="C39" s="30" t="s">
        <v>164</v>
      </c>
      <c r="D39" s="29" t="s">
        <v>165</v>
      </c>
      <c r="E39" s="27">
        <v>0.02</v>
      </c>
      <c r="F39" s="28">
        <f t="shared" si="0"/>
        <v>898.85</v>
      </c>
      <c r="G39" s="304">
        <f>$E$109/SUM($E$6:$E$108)*E39</f>
        <v>0.02</v>
      </c>
    </row>
    <row r="40" spans="2:7" ht="15.75" x14ac:dyDescent="0.2">
      <c r="B40" s="25">
        <v>15</v>
      </c>
      <c r="C40" s="30" t="s">
        <v>312</v>
      </c>
      <c r="D40" s="29" t="s">
        <v>165</v>
      </c>
      <c r="E40" s="27">
        <v>0.03</v>
      </c>
      <c r="F40" s="28">
        <f t="shared" si="0"/>
        <v>1348.27</v>
      </c>
      <c r="G40" s="304">
        <f>$E$109/SUM($E$6:$E$108)*E40</f>
        <v>0.03</v>
      </c>
    </row>
    <row r="41" spans="2:7" ht="17.25" customHeight="1" x14ac:dyDescent="0.2">
      <c r="B41" s="25">
        <v>16</v>
      </c>
      <c r="C41" s="30" t="s">
        <v>103</v>
      </c>
      <c r="D41" s="29" t="s">
        <v>326</v>
      </c>
      <c r="E41" s="31">
        <v>0.32</v>
      </c>
      <c r="F41" s="28">
        <f t="shared" si="0"/>
        <v>14381.57</v>
      </c>
      <c r="G41" s="304">
        <f>$E$109/SUM($E$6:$E$108)*E41</f>
        <v>0.32</v>
      </c>
    </row>
    <row r="42" spans="2:7" ht="18" customHeight="1" x14ac:dyDescent="0.2">
      <c r="B42" s="25">
        <v>17</v>
      </c>
      <c r="C42" s="30" t="s">
        <v>263</v>
      </c>
      <c r="D42" s="29" t="s">
        <v>61</v>
      </c>
      <c r="E42" s="31">
        <v>0.01</v>
      </c>
      <c r="F42" s="28">
        <f t="shared" si="0"/>
        <v>449.42</v>
      </c>
      <c r="G42" s="304">
        <f>$E$109/SUM($E$6:$E$108)*E42</f>
        <v>0.01</v>
      </c>
    </row>
    <row r="43" spans="2:7" ht="15.75" x14ac:dyDescent="0.2">
      <c r="B43" s="25">
        <v>18</v>
      </c>
      <c r="C43" s="30" t="s">
        <v>149</v>
      </c>
      <c r="D43" s="29" t="s">
        <v>61</v>
      </c>
      <c r="E43" s="31">
        <v>0.01</v>
      </c>
      <c r="F43" s="28">
        <f>E43*12*$B$1</f>
        <v>449.42</v>
      </c>
      <c r="G43" s="304">
        <f>$E$109/SUM($E$6:$E$108)*E43</f>
        <v>0.01</v>
      </c>
    </row>
    <row r="44" spans="2:7" ht="17.25" customHeight="1" x14ac:dyDescent="0.2">
      <c r="B44" s="225">
        <v>19</v>
      </c>
      <c r="C44" s="34" t="s">
        <v>163</v>
      </c>
      <c r="D44" s="29" t="s">
        <v>262</v>
      </c>
      <c r="E44" s="31">
        <v>0.18</v>
      </c>
      <c r="F44" s="28">
        <f t="shared" si="0"/>
        <v>8089.63</v>
      </c>
      <c r="G44" s="304">
        <f>$E$109/SUM($E$6:$E$108)*E44</f>
        <v>0.18</v>
      </c>
    </row>
    <row r="45" spans="2:7" ht="16.350000000000001" customHeight="1" x14ac:dyDescent="0.2">
      <c r="B45" s="291" t="s">
        <v>336</v>
      </c>
      <c r="C45" s="292"/>
      <c r="D45" s="292"/>
      <c r="E45" s="42"/>
      <c r="F45" s="28"/>
      <c r="G45" s="304"/>
    </row>
    <row r="46" spans="2:7" ht="60" x14ac:dyDescent="0.2">
      <c r="B46" s="25">
        <v>20</v>
      </c>
      <c r="C46" s="30" t="s">
        <v>150</v>
      </c>
      <c r="D46" s="29" t="s">
        <v>68</v>
      </c>
      <c r="E46" s="31">
        <v>3.56</v>
      </c>
      <c r="F46" s="28">
        <f>E46*12*$B$1-0.01</f>
        <v>159994.93</v>
      </c>
      <c r="G46" s="304">
        <f>$E$109/SUM($E$6:$E$108)*E46</f>
        <v>3.56</v>
      </c>
    </row>
    <row r="47" spans="2:7" ht="36.6" customHeight="1" x14ac:dyDescent="0.2">
      <c r="B47" s="291" t="s">
        <v>337</v>
      </c>
      <c r="C47" s="292"/>
      <c r="D47" s="292"/>
      <c r="E47" s="42"/>
      <c r="F47" s="28"/>
      <c r="G47" s="304"/>
    </row>
    <row r="48" spans="2:7" ht="30" x14ac:dyDescent="0.2">
      <c r="B48" s="25">
        <v>21</v>
      </c>
      <c r="C48" s="30" t="s">
        <v>154</v>
      </c>
      <c r="D48" s="29"/>
      <c r="E48" s="27"/>
      <c r="F48" s="28"/>
      <c r="G48" s="304"/>
    </row>
    <row r="49" spans="2:7" ht="15.75" x14ac:dyDescent="0.2">
      <c r="B49" s="25"/>
      <c r="C49" s="34" t="s">
        <v>170</v>
      </c>
      <c r="D49" s="29" t="s">
        <v>67</v>
      </c>
      <c r="E49" s="27">
        <v>0.54</v>
      </c>
      <c r="F49" s="28">
        <f t="shared" si="0"/>
        <v>24268.9</v>
      </c>
      <c r="G49" s="304">
        <f>$E$109/SUM($E$6:$E$108)*E49</f>
        <v>0.54</v>
      </c>
    </row>
    <row r="50" spans="2:7" ht="15.75" x14ac:dyDescent="0.2">
      <c r="B50" s="25"/>
      <c r="C50" s="237" t="s">
        <v>171</v>
      </c>
      <c r="D50" s="29" t="s">
        <v>67</v>
      </c>
      <c r="E50" s="27">
        <v>0.3</v>
      </c>
      <c r="F50" s="28">
        <f t="shared" si="0"/>
        <v>13482.72</v>
      </c>
      <c r="G50" s="304">
        <f>$E$109/SUM($E$6:$E$108)*E50</f>
        <v>0.3</v>
      </c>
    </row>
    <row r="51" spans="2:7" ht="15.75" x14ac:dyDescent="0.2">
      <c r="B51" s="25"/>
      <c r="C51" s="34" t="s">
        <v>166</v>
      </c>
      <c r="D51" s="29" t="s">
        <v>67</v>
      </c>
      <c r="E51" s="27">
        <v>7.0000000000000007E-2</v>
      </c>
      <c r="F51" s="28">
        <f t="shared" si="0"/>
        <v>3145.97</v>
      </c>
      <c r="G51" s="304">
        <f>$E$109/SUM($E$6:$E$108)*E51</f>
        <v>7.0000000000000007E-2</v>
      </c>
    </row>
    <row r="52" spans="2:7" ht="30" x14ac:dyDescent="0.2">
      <c r="B52" s="25"/>
      <c r="C52" s="34" t="s">
        <v>313</v>
      </c>
      <c r="D52" s="29" t="s">
        <v>67</v>
      </c>
      <c r="E52" s="27">
        <v>0.06</v>
      </c>
      <c r="F52" s="28">
        <f t="shared" si="0"/>
        <v>2696.54</v>
      </c>
      <c r="G52" s="304">
        <f>$E$109/SUM($E$6:$E$108)*E52</f>
        <v>0.06</v>
      </c>
    </row>
    <row r="53" spans="2:7" ht="15.75" x14ac:dyDescent="0.2">
      <c r="B53" s="25"/>
      <c r="C53" s="34" t="s">
        <v>314</v>
      </c>
      <c r="D53" s="29" t="s">
        <v>67</v>
      </c>
      <c r="E53" s="27">
        <v>0.11</v>
      </c>
      <c r="F53" s="28">
        <f t="shared" si="0"/>
        <v>4943.66</v>
      </c>
      <c r="G53" s="304">
        <f>$E$109/SUM($E$6:$E$108)*E53</f>
        <v>0.11</v>
      </c>
    </row>
    <row r="54" spans="2:7" ht="30" x14ac:dyDescent="0.2">
      <c r="B54" s="25"/>
      <c r="C54" s="34" t="s">
        <v>214</v>
      </c>
      <c r="D54" s="29" t="s">
        <v>67</v>
      </c>
      <c r="E54" s="27">
        <v>0.05</v>
      </c>
      <c r="F54" s="28">
        <f t="shared" si="0"/>
        <v>2247.12</v>
      </c>
      <c r="G54" s="304">
        <f>$E$109/SUM($E$6:$E$108)*E54</f>
        <v>0.05</v>
      </c>
    </row>
    <row r="55" spans="2:7" ht="21.4" customHeight="1" x14ac:dyDescent="0.2">
      <c r="B55" s="25"/>
      <c r="C55" s="34" t="s">
        <v>172</v>
      </c>
      <c r="D55" s="29" t="s">
        <v>67</v>
      </c>
      <c r="E55" s="27">
        <v>7.0000000000000007E-2</v>
      </c>
      <c r="F55" s="28">
        <f t="shared" si="0"/>
        <v>3145.97</v>
      </c>
      <c r="G55" s="304">
        <f>$E$109/SUM($E$6:$E$108)*E55</f>
        <v>7.0000000000000007E-2</v>
      </c>
    </row>
    <row r="56" spans="2:7" ht="31.5" customHeight="1" x14ac:dyDescent="0.2">
      <c r="B56" s="25"/>
      <c r="C56" s="34" t="s">
        <v>292</v>
      </c>
      <c r="D56" s="29" t="s">
        <v>67</v>
      </c>
      <c r="E56" s="27">
        <v>0.11</v>
      </c>
      <c r="F56" s="28">
        <f t="shared" si="0"/>
        <v>4943.66</v>
      </c>
      <c r="G56" s="304">
        <f>$E$109/SUM($E$6:$E$108)*E56</f>
        <v>0.11</v>
      </c>
    </row>
    <row r="57" spans="2:7" ht="30" x14ac:dyDescent="0.2">
      <c r="B57" s="25">
        <v>22</v>
      </c>
      <c r="C57" s="34" t="s">
        <v>205</v>
      </c>
      <c r="D57" s="29"/>
      <c r="E57" s="27"/>
      <c r="F57" s="28"/>
      <c r="G57" s="304"/>
    </row>
    <row r="58" spans="2:7" ht="15.75" x14ac:dyDescent="0.2">
      <c r="B58" s="25"/>
      <c r="C58" s="34" t="s">
        <v>206</v>
      </c>
      <c r="D58" s="29" t="s">
        <v>67</v>
      </c>
      <c r="E58" s="27">
        <v>0.72</v>
      </c>
      <c r="F58" s="28">
        <f t="shared" si="0"/>
        <v>32358.53</v>
      </c>
      <c r="G58" s="304">
        <f>$E$109/SUM($E$6:$E$108)*E58</f>
        <v>0.72</v>
      </c>
    </row>
    <row r="59" spans="2:7" ht="30" x14ac:dyDescent="0.2">
      <c r="B59" s="25">
        <v>23</v>
      </c>
      <c r="C59" s="30" t="s">
        <v>104</v>
      </c>
      <c r="D59" s="29"/>
      <c r="E59" s="27"/>
      <c r="F59" s="28"/>
      <c r="G59" s="304"/>
    </row>
    <row r="60" spans="2:7" ht="45" x14ac:dyDescent="0.2">
      <c r="B60" s="25"/>
      <c r="C60" s="34" t="s">
        <v>265</v>
      </c>
      <c r="D60" s="29" t="s">
        <v>67</v>
      </c>
      <c r="E60" s="27">
        <v>0.03</v>
      </c>
      <c r="F60" s="28">
        <f t="shared" si="0"/>
        <v>1348.27</v>
      </c>
      <c r="G60" s="304">
        <f>$E$109/SUM($E$6:$E$108)*E60</f>
        <v>0.03</v>
      </c>
    </row>
    <row r="61" spans="2:7" ht="30" x14ac:dyDescent="0.2">
      <c r="B61" s="25"/>
      <c r="C61" s="34" t="s">
        <v>333</v>
      </c>
      <c r="D61" s="29" t="s">
        <v>67</v>
      </c>
      <c r="E61" s="27">
        <v>1.19</v>
      </c>
      <c r="F61" s="28">
        <f t="shared" si="0"/>
        <v>53481.46</v>
      </c>
      <c r="G61" s="304">
        <f>$E$109/SUM($E$6:$E$108)*E61</f>
        <v>1.19</v>
      </c>
    </row>
    <row r="62" spans="2:7" ht="45" x14ac:dyDescent="0.2">
      <c r="B62" s="25"/>
      <c r="C62" s="34" t="s">
        <v>331</v>
      </c>
      <c r="D62" s="29" t="s">
        <v>67</v>
      </c>
      <c r="E62" s="27">
        <v>0.84</v>
      </c>
      <c r="F62" s="28">
        <f t="shared" si="0"/>
        <v>37751.620000000003</v>
      </c>
      <c r="G62" s="304">
        <f>$E$109/SUM($E$6:$E$108)*E62</f>
        <v>0.84</v>
      </c>
    </row>
    <row r="63" spans="2:7" ht="15.75" x14ac:dyDescent="0.2">
      <c r="B63" s="25"/>
      <c r="C63" s="34" t="s">
        <v>315</v>
      </c>
      <c r="D63" s="29" t="s">
        <v>67</v>
      </c>
      <c r="E63" s="27">
        <v>2.04</v>
      </c>
      <c r="F63" s="28">
        <f t="shared" si="0"/>
        <v>91682.5</v>
      </c>
      <c r="G63" s="304">
        <f>$E$109/SUM($E$6:$E$108)*E63</f>
        <v>2.04</v>
      </c>
    </row>
    <row r="64" spans="2:7" ht="30" x14ac:dyDescent="0.2">
      <c r="B64" s="25">
        <v>24</v>
      </c>
      <c r="C64" s="34" t="s">
        <v>207</v>
      </c>
      <c r="D64" s="29"/>
      <c r="E64" s="27"/>
      <c r="F64" s="28"/>
      <c r="G64" s="304"/>
    </row>
    <row r="65" spans="2:7" ht="30" x14ac:dyDescent="0.2">
      <c r="B65" s="25"/>
      <c r="C65" s="34" t="s">
        <v>266</v>
      </c>
      <c r="D65" s="29" t="s">
        <v>67</v>
      </c>
      <c r="E65" s="27">
        <v>2.21</v>
      </c>
      <c r="F65" s="28">
        <f t="shared" si="0"/>
        <v>99322.7</v>
      </c>
      <c r="G65" s="304">
        <f>$E$109/SUM($E$6:$E$108)*E65</f>
        <v>2.21</v>
      </c>
    </row>
    <row r="66" spans="2:7" ht="30" x14ac:dyDescent="0.2">
      <c r="B66" s="25"/>
      <c r="C66" s="34" t="s">
        <v>316</v>
      </c>
      <c r="D66" s="29" t="s">
        <v>67</v>
      </c>
      <c r="E66" s="27">
        <v>1.99</v>
      </c>
      <c r="F66" s="28">
        <f t="shared" si="0"/>
        <v>89435.38</v>
      </c>
      <c r="G66" s="304">
        <f>$E$109/SUM($E$6:$E$108)*E66</f>
        <v>1.99</v>
      </c>
    </row>
    <row r="67" spans="2:7" ht="30" x14ac:dyDescent="0.2">
      <c r="B67" s="25"/>
      <c r="C67" s="34" t="s">
        <v>208</v>
      </c>
      <c r="D67" s="29" t="s">
        <v>67</v>
      </c>
      <c r="E67" s="27">
        <v>0.27</v>
      </c>
      <c r="F67" s="28">
        <f t="shared" si="0"/>
        <v>12134.45</v>
      </c>
      <c r="G67" s="304">
        <f>$E$109/SUM($E$6:$E$108)*E67</f>
        <v>0.27</v>
      </c>
    </row>
    <row r="68" spans="2:7" ht="15.75" x14ac:dyDescent="0.2">
      <c r="B68" s="25"/>
      <c r="C68" s="34" t="s">
        <v>209</v>
      </c>
      <c r="D68" s="29" t="s">
        <v>67</v>
      </c>
      <c r="E68" s="27">
        <v>0.51</v>
      </c>
      <c r="F68" s="28">
        <f t="shared" si="0"/>
        <v>22920.62</v>
      </c>
      <c r="G68" s="304">
        <f>$E$109/SUM($E$6:$E$108)*E68</f>
        <v>0.51</v>
      </c>
    </row>
    <row r="69" spans="2:7" ht="30" x14ac:dyDescent="0.2">
      <c r="B69" s="25">
        <v>25</v>
      </c>
      <c r="C69" s="30" t="s">
        <v>80</v>
      </c>
      <c r="D69" s="29"/>
      <c r="E69" s="27"/>
      <c r="F69" s="28"/>
      <c r="G69" s="304"/>
    </row>
    <row r="70" spans="2:7" ht="15.75" x14ac:dyDescent="0.2">
      <c r="B70" s="25"/>
      <c r="C70" s="30" t="s">
        <v>271</v>
      </c>
      <c r="D70" s="29" t="s">
        <v>67</v>
      </c>
      <c r="E70" s="27">
        <v>0.03</v>
      </c>
      <c r="F70" s="28">
        <f t="shared" si="0"/>
        <v>1348.27</v>
      </c>
      <c r="G70" s="304">
        <f>$E$109/SUM($E$6:$E$108)*E70</f>
        <v>0.03</v>
      </c>
    </row>
    <row r="71" spans="2:7" ht="30" x14ac:dyDescent="0.2">
      <c r="B71" s="25"/>
      <c r="C71" s="30" t="s">
        <v>270</v>
      </c>
      <c r="D71" s="29" t="s">
        <v>67</v>
      </c>
      <c r="E71" s="27">
        <v>0.05</v>
      </c>
      <c r="F71" s="28">
        <f t="shared" si="0"/>
        <v>2247.12</v>
      </c>
      <c r="G71" s="304">
        <f>$E$109/SUM($E$6:$E$108)*E71</f>
        <v>0.05</v>
      </c>
    </row>
    <row r="72" spans="2:7" ht="30" x14ac:dyDescent="0.2">
      <c r="B72" s="25"/>
      <c r="C72" s="30" t="s">
        <v>210</v>
      </c>
      <c r="D72" s="29" t="s">
        <v>67</v>
      </c>
      <c r="E72" s="27">
        <v>1</v>
      </c>
      <c r="F72" s="28">
        <f t="shared" ref="F72:F108" si="1">E72*12*$B$1</f>
        <v>44942.400000000001</v>
      </c>
      <c r="G72" s="304">
        <f>$E$109/SUM($E$6:$E$108)*E72</f>
        <v>1</v>
      </c>
    </row>
    <row r="73" spans="2:7" ht="30" x14ac:dyDescent="0.2">
      <c r="B73" s="25"/>
      <c r="C73" s="30" t="s">
        <v>317</v>
      </c>
      <c r="D73" s="29" t="s">
        <v>67</v>
      </c>
      <c r="E73" s="27">
        <v>0.03</v>
      </c>
      <c r="F73" s="28">
        <f t="shared" si="1"/>
        <v>1348.27</v>
      </c>
      <c r="G73" s="304">
        <f>$E$109/SUM($E$6:$E$108)*E73</f>
        <v>0.03</v>
      </c>
    </row>
    <row r="74" spans="2:7" ht="15.75" x14ac:dyDescent="0.2">
      <c r="B74" s="25"/>
      <c r="C74" s="30" t="s">
        <v>105</v>
      </c>
      <c r="D74" s="29" t="s">
        <v>67</v>
      </c>
      <c r="E74" s="27">
        <v>0.05</v>
      </c>
      <c r="F74" s="28">
        <f>E74*12*$B$1</f>
        <v>2247.12</v>
      </c>
      <c r="G74" s="304">
        <f>$E$109/SUM($E$6:$E$108)*E74</f>
        <v>0.05</v>
      </c>
    </row>
    <row r="75" spans="2:7" ht="21.75" customHeight="1" x14ac:dyDescent="0.2">
      <c r="B75" s="25"/>
      <c r="C75" s="30" t="s">
        <v>272</v>
      </c>
      <c r="D75" s="29" t="s">
        <v>67</v>
      </c>
      <c r="E75" s="27">
        <v>0.16</v>
      </c>
      <c r="F75" s="28">
        <f>E75*12*$B$1</f>
        <v>7190.78</v>
      </c>
      <c r="G75" s="304">
        <f>$E$109/SUM($E$6:$E$108)*E75</f>
        <v>0.16</v>
      </c>
    </row>
    <row r="76" spans="2:7" ht="30" x14ac:dyDescent="0.2">
      <c r="B76" s="25"/>
      <c r="C76" s="30" t="s">
        <v>173</v>
      </c>
      <c r="D76" s="29" t="s">
        <v>67</v>
      </c>
      <c r="E76" s="27">
        <v>0.01</v>
      </c>
      <c r="F76" s="28">
        <f t="shared" si="1"/>
        <v>449.42</v>
      </c>
      <c r="G76" s="304">
        <f>$E$109/SUM($E$6:$E$108)*E76</f>
        <v>0.01</v>
      </c>
    </row>
    <row r="77" spans="2:7" ht="15.75" x14ac:dyDescent="0.2">
      <c r="B77" s="25"/>
      <c r="C77" s="30" t="s">
        <v>81</v>
      </c>
      <c r="D77" s="29" t="s">
        <v>67</v>
      </c>
      <c r="E77" s="27">
        <v>0.43</v>
      </c>
      <c r="F77" s="28">
        <f t="shared" si="1"/>
        <v>19325.23</v>
      </c>
      <c r="G77" s="304">
        <f>$E$109/SUM($E$6:$E$108)*E77</f>
        <v>0.43</v>
      </c>
    </row>
    <row r="78" spans="2:7" ht="31.5" customHeight="1" x14ac:dyDescent="0.2">
      <c r="B78" s="291" t="s">
        <v>338</v>
      </c>
      <c r="C78" s="292"/>
      <c r="D78" s="292"/>
      <c r="E78" s="42"/>
      <c r="F78" s="28"/>
      <c r="G78" s="304"/>
    </row>
    <row r="79" spans="2:7" ht="48" customHeight="1" x14ac:dyDescent="0.2">
      <c r="B79" s="25">
        <v>26</v>
      </c>
      <c r="C79" s="32" t="s">
        <v>82</v>
      </c>
      <c r="D79" s="156"/>
      <c r="E79" s="42"/>
      <c r="F79" s="28"/>
      <c r="G79" s="304"/>
    </row>
    <row r="80" spans="2:7" ht="38.25" x14ac:dyDescent="0.2">
      <c r="B80" s="25"/>
      <c r="C80" s="35" t="s">
        <v>83</v>
      </c>
      <c r="D80" s="249" t="s">
        <v>151</v>
      </c>
      <c r="E80" s="31">
        <v>2.72</v>
      </c>
      <c r="F80" s="28">
        <f>E80*12*$B$1-0.01</f>
        <v>122243.32</v>
      </c>
      <c r="G80" s="304">
        <f>$E$109/SUM($E$6:$E$108)*E80</f>
        <v>2.72</v>
      </c>
    </row>
    <row r="81" spans="2:7" ht="30" x14ac:dyDescent="0.2">
      <c r="B81" s="25"/>
      <c r="C81" s="35" t="s">
        <v>275</v>
      </c>
      <c r="D81" s="37" t="s">
        <v>67</v>
      </c>
      <c r="E81" s="31">
        <v>0.02</v>
      </c>
      <c r="F81" s="28">
        <f t="shared" si="1"/>
        <v>898.85</v>
      </c>
      <c r="G81" s="304">
        <f>$E$109/SUM($E$6:$E$108)*E81</f>
        <v>0.02</v>
      </c>
    </row>
    <row r="82" spans="2:7" ht="15.75" x14ac:dyDescent="0.2">
      <c r="B82" s="25"/>
      <c r="C82" s="35" t="s">
        <v>276</v>
      </c>
      <c r="D82" s="37" t="s">
        <v>67</v>
      </c>
      <c r="E82" s="31">
        <v>0.05</v>
      </c>
      <c r="F82" s="28">
        <f t="shared" si="1"/>
        <v>2247.12</v>
      </c>
      <c r="G82" s="304">
        <f>$E$109/SUM($E$6:$E$108)*E82</f>
        <v>0.05</v>
      </c>
    </row>
    <row r="83" spans="2:7" ht="19.5" customHeight="1" x14ac:dyDescent="0.2">
      <c r="B83" s="25"/>
      <c r="C83" s="35" t="s">
        <v>277</v>
      </c>
      <c r="D83" s="37" t="s">
        <v>67</v>
      </c>
      <c r="E83" s="31">
        <v>0.03</v>
      </c>
      <c r="F83" s="28">
        <f t="shared" si="1"/>
        <v>1348.27</v>
      </c>
      <c r="G83" s="304">
        <f>$E$109/SUM($E$6:$E$108)*E83</f>
        <v>0.03</v>
      </c>
    </row>
    <row r="84" spans="2:7" ht="15.75" x14ac:dyDescent="0.2">
      <c r="B84" s="25"/>
      <c r="C84" s="35" t="s">
        <v>278</v>
      </c>
      <c r="D84" s="37" t="s">
        <v>67</v>
      </c>
      <c r="E84" s="31">
        <v>0.06</v>
      </c>
      <c r="F84" s="28">
        <f t="shared" si="1"/>
        <v>2696.54</v>
      </c>
      <c r="G84" s="304">
        <f>$E$109/SUM($E$6:$E$108)*E84</f>
        <v>0.06</v>
      </c>
    </row>
    <row r="85" spans="2:7" ht="15.75" x14ac:dyDescent="0.2">
      <c r="B85" s="25"/>
      <c r="C85" s="35" t="s">
        <v>279</v>
      </c>
      <c r="D85" s="37" t="s">
        <v>67</v>
      </c>
      <c r="E85" s="31">
        <v>0.04</v>
      </c>
      <c r="F85" s="28">
        <f t="shared" si="1"/>
        <v>1797.7</v>
      </c>
      <c r="G85" s="304">
        <f>$E$109/SUM($E$6:$E$108)*E85</f>
        <v>0.04</v>
      </c>
    </row>
    <row r="86" spans="2:7" ht="30" x14ac:dyDescent="0.2">
      <c r="B86" s="25"/>
      <c r="C86" s="35" t="s">
        <v>284</v>
      </c>
      <c r="D86" s="37" t="s">
        <v>67</v>
      </c>
      <c r="E86" s="31">
        <v>0.23</v>
      </c>
      <c r="F86" s="28">
        <f t="shared" si="1"/>
        <v>10336.75</v>
      </c>
      <c r="G86" s="304">
        <f>$E$109/SUM($E$6:$E$108)*E86</f>
        <v>0.23</v>
      </c>
    </row>
    <row r="87" spans="2:7" ht="30" x14ac:dyDescent="0.2">
      <c r="B87" s="25"/>
      <c r="C87" s="35" t="s">
        <v>280</v>
      </c>
      <c r="D87" s="37" t="s">
        <v>67</v>
      </c>
      <c r="E87" s="31">
        <v>0.04</v>
      </c>
      <c r="F87" s="28">
        <f t="shared" si="1"/>
        <v>1797.7</v>
      </c>
      <c r="G87" s="304">
        <f>$E$109/SUM($E$6:$E$108)*E87</f>
        <v>0.04</v>
      </c>
    </row>
    <row r="88" spans="2:7" ht="15.75" x14ac:dyDescent="0.2">
      <c r="B88" s="25"/>
      <c r="C88" s="35" t="s">
        <v>211</v>
      </c>
      <c r="D88" s="29" t="s">
        <v>67</v>
      </c>
      <c r="E88" s="27">
        <v>0.02</v>
      </c>
      <c r="F88" s="28">
        <f t="shared" si="1"/>
        <v>898.85</v>
      </c>
      <c r="G88" s="304">
        <f>$E$109/SUM($E$6:$E$108)*E88</f>
        <v>0.02</v>
      </c>
    </row>
    <row r="89" spans="2:7" ht="46.5" customHeight="1" x14ac:dyDescent="0.25">
      <c r="B89" s="25"/>
      <c r="C89" s="36" t="s">
        <v>281</v>
      </c>
      <c r="D89" s="29" t="s">
        <v>67</v>
      </c>
      <c r="E89" s="27">
        <v>0.14000000000000001</v>
      </c>
      <c r="F89" s="28">
        <f t="shared" si="1"/>
        <v>6291.94</v>
      </c>
      <c r="G89" s="304">
        <f>$E$109/SUM($E$6:$E$108)*E89</f>
        <v>0.14000000000000001</v>
      </c>
    </row>
    <row r="90" spans="2:7" ht="46.5" customHeight="1" x14ac:dyDescent="0.25">
      <c r="B90" s="25"/>
      <c r="C90" s="36" t="s">
        <v>321</v>
      </c>
      <c r="D90" s="29" t="s">
        <v>67</v>
      </c>
      <c r="E90" s="27">
        <v>0.13</v>
      </c>
      <c r="F90" s="28">
        <f t="shared" si="1"/>
        <v>5842.51</v>
      </c>
      <c r="G90" s="304">
        <f>$E$109/SUM($E$6:$E$108)*E90</f>
        <v>0.13</v>
      </c>
    </row>
    <row r="91" spans="2:7" ht="46.5" customHeight="1" x14ac:dyDescent="0.25">
      <c r="B91" s="25"/>
      <c r="C91" s="36" t="s">
        <v>322</v>
      </c>
      <c r="D91" s="29" t="s">
        <v>67</v>
      </c>
      <c r="E91" s="27">
        <v>0.14000000000000001</v>
      </c>
      <c r="F91" s="28">
        <f t="shared" si="1"/>
        <v>6291.94</v>
      </c>
      <c r="G91" s="304">
        <f>$E$109/SUM($E$6:$E$108)*E91</f>
        <v>0.14000000000000001</v>
      </c>
    </row>
    <row r="92" spans="2:7" ht="48" customHeight="1" x14ac:dyDescent="0.2">
      <c r="B92" s="25"/>
      <c r="C92" s="32" t="s">
        <v>221</v>
      </c>
      <c r="D92" s="29" t="s">
        <v>67</v>
      </c>
      <c r="E92" s="27">
        <v>0.42</v>
      </c>
      <c r="F92" s="28">
        <f t="shared" si="1"/>
        <v>18875.810000000001</v>
      </c>
      <c r="G92" s="304">
        <f>$E$109/SUM($E$6:$E$108)*E92</f>
        <v>0.42</v>
      </c>
    </row>
    <row r="93" spans="2:7" ht="30" x14ac:dyDescent="0.2">
      <c r="B93" s="25"/>
      <c r="C93" s="32" t="s">
        <v>282</v>
      </c>
      <c r="D93" s="29" t="s">
        <v>67</v>
      </c>
      <c r="E93" s="27">
        <v>0.03</v>
      </c>
      <c r="F93" s="28">
        <f t="shared" si="1"/>
        <v>1348.27</v>
      </c>
      <c r="G93" s="304">
        <f>$E$109/SUM($E$6:$E$108)*E93</f>
        <v>0.03</v>
      </c>
    </row>
    <row r="94" spans="2:7" ht="30" x14ac:dyDescent="0.2">
      <c r="B94" s="25"/>
      <c r="C94" s="32" t="s">
        <v>285</v>
      </c>
      <c r="D94" s="29" t="s">
        <v>67</v>
      </c>
      <c r="E94" s="27">
        <v>0.04</v>
      </c>
      <c r="F94" s="28">
        <f t="shared" si="1"/>
        <v>1797.7</v>
      </c>
      <c r="G94" s="304">
        <f>$E$109/SUM($E$6:$E$108)*E94</f>
        <v>0.04</v>
      </c>
    </row>
    <row r="95" spans="2:7" ht="30" x14ac:dyDescent="0.2">
      <c r="B95" s="25"/>
      <c r="C95" s="30" t="s">
        <v>286</v>
      </c>
      <c r="D95" s="29" t="s">
        <v>67</v>
      </c>
      <c r="E95" s="27">
        <v>0.08</v>
      </c>
      <c r="F95" s="28">
        <f t="shared" si="1"/>
        <v>3595.39</v>
      </c>
      <c r="G95" s="304">
        <f>$E$109/SUM($E$6:$E$108)*E95</f>
        <v>0.08</v>
      </c>
    </row>
    <row r="96" spans="2:7" ht="31.5" x14ac:dyDescent="0.25">
      <c r="B96" s="44"/>
      <c r="C96" s="43" t="s">
        <v>287</v>
      </c>
      <c r="D96" s="29" t="s">
        <v>67</v>
      </c>
      <c r="E96" s="27">
        <v>0.01</v>
      </c>
      <c r="F96" s="28">
        <f t="shared" si="1"/>
        <v>449.42</v>
      </c>
      <c r="G96" s="304">
        <f>$E$109/SUM($E$6:$E$108)*E96</f>
        <v>0.01</v>
      </c>
    </row>
    <row r="97" spans="2:7" ht="15.75" x14ac:dyDescent="0.25">
      <c r="B97" s="44"/>
      <c r="C97" s="43" t="s">
        <v>288</v>
      </c>
      <c r="D97" s="29" t="s">
        <v>67</v>
      </c>
      <c r="E97" s="27">
        <v>7.0000000000000007E-2</v>
      </c>
      <c r="F97" s="28">
        <f t="shared" si="1"/>
        <v>3145.97</v>
      </c>
      <c r="G97" s="304">
        <f>$E$109/SUM($E$6:$E$108)*E97</f>
        <v>7.0000000000000007E-2</v>
      </c>
    </row>
    <row r="98" spans="2:7" ht="31.5" x14ac:dyDescent="0.25">
      <c r="B98" s="44"/>
      <c r="C98" s="43" t="s">
        <v>283</v>
      </c>
      <c r="D98" s="29" t="s">
        <v>67</v>
      </c>
      <c r="E98" s="27">
        <v>0.6</v>
      </c>
      <c r="F98" s="28">
        <f t="shared" si="1"/>
        <v>26965.439999999999</v>
      </c>
      <c r="G98" s="304">
        <f>$E$109/SUM($E$6:$E$108)*E98</f>
        <v>0.6</v>
      </c>
    </row>
    <row r="99" spans="2:7" ht="30" x14ac:dyDescent="0.2">
      <c r="B99" s="25">
        <v>27</v>
      </c>
      <c r="C99" s="30" t="s">
        <v>84</v>
      </c>
      <c r="D99" s="29"/>
      <c r="E99" s="27"/>
      <c r="F99" s="28"/>
      <c r="G99" s="304"/>
    </row>
    <row r="100" spans="2:7" ht="15.75" x14ac:dyDescent="0.25">
      <c r="B100" s="25"/>
      <c r="C100" s="36" t="s">
        <v>155</v>
      </c>
      <c r="D100" s="29" t="s">
        <v>67</v>
      </c>
      <c r="E100" s="27">
        <v>0.14000000000000001</v>
      </c>
      <c r="F100" s="28">
        <f t="shared" si="1"/>
        <v>6291.94</v>
      </c>
      <c r="G100" s="304">
        <f>$E$109/SUM($E$6:$E$108)*E100</f>
        <v>0.14000000000000001</v>
      </c>
    </row>
    <row r="101" spans="2:7" ht="15.75" x14ac:dyDescent="0.25">
      <c r="B101" s="25"/>
      <c r="C101" s="36" t="s">
        <v>273</v>
      </c>
      <c r="D101" s="29" t="s">
        <v>67</v>
      </c>
      <c r="E101" s="27">
        <v>0.02</v>
      </c>
      <c r="F101" s="28">
        <f t="shared" si="1"/>
        <v>898.85</v>
      </c>
      <c r="G101" s="304">
        <f>$E$109/SUM($E$6:$E$108)*E101</f>
        <v>0.02</v>
      </c>
    </row>
    <row r="102" spans="2:7" ht="15.75" x14ac:dyDescent="0.25">
      <c r="B102" s="25"/>
      <c r="C102" s="36" t="s">
        <v>274</v>
      </c>
      <c r="D102" s="29" t="s">
        <v>67</v>
      </c>
      <c r="E102" s="27">
        <v>0.04</v>
      </c>
      <c r="F102" s="28">
        <f t="shared" si="1"/>
        <v>1797.7</v>
      </c>
      <c r="G102" s="304">
        <f>$E$109/SUM($E$6:$E$108)*E102</f>
        <v>0.04</v>
      </c>
    </row>
    <row r="103" spans="2:7" ht="15.75" x14ac:dyDescent="0.25">
      <c r="B103" s="25"/>
      <c r="C103" s="36" t="s">
        <v>319</v>
      </c>
      <c r="D103" s="29" t="s">
        <v>67</v>
      </c>
      <c r="E103" s="27">
        <v>0.05</v>
      </c>
      <c r="F103" s="28">
        <f t="shared" si="1"/>
        <v>2247.12</v>
      </c>
      <c r="G103" s="304">
        <f>$E$109/SUM($E$6:$E$108)*E103</f>
        <v>0.05</v>
      </c>
    </row>
    <row r="104" spans="2:7" ht="15.75" x14ac:dyDescent="0.25">
      <c r="B104" s="25"/>
      <c r="C104" s="36" t="s">
        <v>320</v>
      </c>
      <c r="D104" s="29" t="s">
        <v>67</v>
      </c>
      <c r="E104" s="27">
        <v>0.09</v>
      </c>
      <c r="F104" s="28">
        <f t="shared" si="1"/>
        <v>4044.82</v>
      </c>
      <c r="G104" s="304">
        <f>$E$109/SUM($E$6:$E$108)*E104</f>
        <v>0.09</v>
      </c>
    </row>
    <row r="105" spans="2:7" ht="31.5" customHeight="1" x14ac:dyDescent="0.25">
      <c r="B105" s="25"/>
      <c r="C105" s="36" t="s">
        <v>179</v>
      </c>
      <c r="D105" s="29" t="s">
        <v>67</v>
      </c>
      <c r="E105" s="27">
        <v>0.04</v>
      </c>
      <c r="F105" s="28">
        <f t="shared" si="1"/>
        <v>1797.7</v>
      </c>
      <c r="G105" s="304">
        <f>$E$109/SUM($E$6:$E$108)*E105</f>
        <v>0.04</v>
      </c>
    </row>
    <row r="106" spans="2:7" ht="30" customHeight="1" x14ac:dyDescent="0.25">
      <c r="B106" s="25"/>
      <c r="C106" s="36" t="s">
        <v>180</v>
      </c>
      <c r="D106" s="29" t="s">
        <v>67</v>
      </c>
      <c r="E106" s="27">
        <v>0.21</v>
      </c>
      <c r="F106" s="28">
        <f t="shared" si="1"/>
        <v>9437.9</v>
      </c>
      <c r="G106" s="304">
        <f>$E$109/SUM($E$6:$E$108)*E106</f>
        <v>0.21</v>
      </c>
    </row>
    <row r="107" spans="2:7" ht="15.75" x14ac:dyDescent="0.2">
      <c r="B107" s="46">
        <v>28</v>
      </c>
      <c r="C107" s="34" t="s">
        <v>318</v>
      </c>
      <c r="D107" s="29" t="s">
        <v>67</v>
      </c>
      <c r="E107" s="27">
        <v>0.95</v>
      </c>
      <c r="F107" s="28">
        <f t="shared" si="1"/>
        <v>42695.28</v>
      </c>
      <c r="G107" s="304">
        <f>$E$109/SUM($E$6:$E$108)*E107</f>
        <v>0.95</v>
      </c>
    </row>
    <row r="108" spans="2:7" ht="17.45" customHeight="1" x14ac:dyDescent="0.2">
      <c r="B108" s="46">
        <v>29</v>
      </c>
      <c r="C108" s="255" t="s">
        <v>85</v>
      </c>
      <c r="D108" s="47" t="s">
        <v>178</v>
      </c>
      <c r="E108" s="48">
        <v>0.74</v>
      </c>
      <c r="F108" s="256">
        <f t="shared" si="1"/>
        <v>33257.379999999997</v>
      </c>
      <c r="G108" s="304">
        <f>$E$109/SUM($E$6:$E$108)*E108</f>
        <v>0.74</v>
      </c>
    </row>
    <row r="109" spans="2:7" ht="15.75" x14ac:dyDescent="0.2">
      <c r="B109" s="257"/>
      <c r="C109" s="257" t="s">
        <v>86</v>
      </c>
      <c r="D109" s="254"/>
      <c r="E109" s="258">
        <v>60.33</v>
      </c>
      <c r="F109" s="259">
        <f>SUM(F6:F108)</f>
        <v>2711374.99</v>
      </c>
      <c r="G109" s="305">
        <f>SUM(G6:G108)</f>
        <v>60.33</v>
      </c>
    </row>
    <row r="110" spans="2:7" ht="15" x14ac:dyDescent="0.2">
      <c r="B110" s="68"/>
      <c r="C110" s="69"/>
      <c r="D110" s="70"/>
      <c r="E110" s="71">
        <f>SUM(E6:E108)</f>
        <v>60.33</v>
      </c>
      <c r="F110" s="71"/>
    </row>
    <row r="111" spans="2:7" ht="15" x14ac:dyDescent="0.2">
      <c r="B111" s="68"/>
      <c r="C111" s="69"/>
      <c r="D111" s="70"/>
      <c r="E111" s="71"/>
      <c r="F111" s="71"/>
    </row>
    <row r="112" spans="2:7" x14ac:dyDescent="0.2">
      <c r="D112" s="23"/>
      <c r="F112" s="20"/>
    </row>
    <row r="113" spans="4:8" x14ac:dyDescent="0.2">
      <c r="D113" s="23"/>
      <c r="F113" s="20"/>
    </row>
    <row r="114" spans="4:8" ht="50.25" customHeight="1" x14ac:dyDescent="0.25">
      <c r="G114" s="22"/>
      <c r="H114" s="22"/>
    </row>
    <row r="115" spans="4:8" ht="15.75" x14ac:dyDescent="0.25">
      <c r="G115" s="22"/>
      <c r="H115" s="22"/>
    </row>
    <row r="116" spans="4:8" ht="15.75" x14ac:dyDescent="0.2">
      <c r="G116" s="73"/>
      <c r="H116" s="74"/>
    </row>
    <row r="117" spans="4:8" ht="15.75" x14ac:dyDescent="0.2">
      <c r="G117" s="75"/>
      <c r="H117" s="75"/>
    </row>
    <row r="118" spans="4:8" ht="15.75" x14ac:dyDescent="0.2">
      <c r="G118" s="75"/>
      <c r="H118" s="75"/>
    </row>
    <row r="119" spans="4:8" ht="15.75" x14ac:dyDescent="0.2">
      <c r="G119" s="75"/>
      <c r="H119" s="75"/>
    </row>
    <row r="120" spans="4:8" ht="15.75" x14ac:dyDescent="0.2">
      <c r="G120" s="75"/>
      <c r="H120" s="75"/>
    </row>
    <row r="121" spans="4:8" ht="15.75" x14ac:dyDescent="0.25">
      <c r="G121" s="22"/>
      <c r="H121" s="22"/>
    </row>
    <row r="122" spans="4:8" ht="15.75" x14ac:dyDescent="0.25">
      <c r="G122" s="22"/>
      <c r="H122" s="22"/>
    </row>
  </sheetData>
  <mergeCells count="14">
    <mergeCell ref="D1:F1"/>
    <mergeCell ref="F2:F3"/>
    <mergeCell ref="B47:D47"/>
    <mergeCell ref="B78:D78"/>
    <mergeCell ref="B31:D31"/>
    <mergeCell ref="B37:D37"/>
    <mergeCell ref="B45:D45"/>
    <mergeCell ref="B2:B3"/>
    <mergeCell ref="C2:C3"/>
    <mergeCell ref="D2:D3"/>
    <mergeCell ref="E2:E3"/>
    <mergeCell ref="B14:D14"/>
    <mergeCell ref="B25:D25"/>
    <mergeCell ref="B4:D4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Расчет об.раб</vt:lpstr>
      <vt:lpstr>Перечень об.раб.</vt:lpstr>
      <vt:lpstr>'Перечень об.раб.'!Область_печати</vt:lpstr>
      <vt:lpstr>'Расчет об.раб'!Область_печати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2019-06-05T14:18:48Z</dcterms:modified>
</cp:coreProperties>
</file>