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13_ncr:1_{6772954C-8D26-4E45-AB69-55C24A7C5840}" xr6:coauthVersionLast="37" xr6:coauthVersionMax="37" xr10:uidLastSave="{00000000-0000-0000-0000-000000000000}"/>
  <bookViews>
    <workbookView xWindow="0" yWindow="0" windowWidth="35610" windowHeight="11280" xr2:uid="{00000000-000D-0000-FFFF-FFFF00000000}"/>
  </bookViews>
  <sheets>
    <sheet name="Результаты" sheetId="2" r:id="rId1"/>
  </sheets>
  <definedNames>
    <definedName name="_xlnm._FilterDatabase" localSheetId="0" hidden="1">Результаты!$A$2:$D$2</definedName>
  </definedNames>
  <calcPr calcId="179021"/>
</workbook>
</file>

<file path=xl/calcChain.xml><?xml version="1.0" encoding="utf-8"?>
<calcChain xmlns="http://schemas.openxmlformats.org/spreadsheetml/2006/main">
  <c r="B606" i="2" l="1"/>
  <c r="B605" i="2"/>
  <c r="B604" i="2"/>
  <c r="B603" i="2"/>
  <c r="B602" i="2"/>
  <c r="B601" i="2"/>
  <c r="B600" i="2"/>
  <c r="B599" i="2"/>
  <c r="B598" i="2"/>
  <c r="B597" i="2"/>
  <c r="B596" i="2"/>
  <c r="B595" i="2"/>
  <c r="B594" i="2"/>
  <c r="B593" i="2"/>
  <c r="B592" i="2"/>
  <c r="B591" i="2"/>
  <c r="B590" i="2"/>
  <c r="B589" i="2"/>
  <c r="B588" i="2"/>
  <c r="B587" i="2"/>
  <c r="B586" i="2"/>
  <c r="B585" i="2"/>
  <c r="B584" i="2"/>
  <c r="B583" i="2"/>
  <c r="B582" i="2"/>
  <c r="B581" i="2"/>
  <c r="B580" i="2"/>
  <c r="B579" i="2"/>
  <c r="B578" i="2"/>
  <c r="B577" i="2"/>
  <c r="B576" i="2"/>
  <c r="B575" i="2"/>
  <c r="B574" i="2"/>
  <c r="B573" i="2"/>
  <c r="B572" i="2"/>
  <c r="B571" i="2"/>
  <c r="B570" i="2"/>
  <c r="B569" i="2"/>
  <c r="B568" i="2"/>
  <c r="B567" i="2"/>
  <c r="B566" i="2"/>
  <c r="B565" i="2"/>
  <c r="B564" i="2"/>
  <c r="B563" i="2"/>
  <c r="B562" i="2"/>
  <c r="B561" i="2"/>
  <c r="B560" i="2"/>
  <c r="B559" i="2"/>
  <c r="B558" i="2"/>
  <c r="B557" i="2"/>
  <c r="B556" i="2"/>
  <c r="B555" i="2"/>
  <c r="B554" i="2"/>
  <c r="B553" i="2"/>
  <c r="B552" i="2"/>
  <c r="B551" i="2"/>
  <c r="B550" i="2"/>
  <c r="B549" i="2"/>
  <c r="B548" i="2"/>
  <c r="B547" i="2"/>
  <c r="B546" i="2"/>
  <c r="B545" i="2"/>
  <c r="B544" i="2"/>
  <c r="B543" i="2"/>
  <c r="B542" i="2"/>
  <c r="B541" i="2"/>
  <c r="B540" i="2"/>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B508" i="2"/>
  <c r="B507" i="2"/>
  <c r="B506" i="2"/>
  <c r="B505" i="2"/>
  <c r="B504" i="2"/>
  <c r="B503" i="2"/>
  <c r="B502" i="2"/>
  <c r="B501" i="2"/>
  <c r="B500" i="2"/>
  <c r="B499" i="2"/>
  <c r="B498" i="2"/>
  <c r="B497" i="2"/>
  <c r="B496" i="2"/>
  <c r="B495" i="2"/>
  <c r="B494" i="2"/>
  <c r="B493" i="2"/>
  <c r="B492" i="2"/>
  <c r="B491" i="2"/>
  <c r="B490" i="2"/>
  <c r="B489" i="2"/>
  <c r="B488" i="2"/>
  <c r="B487" i="2"/>
  <c r="B486" i="2"/>
  <c r="B485" i="2"/>
  <c r="B484" i="2"/>
  <c r="B483" i="2"/>
  <c r="B482" i="2"/>
  <c r="B481" i="2"/>
  <c r="B480" i="2"/>
  <c r="B479" i="2"/>
  <c r="B478" i="2"/>
  <c r="B477" i="2"/>
  <c r="B476" i="2"/>
  <c r="B475" i="2"/>
  <c r="B474" i="2"/>
  <c r="B473" i="2"/>
  <c r="B472" i="2"/>
  <c r="B471" i="2"/>
  <c r="B470" i="2"/>
  <c r="B469" i="2"/>
  <c r="B468" i="2"/>
  <c r="B467" i="2"/>
  <c r="B466" i="2"/>
  <c r="B465" i="2"/>
  <c r="B464" i="2"/>
  <c r="B463" i="2"/>
  <c r="B462" i="2"/>
  <c r="B461" i="2"/>
  <c r="B460" i="2"/>
  <c r="B459" i="2"/>
  <c r="B458" i="2"/>
  <c r="B457" i="2"/>
  <c r="B456" i="2"/>
  <c r="B455" i="2"/>
  <c r="B454" i="2"/>
  <c r="B453" i="2"/>
  <c r="B452" i="2"/>
  <c r="B451" i="2"/>
  <c r="B450" i="2"/>
  <c r="B449" i="2"/>
  <c r="B448" i="2"/>
  <c r="B447" i="2"/>
  <c r="B446" i="2"/>
  <c r="B445" i="2"/>
  <c r="B444" i="2"/>
  <c r="B443" i="2"/>
  <c r="B442" i="2"/>
  <c r="B441" i="2"/>
  <c r="B440" i="2"/>
  <c r="B439" i="2"/>
  <c r="B438" i="2"/>
  <c r="B437" i="2"/>
  <c r="B436" i="2"/>
  <c r="B435" i="2"/>
  <c r="B434" i="2"/>
  <c r="B433" i="2"/>
  <c r="B432" i="2"/>
  <c r="B431" i="2"/>
  <c r="B430" i="2"/>
  <c r="B429" i="2"/>
  <c r="B428" i="2"/>
  <c r="B427" i="2"/>
  <c r="B426" i="2"/>
  <c r="B425" i="2"/>
  <c r="B424" i="2"/>
  <c r="B423" i="2"/>
  <c r="B422" i="2"/>
  <c r="B421" i="2"/>
  <c r="B420" i="2"/>
  <c r="B419" i="2"/>
  <c r="B418" i="2"/>
  <c r="B417" i="2"/>
  <c r="B416" i="2"/>
  <c r="B415" i="2"/>
  <c r="B414" i="2"/>
  <c r="B413" i="2"/>
  <c r="B412" i="2"/>
  <c r="B411" i="2"/>
  <c r="B410" i="2"/>
  <c r="B409" i="2"/>
  <c r="B408" i="2"/>
  <c r="B407" i="2"/>
  <c r="B406" i="2"/>
  <c r="B405" i="2"/>
  <c r="B404" i="2"/>
  <c r="B403" i="2"/>
  <c r="B402" i="2"/>
  <c r="B401" i="2"/>
  <c r="B400" i="2"/>
  <c r="B399" i="2"/>
  <c r="B398" i="2"/>
  <c r="B397" i="2"/>
  <c r="B396" i="2"/>
  <c r="B395" i="2"/>
  <c r="B394" i="2"/>
  <c r="B393" i="2"/>
  <c r="B392" i="2"/>
  <c r="B391" i="2"/>
  <c r="B390" i="2"/>
  <c r="B389" i="2"/>
  <c r="B388" i="2"/>
  <c r="B387" i="2"/>
  <c r="B386" i="2"/>
  <c r="B385" i="2"/>
  <c r="B384" i="2"/>
  <c r="B383" i="2"/>
  <c r="B382" i="2"/>
  <c r="B381" i="2"/>
  <c r="B380" i="2"/>
  <c r="B379" i="2"/>
  <c r="B378" i="2"/>
  <c r="B377" i="2"/>
  <c r="B376" i="2"/>
  <c r="B375" i="2"/>
  <c r="B374" i="2"/>
  <c r="B373" i="2"/>
  <c r="B372" i="2"/>
  <c r="B371" i="2"/>
  <c r="B370" i="2"/>
  <c r="B369" i="2"/>
  <c r="B368" i="2"/>
  <c r="B367" i="2"/>
  <c r="B366" i="2"/>
  <c r="B365" i="2"/>
  <c r="B364" i="2"/>
  <c r="B363" i="2"/>
  <c r="B362" i="2"/>
  <c r="B361" i="2"/>
  <c r="B360" i="2"/>
  <c r="B359" i="2"/>
  <c r="B358" i="2"/>
  <c r="B357" i="2"/>
  <c r="B356" i="2"/>
  <c r="B355" i="2"/>
  <c r="B354" i="2"/>
  <c r="B353" i="2"/>
  <c r="B352" i="2"/>
  <c r="B351" i="2"/>
  <c r="B350" i="2"/>
  <c r="B349" i="2"/>
  <c r="B348" i="2"/>
  <c r="B347" i="2"/>
  <c r="B346" i="2"/>
  <c r="B345" i="2"/>
  <c r="B344" i="2"/>
  <c r="B343" i="2"/>
  <c r="B342" i="2"/>
  <c r="B341" i="2"/>
  <c r="B340" i="2"/>
  <c r="B339" i="2"/>
  <c r="B338" i="2"/>
  <c r="B337" i="2"/>
  <c r="B336" i="2"/>
  <c r="B335" i="2"/>
  <c r="B334" i="2"/>
  <c r="B333" i="2"/>
  <c r="B332" i="2"/>
  <c r="B331" i="2"/>
  <c r="B330" i="2"/>
  <c r="B329" i="2"/>
  <c r="B328" i="2"/>
  <c r="B327" i="2"/>
  <c r="B326" i="2"/>
  <c r="B325" i="2"/>
  <c r="B324" i="2"/>
  <c r="B323" i="2"/>
  <c r="B322" i="2"/>
  <c r="B321" i="2"/>
  <c r="B320" i="2"/>
  <c r="B319" i="2"/>
  <c r="B318" i="2"/>
  <c r="B317" i="2"/>
  <c r="B316" i="2"/>
  <c r="B315" i="2"/>
  <c r="B314" i="2"/>
  <c r="B313" i="2"/>
  <c r="B312" i="2"/>
  <c r="B311" i="2"/>
  <c r="B310" i="2"/>
  <c r="B309" i="2"/>
  <c r="B308" i="2"/>
  <c r="B307" i="2"/>
  <c r="B306" i="2"/>
  <c r="B305" i="2"/>
  <c r="B304" i="2"/>
  <c r="B303" i="2"/>
  <c r="B302" i="2"/>
  <c r="B301" i="2"/>
  <c r="B300" i="2"/>
  <c r="B299" i="2"/>
  <c r="B298" i="2"/>
  <c r="B297" i="2"/>
  <c r="B296" i="2"/>
  <c r="B295" i="2"/>
  <c r="B294" i="2"/>
  <c r="B293" i="2"/>
  <c r="B292" i="2"/>
  <c r="B291" i="2"/>
  <c r="B290" i="2"/>
  <c r="B289" i="2"/>
  <c r="B288" i="2"/>
  <c r="B287" i="2"/>
  <c r="B286" i="2"/>
  <c r="B285" i="2"/>
  <c r="B284" i="2"/>
  <c r="B283" i="2"/>
  <c r="B282" i="2"/>
  <c r="B281" i="2"/>
  <c r="B280" i="2"/>
  <c r="B279" i="2"/>
  <c r="B278" i="2"/>
  <c r="B277" i="2"/>
  <c r="B276" i="2"/>
  <c r="B275" i="2"/>
  <c r="B274" i="2"/>
  <c r="B273" i="2"/>
  <c r="B272" i="2"/>
  <c r="B271" i="2"/>
  <c r="B270" i="2"/>
  <c r="B269" i="2"/>
  <c r="B268" i="2"/>
  <c r="B267" i="2"/>
  <c r="B266" i="2"/>
  <c r="B265" i="2"/>
  <c r="B264" i="2"/>
  <c r="B263" i="2"/>
  <c r="B262" i="2"/>
  <c r="B261" i="2"/>
  <c r="B260" i="2"/>
  <c r="B259" i="2"/>
  <c r="B258" i="2"/>
  <c r="B257" i="2"/>
  <c r="B256" i="2"/>
  <c r="B255" i="2"/>
  <c r="B254" i="2"/>
  <c r="B253" i="2"/>
  <c r="B252" i="2"/>
  <c r="B251" i="2"/>
  <c r="B250" i="2"/>
  <c r="B249" i="2"/>
  <c r="B248" i="2"/>
  <c r="B247" i="2"/>
  <c r="B246" i="2"/>
  <c r="B245" i="2"/>
  <c r="B244" i="2"/>
  <c r="B243" i="2"/>
  <c r="B242" i="2"/>
  <c r="B241" i="2"/>
  <c r="B240" i="2"/>
  <c r="B239" i="2"/>
  <c r="B238" i="2"/>
  <c r="B237" i="2"/>
  <c r="B236" i="2"/>
  <c r="B235" i="2"/>
  <c r="B234" i="2"/>
  <c r="B233" i="2"/>
  <c r="B232" i="2"/>
  <c r="B231" i="2"/>
  <c r="B230" i="2"/>
  <c r="B229" i="2"/>
  <c r="B228" i="2"/>
  <c r="B227" i="2"/>
  <c r="B226" i="2"/>
  <c r="B225" i="2"/>
  <c r="B224" i="2"/>
  <c r="B223" i="2"/>
  <c r="B222" i="2"/>
  <c r="B221" i="2"/>
  <c r="B220" i="2"/>
  <c r="B219" i="2"/>
  <c r="B218" i="2"/>
  <c r="B217" i="2"/>
  <c r="B216" i="2"/>
  <c r="B215" i="2"/>
  <c r="B214" i="2"/>
  <c r="B213" i="2"/>
  <c r="B212" i="2"/>
  <c r="B211" i="2"/>
  <c r="B210" i="2"/>
  <c r="B209" i="2"/>
  <c r="B208" i="2"/>
  <c r="B207" i="2"/>
  <c r="B206" i="2"/>
  <c r="B205" i="2"/>
  <c r="B204" i="2"/>
  <c r="B203" i="2"/>
  <c r="B202" i="2"/>
  <c r="B201" i="2"/>
  <c r="B200" i="2"/>
  <c r="B199" i="2"/>
  <c r="B198" i="2"/>
  <c r="B197" i="2"/>
  <c r="B196" i="2"/>
  <c r="B195" i="2"/>
  <c r="B194" i="2"/>
  <c r="B193" i="2"/>
  <c r="B192" i="2"/>
  <c r="B191" i="2"/>
  <c r="B190" i="2"/>
  <c r="B189" i="2"/>
  <c r="B188" i="2"/>
  <c r="B187" i="2"/>
  <c r="B186" i="2"/>
  <c r="B185" i="2"/>
  <c r="B184" i="2"/>
  <c r="B183" i="2"/>
  <c r="B182" i="2"/>
  <c r="B181" i="2"/>
  <c r="B180" i="2"/>
  <c r="B179" i="2"/>
  <c r="B178" i="2"/>
  <c r="B177" i="2"/>
  <c r="B176" i="2"/>
  <c r="B175" i="2"/>
  <c r="B174" i="2"/>
  <c r="B173" i="2"/>
  <c r="B172" i="2"/>
  <c r="B171" i="2"/>
  <c r="B170" i="2"/>
  <c r="B169" i="2"/>
  <c r="B168" i="2"/>
  <c r="B167" i="2"/>
  <c r="B166" i="2"/>
  <c r="B165" i="2"/>
  <c r="B164" i="2"/>
  <c r="B163" i="2"/>
  <c r="B162" i="2"/>
  <c r="B161" i="2"/>
  <c r="B160" i="2"/>
  <c r="B159" i="2"/>
  <c r="B158" i="2"/>
  <c r="B157" i="2"/>
  <c r="B156" i="2"/>
  <c r="B155" i="2"/>
  <c r="B154" i="2"/>
  <c r="B153" i="2"/>
  <c r="B152" i="2"/>
  <c r="B151" i="2"/>
  <c r="B150" i="2"/>
  <c r="B149" i="2"/>
  <c r="B148" i="2"/>
  <c r="B147" i="2"/>
  <c r="B146" i="2"/>
  <c r="B145" i="2"/>
  <c r="B144" i="2"/>
  <c r="B143" i="2"/>
  <c r="B142" i="2"/>
  <c r="B141" i="2"/>
  <c r="B140" i="2"/>
  <c r="B139" i="2"/>
  <c r="B138" i="2"/>
  <c r="B137" i="2"/>
  <c r="B136" i="2"/>
  <c r="B135" i="2"/>
  <c r="B134" i="2"/>
  <c r="B133" i="2"/>
  <c r="B132" i="2"/>
  <c r="B131" i="2"/>
  <c r="B130" i="2"/>
  <c r="B129" i="2"/>
  <c r="B128" i="2"/>
  <c r="B127" i="2"/>
  <c r="B126" i="2"/>
  <c r="B125" i="2"/>
  <c r="B124" i="2"/>
  <c r="B123" i="2"/>
  <c r="B122" i="2"/>
  <c r="B121" i="2"/>
  <c r="B120" i="2"/>
  <c r="B119" i="2"/>
  <c r="B118" i="2"/>
  <c r="B117" i="2"/>
  <c r="B116" i="2"/>
  <c r="B115" i="2"/>
  <c r="B114" i="2"/>
  <c r="B113" i="2"/>
  <c r="B112" i="2"/>
  <c r="B111" i="2"/>
  <c r="B110" i="2"/>
  <c r="B109" i="2"/>
  <c r="B108" i="2"/>
  <c r="B107" i="2"/>
  <c r="B106" i="2"/>
  <c r="B105" i="2"/>
  <c r="B104" i="2"/>
  <c r="B103" i="2"/>
  <c r="B102" i="2"/>
  <c r="B101" i="2"/>
  <c r="B100" i="2"/>
  <c r="B99" i="2"/>
  <c r="B98" i="2"/>
  <c r="B97" i="2"/>
  <c r="B96" i="2"/>
  <c r="B95" i="2"/>
  <c r="B94" i="2"/>
  <c r="B93" i="2"/>
  <c r="B92" i="2"/>
  <c r="B91" i="2"/>
  <c r="B90" i="2"/>
  <c r="B89" i="2"/>
  <c r="B88" i="2"/>
  <c r="B87" i="2"/>
  <c r="B86" i="2"/>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B4" i="2"/>
  <c r="B3" i="2"/>
</calcChain>
</file>

<file path=xl/sharedStrings.xml><?xml version="1.0" encoding="utf-8"?>
<sst xmlns="http://schemas.openxmlformats.org/spreadsheetml/2006/main" count="1213" uniqueCount="980">
  <si>
    <t>Заказчик</t>
  </si>
  <si>
    <t>Наименование</t>
  </si>
  <si>
    <t>ИНН</t>
  </si>
  <si>
    <t>Регион поставки</t>
  </si>
  <si>
    <t>Эквивалентная цена контракта в рублях</t>
  </si>
  <si>
    <t>АО "КОНЦЕРН РОСЭНЕРГОАТОМ"</t>
  </si>
  <si>
    <t>Саратовская   обл, Балаковская АЭС</t>
  </si>
  <si>
    <t>АК "АЛРОСА" (ПАО)</t>
  </si>
  <si>
    <t>Саха /Якутия/ Респ, 678170, РС (Я), г. Мирный, шоссе Кирова, склады ПТВС АК «АЛРОСА» (ПАО);</t>
  </si>
  <si>
    <t>ФГУП "НИТИ им. А. П. Александрова"</t>
  </si>
  <si>
    <t>склад ФГУП «НИТИ им. А.П. Александрова» в г. Сосновый Бор Ленинградской области</t>
  </si>
  <si>
    <t>ООО "РН-БУРЕНИЕ"</t>
  </si>
  <si>
    <t>ст. Пурпе Свердловской ж/д, код станции 798700 или автотранспортной компанией: 629830,ЯНАО,г. Губкинский, Промзона,  Панель № 7</t>
  </si>
  <si>
    <t>ГБУЗ "ГКБ ИМ. М.Е.ЖАДКЕВИЧА ДЗМ"</t>
  </si>
  <si>
    <t>Российская Федерация, 121374 город Москва, шоссе Можайское, дом 14 строение 3</t>
  </si>
  <si>
    <t>ПАО "ЛЕНЭНЕРГО"</t>
  </si>
  <si>
    <t>Северо-Западный федеральный округ, Санкт-Петербург, Не заполнено</t>
  </si>
  <si>
    <t>ООО "РН-КрасноярскНИПИнефть"</t>
  </si>
  <si>
    <t>г. Красноярск, ул. Партизана Железняка, 24В</t>
  </si>
  <si>
    <t>ОАО "РЖД"</t>
  </si>
  <si>
    <t>Санкт-Петербург, Место выполнения работ указано в пункте 3.3 аукционной документации.</t>
  </si>
  <si>
    <t>АО "КУРГАНЭНЕРГО"</t>
  </si>
  <si>
    <t>Курганская   обл, см. документацию</t>
  </si>
  <si>
    <t>ПАО "МОСКОВСКАЯ ОБЪЕДИНЕННАЯ ЭЛЕКТРОСЕТЕВАЯ КОМПАНИЯ" ПАО "МОЭСК"</t>
  </si>
  <si>
    <t>127254, г. Москва, ул. Руставели, д.2; 142117, г. Подольск, ул. Кирова, д. 65; 107140, г. Москва, ул. Нижняя Красносельская, д.6 стр. 1; 142784, Россия, г. Москва, г.Московский, 1-ый мкрн., Коммунальная зона, вл.4.</t>
  </si>
  <si>
    <t>ОАО "ФОРТУМ"</t>
  </si>
  <si>
    <t>Уральский федеральный округ, Челябинская   обл, Не заполнено</t>
  </si>
  <si>
    <t>ГБУЗ "ОНБ"</t>
  </si>
  <si>
    <t>Российская Федерация, Пензенская обл, Поставка (отгрузка, доставка, разгрузка, проверка работоспособности оборудования,  инструктаж  персонала  работе с оборудованием, обучение персонала) осуществляется силами и средствами Поставщика по адресу Получателя:  ГБУЗ «Областная наркологическая больница»,  г. Пенза, ул. Стасова, д.7.</t>
  </si>
  <si>
    <t>ООО "ТД "ЕВРОСИБЭНЕРГО"</t>
  </si>
  <si>
    <t>Сибирский федеральный округ, Иркутская   обл, Не заполнено</t>
  </si>
  <si>
    <t>ПАО МГТС</t>
  </si>
  <si>
    <t>см.документацию о закупке</t>
  </si>
  <si>
    <t>Тверская   обл, Место поставки  указано в пункте 3 раздела I аукционной документации «Техническое задание»</t>
  </si>
  <si>
    <t>ПАО АНК "БАШНЕФТЬ"</t>
  </si>
  <si>
    <t>450000, другие адреса, согласно закупочной документации</t>
  </si>
  <si>
    <t>ДЕПАРТАМЕНТ ЗДРАВООХРАНЕНИЯ ГОРОДА МОСКВЫ</t>
  </si>
  <si>
    <t>Российская Федерация, город Москва</t>
  </si>
  <si>
    <t>БУЗ УР "СП № 2 МЗ УР"</t>
  </si>
  <si>
    <t>Российская Федерация, указано в п.6.2 Информационных карт Документации об электронном аукционе</t>
  </si>
  <si>
    <t>ПАО "ОГК-2"</t>
  </si>
  <si>
    <t>Согласно технического задания</t>
  </si>
  <si>
    <t>ПАО "МРСК СИБИРИ"</t>
  </si>
  <si>
    <t>656905,  г. Барнаул, проезд Южный 37.</t>
  </si>
  <si>
    <t>ГУП РК «ЧЕРНОМОРНЕФТЕГАЗ»</t>
  </si>
  <si>
    <t>РФ, РК, г. Феодосия, ул. Геологическая, д.2 Феодосийское управление по обеспечению нефтепродуктами Государственного унитарного предприятия Республики Крым «Черноморнефтегаз»</t>
  </si>
  <si>
    <t>ГОСКОРПОРАЦИЯ "РОСАТОМ"</t>
  </si>
  <si>
    <t>Российская Федерация, Нижегородская обл, г. Саров Нижегородской области, пр. Мира, д.37, ФГУП «РФЯЦ-ВНИИЭФ</t>
  </si>
  <si>
    <t>ОКУ "ДИРЕКЦИЯ ПО СТРОИТЕЛЬСТВУ"</t>
  </si>
  <si>
    <t>Российская Федерация, Поставка Оборудования осуществляется на строящийся перинатальный центр, расположенный на территории ГБУЗ «Сахалинская областная больница» по адресу: Сахалинская область, г. Южно-Сахалинск, проспект Мира 430.</t>
  </si>
  <si>
    <t>ФГБУ "ФВС" МИНОБОРОНЫ РОССИИ</t>
  </si>
  <si>
    <t>Российская Федерация, Крым Респ, г. Феодосия ул. Генерала Горбачева 5</t>
  </si>
  <si>
    <t>Московская   обл, Жуковское  отделение УМТС АК «АЛРОСА» (ПАО) г. Жуковский МО</t>
  </si>
  <si>
    <t>АО "НПП "ИСТОК" ИМ. ШОКИНА"</t>
  </si>
  <si>
    <t>Согласно документации</t>
  </si>
  <si>
    <t>АО АСЭ</t>
  </si>
  <si>
    <t>Нижегородская   обл, Площадка АЭС, Республика Беларусь, 231201, Гродненская область, г. Островец, площадка строительства атомной электростанции.</t>
  </si>
  <si>
    <t>Госкорпорация "Росатом"</t>
  </si>
  <si>
    <t>По месту нахождения Исполнителя</t>
  </si>
  <si>
    <t>ООО "БАШНЕФТЬ-РОЗНИЦА"</t>
  </si>
  <si>
    <t>450015 Россия, Республика Башкортостан, г. Уфа, ул. Чекмагушевская, 2; 460009 Россия, Оренбургская область, г. Оренбург, ул. Деповская, 49</t>
  </si>
  <si>
    <t>ПАО "ГАЗПРОМ"</t>
  </si>
  <si>
    <t>Согласно закупочной документации</t>
  </si>
  <si>
    <t>АО "ТРАНСНЕФТЬ-ВЕРХНЯЯ ВОЛГА"</t>
  </si>
  <si>
    <t>182115, Псковская обл., г. Великие Луки, ул. Гоголя, д</t>
  </si>
  <si>
    <t>АО "ВНИИАЭС"</t>
  </si>
  <si>
    <t>Волгодонский филиал АО «НИАЭП» (347388, Ростовская обл., г. Волгодонск 28).</t>
  </si>
  <si>
    <t>ГБУЗ "МНПЦ НАРКОЛОГИИ ДЗМ"</t>
  </si>
  <si>
    <t>Российская Федерация, 109390 город Москва, улица Чистова, дом 3 корпус 2</t>
  </si>
  <si>
    <t>ГБУЗ  "ТОРЖОКСКАЯ ЦРБ"</t>
  </si>
  <si>
    <t>Российская Федерация, В соответствии с документацией об электронном аукционе</t>
  </si>
  <si>
    <t>ООО "ГАЗПРОМ ТРАНСГАЗ ЮГОРСК"</t>
  </si>
  <si>
    <t>188540, г. Сосновый Бор, Ленинградская область, промзона, Ленинградская АЭС, складское хозяйство. Доставка силами Поставщика.</t>
  </si>
  <si>
    <t>ФГБУ ВЦЭРМ ИМ. А.М. НИКИФОРОВА МЧС РОССИИ</t>
  </si>
  <si>
    <t>Российская Федерация, Санкт-Петербург, ул. Оптиков, д.54</t>
  </si>
  <si>
    <t>ООО "НК "РОСНЕФТЬ"- НТЦ"</t>
  </si>
  <si>
    <t>107140, г. Москва, ул. Нижняя Красносельская, д.6 стр. 1</t>
  </si>
  <si>
    <t>ПАО "УФАОРГСИНТЕЗ"</t>
  </si>
  <si>
    <t>450037, Россия, Республика Башкортостан, г. Уфа, ПАО "Уфаоргсинтез"</t>
  </si>
  <si>
    <t>ПАО "РОСТЕЛЕКОМ"</t>
  </si>
  <si>
    <t>указаны в Техническом задании</t>
  </si>
  <si>
    <t>ФГУП «КЖД»</t>
  </si>
  <si>
    <t>Респ. Крым, ОКАТО: 35000000000</t>
  </si>
  <si>
    <t>ФГКУ "301 ВКГ" МО РФ</t>
  </si>
  <si>
    <t>Российская Федерация, Хабаровский край, Хабаровск г, см. Приложение № 1 (проект ГК)</t>
  </si>
  <si>
    <t>МИНЗДРАВ РД</t>
  </si>
  <si>
    <t xml:space="preserve">Российская Федерация, Дагестан Респ, в соответствии с документацией </t>
  </si>
  <si>
    <t>МБУЗ "РОДИЛЬНЫЙ ДОМ"</t>
  </si>
  <si>
    <t>Российская Федерация, Ростовская обл, Таганрог г, Поставка Оборудования осуществляется Поставщиком с разгрузкой с транспортного средства (на склад Заказчика)  по адресу: 347910, Ростовская область, г. Таганрог, ул. Фрунзе 146 а.</t>
  </si>
  <si>
    <t>ГБУЗ "МЕДПРОЕКТ"</t>
  </si>
  <si>
    <t>ФГБОУ ВО КАЗАНСКИЙ ГМУ МИНЗДРАВА РОССИИ</t>
  </si>
  <si>
    <t>Российская Федерация, Татарстан Респ, Казань г, ул.Бутлерова, д.49</t>
  </si>
  <si>
    <t>ФГКУ ЦВВЭ ФСБ РОССИИ</t>
  </si>
  <si>
    <t>Российская Федерация, Москва, Большой Кисельный переулок, дом 12, строение 3</t>
  </si>
  <si>
    <t>ГКУ "ГУСКК"</t>
  </si>
  <si>
    <t>Российская Федерация, Россия, Краснодарский край, г. Сочи, Центральный район, ул. Пластунская.</t>
  </si>
  <si>
    <t>ФГБОУ ВО "СИБГИУ", ФГБОУ ВО "СИБИРСКИЙ ГОСУДАРСТВЕННЫЙ ИНДУСТРИАЛЬНЫЙ УНИВЕРСИТЕТ",  СИБГИУ,  СИБИРСКИЙ ГОСУДАРСТВЕННЫЙ ИНДУСТРИАЛЬНЫЙ УНИВЕРСИТЕТ</t>
  </si>
  <si>
    <t>Российская Федерация, Кемеровская обл, Новокузнецк г, 654007, Кемеровская область, г. Новокузнецк, пр-т Бардина, ауд.226 гт.</t>
  </si>
  <si>
    <t>ГБУЗ "МОСКОВСКИЙ ЦЕНТР ДЕРМАТОВЕНЕРОЛОГИИ И КОСМЕТОЛОГИИ"</t>
  </si>
  <si>
    <t>ФГБОУ ВО "НВГУ"</t>
  </si>
  <si>
    <t xml:space="preserve">Российская Федерация, Ханты-Мансийский Автономный округ - Югра АО, Нижневартовск г, Тюменская обл., ХМАО – Югра, г. Нижневартовск, ул. Ленина 56, склад университета </t>
  </si>
  <si>
    <t>ГБУЗ "ГКБ ИМ. М.П. КОНЧАЛОВСКОГО ДЗМ"</t>
  </si>
  <si>
    <t>Российская Федерация, 124489 город Москва, город Зеленоград, аллея Каштановая, дом 2 строение 1</t>
  </si>
  <si>
    <t>АО "НИАЭП"</t>
  </si>
  <si>
    <t>определяется в соответствии со ст. 8 проекта договора</t>
  </si>
  <si>
    <t>ГБУЗ ГКБ ИМ.С.П.БОТКИНА ДЗМ</t>
  </si>
  <si>
    <t>Москва, Филиал №1 ГБУЗ ГКБ им. С.П. Боткина ДЗМ, 123001, Мамоновский пер., д.7</t>
  </si>
  <si>
    <t>ФГУП "Санкт-Петербургская ФОО" Минтруда России</t>
  </si>
  <si>
    <t>В соответствии с техническим заданием документации об открытом аукционе в электронной форме</t>
  </si>
  <si>
    <t>ЧЕРНОМОРСКОЕ ВЫСШЕЕ ВОЕННО-МОРСКОЕ УЧИЛИЩЕ ИМЕНИ П.С. НАХИМОВА</t>
  </si>
  <si>
    <t>Российская Федерация, Севастополь г, ул. Дыбенко Павла, 1А</t>
  </si>
  <si>
    <t>Российская Федерация, Санкт-Петербург, ул. Оптиков, д.54, аптека</t>
  </si>
  <si>
    <t xml:space="preserve">Российская Федерация, Санкт-Петербург, ул. Оптиков, д.54, склад ОМО и Г  </t>
  </si>
  <si>
    <t>ГКУ МО "ДЕЗ"</t>
  </si>
  <si>
    <t>Российская Федерация, В соответствии с аукционной документацией</t>
  </si>
  <si>
    <t>ГАУ РС (Я) "РБ№1-НЦМ"</t>
  </si>
  <si>
    <t>Саха /Якутия/  Респ , ОКАТО: 98000000000</t>
  </si>
  <si>
    <t>АО "АДМИРАЛТЕЙСКИЕ ВЕРФИ"</t>
  </si>
  <si>
    <t>Доставка по адресу: г. СПб, наб. Реки Фонтанки, д.203 входит в стоимость</t>
  </si>
  <si>
    <t>СПБ ГБУЗ "РОДИЛЬНЫЙ ДОМ №17"</t>
  </si>
  <si>
    <t>Российская Федерация, Российская Федерация, 192174, Санкт-Петербург, Леснозаводская, 4, 1</t>
  </si>
  <si>
    <t>ОАО "КРАСЦВЕТМЕТ"</t>
  </si>
  <si>
    <t>660027, Красноярский край, г. Красноярск, Транспортный проезд, д. 1</t>
  </si>
  <si>
    <t>ОБУ "НОВГОРОДСКАЯ ОБЛВЕТЛАБОРАТОРИЯ"</t>
  </si>
  <si>
    <t>1 (одна) штука</t>
  </si>
  <si>
    <t>ФГБОУ ВО РНИМУ ИМ. Н.И. ПИРОГОВА МИНЗДРАВА РОССИИ</t>
  </si>
  <si>
    <t>Российская Федерация, Москва, Волоколамское шоссе, д. 30, стр. 2, Научно-исследовательский центр офтальмологии ГБОУ ВПО РНИМУ им. Н.И. Пирогова при ФГБУ НКЦО ФМБА России</t>
  </si>
  <si>
    <t>Поставщиком до склада Грузополучателя  (Смоленская АЭС, г. Десногорск Смоленской области).</t>
  </si>
  <si>
    <t>МИРЭА</t>
  </si>
  <si>
    <t>Москва, ОКАТО: 45000000000</t>
  </si>
  <si>
    <t>ФГУП "НПЦАП"</t>
  </si>
  <si>
    <t>172739, ЗАТО«Солнечный», Тверской обл., ул. Новая 80</t>
  </si>
  <si>
    <t>МИНЗДРАВ АЛТАЙСКОГО КРАЯ</t>
  </si>
  <si>
    <t>Российская Федерация, 656049, Российская Федерация, Алтайский край, г. Барнаул, ул. Л.Толстого, 23, КГБУЗ «Алтайский краевой наркологический диспансер»</t>
  </si>
  <si>
    <t>КЗ ПО</t>
  </si>
  <si>
    <t>Российская Федерация, ГБУЗ ПО "Псковский онкологический диспансер", Псков, ул. Вокзальная, д.15 а</t>
  </si>
  <si>
    <t>ГБОУ ВПО ЮУГМУ МИНЗДРАВА РОССИИ</t>
  </si>
  <si>
    <t>см. прикрепленные файлы</t>
  </si>
  <si>
    <t>ГБУЗ "СПБ КНПЦСВМП(О)"</t>
  </si>
  <si>
    <t>Российская Федерация, 197758, г. Санкт-Петербург, п. Песочный, ул. Ленинградская, 68а/лит. А, склад</t>
  </si>
  <si>
    <t>РОСПОТРЕБНАДЗОР</t>
  </si>
  <si>
    <t>Российская Федерация, Тюменская обл, 625026, г. Тюмень, ул. Республики,147.</t>
  </si>
  <si>
    <t>Клиника ФГБОУ ВО ЮУГМУ Минздрава России</t>
  </si>
  <si>
    <t>Российская Федерация, Челябинская обл, Челябинск г, Место доставки:
Место доставки: Российская Федерация, Челябинская область, код ОКТМО 75701000,  454052,  г. Челябинск, ул. Черкасская, 2, акушерский корпус, отделение реанимации новорожденных и ОПНД.
Место ввода в эксплуатацию: Российская Федерация, Челябинская область, код ОКТМО 75701000, 454052, г. Челябинск, ул. Черкасская, 2, акушерский корпус, отделение реанимации новорожденных и ОПНД.
Место обучения персонала, осуществляющего использование и обслуживание товара: Российская Федерация, Челябинская область, код ОКТМО 75701000,  454052,  г. Челябинск, ул. Черкасская, 2, акушерский корпус, отделение реанимации новорожденных и ОПНД.</t>
  </si>
  <si>
    <t>ГУЗ "БОЛЬНИЦА № 16"</t>
  </si>
  <si>
    <t>Российская Федерация, г. Волгоград, ул. Пятиморская, 7.</t>
  </si>
  <si>
    <t>ФГУП "ГХК"</t>
  </si>
  <si>
    <t>в соответствии с ТЗ</t>
  </si>
  <si>
    <t>СС И НМП ИМ. А.С. ПУЧКОВА</t>
  </si>
  <si>
    <t>Российская Федерация, 123182 город Москва, улица Сосновая, дом 11 строение 5</t>
  </si>
  <si>
    <t>ГБУ "ЖИЛИЩНИК РАЙОНА МАТУШКИНО"</t>
  </si>
  <si>
    <t>Российская Федерация, 124489 город Москва, город Зеленоград, проезд 4921-й, дом 1 строение 1</t>
  </si>
  <si>
    <t>АО "СХК"</t>
  </si>
  <si>
    <t>до склада АО «СХК»: Томская область, г.Северск, ул. Предзаводская, 9</t>
  </si>
  <si>
    <t>ФГБУ "БРЯНСКАЯ МВЛ"</t>
  </si>
  <si>
    <t>Российская Федерация, Брянская обл, Брянский р-н, Супонево с, ул. Шоссейная, д.7 (третий этаж)</t>
  </si>
  <si>
    <t>ВУНЦ ВВС "ВВА"</t>
  </si>
  <si>
    <t>Российская Федерация, Воронежская обл, Воронеж г, ул. Старых Большевиков, д. 54а</t>
  </si>
  <si>
    <t>АО "ГРПЗ"</t>
  </si>
  <si>
    <t>город Рязань, улица Семинарская, дом 32</t>
  </si>
  <si>
    <t>АО "ТРАНСНЕФТЬ - ДИАСКАН"</t>
  </si>
  <si>
    <t>Московская   обл, 140501, Московская область, г. Луховицы, ул. Куйбышева, 7</t>
  </si>
  <si>
    <t>ГКБ № 67</t>
  </si>
  <si>
    <t>Российская Федерация, 123423 город Москва, улица Саляма Адиля, дом 2/44</t>
  </si>
  <si>
    <t>ФГБОУ ВО САРАТОВСКИЙ ГМУ ИМ.В.И.РАЗУМОВСКОГО МИНЗДРАВА РОССИИ</t>
  </si>
  <si>
    <t>Российская Федерация, Саратовская обл, Саратов г, г. Саратов, ул. Б. Казачья, 112.</t>
  </si>
  <si>
    <t>ФГБОУ ВО ПСПБГМУ ИМ. И.П. ПАВЛОВА МИНЗДРАВА РОССИИ</t>
  </si>
  <si>
    <t>Российская Федерация, Санкт-Петербург, ул. Льва Толстого, дом 6-8, корпус 18, Централизованный склад – Блок медоборудования.</t>
  </si>
  <si>
    <t>ПНИПУ, ФГБОУ ВО "ПЕРМСКИЙ НАЦИОНАЛЬНЫЙ ИССЛЕДОВАТЕЛЬСКИЙ ПОЛИТЕХНИЧЕСКИЙ УНИВЕРСИТЕТ", ФГБОУ ВО "ПНИПУ"</t>
  </si>
  <si>
    <t>2 комп., 6 шт.,  614113, г. Пермь, Пермский край, ул. Ласьвинская, 18, с момента подписания договора, но не позднее 11.07.2016 г., безналичный расчет, оплата по факту поставки и при наличии оформленных документов в течение 20 (двадцати) банковских дней.</t>
  </si>
  <si>
    <t>БУ ВО "СУРГУТСКИЙ ГОСУДАРСТВЕННЫЙ УНИВЕРСИТЕТ", СУРГУТСКИЙ ГОСУДАРСТВЕННЫЙ УНИВЕРСИТЕТ, СУРГУ</t>
  </si>
  <si>
    <t>Российская Федерация, по фактическому адресу Заказчика: 628400, ХМАО – Югра, г. Сургут, ул. Энергетиков, д.22  (лаборатория химии нефти)</t>
  </si>
  <si>
    <t>ГБУЗ СО "ТПТД"</t>
  </si>
  <si>
    <t>Российская Федерация, 445013, г.Тольятти, ул.Телеграфная,34</t>
  </si>
  <si>
    <t>119454, Российская Федерация, г. Москва, проспект Вернадского, 78, ОКАТО: 45000000000</t>
  </si>
  <si>
    <t>ГОБУЗ "НОНД "КАТАРСИС"</t>
  </si>
  <si>
    <t>Новгородская   обл, г Великий Новгород, ул Яковлева</t>
  </si>
  <si>
    <t>ФГАОУ ВО "БЕЛГОРОДСКИЙ ГОСУДАРСТВЕННЫЙ НАЦИОНАЛЬНЫЙ ИССЛЕДОВАТЕЛЬСКИЙ УНИВЕРСИТЕТ", БЕЛГОРОДСКИЙ ГОСУДАРСТВЕННЫЙ НАЦИОНАЛЬНЫЙ ИССЛЕДОВАТЕЛЬСКИЙ УНИВЕРСИТЕТ, НИУ "БЕЛГУ"</t>
  </si>
  <si>
    <t>Белгородская   обл, DDP, г. Белгород, ул. Королева 2а, корп. 6</t>
  </si>
  <si>
    <t>АО "НПО ЭНЕРГОМАШ"</t>
  </si>
  <si>
    <t>Территория АО «НПО Энергомаш»: Московская обл., г. Химки,  ул. Бурденко, д.1.</t>
  </si>
  <si>
    <t>ФГАУ "МНТК "МИКРОХИРУРГИЯ ГЛАЗА" ИМ.АКАД. С.Н. ФЕДОРОВА" МИНЗДРАВА РОССИИ</t>
  </si>
  <si>
    <t>ФГАУ «МНТК «Микрохирургия глаза» им. акад.  С.Н. Федорова» Минздрава России 127486, г. Москва, Бескудниковский бульвар, д.59А</t>
  </si>
  <si>
    <t>Площадка АЭС, Республика Бела-русь, 231201, Гродненская область, г. Островец, площадка строительства атомной электростанции.</t>
  </si>
  <si>
    <t>ФКУ "ДЕЗЗ" МИНЗДРАВА РОССИИ</t>
  </si>
  <si>
    <t>Российская Федерация, Москва, г. Москва, ул. Островитянова, вл. 1</t>
  </si>
  <si>
    <t>ФГБУ "ЗАБАЙКАЛЬСКИЙ РЕФЕРЕНТНЫЙ ЦЕНТР РОССЕЛЬХОЗНАДЗОРА"</t>
  </si>
  <si>
    <t>Забайкальский край, г.Чита, ул.Амурская, 7</t>
  </si>
  <si>
    <t>636000, г. Северск, ул. Предзаводская, 9, склад №035</t>
  </si>
  <si>
    <t>ФГБУ "СарНИИТО" Минздрава России</t>
  </si>
  <si>
    <t>Российская Федерация, Саратовская обл, Саратов г, ул. Чернышевского, д. 148</t>
  </si>
  <si>
    <t>ФКУ "ЦХИСО УМВД РОССИИ ПО ОРЛОВСКОЙ ОБЛАСТИ"</t>
  </si>
  <si>
    <t>Российская Федерация, Орловская обл, Орёл г, по адресу Заказчика ул. 7-е Ноября, д.43, 3-й этаж, г. Орел, 302001, в рабочее время Пн.-Чт. с 900  до 1800, Пт. с 900 до 1700, кроме выходных и праздничных дней.</t>
  </si>
  <si>
    <t>ГКУ МО "ДИРЕКЦИЯ ЕДИНОГО ЗАКАЗЧИКА МИНСОЦРАЗВИТИЯ МО"</t>
  </si>
  <si>
    <t>Российская Федерация, 1) ГБУ СО МО «Одинцовский комплексный центр социального обслуживания населения» по адресу: Московская область,  г. Звенигород, ул. Маяковского, д. 9, корп.3;
2) ГКУСО МО Бронницкий социально-реабилитационный центр для несовершеннолетних «Алый парус» по адресу: Московская область, город Бронницы, улица Красная, дом 24;
3)  ГКУСО МО «Лобненский социально-реабилитационный центр для несовершеннолетних» по адресу: Московская область, г. Лобня ул. Авиационная д.6.</t>
  </si>
  <si>
    <t>ГЛАВНОЕ УПРАВЛЕНИЕ МЧС РОССИИ ПО РЕСПУБЛИКЕ КРЫМ</t>
  </si>
  <si>
    <t>Российская Федерация, Крым Респ, Симферополь г, ул. Героев Сталинграда, 14, ФКЗУ "Специализированный отряд" Главного управления МЧС России по Республике Крым</t>
  </si>
  <si>
    <t>ГБУЗ "РПАБ"</t>
  </si>
  <si>
    <t>Российская Федерация, В соответствии с проектом контракта (Приложение № 2 к документации)</t>
  </si>
  <si>
    <t>ГБУЗ "ДКЦ № 1 ДЗМ"</t>
  </si>
  <si>
    <t>Российская Федерация, 117485 город Москва, улица Миклухо-Маклая, дом 29 корпус 2</t>
  </si>
  <si>
    <t>ТУЛГУ, ТУЛЬСКИЙ ГОСУДАРСТВЕННЫЙ УНИВЕРСИТЕТ, ФГБОУ ВО "ТУЛГУ", ФГБОУ ВО "ТУЛЬСКИЙ ГОСУДАРСТВЕННЫЙ УНИВЕРСИТЕТ"</t>
  </si>
  <si>
    <t>Российская Федерация, Тульская обл, г. Тула, пр-т Ленина, д.95, Лабораторный модуль кафедры САУ</t>
  </si>
  <si>
    <t>ГУП "МОСКОВСКИЙ МЕТРОПОЛИТЕН"</t>
  </si>
  <si>
    <t>Москва, г. Москва</t>
  </si>
  <si>
    <t>ФГУП "ПИПВЭ ИМ.М.П.ЧУМАКОВА"</t>
  </si>
  <si>
    <t>Москва, 142782, Российская Федерация, город Москва, поселение Московский, посёлок Института полиомиелита ФГУП «ПИПВЭ им. М.П. Чумакова»</t>
  </si>
  <si>
    <t>ФГБОУ ВПО "ИГХТУ"</t>
  </si>
  <si>
    <t>г.Иваново, Шереметевский проспект, д.7</t>
  </si>
  <si>
    <t>153000, г. Иваново, Шереметевский пр-т, д.7.</t>
  </si>
  <si>
    <t>ЦКБ ГА</t>
  </si>
  <si>
    <t>Российская Федерация, Москва, Иваньковское шоссе, д.7, склад</t>
  </si>
  <si>
    <t>МИНЗДРАВ РС (Я)</t>
  </si>
  <si>
    <t>Российская Федерация, Республика Саха (Якутия), г.Якутск, Сергеляхское шоссе, 4, ГБУ РС(Я) «Республиканская больница №1-Национальный центр медицины», медико-генетическая консультация</t>
  </si>
  <si>
    <t>КУ РА "УКС РА"</t>
  </si>
  <si>
    <t>Российская Федерация, Российская Федерация, Алтай Республика, согласно контракта</t>
  </si>
  <si>
    <t>БУЗ ОРЛОВСКОЙ ОБЛАСТИ "ОПТД"</t>
  </si>
  <si>
    <t>Российская Федерация, Орловская обл, г. Орел, ул. Цветаева, д.15, бюджетное учреждение здравоохранения Орловской области «Орловский противотуберкулезный диспансер»</t>
  </si>
  <si>
    <t>Российская Федерация, Орловская обл, г.Орел, ул.Цветаева, д.15</t>
  </si>
  <si>
    <t>ФГУП "Комбинат "Электрохимприбор"</t>
  </si>
  <si>
    <t>г. Лесной, пр-т Коммунистический, 6а</t>
  </si>
  <si>
    <t>ФГУП "НЦ "Сигнал"</t>
  </si>
  <si>
    <t>Согласно аукционной документации</t>
  </si>
  <si>
    <t>СПБ ГБУЗ ГВФД</t>
  </si>
  <si>
    <t>Российская Федерация, -СПб наб реки Фонтанки, д.18</t>
  </si>
  <si>
    <t>Российская Федерация, 125284 город Москва, проезд 2-й Боткинский, дом 5 корпус 12</t>
  </si>
  <si>
    <t>ГКУ ЯНАО "ЦРО"</t>
  </si>
  <si>
    <t xml:space="preserve">Российская Федерация, 629602, Тюменская обл., ЯНАО, г. Муравленко, ул. Академика Губкина, д. 24; ГБУЗ ЯНАО «Муравленковская городская больница», склад получателя; 8(3493)82-74-80, 82-72-80;  E-mail: info@murgb.yamalzdrav.ru	
 629830, Тюменская обл., ЯНАО, г. Губкинский, мкр.10, д.1, ГБУЗ ЯНАО «Губкинская городская больница», склад получателя; 8(3493) 63-68-77, 63-68-90; E-mail: info@gubgb.yamalzdrav.ru	
629400, Тюменская обл., ЯНАО, г. Лабытнанги, ул. Дзержинского, д. 27, ГБУЗ ЯНАО «Лабытнангская городская  больница», склад получателя;  8(34992) 5-05-70, 5-05-83; E-mail:  info@lbt.yamalzdrav.ru	
</t>
  </si>
  <si>
    <t>МИНОБРНАУКИ РОССИИ</t>
  </si>
  <si>
    <t>Российская Федерация, Москва, Российская Федерация</t>
  </si>
  <si>
    <t>АО "ММЗ"</t>
  </si>
  <si>
    <t>424003, Россия, Республика Марий Эл, г. Йошкар-Ола, улица Суворова, 15, АО «Марийский машиностроительный завод»</t>
  </si>
  <si>
    <t>ГОСУДАРСТВЕННЫЙ ЭРМИТАЖ, ФГБУК "ГОСУДАРСТВЕННЫЙ ЭРМИТАЖ"</t>
  </si>
  <si>
    <t xml:space="preserve">Российская Федерация, Санкт-Петербург, Место поставки, подключения, настройки и инструктажа товара: 
Место поставки: 197183, Санкт-Петербург, ул. Заусадебная, дом 37, РХЦ «Старая Деревня» Государственного Эрмитажа, склад ОГЗ.
Место подключения, настройки и инструктажа: 190000, г. Санкт-Петербург,  Государственный Эрмитаж, Дворцовая наб., д. 34, помещение ЛНРДМ.
</t>
  </si>
  <si>
    <t>ГБУЗ "МОРОЗОВСКАЯ ДГКБ ДЗМ"</t>
  </si>
  <si>
    <t>Российская Федерация, 119049 город Москва, переулок 4-й Добрынинский, дом 1/9 строение 1</t>
  </si>
  <si>
    <t>КГБУЗ "КМДКБ № 1"</t>
  </si>
  <si>
    <t>Российская Федерация, Красноярский край, В соответствии с требованиями действующего законодательства. В соответствии с требованиями документации.</t>
  </si>
  <si>
    <t>БУ "ВЕТЕРИНАРНАЯ ЛАБОРАТОРИЯ"</t>
  </si>
  <si>
    <t>Российская Федерация, 628433, Ханты-Мансийский автономный округ - Югра, г. Сургут, п. Снежный, ул. Геодезистов 17/1.</t>
  </si>
  <si>
    <t>ФГБОУ ВО "ЧЕЛГУ"</t>
  </si>
  <si>
    <t>Российская Федерация, Челябинская обл, г. Челябинск, ул. Василевского, 75, кабинет 208</t>
  </si>
  <si>
    <t>ГБУЗРК "КРАСНОГВАРДЕЙСКАЯ ЦРБ"</t>
  </si>
  <si>
    <t>Российская Федерация, Российская Федерация, 297000, Крым Респ, Красногвардейский р-н, с. Восход, ул. Юбилейная, 16</t>
  </si>
  <si>
    <t>МБОУ "СРЕДНЯЯ ШКОЛА № 11"</t>
  </si>
  <si>
    <t>Российская Федерация, Камчатский край, Здание: Муниципальное бюджетное общеобразовательное учреждение "Средняя школа № 11 имени В.Д. Бубенина" Петропавловск-Камчатского городского округа по адресу 683031, Камчатский край, г. Петропавловск-Камчатский, пр. Карла Маркса,15/1</t>
  </si>
  <si>
    <t>указан в техническом задании</t>
  </si>
  <si>
    <t>БУ "СУРГУТСКИЙ КЛИНИЧЕСКИЙ ПЕРИНАТАЛЬНЫЙ ЦЕНТР"</t>
  </si>
  <si>
    <t>Российская Федерация, бюджетное учреждение Ханты-Мансийского автономного округа -Югры «Сургутский клинический перинатальный   центр», Тюменская область, Ханты-Мансийский автономный округ – Югры, город Сургут, ул. Губкина 1.</t>
  </si>
  <si>
    <t>ГБУЗ ЯНАО "МУРАВЛЕНКОВСКАЯ ГБ"</t>
  </si>
  <si>
    <t>Российская Федерация, Российская Федерация, Ямало-Ненецкий автономный округ, г. Муравленко, ул. Ленина 1, строение 12.</t>
  </si>
  <si>
    <t>ФГКУ в/ч 55056</t>
  </si>
  <si>
    <t>Российская Федерация, Москва, г. Москва</t>
  </si>
  <si>
    <t>ГБУ "ЖИЛИЩНИК РАЙОНА ОРЕХОВО-БОРИСОВО СЕВЕРНОЕ"</t>
  </si>
  <si>
    <t>Российская Федерация, 115563 город Москва, улица Генерала Белова, дом 21 корпус 2</t>
  </si>
  <si>
    <t>ФГАОУ ВО НИ ТПУ, ТПУ, НАЦИОНАЛЬНЫЙ ИССЛЕДОВАТЕЛЬСКИЙ ТОМСКИЙ ПОЛИТЕХНИЧЕСКИЙ УНИВЕРСИТЕТ, ТОМСКИЙ ПОЛИТЕХНИЧЕСКИЙ УНИВЕРСИТЕТ</t>
  </si>
  <si>
    <t>согласно п.п. 2, 3, 4, 6 документации.</t>
  </si>
  <si>
    <t>ООО "Газпром трансгаз Санкт-Петербург"</t>
  </si>
  <si>
    <t>ГБУЗ НД</t>
  </si>
  <si>
    <t>Хроматограф газовый МАЭСТРО ГХ 7820, с автоматическим пробоотборником на 16 проб, в комплекте с каруселью пробоотборника на 150 проб, библиотекой масс-спектров NIST 2014, рабочей станцией, монитором, принтером, источником бесперебойного питания, стартовым комплектом расходных материалов - 1 комплект; Краснодарский край, г. Краснодар, ул. Тюляева, 16, 10 этаж, ХТЛ; Поставка в течение 45 (сорока пяти) рабочих  дней с даты заключения договора; Безналичный расчет, не позднее 120  (ста двадцати) банковских дней на основании подписанного Сторонами документа о приемке товара, акта ввода оборудования в эксплуатацию.</t>
  </si>
  <si>
    <t>ГБУ ПО "ПСКОВАВТОДОР"</t>
  </si>
  <si>
    <t>Российская Федерация, 180004, Псковская область, Псков, ул. Малозональный переулок, д. 3.</t>
  </si>
  <si>
    <t>ФГБУ "РНЦ "ВТО" ИМ. АКАД. Г.А. ИЛИЗАРОВА" МИНЗДРАВА РОССИИ</t>
  </si>
  <si>
    <t>Российская Федерация, Курганская обл, Курган г, ФГБУ «РНЦ «ВТО» им. акад. Г.А. Илизарова» Минздрава России, 640014, г. Курган, ул. Марии Ульяновой, 6, аптечный склад</t>
  </si>
  <si>
    <t>ГБУЗ КО "НГДКБ № 4"</t>
  </si>
  <si>
    <t>Российская Федерация, Кемеровская обл, Новокузнецк г, ул. Димитрова 33, МБЛПУ «ГДКБ №4»</t>
  </si>
  <si>
    <t>450015 Россия, Республика Башкортостан, г. Уфа, ул. Чекмагушевская, 2; Россия, 426019 Удмуртская Республика, г. Ижевск, ул. Областная 4; 460009 Россия, Оренбургская область, г. Оренбург, ул. Деповская, 49; 620000, Россия, Свердловская область, г. Екатеринбург, ул. Хомякова, 15; 214000, Россия, Смоленская область, Нефтебаза, г. Смоленск, микрорайон Гнездово, Нефтебаза; Россия, Челябинская область, г. Челябинск, ул. Труда, 78; Россия, Волгоградская область, ул. Моцарта, 29</t>
  </si>
  <si>
    <t>ФГБУ ЦНПВРЛ</t>
  </si>
  <si>
    <t>656043, Алтайский край, г. Барнаул, ул. Ползунова, 36а</t>
  </si>
  <si>
    <t>ГБУЗ НСО  "МАСЛЯНИНСКАЯ ЦРБ"</t>
  </si>
  <si>
    <t>Российская Федерация, Поставка Товара осуществляется силами и средствами Поставщика по адресу: Новосибирская область, р.п. Маслянино, ул. Больничная,2, государственное бюджетное учреждение здравоохранения Новосибирской области «Маслянинская центральная районная больница».</t>
  </si>
  <si>
    <t>ГБУЗ НСО "ЦКБ"</t>
  </si>
  <si>
    <t>Российская Федерация, Новосибирская обл, Новосибирск г, ул. Пирогова 25/3 (помещение склада ЦКБ СО РАН)</t>
  </si>
  <si>
    <t>ФГБОУ ВО "ТОМСКИЙ ГОСУДАРСТВЕННЫЙ АРХИТЕКТУРНО-СТРОИТЕЛЬНЫЙ УНИВЕРСИТЕТ", ТОМСКИЙ ГОСУДАРСТВЕННЫЙ АРХИТЕКТУРНО-СТРОИТЕЛЬНЫЙ УНИВЕРСИТЕТ, ТГАСУ</t>
  </si>
  <si>
    <t xml:space="preserve">Российская Федерация, г. Томск, пл. Соляная,2 </t>
  </si>
  <si>
    <t>ФГБУ "ОРЛОВСКИЙ РЕФЕРЕНТНЫЙ ЦЕНТР РОССЕЛЬХОЗНАДЗОРА"</t>
  </si>
  <si>
    <t>Российская Федерация, Орловская обл, Орёл г, ул. Пожарная 72</t>
  </si>
  <si>
    <t>ГБУЗ "ГБ № 1 Г.СОЧИ" МЗ КК</t>
  </si>
  <si>
    <t xml:space="preserve">Российская Федерация, Краснодарский край, 354200, Краснодарский край, г. Сочи, Лазаревский район, поселок Лазаревское, улица Энтузиастов, дом 17, склад </t>
  </si>
  <si>
    <t>ОАО "ЯРОСЛАВЛЬВОДОКАНАЛ"</t>
  </si>
  <si>
    <t>Центральный склад ОАО «Ярославльводоканал» по адресу г.Ярославль ул. 3-я Портовая д.5</t>
  </si>
  <si>
    <t>ВОЕННАЯ АКАДЕМИЯ РВСН ИМЕНИ ПЕТРА ВЕЛИКОГО</t>
  </si>
  <si>
    <t>Российская Федерация, Московская обл, Московская обл, Московская обл, Балашиха г, Южный мкр, ул.Карбышева, д.8 (ВА РВСН)</t>
  </si>
  <si>
    <t>ГГНТУ ИМ. АКАД. М.Д. МИЛЛИОНЩИКОВА.</t>
  </si>
  <si>
    <t>Чеченская   Респ, г. Грозный, ГСП-2, пр. Исаева , 100</t>
  </si>
  <si>
    <t>Чебоксарский филиал ФГАУ «МНТК «Микрохирургия глаза» им. акад. С.Н. Федорова» Минздрава России</t>
  </si>
  <si>
    <t>Чебоксарский филиал ФГАУ «МНТК «Микрохирургия глаза» им. акад.  С.Н. Федорова» Минздрава России
428028 Чувашская Республика, г. Чебоксары, проспект Тракторостроителей, 10.</t>
  </si>
  <si>
    <t>ГБУЗ "ПКБ № 3 ДЗМ"</t>
  </si>
  <si>
    <t>г. Москва, ул. Матросская Тишина, д.20</t>
  </si>
  <si>
    <t>АО "НПО ИТ"</t>
  </si>
  <si>
    <t>Московская область</t>
  </si>
  <si>
    <t>ГБУЗ "ГОРОДСКАЯ ПОЛИКЛИНИКА"</t>
  </si>
  <si>
    <t>Российская Федерация, Пензенская обл, согласно главе 4 настоящей документации</t>
  </si>
  <si>
    <t>ГБУЗ СК "ГКБ СМП" Г.СТАВРОПОЛЯ</t>
  </si>
  <si>
    <t>Российская Федерация, Ставропольский край, Ставрополь г, ул. Тухачевского, 17, ГБУЗ СК «ГКБ СМП» г. Ставрополя (склад).</t>
  </si>
  <si>
    <t>ГБУЗ СО "КИНЕЛЬ-ЧЕРКАССКАЯ ЦРБ"</t>
  </si>
  <si>
    <t>Российская Федерация, 446350, Самарская область, с. Кинель-Черкассы, ул. Алферова, 8.</t>
  </si>
  <si>
    <t>ФГБУ "ЦККЛСИМИ"</t>
  </si>
  <si>
    <t>Российская Федерация, Москва, ул.Рябиновая, д.43</t>
  </si>
  <si>
    <t>ФГБОУ ВО "МАРИЙСКИЙ ГОСУДАРСТВЕННЫЙ УНИВЕРСИТЕТ"</t>
  </si>
  <si>
    <t>Российская Федерация, Марий Эл Респ, Йошкар-Ола г, На склад Заказчика по адресу: Республика Марий Эл, г. Йошкар-Ола, ул. Красноармейская, д. 71.</t>
  </si>
  <si>
    <t>НГТУ, НОВОСИБИРСКИЙ ГОСУДАРСТВЕННЫЙ ТЕХНИЧЕСКИЙ УНИВЕРСИТЕТ, ФГБОУ ВО "НОВОСИБИРСКИЙ ГОСУДАРСТВЕННЫЙ ТЕХНИЧЕСКИЙ УНИВЕРСИТЕТ", ФГБОУ ВО "НГТУ"</t>
  </si>
  <si>
    <t>г. Новосибирск, проспект Карла Маркса, 20, НГТУ.</t>
  </si>
  <si>
    <t>ФКУЗ РОСНИПЧИ "МИКРОБ" РОСПОТРЕБНАДЗОРА</t>
  </si>
  <si>
    <t xml:space="preserve">Российская Федерация, Саратовская обл, Саратов г, ул. Университетская, д.46, ФКУЗ РосНИПЧИ </t>
  </si>
  <si>
    <t>СПБ ГКУЗ "ГСПК"</t>
  </si>
  <si>
    <t>Российская Федерация, Санкт-Петербург, Московский пр. д.104, литер «Х», цокольный  этаж.</t>
  </si>
  <si>
    <t>ВОЕННО-МЕДИЦИНСКАЯ АКАДЕМИЯ ИМЕНИ С.М.КИРОВА</t>
  </si>
  <si>
    <t>Российская Федерация, Санкт-Петербург, улица Лесопарковая, дом 3, корпус 2, литера А, отдел хранения (медицинского имущества) с 10 до 16 часов по московскому времени кроме выходных и праздничных дней</t>
  </si>
  <si>
    <t>ГОБУЗ "ОБЛАСТНОЙ КЛИНИЧЕСКИЙ РОДИЛЬНЫЙ  ДОМ"</t>
  </si>
  <si>
    <t>Российская Федерация, 173020,г. Великий Новгород ул. Державина д.1
ГОБУЗ «Областной клинический родильный дом»</t>
  </si>
  <si>
    <t>ГБУЗ "ПКБ № 13 ДЗМ"</t>
  </si>
  <si>
    <t>Российская Федерация, 109387 город Москва, улица Ставропольская, дом 27 строение 2</t>
  </si>
  <si>
    <t>Военная академия Ракетных войск стратегического назначения имени Петра Великого (филиал в г. Серпухове Московской области)</t>
  </si>
  <si>
    <t>Российская Федерация, Московская обл, Серпухов г, ул.Бригадная,д.17</t>
  </si>
  <si>
    <t>ПОВОЛЖСКИЙ ГОСУДАРСТВЕННЫЙ ТЕХНОЛОГИЧЕСКИЙ УНИВЕРСИТЕТ, ФГБОУ ВО "ПГТУ", ВОЛГАТЕХ</t>
  </si>
  <si>
    <t>Российская Федерация, Марий Эл Респ, Йошкар-Ола г, ул. Мира, 2б</t>
  </si>
  <si>
    <t>КГБУЗ "КСПК"</t>
  </si>
  <si>
    <t>Российская Федерация, Хабаровский край, г. Хабаровск, ул. Волочаевская, д. 46 (медицинский склад)</t>
  </si>
  <si>
    <t>ГБУ (КБ № 4Г.ГРОЗНОГО)</t>
  </si>
  <si>
    <t>Российская Федерация, Чеченская Респ, г. Грозный, ул. Федеративная, 12.</t>
  </si>
  <si>
    <t>Российская Федерация, Челябинская обл, г. Челябинск, ул. Василевского, д. 75, каб. 208</t>
  </si>
  <si>
    <t>АО "ФЦНИВТ" СНПО "ЭЛЕРОН"</t>
  </si>
  <si>
    <t>РФ, г. Москва, ул. Генерала Белова, д.14</t>
  </si>
  <si>
    <t>ФГБУ "3 ЦВКГ ИМ. А.А. ВИШНЕВСКОГО" МИНОБОРОНЫ РОССИИ</t>
  </si>
  <si>
    <t xml:space="preserve">Российская Федерация, Московская обл, 143421, Московская область, Красногорский район, п. Новый. ФГБУ «3 ЦВКГ им. А.А. Вишневского» Минобороны России, фармацевтический центр.  </t>
  </si>
  <si>
    <t>Нижний Новгород</t>
  </si>
  <si>
    <t>ПАО "ТУПОЛЕВ"</t>
  </si>
  <si>
    <t>Россия, Республика Татарстан (Татарстан), 420127,Россия, Казань, ул. Дементьева, д.1</t>
  </si>
  <si>
    <t>ГБУ РО "ОКПЦ"</t>
  </si>
  <si>
    <t>Российская Федерация, 390039, г. Рязань,  
ул. Интернациональная, д. 1и.</t>
  </si>
  <si>
    <t>ГОБУЗ МГКБСМП</t>
  </si>
  <si>
    <t>Российская Федерация, В соответствии с п.8 раздела 1 тома 2 документации о проведении аукциона в электронной форме</t>
  </si>
  <si>
    <t>ФГБУ  РМНПЦ "РОСПЛАЗМА" ФМБА РОССИИ</t>
  </si>
  <si>
    <t>Российская Федерация, Кировская обл, Киров г, ул. Пролетарская, д.38</t>
  </si>
  <si>
    <t>ФГБУ ЦАС "ХАБАРОВСКИЙ"</t>
  </si>
  <si>
    <t>680009, Российская Федерация, Хабаровский край, г. Хабаровск, Карла Маркса, дом 107А, ОКАТО: 08401000000</t>
  </si>
  <si>
    <t>ГБУ РД "МРД № 2  ИМ. Р.А. КАРИМОВА"</t>
  </si>
  <si>
    <t xml:space="preserve">Российская Федерация, Дагестан Респ, В соответствии с документацией </t>
  </si>
  <si>
    <t>ГБУЗ "КМСЧ № 1"</t>
  </si>
  <si>
    <t>Российская Федерация, 614077, г. Пермь, Бульвар Гагарина, 68, склад</t>
  </si>
  <si>
    <t>УПРАВЛЕНИЕ ДЕЛАМИ АДМИНИСТРАЦИИ ЛИПЕЦКОЙ ОБЛАСТИ</t>
  </si>
  <si>
    <t>Российская Федерация, г.Липецк, Теперика, д.1, ОБУ "УМФЦ Липецкой области"</t>
  </si>
  <si>
    <t>ГБУЗ АО "ЦОЗСИР"</t>
  </si>
  <si>
    <t>Российская Федерация, Астраханская обл, Астрахань г, ул. Красная Набережная, 43/2</t>
  </si>
  <si>
    <t>ГБУЗ КОБ</t>
  </si>
  <si>
    <t>Российская Федерация, Камчатский край, Российская Федерация, 688000, Камчатский край, Тигильский р-н, Палана пгт, Обухова, 12</t>
  </si>
  <si>
    <t>ГБУЗ СО "ПОЛЕВСКАЯ ЦГБ"</t>
  </si>
  <si>
    <t>Российская Федерация, В соответствии с документацией об электронном аукционе.</t>
  </si>
  <si>
    <t>ФГКУ "САНАТОРИЙ "СЕМЕНОВСКОЕ"</t>
  </si>
  <si>
    <t>Российская Федерация, Московская обл, Ступинский р-н, Семеновское с, По адресу Заказчика, Санаторий «Семеновское»</t>
  </si>
  <si>
    <t>ФГБУ "ВГНКИ"</t>
  </si>
  <si>
    <t>Российская Федерация, Москва, Звенигородское ш., д.5</t>
  </si>
  <si>
    <t>ФГБОУ ВО СПХФУ МИНЗДРАВА РОССИИ</t>
  </si>
  <si>
    <t>Российская Федерация, Санкт-Петербург, ул. Профессора Попова, д. 4, лит. В</t>
  </si>
  <si>
    <t>ГБУЗ МО "ОРЕХОВО-ЗУЕВСКАЯ ЦГБ"</t>
  </si>
  <si>
    <t>Российская Федерация, Московская обл, Согласно тз</t>
  </si>
  <si>
    <t>Республиканское унитарное предприятие «Белорусская атомная электростанция» (Республика Беларусь), Республика Беларусь, 231201, Гродненская область, г. Островец, площадка строительства атомной электростанции;</t>
  </si>
  <si>
    <t>КГБУЗ "КМКБ № 4"</t>
  </si>
  <si>
    <t>Российская Федерация, Красноярский край, Красноярск г, Кутузова,71</t>
  </si>
  <si>
    <t>ГБУЗ ЯНАО "НОЯБРЬСКАЯ ЦГБ"</t>
  </si>
  <si>
    <t>Российская Федерация, ЯНАО, г. Ноябрьск, склад Заказчика, адрес указывается в заявке на поставку, в рабочие дни (понедельник-пятница) с 9.00 до 12.00 часов и с 14.00 до 16.00 часов транспортом Поставщика.</t>
  </si>
  <si>
    <t>ГБУ  "КБ №5  Г. ГРОЗНОГО"</t>
  </si>
  <si>
    <t>Российская Федерация, Чеченская Респ, Чеченская Республика, г. Грозный, Октябрьский район, 12 участок</t>
  </si>
  <si>
    <t>ДЕПАРТАМЕНТ СТРОИТЕЛЬСТВА И ТРАНСПОРТА БЕЛГОРОДСКОЙ ОБЛАСТИ</t>
  </si>
  <si>
    <t>Российская Федерация, Белгородская область, г.Белгород, ул. Губкина,46</t>
  </si>
  <si>
    <t>ПАО "РУСГИДРО"</t>
  </si>
  <si>
    <t>Самарская   обл, Филиал ПАО «РусГидро» - «Жигулёвская ГЭС», 445350, Самарская обл., г. Жигулёвск, Московское шоссе, 2.</t>
  </si>
  <si>
    <t>ПАО "НК "РОСНЕФТЬ"-МЗ"НЕФТЕПРОДУКТ"</t>
  </si>
  <si>
    <t>Москва, 105118, г. Москва, Шоссе Энтузиастов, д. 40</t>
  </si>
  <si>
    <t>определяется в соответствии со ст. 9 проекта договора.</t>
  </si>
  <si>
    <t>ПАО СБЕРБАНК</t>
  </si>
  <si>
    <t>Ростовская   обл, г.Ростов-на-Дону ул. Евдокимова, 37</t>
  </si>
  <si>
    <t>МУЗ "ГОРОДСКАЯ ПОЛИКЛИНИКА №1" Г. ВОЛГОДОНСК РОСТОВСКОЙ ОБЛАСТИ</t>
  </si>
  <si>
    <t>Российская Федерация, Ростовская обл, Волгодонск г, ул. Ленина 106, каб. 420 в рабочие дни с 08:00 до 17:00, (по Московскому времени). Кроме субботы и воскресенья.</t>
  </si>
  <si>
    <t>ГОБУЗ "МОКБ ИМ. П.А. БАЯНДИНА"</t>
  </si>
  <si>
    <t>Российская Федерация, В соответствии с п. 8 раздела 1  тома 2 документации о проведении аукциона в электронной форме</t>
  </si>
  <si>
    <t>ОБУЗ "БСМЭ ИВАНОВСКОЙ ОБЛАСТИ"</t>
  </si>
  <si>
    <t>Российская Федерация, Доставка товара Заказчику и его разгрузка осуществляется по адресу: 153038, г. Иваново, пр. Текстильщиков, д. 48, в отделение судебно-биологического исследования вещественных доказательств.</t>
  </si>
  <si>
    <t>МИНЗДРАВ ЧЕЛЯБИНСКОЙ ОБЛАСТИ</t>
  </si>
  <si>
    <t>Российская Федерация, Челябинская обл, Магнитогорск г, В Муниципальное учреждение здравоохранения «Родильный дом №2», расположенное по адресу: 
455026, г. Магнитогорск, ул. Гагарина, д. 36 (далее – Получатель).</t>
  </si>
  <si>
    <t>ГБУЗ "ИОКБ"</t>
  </si>
  <si>
    <t>Российская Федерация, 664049, Иркутская область, г.Иркутск, микрорайон Юбилейный, 100</t>
  </si>
  <si>
    <t>ГБУЗ "ГКБ № 17 ДЗМ"</t>
  </si>
  <si>
    <t>Российская Федерация, 119620 город Москва, улица Волынская, дом 7 строение 2</t>
  </si>
  <si>
    <t>ГБУ "ШАЛИНСКАЯ ЦРБ "</t>
  </si>
  <si>
    <t>Российская Федерация, Чеченская Респ, Чеченская Республика, Шали, ул. А-Кадырова, д. № 67</t>
  </si>
  <si>
    <t>ФГБУ "КРАСНОДАРСКАЯ МВЛ"</t>
  </si>
  <si>
    <t>В соответствии с аукционной документацией.</t>
  </si>
  <si>
    <t>ФГБОУ ВО ПГУПС</t>
  </si>
  <si>
    <t>В соответствии с Частью II. «Техническое задание (технические требования)» и Частью III. «Проект договора»</t>
  </si>
  <si>
    <t>ГАУЗ "КДМЦ"</t>
  </si>
  <si>
    <t>Российская Федерация, 423812, Респ Татарстан (Татарстан), г Набережные Челны, ул Академика Королева, д. 18</t>
  </si>
  <si>
    <t>УФСБ России по Хабаровскому краю</t>
  </si>
  <si>
    <t>Российская Федерация, Хабаровский край, Хабаровск г, ул. Бондаря 2.</t>
  </si>
  <si>
    <t>Анализатор биохимический автоматический с принадлежностями (системный блок, монитор, принтер лазерный источник бесперебойного питания) и стартовым комплектом реактивов и расходных материалов - 1 комплект; Поставка  в течение 45 (сорока пяти) рабочих дней с даты заключения договора;  Безналичный расчёт не позднее 120  (ста двадцати) банковских дней на основании подписанного Сторонами документа о приемке товара, акта ввода оборудования в эксплуатацию  и документа на оплату.</t>
  </si>
  <si>
    <t>ФГБОУ ВО "ДГУ"</t>
  </si>
  <si>
    <t>Российская Федерация, Дагестан Респ, Махачкала г, , ул. Коркмасова, 8</t>
  </si>
  <si>
    <t>ФГУП "ГОЗНАК"</t>
  </si>
  <si>
    <t>Москва, 129164, г. Москва, проспект Мира, дом 105</t>
  </si>
  <si>
    <t>ФКУ "ГБ МСЭ ПО СТАВРОПОЛЬСКОМУ КРАЮ" МИНТРУДА РОССИИ</t>
  </si>
  <si>
    <t>Российская Федерация, Ставропольский край, Ставрополь г, Поставщик осуществляет поставку Товара на склад Заказчика по адресу: г. Ставрополь, ул. Ленина,108/2, кабинет №33.</t>
  </si>
  <si>
    <t>ГБУЗ ПК "МСЧ № 7"</t>
  </si>
  <si>
    <t>Российская Федерация, 614030, Пермский край, г. Пермь, ул. Писарева, 56</t>
  </si>
  <si>
    <t>ФМБА РОССИИ</t>
  </si>
  <si>
    <t>Российская Федерация, Амурская обл, Амурская область, ЗАТО Углегорск</t>
  </si>
  <si>
    <t>ФГБУ "НИЦЭМ ИМ. Н.Ф. ГАМАЛЕИ" МИНЗДРАВА РОССИИ</t>
  </si>
  <si>
    <t>Российская Федерация, Москва, Склад Заказчика по адресу: 123098, г. Москва, ул. Гамалеи, д. 18.</t>
  </si>
  <si>
    <t>ФГУП "Тюменское ПрОП" Минтруда России</t>
  </si>
  <si>
    <t>Тюменская   обл, г. Тюмень, ул. Одесская, д. 35</t>
  </si>
  <si>
    <t>АО "РКЦ "ПРОГРЕСС"</t>
  </si>
  <si>
    <t>Самарская   обл, г. Самара, ул. Земеца, 18, отдел 2675.</t>
  </si>
  <si>
    <t>КГБУЗ ККБ</t>
  </si>
  <si>
    <t>Российская Федерация, Красноярский край, Красноярск г, в соответствии с документацией в электронной форме</t>
  </si>
  <si>
    <t>ГБОУ ВПО ПЕРВЫЙ МГМУ ИМ. И.М. СЕЧЕНОВА МИНЗДРАВА РОССИИ</t>
  </si>
  <si>
    <t>в соответствии с аукционной документацией</t>
  </si>
  <si>
    <t>ГБОУ ВПО КГМУ МИНЗДРАВА РОССИИ</t>
  </si>
  <si>
    <t>Указанов в аукционной документации</t>
  </si>
  <si>
    <t>ФКУ ИК-17 УФСИН РОССИИ ПО КИРОВСКОЙ ОБЛАСТИ</t>
  </si>
  <si>
    <t>Российская Федерация, Кировская обл, на склад Государственного Заказчика  по адресу:  Кировская область, г. Омутнинск, ул. Трудовых Резервов, 125, ФКУ ИК-17</t>
  </si>
  <si>
    <t>КГБУЗ "ГОРОДСКАЯ БОЛЬНИЦА № 2"</t>
  </si>
  <si>
    <t>Российская Федерация, Хабаровский край, г. Комсомольск-на-Амуре, ул. Культурная, д. 5, аптека</t>
  </si>
  <si>
    <t>ФБУ "НИЖЕГОРОДСКИЙ ЦСМ"</t>
  </si>
  <si>
    <t>Согласно АД</t>
  </si>
  <si>
    <t>ФКУЗ "САНАТОРИЙ "БУРЕВЕСТНИК" МВД РОССИИ"</t>
  </si>
  <si>
    <t>Российская Федерация, Крым Респ, Евпатория г, Российская Федерация, Крым Респ, Евпатория г, Российская Федерация, Крым Респ, Евпатория г, ул. П. Морозова дом 7-13/54-56</t>
  </si>
  <si>
    <t>СПБ ГБУЗ "ГОРОДСКАЯ ПОЛИКЛИНИКА № 112"</t>
  </si>
  <si>
    <t>Российская Федерация, г. Санкт-Петербург, ул.Академика Байкова, д.25, корп.1 лит.А; ул.Гжатская, д.3; пр.Науки, д.71 к.2; пр.Науки, д.12 к.4</t>
  </si>
  <si>
    <t>ФИЛИАЛ ПАО АНК "БАШНЕФТЬ" "БАШНЕФТЬ-УФАНЕФТЕХИМ"</t>
  </si>
  <si>
    <t>450045, Республика Башкортостан, г. Уфа-45</t>
  </si>
  <si>
    <t>ФГУП "Атомфлот"</t>
  </si>
  <si>
    <t>в соответствии с условиями предусмотренными проектом Договора, с учетом требований Тома 2 «Техническая часть» являющимся неотъемлемой частью закупочной документации настоящего запроса цен</t>
  </si>
  <si>
    <t>ОГБУЗ "МАГАДАНСКИЙ РОДИЛЬНЫЙ ДОМ"</t>
  </si>
  <si>
    <t>Российская Федерация, Магаданская обл, Магадан г, Российская Федерация, г. Магадан, ул. Парковая, д. 12, с разгрузкой товара в клинико-диагностическую лабораторию силами Поставщика.</t>
  </si>
  <si>
    <t>АО "ГСС"</t>
  </si>
  <si>
    <t>Московская   обл, РФ, Московская область, г. Жуковский</t>
  </si>
  <si>
    <t>БУЗ УР "ГКБ № 6 МЗ УР"</t>
  </si>
  <si>
    <t>Российская Федерация, Указано в п.6.2 Информационных карт Документации об электронном аукционе</t>
  </si>
  <si>
    <t>ГБУ ССМП Г.ГРОЗНОГО</t>
  </si>
  <si>
    <t>Российская Федерация, Чеченская Респ, Чеченская Республика, г. Грозный, ул. Федеративная, 12.</t>
  </si>
  <si>
    <t>ГБУЗ "ПЕНЗЕНСКИЙ ГОРОДСКОЙ РОДИЛЬНЫЙ ДОМ"</t>
  </si>
  <si>
    <t>Российская Федерация, Пензенская обл, Пенза г, Согласно Главе 4 настоящей Документации</t>
  </si>
  <si>
    <t>ГУЗ "РОДИЛЬНЫЙ ДОМ № 1 Г. ТУЛЫ"</t>
  </si>
  <si>
    <t>Российская Федерация, 300041, г.Тула, ул.Революции, дом 4 (до места хранения)</t>
  </si>
  <si>
    <t>ГУЗ "ТОЦ ПО ПРОФИЛАКТИКЕ И БОРЬБЕ СО СПИД И ИЗ"</t>
  </si>
  <si>
    <t>300002, г. Тула, набережная Дрейера, дом 14. ГУЗ «Тульский областной Центр по профилактике и борьбе со СПИД и инфекционными заболеваниями»</t>
  </si>
  <si>
    <t>Санкт-Петербург, Место поставки товара, выполнения работ, оказания услуг указано в пункте 3.3 котировочной документации.</t>
  </si>
  <si>
    <t>ООО "Краснодар Водоканал"</t>
  </si>
  <si>
    <t>г. Краснодар, ул. Каляева, 198</t>
  </si>
  <si>
    <t>НИЦ "КУРЧАТОВСКИЙ ИНСТИТУТ"</t>
  </si>
  <si>
    <t>Российская Федерация, Москва, Поставка осуществляется по адресу: 123182, г. Москва, пл. Академика Курчатова,1 (въезд на территорию с ул. Максимова,28) в помещения, указанные представителем Заказчика, при наличии товарной накладной (ТОРГ-12), акта приемки товаров ТОРГ-1 и счета, счета-фактуры с учётом разбивки по партиям в соответствии со спецификацией.</t>
  </si>
  <si>
    <t>ФГБУ "СЕВЕРО-ЗАПАДНОЕ УГМС"</t>
  </si>
  <si>
    <t>Российская Федерация, Новгородская обл, 173000, г. Великий Новгород, ул. Славная, д. 28</t>
  </si>
  <si>
    <t>Российская Федерация, Санкт-Петербург, 199106, г. Санкт-Петербург, В.О., 23-линия, д.2а</t>
  </si>
  <si>
    <t>БУ "НИЖНЕВАРТОВСКАЯ ОКРУЖНАЯ КЛИНИЧЕСКАЯ БОЛЬНИЦА"</t>
  </si>
  <si>
    <t>Российская Федерация, 628606, Ханты-Мансийский автономный округ – Югра, г. Нижневартовск, ул. Ленина, дом 18 строение 9 (аптечный склад)</t>
  </si>
  <si>
    <t>СПБ ГБУЗ "ГОРОДСКАЯ ПОЛИКЛИНИКА №34"</t>
  </si>
  <si>
    <t>Российская Федерация, 197198, СПб, ул. Зверинская д.15, МЦКДЛ, 5 эт.</t>
  </si>
  <si>
    <t>ФГКУ ПОЛИКЛИНИКА № 4</t>
  </si>
  <si>
    <t>Российская Федерация, Московская обл, Балашиха г, 143988, Московская область, город Балашиха, микрорайон Павлино, д.1, корп.4</t>
  </si>
  <si>
    <t>ГНЦ ФГУГП "Южморгеология"</t>
  </si>
  <si>
    <t>г. Геленджик</t>
  </si>
  <si>
    <t>ФГБНУ ВИЛАР</t>
  </si>
  <si>
    <t>В соответствии с документацией</t>
  </si>
  <si>
    <t>Московская   обл, г. Москва, Большая Андроньевская д. 8 Московская обл., г. Одинцово, ул. Молодежная д. 25  Московская обл., г. Коломна, ул. Зеленая д.31 Московская обл., г. Щелково, ул. Комсомольская д.11 Рязанская обл., г. Рязань, ул. Маяковского д. 37 Смоленская обл., г. Смоленск, 5км Рославльского шоссе, м-н Южный Калужская обл., г. Калуга, ул. Кирова, д.21а Тверская обл., г. Тверь, ул. Володарского, д.7 Тульская обл., г. Тула, ул. Демонстрации, д.2 Брянская обл., г. Брянск, пр-т Ленина, 10 б</t>
  </si>
  <si>
    <t>СПБ ГБУЗ "РОДИЛЬНЫЙ ДОМ №10"</t>
  </si>
  <si>
    <t>Российская Федерация, 198259, г. Санкт-Петербург, ул. Тамбасова, 21</t>
  </si>
  <si>
    <t>ГПБУ "МОСЭКОМОНИТОРИНГ"</t>
  </si>
  <si>
    <t>Российская Федерация, 115419 город Москва, переулок Дальний, дом 2 корпус 1</t>
  </si>
  <si>
    <t>ГБУЗ ГКБ № 3 Г.КРАСНОДАРА МЗ КК</t>
  </si>
  <si>
    <t>Российская Федерация, Краснодарский край, Краснодар г, ул. имени Айвазовского, 97, аптека</t>
  </si>
  <si>
    <t>ФГБУ "РНИИТО ИМ. Р.Р. ВРЕДЕНА" МИНЗДРАВА РОССИИ</t>
  </si>
  <si>
    <t>Российская Федерация, Санкт-Петербург, 195427, Санкт-Петербург, ул. Академика Байкова, д.8</t>
  </si>
  <si>
    <t>ГУП СК "СТАВРОПОЛЬКРАЙВОДОКАНАЛ"</t>
  </si>
  <si>
    <t>В соответствии с Техническим заданием (Приложение № 1 к Документации о закупке запроса предложений в электронной форме).</t>
  </si>
  <si>
    <t>Российская Федерация, Москва, г. Москва, Иваньковское шоссе, дом 7</t>
  </si>
  <si>
    <t>ФГАОУ ВО "КАЗАНСКИЙ (ПРИВОЛЖСКИЙ) ФЕДЕРАЛЬНЫЙ УНИВЕРСИТЕТ", ФГАОУ ВО КФУ, КФУ, КАЗАНСКИЙ ФЕДЕРАЛЬНЫЙ УНИВЕРСИТЕТ, КАЗАНСКИЙ УНИВЕРСИТЕТ, КАЗАНСКИЙ (ПРИВОЛЖСКИЙ) ФЕДЕРАЛЬНЫЙ УНИВЕРСИТЕТ</t>
  </si>
  <si>
    <t>Татарстан Респ, 420111, РТ, г. Казань, ул. Большая красная, д. 4, этаж 1, технологический центр КФУ.</t>
  </si>
  <si>
    <t>ФГУП "ПОЧТА РОССИИ"</t>
  </si>
  <si>
    <t>В соответствии с Документацией о проведении  открытого редукциона в электронной форме</t>
  </si>
  <si>
    <t>ИМБ РАН</t>
  </si>
  <si>
    <t>Поставка товара осуществляется за счет Поставщика на склад Заказчика по адресу: 119991, г. Москва, ул. Вавилова, д.32.</t>
  </si>
  <si>
    <t>ФГБУ "ИМЦЭУАОСМП" РОСЗДРАВНАДЗОРА</t>
  </si>
  <si>
    <t>Российская Федерация, Тамбовская обл, Тамбов г, ул. Элеваторная, д. 5а</t>
  </si>
  <si>
    <t>ОКУ "УКС КУРСКОЙ ОБЛАСТИ"</t>
  </si>
  <si>
    <t>Российская Федерация, Курская обл, Указано в документации</t>
  </si>
  <si>
    <t>ГБУЗ ВЫСЕЛКОВСКАЯ ЦРБ</t>
  </si>
  <si>
    <t>Российская Федерация, Краснодарский край, Выселковский р-н, Выселки ст-ца, Северная 7</t>
  </si>
  <si>
    <t>ФГБУ КС "СОВЕТСК" МИНЗДРАВА РОССИИ</t>
  </si>
  <si>
    <t>Российская Федерация, Калининградская обл, Советск г, ул. Полевая, д.4, аптека</t>
  </si>
  <si>
    <t>ФГУП "ВНИИМ им. Д.И.Менделеева"</t>
  </si>
  <si>
    <t>Санкт-Петербург, Российская Федерация, г. Санкт-Петербург, пр-кт. Московский, 19</t>
  </si>
  <si>
    <t>СПБ ГБУЗ "ГОРОДСКАЯ МАРИИНСКАЯ БОЛЬНИЦА"</t>
  </si>
  <si>
    <t>Российская Федерация, СПб ГБУЗ «Городская Мариинская больница », г. Санкт – Петербург, Литейный пр. д. 56, медицинский склад</t>
  </si>
  <si>
    <t>ГБУ "КБ №1 Г.ГРОЗНОГО"</t>
  </si>
  <si>
    <t>Российская Федерация, Чеченская Респ, Грозный г, ул. Шейха Али-Митаева, 18.</t>
  </si>
  <si>
    <t>МУП "ТЕПЛОЭНЕРГИЯ" ГО "ГОРОД ЯКУТСК"</t>
  </si>
  <si>
    <t>Саха /Якутия/  Респ, г. Якутск, ул. Автодорожная 1, корпус 3</t>
  </si>
  <si>
    <t>Российская Федерация, ГБУЗ МО "Домодедовская городская больница" (142005, Московская область, г.Домодедово, мкр. Центральный, ул. Пирогова, д.9)</t>
  </si>
  <si>
    <t>ГБУЗ РК "САКСКАЯ РБ"</t>
  </si>
  <si>
    <t>Российская Федерация, Крым Респ, Саки г, ул. Лобозова, д. 22</t>
  </si>
  <si>
    <t>УФК ПО ВОЛГОГРАДСКОЙ ОБЛАСТИ</t>
  </si>
  <si>
    <t>Российская Федерация, Волгоградская обл, в соответствии с п.2.5. раздела 2 документации.</t>
  </si>
  <si>
    <t>ГБУЗ "КДБ №2"</t>
  </si>
  <si>
    <t>ГБУЗ ТО "ОБЛАСТНОЙ ПРОТИВОТУБЕРКУЛЕЗНЫЙ ДИСПАНСЕР"</t>
  </si>
  <si>
    <t>Российская Федерация, Согласно Приложению №2 к документации об электронном аукционе</t>
  </si>
  <si>
    <t>ФКУ "УОУМТС МВД РОССИИ"</t>
  </si>
  <si>
    <t>Российская Федерация, Свердловская обл, Екатеринбург г, УБХР ФКУ «УОУМТС МВД России» 620024, Свердловская область, г. Екатеринбург, Елизаветинское шоссе, д. 48 «А», тел. (343) 255-35-85.</t>
  </si>
  <si>
    <t>УПРАВЛЕНИЕ РОССЕЛЬХОЗНАДЗОРА ПО  САНКТ-ПЕТЕРБУРГУ,  ЛЕНИНГРАДСКОЙ И ПСКОВСКОЙ ОБЛАСТЯМ</t>
  </si>
  <si>
    <t>Российская Федерация, Санкт-Петербург, ул.Швецова, д.12</t>
  </si>
  <si>
    <t>Российская Федерация, Санкт-Петербург, 195043, г. Санкт-Петербург, улица Лесопарковая, дом 3, корпус 2, литера А, отдел хранения (медицинского имущества) с 10 до 16 часов по московскому времени кроме выходных и праздничных дней</t>
  </si>
  <si>
    <t>МИХАЙЛОВСКАЯ ВОЕННАЯ АРТИЛЛЕРИЙСКАЯ АКАДЕМИЯ</t>
  </si>
  <si>
    <t>Российская Федерация, Санкт-Петербург, 195009, г. Санкт-Петербург, ул. Комсомола, д.22.</t>
  </si>
  <si>
    <t>СПБ ГБУЗ "ДГБ № 2 СВЯТОЙ МАРИИ МАГДАЛИНЫ"</t>
  </si>
  <si>
    <t>Российская Федерация, Санкт-Петербург, 2-ая линия ВО, д. 47</t>
  </si>
  <si>
    <t>ФГБУ "СРЕДНЕСИБИРСКОЕ УГМС"</t>
  </si>
  <si>
    <t>Российская Федерация, Красноярский край, Г. Красноярск. Ул. Сурикова, 28</t>
  </si>
  <si>
    <t>РУДН, РОССИЙСКИЙ УНИВЕРСИТЕТ ДРУЖБЫ НАРОДОВ, ФГАОУ ВО РУДН,ФГАОУ ВО "РОССИЙСКИЙ УНИВЕРСИТЕТ ДРУЖБЫ НАРОДОВ"</t>
  </si>
  <si>
    <t>Количество поставляемого товара определено в части III «Техническое задание» Документации. Место поставки товара:  г. Москва, ул. Миклухо-Маклая, д. 8/2. Срок поставки товара:   не позднее 30 октября  2016 г.  Срок оплаты: 100 % стоимости поставленного товара на основании выставленного Поставщиком счета, счета-фактуры и товарно-транспортной накладной, в течение 10 (Десяти) банковских дней после передачи товара Заказчику.</t>
  </si>
  <si>
    <t>Российская Федерация, Челябинская обл, Челябинск г, В Государственное бюджетное учреждение здравоохранения «Челябинская областная клиническая больница», расположенное по адресу: 
г. Челябинск, ул. Воровского, 70 (Медгородок) (далее – Получатель).</t>
  </si>
  <si>
    <t>ГБУ "КУРЧАЛОЕВСКАЯ ЦРБ"</t>
  </si>
  <si>
    <t>Российская Федерация, Чеченская Респ, Курчалоевский район, с. Курчалой, ул. Касумова,64.</t>
  </si>
  <si>
    <t>ГБУЗ РК " СИМФЕРОПОЛЬСКАЯ ЦРКБ"</t>
  </si>
  <si>
    <t>Российская Федерация, Крым Респ, г. Симферополь, ул. Луговая, 73</t>
  </si>
  <si>
    <t>ПАО "СЕВЕРАЛМАЗ"</t>
  </si>
  <si>
    <t>Архангельская   обл, Архангельская обл., г. Архангельск, Кузнечихинский промузел, проезд 4, дом 7</t>
  </si>
  <si>
    <t>Количество поставляемого товара определено в части III «Техническое задание» Документации. г. Москва, ул. Миклухо-Маклая, д. 8/2. Не позднее 30 ноября 2016 г. 100 % стоимости поставленного товара на основании выставленного Поставщиком счета, счета-фактуры и товарно-транспортной накладной, в течение 10 (Десяти) банковских дней после передачи товара Заказчику.</t>
  </si>
  <si>
    <t>ФГБНУ "ЮгНИРО"</t>
  </si>
  <si>
    <t>Российская Федерация, Крым Респ, Керчь г, Свердлова, д.2</t>
  </si>
  <si>
    <t>ФГУП "РЧЦ ЦФО"</t>
  </si>
  <si>
    <t>В соответствии с Проектом договора</t>
  </si>
  <si>
    <t>ФГАОУ ВО "БФУ ИМ. И. КАНТА"</t>
  </si>
  <si>
    <t>Калининградская   обл, г. Калининград, ул. Гайдара, 6, лаб. А102</t>
  </si>
  <si>
    <t>ФГБОУ ВПО "ЮУрГУ" (НИУ), Южно-Уральский государственный университет</t>
  </si>
  <si>
    <t>в соответствии с документацией</t>
  </si>
  <si>
    <t>ФГУП СПбНИИВС ФМБА России</t>
  </si>
  <si>
    <t>Санкт-Петербург, 198320, Санкт-Петербург, г. Красное Село, ул. Свободы, д. 52</t>
  </si>
  <si>
    <t>ГБУЗ "ВОКНД"</t>
  </si>
  <si>
    <t>Волгоградская   обл, 400006, Волгоградская область, г. Волгоград, ул. им. Дегтярева, д. 8 (ГБУЗ «ВОКНД»), до склада.</t>
  </si>
  <si>
    <t>МБУЗ КДЦ "ЗДОРОВЬЕ"</t>
  </si>
  <si>
    <t>Российская Федерация, Ростовская обл, Ростов-на-Дону г, пер. Доломановский, 70/3</t>
  </si>
  <si>
    <t>БУ "НИЖНЕВАРТОВСКАЯ ГОРОДСКАЯ БОЛЬНИЦА"</t>
  </si>
  <si>
    <t xml:space="preserve">Российская Федерация, индекс 628609, Тюменская область, Ханты-Мансийский автономный округ-Югра,  г. Нижневартовск, ул. Ленина, дом 9, корпус 3.	</t>
  </si>
  <si>
    <t>МБУК ДК</t>
  </si>
  <si>
    <t>Российская Федерация, Брянская обл, Сельцо г, ул.Куйбышева, д.30</t>
  </si>
  <si>
    <t>ГБУЗ РК "ВРД"</t>
  </si>
  <si>
    <t xml:space="preserve">Российская Федерация, Место доставки товара: ГБУЗ  РК  «ВРД», Республика Коми, г. Воркута, Сангородок, корп. 4/1 </t>
  </si>
  <si>
    <t>ГКУ КБР "УКС"</t>
  </si>
  <si>
    <t xml:space="preserve">Российская Федерация, Кабардино-Балкарская Респ, Нальчик г, ул. Шогенова, Больничный городок </t>
  </si>
  <si>
    <t>ГБУЗ "НИИ - ККБ № 1"</t>
  </si>
  <si>
    <t>Российская Федерация, 350086, г. Краснодар, ул. Российская, 140, аптека Государственного бюджетного учреждения здравоохранения «Научно-исследовательский институт - Краевая клиническая больница №1 имени профессора С.В.Очаповского» министерства здравоохранения Краснодарского края).</t>
  </si>
  <si>
    <t>ГУЗ "ЛОКБ"</t>
  </si>
  <si>
    <t>Российская Федерация, г. Липецк, ул. Московская, д.6а</t>
  </si>
  <si>
    <t>КОМИТЕТ ПО ЗДРАВООХРАНЕНИЮ ЛЕНИНГРАДСКОЙ ОБЛАСТИ</t>
  </si>
  <si>
    <t>Российская Федерация, Санкт-Петербург, согласно разнарядке (приложение к контракту)</t>
  </si>
  <si>
    <t>410019 Россия, Саратовская область, г. Саратов, ул. Осипова,1</t>
  </si>
  <si>
    <t>ГБУ "СУНЖЕНСКАЯ ЦЕНТРАЛЬНАЯ РАЙОННАЯ БОЛЬНИЦА"</t>
  </si>
  <si>
    <t>Российская Федерация, Чеченская Респ, ЧР, Сунженский район, с Серноводск, ул Зурабова,47</t>
  </si>
  <si>
    <t>ГБУЗ РК "ФЕОДОСИЙСКИЙ МЦ"</t>
  </si>
  <si>
    <t xml:space="preserve">Российская Федерация, Крым Респ, Феодосия г, Обособленное структурное подразделение Городская больница (298100, Республика Крым,  г. Феодосия, ул. Корабельная, 33 и ул. Грина, 27); 
Обособленное структурное подразделение Детская больница и детская поликлиника (298100, Республика Крым,  г. Феодосия, ул. Грина, 27; ул.Чехова 16,17); 
Обособленное структурное подразделение Городская поликлиника №1 (298100, Республика Крым,  г. Феодосия, ул. Генерала Горбачева, д.6), 
Обособленное структурное подразделение Родильный дом и женская консультация (298100, Республика Крым, г. Феодосия пр. Айвазовского,51 и ул. Галерейная,21)
</t>
  </si>
  <si>
    <t>МОСКОВСКИЙ ГОСУДАРСТВЕННЫЙ УНИВЕРСИТЕТ ИМЕНИ М.В.ЛОМОНОСОВА, МГУ ИМЕНИ М.В.ЛОМОНОСОВА, МОСКОВСКИЙ УНИВЕРСИТЕТ ИЛИ МГУ</t>
  </si>
  <si>
    <t>Москва, г. Москва, Ленинские горы,д. 1, стр. 51</t>
  </si>
  <si>
    <t>КГБУЗ "НД"</t>
  </si>
  <si>
    <t>Несколько мест поставки</t>
  </si>
  <si>
    <t>ФГБОУ ВО "УДГУ" УДГУ ФГБОУ ВО "УДМУРТСКИЙ ГОСУДАРСТВЕННЫЙ УНИВЕРСИТЕТ"</t>
  </si>
  <si>
    <t>Российская Федерация, Удмуртская Респ, г. Ижевск, ул. Университетская,1, учебный корпус 1, каб. 203.</t>
  </si>
  <si>
    <t>СПБ ГБУЗ "ГОРОДСКАЯ ПОЛИКЛИНИКА № 117"</t>
  </si>
  <si>
    <t>Российская Федерация, Санкт-Петербург, пос. Парголово, Осиновая роща, Приозерское шоссе, д. 12, лит. А.</t>
  </si>
  <si>
    <t>ФГБУ "НМИЦ ДГОИ ИМ. ДМИТРИЯ РОГАЧЕВА" МИНЗДРАВА РОССИИ</t>
  </si>
  <si>
    <t>Российская Федерация, Москва, ул. Саморы Машела, д. 1</t>
  </si>
  <si>
    <t>ФГУП НПЦ "Фармзащита" ФМБА России</t>
  </si>
  <si>
    <t>141402, Московская область, г. Химки, Вашутинское шоссе, 11.</t>
  </si>
  <si>
    <t>ФБУ "Ростовский ЦСМ"</t>
  </si>
  <si>
    <t>Количество: 1 к-т; Место поставки: по адресу Заказчика: г. Ростов-на-Дону, пр. Соколова 58; Сроки поставки: в течение 10 рабочих дней от даты заключения договора; Условия оплаты: Безналичная форма, оплата по факту поставки в течение 10 (десяти) банковских дней от даты подписания товарной накладной без замечаний Заказчика, а также полного предоставления документов: счет-фактуры, руководства по эксплуатации на каждую единицу поставляемого оборудования, гарантийных талонов на инжектор Rheodyne 7725i, насос SSI Marathon-3, термостат колонок ElTRM-120 на русском языке.</t>
  </si>
  <si>
    <t>ФГБУ "Калининградская МВЛ"</t>
  </si>
  <si>
    <t>236038 г. Калининград, ул. Танковая, дом 15.</t>
  </si>
  <si>
    <t>ФГБУН КНИИГИПК ФМБА РОССИИ</t>
  </si>
  <si>
    <t>Российская Федерация, Кировская обл, Киров г, 610027, г.Киров, ул.Красноармейская, 76а (Аптека)</t>
  </si>
  <si>
    <t>АО "САХАНЕФТЕГАЗСБЫТ"</t>
  </si>
  <si>
    <t>Саха /Якутия/  Респ, согласно Приложению № 1 к Документации запроса предложений</t>
  </si>
  <si>
    <t>ГБУЗ АО "АРХАНГЕЛЬСКИЙ КЛИНИЧЕСКИЙ РОДИЛЬНЫЙ ДОМ ИМ. К.Н. САМОЙЛОВОЙ"</t>
  </si>
  <si>
    <t>Российская Федерация, 163060, г. Архангельск, ул. Тимме, 1, отделение реанимации и интенсивной терапии новорожденных.</t>
  </si>
  <si>
    <t>ФКУ ИК-8 УФСИН РОССИИ ПО КОСТРОМСКОЙ ОБЛАСТИ</t>
  </si>
  <si>
    <t>Российская Федерация, Костромская обл, пос. Васильевское ФКУ ИК-8 УФСИН России по Костромской области</t>
  </si>
  <si>
    <t>САНКТ-ПЕТЕРБУРГСКИЙ ГОСУДАРСТВЕННЫЙ УНИВЕРСИТЕТ, САНКТ-ПЕТЕРБУРГСКИЙ УНИВЕРСИТЕТ ИЛИ СПБГУ</t>
  </si>
  <si>
    <t>Санкт-Петербург, 198504, Петергоф, Университесткий пр., д. 26</t>
  </si>
  <si>
    <t>УПРАВЛЕНИЕ ДЕЛАМИ ПРАВИТЕЛЬСТВА ТЮМЕНСКОЙ ОБЛАСТИ</t>
  </si>
  <si>
    <t>Российская Федерация, ул. 50 лет ВЛКСМ, д. 47, ул. Володарского, д.45</t>
  </si>
  <si>
    <t>СПБ ГБУЗ "ГПАБ"</t>
  </si>
  <si>
    <t>Российская Федерация, В соответствии с условиями аукционной документации</t>
  </si>
  <si>
    <t>ФГБУ ГНЦ ФМБЦ ИМ. А.И. БУРНАЗЯНА ФМБА РОССИИ</t>
  </si>
  <si>
    <t xml:space="preserve">Российская Федерация, Москва, г. Москва, ул. Маршала Новикова, д.23 (аптека) </t>
  </si>
  <si>
    <t>КГБУЗ "НОРИЛЬСКАЯ МБ № 1"</t>
  </si>
  <si>
    <t>Российская Федерация, Красноярский край, Норильск г, КГБУЗ Норильская межрайонная больница №1, Центральный склад</t>
  </si>
  <si>
    <t>КГБУЗ "ККПБ"</t>
  </si>
  <si>
    <t>СПБ ГБУЗ "ГОРОДСКАЯ ПОЛИКЛИНИКА № 106"</t>
  </si>
  <si>
    <t>Российская Федерация, г.Санкт-Петербург, Красносельский район, Юго-Запад, квартал 15, корпус 22</t>
  </si>
  <si>
    <t>АО "КОНЦЕРН "МПО - ГИДРОПРИБОР"</t>
  </si>
  <si>
    <t>Российская Федерация, Санкт-Петербург, в соответствии с аукционной документацией</t>
  </si>
  <si>
    <t>ОАО "ЧЭР"</t>
  </si>
  <si>
    <t>Челябинская   обл, г. Челябинск, Бродокалмакский тракт, 20Б</t>
  </si>
  <si>
    <t>АО "ГУОВ"</t>
  </si>
  <si>
    <t xml:space="preserve">Новосибирская   обл, 
В соответствии с условиями закупочной документации
</t>
  </si>
  <si>
    <t>МУП "ВОДОКАНАЛ"</t>
  </si>
  <si>
    <t>Волгоградская   обл, Волгоградская область, г. Котельниково, ул. Северная, д. 18</t>
  </si>
  <si>
    <t>ДЕПАРТАМЕНТ ЗДРАВООХРАНЕНИЯ ТЮМЕНСКОЙ ОБЛАСТИ</t>
  </si>
  <si>
    <t>Российская Федерация, в соответствии с планом распределения</t>
  </si>
  <si>
    <t>ОГБУЗ "СМОЛЕНСКИЙ ОБЛАСТНОЙ НАРКОЛОГИЧЕСКИЙ ДИСПАНСЕР"</t>
  </si>
  <si>
    <t>Российская Федерация, Согласно документации об аэф/т</t>
  </si>
  <si>
    <t>ФКУЗ МСЧ-54 ФСИН РОССИИ</t>
  </si>
  <si>
    <t>ГБУЗ "ДГП № 48 ДЗМ"</t>
  </si>
  <si>
    <t>Российская Федерация, 109263 город Москва, улица Артюхиной, дом 27 корпус 3</t>
  </si>
  <si>
    <t>ГБУЗ "ГКБ № 13 ДЗМ"</t>
  </si>
  <si>
    <t>Российская Федерация, город Москва, улица Велозаводская</t>
  </si>
  <si>
    <t>ФГБУ "ГНЦК ИМ. А.Н. РЫЖИХ" МИНЗДРАВА РОССИИ</t>
  </si>
  <si>
    <t>Российская Федерация, Указано в документации</t>
  </si>
  <si>
    <t>Количество: 1 шт.; Место поставки: по адресу Заказчика: г. Ростов-на-Дону, пр. Соколова 58; Сроки поставки: в течение 30 календарных дней от даты заключения договора; Условия оплаты: Безналичная форма, оплата по факту поставки в течение 10 (десяти) банковских дней от даты подписания товарной накладной и акта ввода в эксплуатацию без замечаний Заказчика, а также полного предоставления документов: счет-фактуры, регистрационного удостоверения Росздравнадзора на закупаемое оборудование, сертификата о внесении оборудования в Госреестр средств измерений, регистрационного удостоверения Росздравнадзора на питательные среды,  свидетельства о первичной поверке оборудования,  методических указаний МУК 4.2.2578-10 «Санитарно-бактериологические исследования методом разделенного импеданса»,  эксплуатационной и технической документации на русском языке.</t>
  </si>
  <si>
    <t>КГБУЗ "ПЕРИНАТАЛЬНЫЙ ЦЕНТР"</t>
  </si>
  <si>
    <t>Российская Федерация, Хабаровский край, г. Хабаровск, ул. Истомина, д. 85</t>
  </si>
  <si>
    <t>Институт катализа СО РАН, ИК СО РАН</t>
  </si>
  <si>
    <t>Новосибирская   обл, 630090, г. Новосибирск, просп. Академика Лаврентьева, д. 5</t>
  </si>
  <si>
    <t>НАЦИОНАЛЬНЫЙ ИССЛЕДОВАТЕЛЬСКИЙ НИЖЕГОРОДСКИЙ ГОСУДАРСТВЕННЫЙ УНИВЕРСИТЕТ ИМ. Н.И. ЛОБАЧЕВСКОГО, НИЖЕГОРОДСКИЙ ГОСУДАРСТВЕННЫЙ УНИВЕРСИТЕТ ИМ. Н.И. ЛОБАЧЕВСКОГО, ННГУ ИМ. Н.И. ЛОБАЧЕВСКОГО, УНИВЕРСИТЕТ ЛОБАЧЕВСКОГО, ННГУ</t>
  </si>
  <si>
    <t>603950, г. Нижний Новгород, пр. Гагарина, д. 23, корпус 5, НИИ Химии, к. 250.</t>
  </si>
  <si>
    <t>Российская Федерация, Москва, пл. Академика Курчатова, 1 (въезд на территорию с ул. Максимова, 28) в помещения, указанные представителем заказчика.</t>
  </si>
  <si>
    <t>ИФ СО РАН</t>
  </si>
  <si>
    <t>Красноярский край, г.Красноярск,Академгородок,50стр.38</t>
  </si>
  <si>
    <t>ООО "ТРАНСНЕФТЬ - БАЛТИКА"</t>
  </si>
  <si>
    <t>Ленинградская   обл, В соответствии с условиями договора</t>
  </si>
  <si>
    <t>Санкт-Петербург, В соответствии с условиями договора</t>
  </si>
  <si>
    <t>КГБУЗ "ВРД № 1"</t>
  </si>
  <si>
    <t>ФГУП "УНИИМ"</t>
  </si>
  <si>
    <t>Кол-во: 1 компл. Место поставки: г. Екатеринбург, ул. Красноармейская, 4 Срок поставки: в течение 120 дней  с момента заключения договора Условия оплаты: безналичный расчет, оплата аванса в размере 30% стоимости оборудования в течение 5 (пяти) банковских дней с момента получения счета, оплата в размере 70% после получения товара, в течение 5 (пяти) банковских дней с момента получения счета, акта и счета-фактуры.</t>
  </si>
  <si>
    <t>ФБУЗ "Центр гигиены и эпидемиологии в Ленинградской области"</t>
  </si>
  <si>
    <t>согласно прикрепленной документации</t>
  </si>
  <si>
    <t>Российская Федерация, 628012, Тюменская обл., Ханты – Мансийский автономный округ – Югра, г. Ханты – Мансийск, ул. Рознина д. 64</t>
  </si>
  <si>
    <t>ГБУЗ "ККБ № 2"</t>
  </si>
  <si>
    <t>Российская Федерация, Российская Федерация, 350012, Краснодарский край, г.Краснодар, ул. Красных Партизан, д. 6 корпус 2.</t>
  </si>
  <si>
    <t>Филиал ОАО "ОРКК"-"НИИ КП"</t>
  </si>
  <si>
    <t>Москва, Согласно договора</t>
  </si>
  <si>
    <t>ФГБОУ ВО БГМУ МИНЗДРАВА РОССИИ</t>
  </si>
  <si>
    <t>Российская Федерация, Башкортостан Респ, 450083,  г. Уфа, ул. Шафиева, 2, Клиника ГБОУ ВПО БГМУ Минздрава России</t>
  </si>
  <si>
    <t>ФГУП "НИИ ГПЭЧ" ФМБА России</t>
  </si>
  <si>
    <t>188663, Ленинградская обл., Всеволожский р-он, г.п.Кузьмоловский, ст. Капитолово, корпус 93</t>
  </si>
  <si>
    <t>ФКУ "ВОЙСКОВАЯ ЧАСТЬ 95006"</t>
  </si>
  <si>
    <t>Российская Федерация, Москва, Доставка для оказания услуг и вывоз средств измерений (за исключением средств измерений, поверяемых на территории Заказчика), а также погрузочно-разгрузочные работы, осуществляются партиями, силами и средствами Заказчика в пределах г. Москвы и Московской области.</t>
  </si>
  <si>
    <t>ГБУЗ КО "КОККД ИМ. АКАД. Л.С. БАРБАРАША"</t>
  </si>
  <si>
    <t>Российская Федерация, Муниципальное бюджетное учреждение здравоохранения  «Кемеровский кардиологический диспансер», 650002, Кемеровская область, г. Кемерово, ул. Сосновый бульвар, 6, склад больничной аптеки.</t>
  </si>
  <si>
    <t>ГБУЗ "КАМЧАТСКАЯ КРАЕВАЯ БОЛЬНИЦА ИМ. А.С. ЛУКАШЕВСКОГО"</t>
  </si>
  <si>
    <t>Российская Федерация, 683003 г. Петропавловск-Камчатский, ул. Ленинградская, д. 112, помещение аптеки Государственного бюджетного учреждения здравоохранения «Камчатская краевая больница им. А.С. Лукашевского». Поставка Товара осуществляется транспортом и за счет Поставщика с условием разгрузки Товара в помещение аптеки силами Поставщика.</t>
  </si>
  <si>
    <t>Российская Федерация, Москва, ул.Ленинские Горы, дом 1, строение 2, склад ОМТС</t>
  </si>
  <si>
    <t>ГУП санаторий "Зеленая роща" РБ</t>
  </si>
  <si>
    <t>Башкортостан Респ, Российская Федерация, Республика Башкортостан, 450080, г. Уфа, ул. Менделеева, д.136, корпус 5</t>
  </si>
  <si>
    <t>ГУП "Водоканал Санкт-Петербурга"</t>
  </si>
  <si>
    <t>Санкт-Петербург, в соответствии с документацией</t>
  </si>
  <si>
    <t>Российская Федерация, Московская обл, Г. Балашиха Московской области</t>
  </si>
  <si>
    <t>ГУ МВД РОССИИ ПО АЛТАЙСКОМУ КРАЮ</t>
  </si>
  <si>
    <t>Российская Федерация, Алтайский край, г. Барнаул, по месту нахождения Исполнителя</t>
  </si>
  <si>
    <t>ИВНД и НФ РАН</t>
  </si>
  <si>
    <t>Москва, 117485, г. Москва, ул. Бутлерова, д.5А</t>
  </si>
  <si>
    <t>ГБУЗ "ГП № 175 ДЗМ"</t>
  </si>
  <si>
    <t>Российская Федерация, 105568 город Москва, улица Челябинская, дом 16 корпус 2</t>
  </si>
  <si>
    <t>МГТУ им. Н.Э. Баумана</t>
  </si>
  <si>
    <t>105005, г. Москва, ул. 2-я Бауманская, дом 5, стр.1</t>
  </si>
  <si>
    <t>ФГБУ "НМИЦ ФПИ" МИНЗДРАВА РОССИИ</t>
  </si>
  <si>
    <t xml:space="preserve">Российская Федерация, Свердловская обл, Екатеринбург г, (ФГБУ «УНИИФ» Минздрава России)
Российская Федерация, Свердловская область, 
620039 г. Екатеринбург, ул.22-го  Партсъезда, д.50
</t>
  </si>
  <si>
    <t>ФГУП "ФНПЦ НИИИС им.Ю.Е.Седакова"</t>
  </si>
  <si>
    <t>Склад заказчика по адресу: 603137, г.Н.Новгород, ул.Тропинина, д.47,
ФГУП «ФНПЦ НИИИС им. Ю.Е. Седакова»</t>
  </si>
  <si>
    <t>МИНДОР КРАЯ</t>
  </si>
  <si>
    <t xml:space="preserve">Российская Федерация, Ставропольский край, Поставщик производит поставку, погрузку-разгрузку товара к месту расположения складских помещений ГБУЗ СК «Краевой медицинский центр мобрезервов «Резерв» по адресу: г. Ставрополь, ул. Доваторцев, 38 и/или ГУП СК «Ставропольфармация» по адресу: г. Ставрополь, пр. Кулакова, 55. </t>
  </si>
  <si>
    <t>ФБУЗ "Центр гигиены и эпидемиологии в Алтайском крае"</t>
  </si>
  <si>
    <t>Алтайский край, г. Барнаул, ул. М. Горького, д.28 Алтайский край, г. Бийск ул. Советская, д.78 Алтайский край, г. Рубцовск, ул. Краснознаменская, д.118 Алтайский край, Михайловский район, с. Михайловское, ул. Калинина, д.5</t>
  </si>
  <si>
    <t>Московская   обл, г. Мытищи</t>
  </si>
  <si>
    <t>ФГБУ "ЛЕНИНГРАДСКАЯ МВЛ"</t>
  </si>
  <si>
    <t>Российская Федерация, Санкт-Петербург, Санкт-Петербург,  г. Пушкин, Софийский бульвар, д. 4а, литер А.</t>
  </si>
  <si>
    <t>ЮЖНЫЙ ФЕДЕРАЛЬНЫЙ УНИВЕРСИТЕТ, ФГАОУ ВО "ЮФУ", ЮФУ</t>
  </si>
  <si>
    <t>344090, г. Ростов-на-Дону, ул. Зорге, 5, физический факультет.</t>
  </si>
  <si>
    <t>ГАУЗ "ООКНД"</t>
  </si>
  <si>
    <t>Срок поставки: в течение 60 дней с момента заключения договора. Место поставки: 461041, г. Бузулук, ул. Гая 43; Срок действия договора: с момента заключения договора до 31.12.2016 г. Количество поставляемых товаров – согласно технической части документации. Условия поставки должны соответствовать требованиям нормативной документации.  Товар должен по качеству соответствовать условиям настоящего «Договора», техническому описанию, требованиям «Заказчика», товарно-сопроводительным документам и сертификатам соответствия и качества, а также ГОСТам.</t>
  </si>
  <si>
    <t>ГБУ РК "НБС-ННЦ"</t>
  </si>
  <si>
    <t>298648, Республика Крым, г. Ялта, пгт Никита, спуск Никитский, д. 52</t>
  </si>
  <si>
    <t>Филиал "35 СРЗ" АО "ЦС "Звездочка"</t>
  </si>
  <si>
    <t>ГУП УР "УДМУРТАВТОДОР"</t>
  </si>
  <si>
    <t>автомобильная дорога федерального значения М-7 «Волга» - от Москвы через Владимир, Нижний Новгород, Казань до Уфы.Подъезд к городам Ижевск и Пермь, км 28+916 – км 164+035, км 179+055 - км337+201 в Удм</t>
  </si>
  <si>
    <t>АО "ГИПРОГАЗЦЕНТР"</t>
  </si>
  <si>
    <t>ФГУП "ПО "МАЯК"</t>
  </si>
  <si>
    <t>доставка до склада заказчика в г. Челябинск, ул. Игуменка, д. 37.</t>
  </si>
  <si>
    <t>ПАО "САХАЛИНЭНЕРГО"</t>
  </si>
  <si>
    <t>Россия, Сахалинская область,</t>
  </si>
  <si>
    <t>Российская Федерация, Тюменская область, ГБУЗ РК «Черноморская ЦРБ», 296400, Республика Крым, пгт. Черноморское, ул. Медицинская, д. 5.</t>
  </si>
  <si>
    <t>ФГБОУ ВДЦ "ОКЕАН"</t>
  </si>
  <si>
    <t>Российская Федерация, Приморский край, Владивосток г, ул. Артековская, д. 10</t>
  </si>
  <si>
    <t>Кол-во: 1 комплект Место поставки: г. Екатеринбург, ул. Красноармейская, 4 Срок поставки: 90 дней Условия оплаты: безналичный расчет, оплата аванса в размере 30% стоимости оборудования в течение 5 (пяти) банковских дней с момента получения счета, оплата в размере 70% после получения товара, проведения пуско-наладочных работ, обучения персонала Заказчика в течение 5 (пяти) банковских дней с момента получения счета, акта и счета-фактуры.</t>
  </si>
  <si>
    <t>ФГБУ ФСНКЦ ФМБА РОССИИ</t>
  </si>
  <si>
    <t xml:space="preserve">Российская Федерация, Красноярский край, Зеленогорск г, Поставка Оборудования осуществляется Поставщиком на склад Плательщика, расположенный по адресу: Красноярский край, г. Зеленогорск, ул. Комсомольская 23/3Б,  с разгрузкой с транспортного средства. </t>
  </si>
  <si>
    <t>ФГБОУ ВО "ИРНИТУ"</t>
  </si>
  <si>
    <t>Иркутская   обл, г. Иркутск, ул. Игошина, 1а, Технопарк ИРНИТУ</t>
  </si>
  <si>
    <t>ФГУП "РФЯЦ - ВНИИЭФ"</t>
  </si>
  <si>
    <t>БУ РК "ПЕРИНАТАЛЬНЫЙ ЦЕНТР ИМ. О.А. ШУНГАЕВОЙ"</t>
  </si>
  <si>
    <t>358000, Республика Калмыкия, г.Элиста, ул.Ленина, 227. БУ РК «Перинатальный центр им. О.А. Шунгаевой»</t>
  </si>
  <si>
    <t>ОМГУПС (ОМИИТ)</t>
  </si>
  <si>
    <t>Омская   обл, 644046, г. Омск, аудитория 1-321, кафедра "Автоматика и системы управления "</t>
  </si>
  <si>
    <t>ГБУ "РКБ ИМ. Ш.Ш.ЭПЕНДИЕВА "</t>
  </si>
  <si>
    <t>Российская Федерация, Чеченская Респ, Чеченская Республика, г. Грозный, ул. Кемеровская, 12.</t>
  </si>
  <si>
    <t>ДЕПАРТАМЕНТ ВЕТЕРИНАРИИ</t>
  </si>
  <si>
    <t>Российская Федерация, 677904, г. Якутск, п. Маган, ул. Кирова 63, склад Заказчика</t>
  </si>
  <si>
    <t>ФГБУ "ПОЛИКЛИНИКА № 3"</t>
  </si>
  <si>
    <t>Российская Федерация, Москва, 129090, г. Москва, Грохольский переулок, д. 31</t>
  </si>
  <si>
    <t>МБОУ "ГИМНАЗИЯ"</t>
  </si>
  <si>
    <t>Российская Федерация, Ханты-Мансийский Автономный округ - Югра АО, Югорск г, В соответствии с документацией об аукционе</t>
  </si>
  <si>
    <t>ГБУЗ "ГКБ ИМЕНИ В.М. БУЯНОВА ДЗМ"</t>
  </si>
  <si>
    <t>Российская Федерация, 115516 город Москва, улица Бакинская, дом 26</t>
  </si>
  <si>
    <t>ГБУЗ ЯНАО "НЦГБ"</t>
  </si>
  <si>
    <t>Российская Федерация, ЯНАО, г. Новый Уренгой, подразделение ГБУЗ ЯНАО «НЦГБ»</t>
  </si>
  <si>
    <t>ГБУ "ГУДЕРМЕССКАЯ ЦРБ"</t>
  </si>
  <si>
    <t>Российская Федерация, Чеченская Респ, Чеченская Республика, г. Гудермес, ул. Крайняя, 122</t>
  </si>
  <si>
    <t>АО "МОСВОДОКАНАЛ"</t>
  </si>
  <si>
    <t>согласно документации</t>
  </si>
  <si>
    <t>ГБУЗ СК "СККБ"</t>
  </si>
  <si>
    <t>Поставщик производит доставку товара на склад государственного бюджетного учреждения здравоохранения Ставропольского края «Ставропольская краевая клиническая больница», расположенный по адресу: 355030, г. Ставрополь, ул. Семашко,1. Поставщик производит доставку товара одной партией, своими силами и средствами, в течение 10 (десяти) дней со дня получения заявки от Заказчика, на склад государственного бюджетного учреждения здравоохранения Ставропольского края «Ставропольская краевая клиническая больница», расположенный по адресу: 355030, г. Ставрополь, ул. Семашко,1. Заявка подается почтовым отправлением, электронной почтой и/или посредством факсимильной связи, с последующей отправкой оригинала заявки почтой. В случае если заявка направляется  посредством факсимильной связи, она считается полученной со дня ее направления Поставщику. Оплата за товар осуществляется Заказчиком за счет внебюджетных источников финансирования (средства от приносящей доходы деятельности) на 2016 год, по безналичному расчету за товар путем перечисления денежных средств на расчетный счет Поставщика, по факту поставки товара, в течение 2016 г после подписания счёта, счёт-фактуры, товарной накладной, акта приёма-передачи, акта ввода в эксплуатацию, гарантийного талона и предоставления регистрационного удостоверения, сертификата соответствия или декларации о соответствии, технической документации на русском языке.</t>
  </si>
  <si>
    <t>Волгодонск-28, Ростовская АЭС</t>
  </si>
  <si>
    <t>ОАО "Таткоммунпромкомплект"</t>
  </si>
  <si>
    <t>Татарстан Респ, г.Бавлы</t>
  </si>
  <si>
    <t>ЗАО "АЭРОМАР"</t>
  </si>
  <si>
    <t>Московская   обл, 141426, Московская область, г. Химки, Шереметьевское шоссе, вл.31</t>
  </si>
  <si>
    <t>ФБУ "Тест-С.-Петербург"</t>
  </si>
  <si>
    <t>Согласно техническому заданию и аукционной документации</t>
  </si>
  <si>
    <t>ПГНИУ, ПЕРМСКИЙ ГОСУДАРСТВЕННЫЙ НАЦИОНАЛЬНЫЙ ИССЛЕДОВАТЕЛЬСКИЙ УНИВЕРСИТЕТ</t>
  </si>
  <si>
    <t>Место поставки товара- 614990, г. Пермь, ул. Генкеля, 7а, склад.
Место установки, пуско-наладки, первоначальный инструктаж-г. Пермь, ПГНИУ, ул. Букирева, 10а, корпус №6, ауд. №320.</t>
  </si>
  <si>
    <t>ФГУП "ВНИИА"</t>
  </si>
  <si>
    <t>г. Москва, ул. Кошкина, вл. 5.</t>
  </si>
  <si>
    <t>ГБУЗ КО "НГКБ №29"</t>
  </si>
  <si>
    <t xml:space="preserve">Российская Федерация, Кемеровская обл, Новокузнецк г, 654038, проспект Советской Армии, 49 </t>
  </si>
  <si>
    <t>ФБУ ЦЕНТР РЕАБИЛИТАЦИИ ФСС РФ "ВОЛЬГИНСКИЙ"</t>
  </si>
  <si>
    <t>Российская Федерация, Владимирская обл, Петушинский р-н, Машиностроитель п, 601125, Владимирская обл., Петушинский р-н, ФБУ Центр реабилитации ФСС РФ Вольгинский, склад столовой</t>
  </si>
  <si>
    <t>ГБУЗ "ПОКБ"</t>
  </si>
  <si>
    <t>Российская Федерация, г. Псков, ул. Малясова, д.2, ГБУЗ «Псковская областная клиническая больница», аптечный склад</t>
  </si>
  <si>
    <t>ГБУ "КУРГАНСКАЯ БСМП"</t>
  </si>
  <si>
    <t>Российская Федерация, Курганская обл, Курган г, Аптечный склад Заказчика, расположенный по адресу: ул. Кирова, 65.</t>
  </si>
  <si>
    <t>ВОГУ, ФГБОУ ВО "ВОГУ", ФГБОУ ВО "ВОЛОГОДСКИЙ ГОСУДАРСТВЕННЫЙ УНИВЕРСИТЕТ",ВОЛОГОДСКИЙ ГОСУДАРСТВЕННЫЙ УНИВЕРСИТЕТ</t>
  </si>
  <si>
    <t>Российская Федерация, Вологодская обл, Вологда г, в соответствии с Техническим заданием (раздел III документации об аукционе)</t>
  </si>
  <si>
    <t>ГУЗ УОДКБ ИМЕНИ ПОЛИТИЧЕСКОГО И ОБЩЕСТВЕННОГО ДЕЯТЕЛЯ Ю.Ф. ГОРЯЧЕВА</t>
  </si>
  <si>
    <t>Российская Федерация, Ульяновская обл, г. Ульяновск, ул. Радищева, 42</t>
  </si>
  <si>
    <t>ФБУ ЦЕНТР РЕАБИЛИТАЦИИ ФСС РФ "КЛЮЧИ"</t>
  </si>
  <si>
    <t>Российская Федерация, Томская обл, Томский р-н, Ключи п, Томская область, Томский район, поселок Ключи, Федеральное бюджетное учреждение Центр реабилитации Фонда социального страхования Российской Федерации «Ключи».</t>
  </si>
  <si>
    <t>СПБ ГБУЗ "ДГМКЦ ВМТ ИМ. К.А. РАУХФУСА"</t>
  </si>
  <si>
    <t>Российская Федерация, 191036, г. Санкт-Петербург, Лиговский пр., д. 8, материальный склад</t>
  </si>
  <si>
    <t>ФГБУ "ФЦН" МИНЗДРАВА РОССИИ (Г. НОВОСИБИРСК)</t>
  </si>
  <si>
    <t>Российская Федерация, Новосибирская обл, Новосибирск г, ул. Немировича-Данченко, д. 132/1</t>
  </si>
  <si>
    <t>ИНЭОС РАН</t>
  </si>
  <si>
    <t>Москва, г. Москва, ул. Вавилова, д.28</t>
  </si>
  <si>
    <t>Российская Федерация, Московская обл, г. Балашиха, Московская область</t>
  </si>
  <si>
    <t>127055, г. Москва, ул. Сущевская, д. 22</t>
  </si>
  <si>
    <t>АО "ГНЦ РФ - ФЭИ"</t>
  </si>
  <si>
    <t>Красноярский край, ЗАТО г. Железногорск, ул. Ленина, д. 76, склад ТСЦ ФГУП "ГХК"</t>
  </si>
  <si>
    <t>ГУЗ "ГКБСМП № 25"</t>
  </si>
  <si>
    <t>Российская Федерация, 400138, г. Волгоград, ул. Землячки, 74, в рабочие дни с 8:00 до 15:00.</t>
  </si>
  <si>
    <t>Нет данных из извещения</t>
  </si>
  <si>
    <t>АО "НПП "САЛЮТ"</t>
  </si>
  <si>
    <t>Москва, Российская Федерация, г. Москва,  ул. Плеханова, 6</t>
  </si>
  <si>
    <t>ГБУЗ "ГП № 214 ДЗМ"</t>
  </si>
  <si>
    <t>Российская Федерация, город Москва, улица Елецкая</t>
  </si>
  <si>
    <t>МБОУ "ВЫЛЬГОРТСКАЯ СРЕДНЯЯ ОБЩЕОБРАЗОВАТЕЛЬНАЯ ШКОЛА № 2"</t>
  </si>
  <si>
    <t>ФГБОУ ВО "БРЯНСКИЙ ГОСУДАРСТВЕННЫЙ ИНЖЕНЕРНО-ТЕХНОЛОГИЧЕСКИЙ УНИВЕРСИТЕТ", ФГБОУ ВО"БГИТУ", БГИТУ</t>
  </si>
  <si>
    <t xml:space="preserve">Российская Федерация, Брянская обл, Брянск г, проспект Станке Димитрова, 3 </t>
  </si>
  <si>
    <t>ФГБУ "НМИЦ ОНКОЛОГИИ ИМ. Н.Н. БЛОХИНА" МИНЗДРАВА РОССИИ</t>
  </si>
  <si>
    <t>Российская Федерация, Москва, г. Москва, Каширское шоссе, дом 24, стр.11 (центральный склад)</t>
  </si>
  <si>
    <t>ИОА СО РАН</t>
  </si>
  <si>
    <t>Томская   обл, 634055 г.Томск пл.Академика Зуева 1</t>
  </si>
  <si>
    <t>ГБУЗ "НПЦ СПЕЦ.МЕД.ПОМОЩИ ДЕТЯМ ДЗМ"</t>
  </si>
  <si>
    <t>Российская Федерация, 119620 город Москва, улица Авиаторов, дом 38</t>
  </si>
  <si>
    <t>ГБУ "РОД"</t>
  </si>
  <si>
    <t>Российская Федерация, Чеченская Респ, г.Грозный,ул.Леонова, 81.</t>
  </si>
  <si>
    <t>ПАО "НМЗ"</t>
  </si>
  <si>
    <t>склад Покупателя, расположенный по адресу: 603052, г. Нижний Новгород, Сормовское шоссе, 21.</t>
  </si>
  <si>
    <t xml:space="preserve">Российская Федерация, Москва, Звенигородское шоссе, д.5 </t>
  </si>
  <si>
    <t>Российская Федерация, Чеченская Респ, ФОМС</t>
  </si>
  <si>
    <t>ФБУЗ "ЦЕНТР ГИГИЕНЫ И ЭПИДЕМИОЛОГИИ В КРАСНОДАРСКОМ КРАЕ"</t>
  </si>
  <si>
    <t>353440 Краснодарский край, г.-к. Анапа, ул. Трудящихся, 1а.</t>
  </si>
  <si>
    <t>ГКУ "ГЛАВИНВЕСТСТРОЙ РТ"</t>
  </si>
  <si>
    <t>Российская Федерация, , 420064, г. Казань, ул. Оренбургский тракт, д.138</t>
  </si>
  <si>
    <t>ГБУ "ЦРБ УРУС-МАРТАНОВСКОГО РАЙОНА"</t>
  </si>
  <si>
    <t>Российская Федерация, Чеченская Респ, Чеченская Республика, г. Урус-Мартан, ул. Ленина 30.</t>
  </si>
  <si>
    <t>АО "121 АРЗ"</t>
  </si>
  <si>
    <t>Согласно Спецификации (Приложение 2) и Техническим требованиям (Приложение 1) 1 к-т 1.	Место доставки товара поставщиком  – АО «121 АРЗ» до склада.  2.	Разгрузка силами Заказчика. 1.	Срок поставки товара -  120 дней после поступления предоплаты.                                                 Возможна досрочная поставка. Доставка до склада заказчика.</t>
  </si>
  <si>
    <t>198320, Санкт-Петербург, г. Красное Село, ул. Свободы, д. 52.</t>
  </si>
  <si>
    <t>ГАУЗ "Брянская областная больница № 1"</t>
  </si>
  <si>
    <t>г.Брянск, проспект Станке Димитрова, 86 ГАУЗ "Брянская областная больница № 1" (склад)</t>
  </si>
  <si>
    <t>ФГБНУ "РНЦХ ИМ. АКАД. Б.В. ПЕТРОВСКОГО"</t>
  </si>
  <si>
    <t>Российская Федерация, Москва, Абрикосовский переулок 2</t>
  </si>
  <si>
    <t>ФГБОУ ВО "СГУ ИМ. ПИТИРИМА СОРОКИНА"</t>
  </si>
  <si>
    <t>Российская Федерация, Коми Респ, Сыктывкар г, Октябрьский проспект, д.55, каб 347</t>
  </si>
  <si>
    <t>БУЗОО "ОКБ"</t>
  </si>
  <si>
    <t>Российская Федерация, 644111, г. Омск, ул. Березовая, 3</t>
  </si>
  <si>
    <t>Российская Федерация, Московская обл, г. Балашиха</t>
  </si>
  <si>
    <t>ГУП "ВОЛГОФАРМ-ВОЛГОГРАД"</t>
  </si>
  <si>
    <t>Волгоградская   обл, 400131, г. Волгоград, ул.Комсомольская, 10</t>
  </si>
  <si>
    <t>Якутская больница ФГБУЗ ДВОМЦ ФМБА России</t>
  </si>
  <si>
    <t>Российская Федерация, Саха /Якутия/ Респ, Саха /Якутия/ Респ, Жатай п, ул.Комсомольская, 54, стационар</t>
  </si>
  <si>
    <t>ГАУЗ "РККВД"</t>
  </si>
  <si>
    <t>Российская Федерация, 420012, Респ Татарстан (Татарстан), г Казань, ул Толстого, д. 4</t>
  </si>
  <si>
    <t>ФГБУ "НМИЦ ОНКОЛОГИИ ИМ. Н.Н. ПЕТРОВА" МИНЗДРАВА РОССИИ</t>
  </si>
  <si>
    <t>Российская Федерация, Санкт-Петербург, Поставщик должен произвести доставку Оборудования своими силами или за свой счёт в течение рабочего дня с 10:00 до 15:00 (время московское) по следующему адресу: 197758, Санкт-Петербург, пос. Песочный, ул. Ленинградская, д. 68, лаборатория цитологии</t>
  </si>
  <si>
    <t>Российская Федерация, Санкт-Петербург, 197758, Санкт-Петербург, пос. Песочный, ул. Ленинградская, д. 68, хозяйственный склад с последующим перемещением в отделения заказчика.</t>
  </si>
  <si>
    <t>Российская Федерация, Москва, г. Москва, Звенигородское ш., д.5</t>
  </si>
  <si>
    <t>ГБУЗ РХ "ЧЕРНОГОРСКИЙ  МРД"</t>
  </si>
  <si>
    <t>Российская Федерация, по месту нахождения «Исполнителя», место передачи Заказчиком направлений и проб биоматериала на исследование, а также протоколов по результатам исследования: ГБУЗ РХ «Черногорский МРД» по адресу 655152, Республика Хакасия, г. Черногорск, ул. Советская, 81</t>
  </si>
  <si>
    <t>Российская Федерация, Дагестан Респ, г. Махачкала, ул. Буганова, д. 17 а</t>
  </si>
  <si>
    <t>ФГБУ "ТВЕРСКАЯ МВЛ"</t>
  </si>
  <si>
    <t>Российская Федерация, Тверская обл, Тверь г, ул. Шишкова</t>
  </si>
  <si>
    <t>Согласно Закупочной документации</t>
  </si>
  <si>
    <t xml:space="preserve">Российская Федерация, Москва, Российская Федерация, Москва, г.Москва, Звенигородское шоссе, д.5 </t>
  </si>
  <si>
    <t>ГКУ "УКС"</t>
  </si>
  <si>
    <t>Российская Федерация, Самарская обл, г. Тольятти, Южное шоссе, 161-а, корпус 2.2, г. Тольятти, Южное шоссе, 163-а, корпус 2.4, г. Тольятти, Южное шоссе, 161-в № 2.2, 2.4, 3.2.</t>
  </si>
  <si>
    <t>ГБУЗ "ГП № 115 ДЗМ"</t>
  </si>
  <si>
    <t>Российская Федерация, 123308 город Москва, улица Демьяна Бедного, дом 8</t>
  </si>
  <si>
    <t>ФКУ "ЦОУМТС МВД РОССИИ"</t>
  </si>
  <si>
    <t>Российская Федерация, Костромская обл, см. документацию</t>
  </si>
  <si>
    <t>Российская Федерация, Челябинская обл, г. Челябинск, ул. Братьев Кашириных, 129, ауд. 130</t>
  </si>
  <si>
    <t>АО "ТРАНСНЕФТЬ-ПРИВОЛГА"</t>
  </si>
  <si>
    <t>Москва, Москва</t>
  </si>
  <si>
    <t>ГБУЗ ККБ № 2</t>
  </si>
  <si>
    <t>Российская Федерация, Приморский край, Владивосток г, ул. Русская, 55, ул. Интернациональная, 56, в соответствии с  частью II  документации об электронном аукционе «Техническая часть»</t>
  </si>
  <si>
    <t>ПАО "АСЗ"</t>
  </si>
  <si>
    <t>Хабаровский край, г. Комсомольск - на - Амуре</t>
  </si>
  <si>
    <t>ОГБУЗ СОКБ</t>
  </si>
  <si>
    <t>Российская Федерация, согласно документации об аэфт</t>
  </si>
  <si>
    <t xml:space="preserve">Российская Федерация, Москва, Российская Федерация, Москва, Российская Федерация, Москва, г.Москва, Звенигородское шоссе, д.5 </t>
  </si>
  <si>
    <t>Российская Федерация, , 683003 г. Петропавловск-Камчатский, ул. Ленинградская, д. 112, помещение аптеки Государственного бюджетного учреждения здравоохранения «Камчатская краевая больница им. А.С. Лукашевского». Поставка Товара осуществляется транспортом и за счет Поставщика с условием разгрузки Товара в помещение аптеки силами Поставщика.</t>
  </si>
  <si>
    <t>МАУЗ ГКБ № 6</t>
  </si>
  <si>
    <t>Российская Федерация, МБУЗ ГКБ № 6, 454047, г. Челябинск, ул. Румянцева, Медгородок,  склад больницы.</t>
  </si>
  <si>
    <t xml:space="preserve">Российская Федерация, Москва, Российская Федерация, Москва, Российская Федерация, Москва, Звенигородское шоссе, д.5 </t>
  </si>
  <si>
    <t>ФГБУ "ИРКУТСКАЯ МВЛ"</t>
  </si>
  <si>
    <t>Микроскоп Axio Scope A1 или эквивалент - 1 штука. Место поставки товара: г. Иркутск, ул. Боткина, д.4в, офис 105. Сроки поставки товара: со дня подписания гражданско-правового договора бюджетного учреждения в течение  90 (девяносто) календарных дней. Форма оплаты: Оплата производится в форме безналичного расчета. Сроки и порядок оплаты: Оплата производится в  Российских рублях, путем перечисления денежных средств на расчетный счет «Поставщика»: - 70% оплачиваются в течение 10 (десяти) банковских дней со дня подписания Сторонами товарной накладной за фактически поставленный товар; - 30% оплачиваются в течение 10 (десять) банковских дней со дня подписания Сторонами акта проведения проверки работоспособности оборудования и ознакомления персонала Заказчика с работой на оборудовании. Авансирование не предусмотрено.</t>
  </si>
  <si>
    <t>ОАО "Воронежская областная типография"</t>
  </si>
  <si>
    <t>Воронежская   обл, г. Воронеж, ул. 20-летия Октября, д. 73а</t>
  </si>
  <si>
    <t>ГУП "Мосгоргеотрест"</t>
  </si>
  <si>
    <t>установлены проектом договора и технической частью документации.</t>
  </si>
  <si>
    <t>344090, г. Ростов-на-Дону, проспект Стачки, 194/2, 8 этаж, к. 812, НИИ физической и органической химии</t>
  </si>
  <si>
    <t>Российская Федерация, Краснодарский край, Краснодар г, ул. Калинина 15 (склад)</t>
  </si>
  <si>
    <t>Российская Федерация, Санкт-Петербург, ул. Льва Толстого, дом 6-8, литера АГ (корпус 18), Централизованный склад – Блок медоборудования.</t>
  </si>
  <si>
    <t>ГБУ "ПОЛИКЛИНИКА №2 Г.ГРОЗНОГО"</t>
  </si>
  <si>
    <t>Российская Федерация, Чеченская Респ, г. Грозный, ул. Леонова 8.</t>
  </si>
  <si>
    <t>Российская Федерация, Москва, см. АД</t>
  </si>
  <si>
    <t>ФГБОУ ВО "ЮГУ", ЮГОРСКИЙ ГОСУДАРСТВЕННЫЙ УНИВЕРСИТЕТ, ЮГУ, ФГБОУ ВО "ЮГОРСКИЙ ГОСУДАРСТВЕННЫЙ УНИВЕРСИТЕТ"</t>
  </si>
  <si>
    <t>Российская Федерация, Ханты-Мансийский Автономный округ - Югра АО, Ханты-Мансийск г, ул. Чехова, д. 16</t>
  </si>
  <si>
    <t>ГОСУДАРСТВЕННОЕ БЮДЖЕТНОЕ УЧРЕЖДЕНИЕ ЗДРАВООХРАНЕНИЯ РК "ДЖАНКОЙСКАЯ ЦРБ"</t>
  </si>
  <si>
    <t>Российская Федерация, Крым Респ, Джанкой г, 296100, Российская Федерация, Республика Крым, г. Джанкой, ул. Совхозная, д.19</t>
  </si>
  <si>
    <t>Российская Федерация, Саратовская обл, Саратов г, г. Саратов, ул. Б. Садовая, 137, Клиническая больница им. С.Р. Миротворцева СГМУ.</t>
  </si>
  <si>
    <t>МКУ "УКС"</t>
  </si>
  <si>
    <t>Российская Федерация, Ханты-Мансийский Автономный округ - Югра АО, г. Нефтеюганск, 15 микрорайон</t>
  </si>
  <si>
    <t>Российская Федерация, Красноярский край, в соответствии с электронной документацией</t>
  </si>
  <si>
    <t>Российская Федерация, Красноярский край, 660020, г. Красноярск, ул. Дудинская, 4</t>
  </si>
  <si>
    <t>Санкт-Петербург, 450008, г. Уфа, ул. Карла маркса, 12</t>
  </si>
  <si>
    <t>ГАУЗ "ЭГБ № 2"</t>
  </si>
  <si>
    <t>Место поставки:
- Российская Федерация, Саратовская область, г. Энгельс, ул. Полиграфическая, 1</t>
  </si>
  <si>
    <t>ИОФХ им. А.Е. Арбузова КазНЦ РАН</t>
  </si>
  <si>
    <t>420088, г. Казань, ул. Академика Арбузова, д. 8</t>
  </si>
  <si>
    <t>ЛГПУ ИМЕНИ П.П.СЕМЕНОВА-ТЯН-ШАНСКОГО</t>
  </si>
  <si>
    <t xml:space="preserve">Российская Федерация, Липецкая обл, Липецк г, г. Липецк, ул. Ленина, д.42. </t>
  </si>
  <si>
    <t>ФГУП "ВНИИФТРИ"</t>
  </si>
  <si>
    <t>Московская   обл, 141570, Московская область, Солнечногорский район, рабочий поселок Менделеево, промзона ВНИИФТРИ, корп.11</t>
  </si>
  <si>
    <t>ФГБОУ ВО "ВГУ"</t>
  </si>
  <si>
    <t>Российская Федерация, Воронежская обл, Воронеж г, Университетская пл., 1, комнаты № №162, 164, 174</t>
  </si>
  <si>
    <t>Российская Федерация, Ставропольский край, поставщик производит поставку, погрузку-разгрузку товара в течение 40 дней с момента заключения контракта к месту расположения складских помещений ГБУЗ СК «Краевой медицинский центр мобрезервов «Резерв» по адресу: г. Ставрополь, ул. Доваторцев, 38 и/или ГУП СК «Ставропольфармация» по адресу: г. Ставрополь, пр. Кулакова, 55. Выбор склада для поставки товара осуществляется по предварительному письменному указанию государственного заказчика. Поставщик за 5 рабочих дней до поставки товара уведомляет государственного заказчика письменно, нарочно или факсимильным сообщением о дате поставки товара. Все работы связанные с распаковкой, сборкой, включая установку по месту эксплуатации и ввод в эксплуатацию товара по адресу г. Ставрополь, ул. Семашко, 3/1, должны быть выполнены поставщиком не позднее 30 июня 2016 года</t>
  </si>
  <si>
    <t>ДЕПАРТАМЕНТ ЗДРАВООХРАНЕНИЯ И СОЦИАЛЬНОЙ ЗАЩИТЫ НАСЕЛЕНИЯ БЕЛГОРОДСКОЙ ОБЛАСТИ</t>
  </si>
  <si>
    <t>Российская Федерация, Белгородская обл, В соответствии с Приложением №4 «Разнарядка»</t>
  </si>
  <si>
    <t>БУЗ РА "УСТЬ-КАНСКАЯ РБ"</t>
  </si>
  <si>
    <t>Российская Федерация, Российская Федерация, Алтай Респ., согласно контракта</t>
  </si>
  <si>
    <t>ФГБУ "РОСТОВСКИЙ РЕФЕРЕНТНЫЙ ЦЕНТР РОССЕЛЬХОЗНАДЗОРА"</t>
  </si>
  <si>
    <t xml:space="preserve">Российская Федерация, Ростовская обл, Ростов-на-Дону г, 344009, г. Ростов-на-Дону, пр. Шолохова, 195/7 </t>
  </si>
  <si>
    <t>ГУАП,ФГАОУ ВО ГУАП,ФГАОУ ВО"САНКТ-ПЕТЕРБУРГСКИЙ ГОСУДАРСТВЕННЫЙ УНИВЕРСИТЕТ АЭРОКОСМИЧЕСКОГО ПРИБОРОСТРОЕНИЯ",САНКТ-ПЕТЕРБУРГСКИЙ ГОСУДАРСТВЕННЫЙ УНИВЕРСИТЕТ АЭРОКОСМИЧЕСКОГО ПРИБОРОСТРОЕНИЯ</t>
  </si>
  <si>
    <t>комплект - из 4 штук оборудования, г.Санкт-Петербург, ул.Большая Морская, д.67, лит.А, срок поставки с момента заключения договора до 31 августа 2016 года, 50% предоплата</t>
  </si>
  <si>
    <t>ФГБОУ ВО "ТГТУ"</t>
  </si>
  <si>
    <t>Тамбовская   обл, г.Тамбов ул. Ленинградская д.1.</t>
  </si>
  <si>
    <t xml:space="preserve">Российская Федерация, Саратовская обл, Воскресенский р-н, Елшанка с, ул. Университетская, д. 46, ФКУЗ РосНИПЧИ </t>
  </si>
  <si>
    <t>ВОЕННАЯ АКАДЕМИЯ МАТЕРИАЛЬНО-ТЕХНИЧЕСКОГО ОБЕСПЕЧЕНИЯ ИЛИ ВА МТО</t>
  </si>
  <si>
    <t>Российская Федерация, Саратовская обл, Вольск г, 412903, ул. М.Горького, д.3</t>
  </si>
  <si>
    <t>ГАПОУ СО "ЕКАТЕРИНБУРГСКИЙ ЭНЕРГЕТИЧЕСКИЙ ТЕХНИКУМ"</t>
  </si>
  <si>
    <t>Свердловская   обл, 620103,г.Екатеринбург,ул.Умельцев,д.1,каб.304</t>
  </si>
  <si>
    <t>ФБУ "Ростест-Москва"</t>
  </si>
  <si>
    <t>г.Москва, Нахимовский проспект, дом 31</t>
  </si>
  <si>
    <t>ФГБУ "ЧЕЛЯБИНСКАЯ МВЛ"</t>
  </si>
  <si>
    <t>Челябинская   обл, Российская Федерация, 454008 г. Челябинск, Свердловский тракт, 20</t>
  </si>
  <si>
    <t>ФГБОУ ВО "ВГУЭС", ВГУЭС, ВЛАДИВОСТОКСКИЙ ГОСУДАРСТВЕННЫЙ УНИВЕРСИТЕТ ЭКОНОМИКИ И СЕРВИСА, ФГБОУ ВО "ВЛАДИВОСТОКСКИЙ ГОСУДАРСТВЕННЫЙ УНИВЕРСИТЕТ ЭКОНОМИКИ И СЕРВИСА"</t>
  </si>
  <si>
    <t>Российская Федерация, Приморский край, Владивосток г, ул. Добровольского, 20, ауд.106.</t>
  </si>
  <si>
    <t>ГБУЗ МО "РАМЕНСКАЯ ЦРБ"</t>
  </si>
  <si>
    <t>Российская Федерация, указано в проекте контракта</t>
  </si>
  <si>
    <t>ИВГУ,ФГБОУ ВО"ИВГУ",ФГБОУ ВО"ИВАНОВСКИЙ ГОСУДАРСТВЕННЫЙ УНИВЕРСИТЕТ",ИВАНОВСКИЙ ГОСУДАРСТВЕННЫЙ УНИВЕРСИТЕТ</t>
  </si>
  <si>
    <t>Российская Федерация, Ивановская обл, г. Иваново, ул. Ермака, д. 37/7, каб. 320</t>
  </si>
  <si>
    <t>ФГБОУ ВО "ЧГУ ИМ. И.Н. УЛЬЯНОВА"</t>
  </si>
  <si>
    <t>Российская Федерация, Чувашская Республика - Чувашия, Чебоксары г, Московский проспект, д.15</t>
  </si>
  <si>
    <t>ГБУЗ ЦПСИР ДЗМ</t>
  </si>
  <si>
    <t>Российская Федерация, 117209 город Москва, проспект Севастопольский, дом 24А строение 1</t>
  </si>
  <si>
    <t>Российская Федерация, Воронежская обл, Воронеж г, Университетская площадь, д.1, к. 207п и к.117</t>
  </si>
  <si>
    <t>ФГБНУ "АЗНИИРХ"</t>
  </si>
  <si>
    <t>Российская Федерация, Ростовская обл, Ростов-на-Дону г, ул. Береговая, 21В (кабинет №101)</t>
  </si>
  <si>
    <t>ГБУЗ ЯНАО "КРАСНОСЕЛЬКУПСКАЯ ЦРБ"</t>
  </si>
  <si>
    <t>ИЦИГ СО РАН</t>
  </si>
  <si>
    <t>Новосибирская   обл, 630090, г. Новосибирск, пр. ак. Лаврентьева, 10, ИЦиГ СО РАН</t>
  </si>
  <si>
    <t>Государственный Музей-заповедник "Царское Село"</t>
  </si>
  <si>
    <t>Санкт-Петербург, 196601, Санкт-Петербург, г. Пушкин, ул. Садовая, д.7</t>
  </si>
  <si>
    <t>ИОФХ ИМ. А.Е. АРБУЗОВА КАЗНЦ РАН</t>
  </si>
  <si>
    <t>Российская Федерация, Татарстан Респ, Казань г, ул. Академика Арбузова, д.8</t>
  </si>
  <si>
    <t>ОАО "123 АРЗ"</t>
  </si>
  <si>
    <t>Новгородская   обл, 175201, Россия, Новгородская область, г.Старая Русса, мкр. Городок, АО «123 АРЗ»</t>
  </si>
  <si>
    <t xml:space="preserve">склад Заказчика в ЗАТО г. Саров, Нижегородской области. Доставка товара до склада Заказчика осуществляется транспортом Поставщика. Допускается досрочная поставка.
ЗАТО г. Саров является закрытым административно-территориальным образованием системы Росатома, правовой статус которого установлен Федеральным законом от 14.04.1992 № 3297-1 «О закрытом административно-территориальном образовании». Постановлением Правительства РФ от 11.06.1996 №693 утверждено Положение об обеспечении особого режима в ЗАТО, на территории которого расположены объекты Министерства Российской Федерации по атомной энергии.  
	На территории ЗАТО г. Саров установлен особый режим безопасного функционирования предприятий (организаций), который предусматривает ограничения на въезд граждан на его территорию.
	Обязанности по оформлению пропусков на проезд автотранспорта и сопровождающих товар лиц на территорию ЗАТО возлагаются на Поставщика.
</t>
  </si>
  <si>
    <t>ОГБУЗ "ТЕГУЛЬДЕТСКАЯ РБ"</t>
  </si>
  <si>
    <t>Российская Федерация, Томская обл, Томская область, 636900, Томская область, с.Тегульдет, ул.Ленина,35</t>
  </si>
  <si>
    <t>ОАО "Томскгазпром"</t>
  </si>
  <si>
    <t>ГУЗ КДКБ</t>
  </si>
  <si>
    <t>Российская Федерация, Место поставки товара - Российская Федерация, 672027, Забайкальский край, г. Чита, ул. НОВОБУЛЬВАРНАЯ, 20</t>
  </si>
  <si>
    <t>ОАО "Ростерминалуголь"</t>
  </si>
  <si>
    <t>Ленинградская   обл, В соответствии с документацией о закупке и проектом договора (Приложение №1 к документации о закупке)</t>
  </si>
  <si>
    <t>ФГБУЗ ЦГИЭ № 122 ФМБА РОССИИ</t>
  </si>
  <si>
    <t>Российская Федерация, Санкт-Петербург, 194291, Санкт-Петербург,  пр. Луначарского, 47, 2 этаж</t>
  </si>
  <si>
    <t>ГОБУЗ МОПЦ</t>
  </si>
  <si>
    <t>Российская Федерация, В соответствии с п. 8 раздела 1  тома 2 документации о проведении аукциона в электронной форме.</t>
  </si>
  <si>
    <t>НИЦ "КУРЧАТОВСКИЙ ИНСТИТУТ"-ПИЯФ</t>
  </si>
  <si>
    <t>Российская Федерация, Ленинградская обл, г. Гатчина, Орлова роща, ФГБУ «ПИЯФ»</t>
  </si>
  <si>
    <t>ВОЛГУ, ФГАОУ ВО "ВОЛГОГРАДСКИЙ ГОСУДАРСТВЕННЫЙ УНИВЕРСИТЕТ", ВОЛГОГРАДСКИЙ ГОСУДАРСТВЕННЫЙ УНИВЕРСИТЕТ, ФГАОУ ВО ВОЛГУ</t>
  </si>
  <si>
    <t>Российская Федерация, Волгоградская обл., 400062 г. Волгоград, ул. Богданова, 32.</t>
  </si>
  <si>
    <t>Тамбовская   обл, 392000 г.Тамбов ул.Ленинградская д.1</t>
  </si>
  <si>
    <t>ГУП "ТЭК СПб"</t>
  </si>
  <si>
    <t>Санкт-Петербург, согласно Спецификации (Приложение № 1 к Документации)</t>
  </si>
  <si>
    <t>ГУВ МО "МЫТИЩИНСКАЯ СББЖ"</t>
  </si>
  <si>
    <t>141006, Московская область, г.Мытищи, Олимпийский проспект, влад.43А, строен.1</t>
  </si>
  <si>
    <t>Москва, 119991, г. Москва, ул. Вавилова д. 32</t>
  </si>
  <si>
    <t>Российская Федерация, Ивановская обл,  г. Иваново, ул.Ермака, д. 37/7; г. Иваново, пр.Ленина, д.136.</t>
  </si>
  <si>
    <t>ФГБУ "ФЦТОЭ" МИНЗДРАВА РОССИИ (Г. БАРНАУЛ)</t>
  </si>
  <si>
    <t>Российская Федерация, Алтайский край, Российская Федерация, 656045, Алтайский край, г. Барнаул, ул. Ляпидевского, 1/3</t>
  </si>
  <si>
    <t>ИХФ РАН</t>
  </si>
  <si>
    <t>Москва, 111024, г. Москва, Перовский проезд, д.35</t>
  </si>
  <si>
    <t>ФГУП "Красноярское ПрОП" Минтруда России</t>
  </si>
  <si>
    <t>Красноярский край, ФГУП «Красноярское ПрОП» Минтруда России660020, г. Красноярск ул. Дудинская, д. 14</t>
  </si>
  <si>
    <t>ОАО "НИИ ОЭП"</t>
  </si>
  <si>
    <t>В соответствии с договором</t>
  </si>
  <si>
    <t>согласно ПД</t>
  </si>
  <si>
    <t>СПБ ГБУЗ "РОДИЛЬНЫЙ ДОМ № 13"</t>
  </si>
  <si>
    <t>Российская Федерация, Санкт-Петербург, ул. Костромская, д.4</t>
  </si>
  <si>
    <t>ОГАУЗ "БРАТСКАЯ ГОРОДСКАЯ БОЛЬНИЦА № 5"</t>
  </si>
  <si>
    <t>Иркутская   обл, Российская Федерация, 665732, Иркутская область, г. Братск, жилой район Центральный, ул. Курчатова, 3.</t>
  </si>
  <si>
    <t>МБУЗ "ЦГБ" Г. БАТАЙСКА РО</t>
  </si>
  <si>
    <t>Российская Федерация, Ростовская обл, Батайск г, Поставщик осуществляет поставку товара своим транспортом с разгрузкой (погрузкой) Заказчику по адресу: 346880, Ростовская область, г. Батайск, ул. Куйбышева 136 в аптеку МБУЗ «ЦГБ» г. Батайска РО.</t>
  </si>
  <si>
    <t>Российская Федерация, Московская обл, Серпухов г, ул. Бригадная д.17</t>
  </si>
  <si>
    <t>ФГБУЗ ЮОМЦ ФМБА РОССИИ</t>
  </si>
  <si>
    <t>Российская Федерация, Ростовская обл, РКБ ФГБУЗ ЮОМЦ ФМБА России, 344023, г.Ростов-на-Дону, Пешкова, 34, аптека.</t>
  </si>
  <si>
    <t>ОАО "ДСИО"</t>
  </si>
  <si>
    <t>Россия, Иркутская область, станция Чуна или п. Чунский, ул. Мира, д.1а.</t>
  </si>
  <si>
    <t>ГОСУДАРСТВЕННАЯ ТРЕТЬЯКОВСКАЯ ГАЛЕРЕЯ, ТРЕТЬЯКОВСКАЯ ГАЛЕРЕЯ</t>
  </si>
  <si>
    <t>Москва, г. Москва, ул. Крымский Вал, д. 10</t>
  </si>
  <si>
    <t>СПБ ГБУЗ "РОДИЛЬНЫЙ ДОМ № 1"</t>
  </si>
  <si>
    <t>Российская Федерация, СПб ГБУЗ «Родильный дом № 1», г. Санкт-Петербург, В.О., Большой пр. дом 49-51</t>
  </si>
  <si>
    <t>ГБУЗ "ОКБ № 3"</t>
  </si>
  <si>
    <t>Российская Федерация, Челябинская обл, Государственное бюджетное учреждение здравоохранения  «Областная клиническая больница № 3», 454021, г. Челябинск,  пр. Победы, 287(Склад)</t>
  </si>
  <si>
    <t>ИБ КарНЦ РАН</t>
  </si>
  <si>
    <t>Карелия   Респ, пр. А. Невского, д. 50, г. Петрозаводск, Республика Карелия, 185030</t>
  </si>
  <si>
    <t>Новосибирская   обл, по адресу Заказчика</t>
  </si>
  <si>
    <t>ФГУП "ПСЗ"; ФГУП "Приборостроительный завод"</t>
  </si>
  <si>
    <t>456080, Челябинская обл., г. Трехгорный, ул. Заречная, 13</t>
  </si>
  <si>
    <t>МУП "Пензадормост"</t>
  </si>
  <si>
    <t>Пензенская   обл, г. Пенза</t>
  </si>
  <si>
    <t>Москва, Ленинские горы, д. 1, стр. 12.</t>
  </si>
  <si>
    <t>ОАО "Албашский элеватор"</t>
  </si>
  <si>
    <t>Краснодарский край, 353700, Россия, Краснодарский край, Каневской район, ст. Новоминская, пер. Запорожский, 15</t>
  </si>
  <si>
    <t xml:space="preserve">Новосибирский филиал ФГАУ «МНТК «Микрохирургия глаза» им. акад. С.Н. Федорова» Минздрава России </t>
  </si>
  <si>
    <t>Российская Федерация, 630096 г. Новосибирск, ул. Колхидская, 10</t>
  </si>
  <si>
    <t>ГАУЗ "Стоматологическая поликлиника № 8"</t>
  </si>
  <si>
    <t>Волгоградская   обл, 400075, г. Волгоград, ул. Республиканская, 13</t>
  </si>
  <si>
    <t>МУП города Хабаровска "Водоканал"</t>
  </si>
  <si>
    <t>Хабаровский край, в соответствии с документацией</t>
  </si>
  <si>
    <t>ИХБФМ СО РАН</t>
  </si>
  <si>
    <t>Новосибирская   обл, 630090, г. Новосибирск, проспект Академика Лаврентьева, 8</t>
  </si>
  <si>
    <t>ИАПУ ДВО РАН</t>
  </si>
  <si>
    <t>Приморский край, 690041, г. Владивосток, ул. Радио, д.5</t>
  </si>
  <si>
    <t>ОИВТ РАН</t>
  </si>
  <si>
    <t>Москва, ул. Ижорская, д. 13, стр. 2</t>
  </si>
  <si>
    <t>ООО "КЭНК"</t>
  </si>
  <si>
    <t>Кемеровская   обл, РФ, Кемеровская область, филиалы Общества</t>
  </si>
  <si>
    <t>АО "НЦ ВОСТНИИ"</t>
  </si>
  <si>
    <t>Кемеровская   обл, 650002, г. Кемерово, ул. Институтская,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</si>
</sst>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name val="Calibri"/>
    </font>
    <font>
      <sz val="10"/>
      <name val="Times New Roman"/>
      <family val="1"/>
      <charset val="204"/>
    </font>
    <font>
      <u/>
      <sz val="10"/>
      <color rgb="FF0000FF"/>
      <name val="Times New Roman"/>
      <family val="1"/>
      <charset val="204"/>
    </font>
  </fonts>
  <fills count="3">
    <fill>
      <patternFill patternType="none"/>
    </fill>
    <fill>
      <patternFill patternType="gray125"/>
    </fill>
    <fill>
      <patternFill patternType="solid">
        <fgColor rgb="FFD3D3D3"/>
      </patternFill>
    </fill>
  </fills>
  <borders count="3">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s>
  <cellStyleXfs count="1">
    <xf numFmtId="0" fontId="0" fillId="0" borderId="0"/>
  </cellStyleXfs>
  <cellXfs count="7">
    <xf numFmtId="0" fontId="0" fillId="0" borderId="0" xfId="0" applyFont="1"/>
    <xf numFmtId="0" fontId="1" fillId="0" borderId="0" xfId="0" applyFont="1" applyAlignment="1">
      <alignment wrapText="1"/>
    </xf>
    <xf numFmtId="0" fontId="1" fillId="2" borderId="2"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4" fontId="1" fillId="0" borderId="1" xfId="0" applyNumberFormat="1" applyFont="1" applyBorder="1" applyAlignment="1">
      <alignment horizontal="center" vertical="center" wrapText="1"/>
    </xf>
    <xf numFmtId="0" fontId="1" fillId="2" borderId="2"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612"/>
  <sheetViews>
    <sheetView tabSelected="1" workbookViewId="0">
      <pane ySplit="2" topLeftCell="A579" activePane="bottomLeft" state="frozen"/>
      <selection pane="bottomLeft" activeCell="F608" sqref="F608"/>
    </sheetView>
  </sheetViews>
  <sheetFormatPr defaultRowHeight="15" x14ac:dyDescent="0.25"/>
  <cols>
    <col min="1" max="1" width="38.28515625" customWidth="1"/>
    <col min="2" max="2" width="13.7109375" customWidth="1"/>
    <col min="3" max="3" width="52.85546875" customWidth="1"/>
    <col min="4" max="4" width="14.7109375" customWidth="1"/>
  </cols>
  <sheetData>
    <row r="1" spans="1:4" ht="15.75" thickBot="1" x14ac:dyDescent="0.3">
      <c r="A1" s="6" t="s">
        <v>0</v>
      </c>
      <c r="B1" s="6"/>
      <c r="C1" s="2"/>
      <c r="D1" s="2"/>
    </row>
    <row r="2" spans="1:4" ht="39" thickBot="1" x14ac:dyDescent="0.3">
      <c r="A2" s="2" t="s">
        <v>1</v>
      </c>
      <c r="B2" s="2" t="s">
        <v>2</v>
      </c>
      <c r="C2" s="2" t="s">
        <v>3</v>
      </c>
      <c r="D2" s="2" t="s">
        <v>4</v>
      </c>
    </row>
    <row r="3" spans="1:4" x14ac:dyDescent="0.25">
      <c r="A3" s="3" t="s">
        <v>5</v>
      </c>
      <c r="B3" s="4" t="str">
        <f>HYPERLINK("https://basis.myseldon.com/ru/company/5087746119951?PartnerId=10756","7721632827")</f>
        <v>7721632827</v>
      </c>
      <c r="C3" s="3" t="s">
        <v>6</v>
      </c>
      <c r="D3" s="5">
        <v>8542319.7200000007</v>
      </c>
    </row>
    <row r="4" spans="1:4" ht="25.5" x14ac:dyDescent="0.25">
      <c r="A4" s="3" t="s">
        <v>7</v>
      </c>
      <c r="B4" s="4" t="str">
        <f>HYPERLINK("https://basis.myseldon.com/ru/company/1021400967092?PartnerId=10756","1433000147")</f>
        <v>1433000147</v>
      </c>
      <c r="C4" s="3" t="s">
        <v>8</v>
      </c>
      <c r="D4" s="5">
        <v>18606928.149999999</v>
      </c>
    </row>
    <row r="5" spans="1:4" ht="25.5" x14ac:dyDescent="0.25">
      <c r="A5" s="3" t="s">
        <v>9</v>
      </c>
      <c r="B5" s="4" t="str">
        <f>HYPERLINK("https://basis.myseldon.com/ru/company/1024701759565?PartnerId=10756","4714000067")</f>
        <v>4714000067</v>
      </c>
      <c r="C5" s="3" t="s">
        <v>10</v>
      </c>
      <c r="D5" s="5">
        <v>2099220</v>
      </c>
    </row>
    <row r="6" spans="1:4" ht="38.25" x14ac:dyDescent="0.25">
      <c r="A6" s="3" t="s">
        <v>11</v>
      </c>
      <c r="B6" s="4" t="str">
        <f>HYPERLINK("https://basis.myseldon.com/ru/company/1067746404681?PartnerId=10756","7706613770")</f>
        <v>7706613770</v>
      </c>
      <c r="C6" s="3" t="s">
        <v>12</v>
      </c>
      <c r="D6" s="5">
        <v>1036870.72</v>
      </c>
    </row>
    <row r="7" spans="1:4" ht="25.5" x14ac:dyDescent="0.25">
      <c r="A7" s="3" t="s">
        <v>13</v>
      </c>
      <c r="B7" s="4" t="str">
        <f>HYPERLINK("https://basis.myseldon.com/ru/company/1027700525907?PartnerId=10756","7731038690")</f>
        <v>7731038690</v>
      </c>
      <c r="C7" s="3" t="s">
        <v>14</v>
      </c>
      <c r="D7" s="5">
        <v>2436819</v>
      </c>
    </row>
    <row r="8" spans="1:4" ht="25.5" x14ac:dyDescent="0.25">
      <c r="A8" s="3" t="s">
        <v>15</v>
      </c>
      <c r="B8" s="4" t="str">
        <f>HYPERLINK("https://basis.myseldon.com/ru/company/1027809170300?PartnerId=10756","7803002209")</f>
        <v>7803002209</v>
      </c>
      <c r="C8" s="3" t="s">
        <v>16</v>
      </c>
      <c r="D8" s="5">
        <v>1058532</v>
      </c>
    </row>
    <row r="9" spans="1:4" x14ac:dyDescent="0.25">
      <c r="A9" s="3" t="s">
        <v>17</v>
      </c>
      <c r="B9" s="4" t="str">
        <f>HYPERLINK("https://basis.myseldon.com/ru/company/1082468049730?PartnerId=10756","2465214545")</f>
        <v>2465214545</v>
      </c>
      <c r="C9" s="3" t="s">
        <v>18</v>
      </c>
      <c r="D9" s="5">
        <v>1290658.17</v>
      </c>
    </row>
    <row r="10" spans="1:4" ht="25.5" x14ac:dyDescent="0.25">
      <c r="A10" s="3" t="s">
        <v>19</v>
      </c>
      <c r="B10" s="4" t="str">
        <f>HYPERLINK("https://basis.myseldon.com/ru/company/1037739877295?PartnerId=10756","7708503727")</f>
        <v>7708503727</v>
      </c>
      <c r="C10" s="3" t="s">
        <v>20</v>
      </c>
      <c r="D10" s="5">
        <v>25349729.43</v>
      </c>
    </row>
    <row r="11" spans="1:4" x14ac:dyDescent="0.25">
      <c r="A11" s="3" t="s">
        <v>21</v>
      </c>
      <c r="B11" s="4" t="str">
        <f>HYPERLINK("https://basis.myseldon.com/ru/company/1034500005715?PartnerId=10756","4501101712")</f>
        <v>4501101712</v>
      </c>
      <c r="C11" s="3" t="s">
        <v>22</v>
      </c>
      <c r="D11" s="5">
        <v>1096199.94</v>
      </c>
    </row>
    <row r="12" spans="1:4" x14ac:dyDescent="0.25">
      <c r="A12" s="3" t="s">
        <v>21</v>
      </c>
      <c r="B12" s="4" t="str">
        <f>HYPERLINK("https://basis.myseldon.com/ru/company/1034500005715?PartnerId=10756","4501101712")</f>
        <v>4501101712</v>
      </c>
      <c r="C12" s="3" t="s">
        <v>22</v>
      </c>
      <c r="D12" s="5">
        <v>1356223.56</v>
      </c>
    </row>
    <row r="13" spans="1:4" x14ac:dyDescent="0.25">
      <c r="A13" s="3" t="s">
        <v>21</v>
      </c>
      <c r="B13" s="4" t="str">
        <f>HYPERLINK("https://basis.myseldon.com/ru/company/1034500005715?PartnerId=10756","4501101712")</f>
        <v>4501101712</v>
      </c>
      <c r="C13" s="3" t="s">
        <v>22</v>
      </c>
      <c r="D13" s="5">
        <v>1061072.52</v>
      </c>
    </row>
    <row r="14" spans="1:4" x14ac:dyDescent="0.25">
      <c r="A14" s="3" t="s">
        <v>21</v>
      </c>
      <c r="B14" s="4" t="str">
        <f>HYPERLINK("https://basis.myseldon.com/ru/company/1034500005715?PartnerId=10756","4501101712")</f>
        <v>4501101712</v>
      </c>
      <c r="C14" s="3" t="s">
        <v>22</v>
      </c>
      <c r="D14" s="5">
        <v>1406279.16</v>
      </c>
    </row>
    <row r="15" spans="1:4" ht="51" x14ac:dyDescent="0.25">
      <c r="A15" s="3" t="s">
        <v>23</v>
      </c>
      <c r="B15" s="4" t="str">
        <f>HYPERLINK("https://basis.myseldon.com/ru/company/1057746555811?PartnerId=10756","5036065113")</f>
        <v>5036065113</v>
      </c>
      <c r="C15" s="3" t="s">
        <v>24</v>
      </c>
      <c r="D15" s="5">
        <v>2516238.13</v>
      </c>
    </row>
    <row r="16" spans="1:4" ht="25.5" x14ac:dyDescent="0.25">
      <c r="A16" s="3" t="s">
        <v>25</v>
      </c>
      <c r="B16" s="4" t="str">
        <f>HYPERLINK("https://basis.myseldon.com/ru/company/1058602102437?PartnerId=10756","7203162698")</f>
        <v>7203162698</v>
      </c>
      <c r="C16" s="3" t="s">
        <v>26</v>
      </c>
      <c r="D16" s="5">
        <v>3169384.38</v>
      </c>
    </row>
    <row r="17" spans="1:4" ht="89.25" x14ac:dyDescent="0.25">
      <c r="A17" s="3" t="s">
        <v>27</v>
      </c>
      <c r="B17" s="4" t="str">
        <f>HYPERLINK("https://basis.myseldon.com/ru/company/1025801222622?PartnerId=10756","5835040860")</f>
        <v>5835040860</v>
      </c>
      <c r="C17" s="3" t="s">
        <v>28</v>
      </c>
      <c r="D17" s="5">
        <v>5432700</v>
      </c>
    </row>
    <row r="18" spans="1:4" x14ac:dyDescent="0.25">
      <c r="A18" s="3" t="s">
        <v>29</v>
      </c>
      <c r="B18" s="4" t="str">
        <f>HYPERLINK("https://basis.myseldon.com/ru/company/1053808017185?PartnerId=10756","3808118560")</f>
        <v>3808118560</v>
      </c>
      <c r="C18" s="3" t="s">
        <v>30</v>
      </c>
      <c r="D18" s="5">
        <v>1417321.6</v>
      </c>
    </row>
    <row r="19" spans="1:4" x14ac:dyDescent="0.25">
      <c r="A19" s="3" t="s">
        <v>29</v>
      </c>
      <c r="B19" s="4" t="str">
        <f>HYPERLINK("https://basis.myseldon.com/ru/company/1053808017185?PartnerId=10756","3808118560")</f>
        <v>3808118560</v>
      </c>
      <c r="C19" s="3" t="s">
        <v>30</v>
      </c>
      <c r="D19" s="5">
        <v>1101860.48</v>
      </c>
    </row>
    <row r="20" spans="1:4" x14ac:dyDescent="0.25">
      <c r="A20" s="3" t="s">
        <v>31</v>
      </c>
      <c r="B20" s="4" t="str">
        <f>HYPERLINK("https://basis.myseldon.com/ru/company/1027739285265?PartnerId=10756","7710016640")</f>
        <v>7710016640</v>
      </c>
      <c r="C20" s="3" t="s">
        <v>32</v>
      </c>
      <c r="D20" s="5">
        <v>12662560</v>
      </c>
    </row>
    <row r="21" spans="1:4" ht="25.5" x14ac:dyDescent="0.25">
      <c r="A21" s="3" t="s">
        <v>19</v>
      </c>
      <c r="B21" s="4" t="str">
        <f>HYPERLINK("https://basis.myseldon.com/ru/company/1037739877295?PartnerId=10756","7708503727")</f>
        <v>7708503727</v>
      </c>
      <c r="C21" s="3" t="s">
        <v>33</v>
      </c>
      <c r="D21" s="5">
        <v>3814650.9</v>
      </c>
    </row>
    <row r="22" spans="1:4" x14ac:dyDescent="0.25">
      <c r="A22" s="3" t="s">
        <v>34</v>
      </c>
      <c r="B22" s="4" t="str">
        <f>HYPERLINK("https://basis.myseldon.com/ru/company/1020202555240?PartnerId=10756","0274051582")</f>
        <v>0274051582</v>
      </c>
      <c r="C22" s="3" t="s">
        <v>35</v>
      </c>
      <c r="D22" s="5">
        <v>2827757.72</v>
      </c>
    </row>
    <row r="23" spans="1:4" ht="25.5" x14ac:dyDescent="0.25">
      <c r="A23" s="3" t="s">
        <v>36</v>
      </c>
      <c r="B23" s="4" t="str">
        <f>HYPERLINK("https://basis.myseldon.com/ru/company/1037707005346?PartnerId=10756","7707089084")</f>
        <v>7707089084</v>
      </c>
      <c r="C23" s="3" t="s">
        <v>37</v>
      </c>
      <c r="D23" s="5">
        <v>15824511</v>
      </c>
    </row>
    <row r="24" spans="1:4" ht="25.5" x14ac:dyDescent="0.25">
      <c r="A24" s="3" t="s">
        <v>38</v>
      </c>
      <c r="B24" s="4" t="str">
        <f>HYPERLINK("https://basis.myseldon.com/ru/company/1021801505890?PartnerId=10756","1833005164")</f>
        <v>1833005164</v>
      </c>
      <c r="C24" s="3" t="s">
        <v>39</v>
      </c>
      <c r="D24" s="5">
        <v>1658898</v>
      </c>
    </row>
    <row r="25" spans="1:4" x14ac:dyDescent="0.25">
      <c r="A25" s="3" t="s">
        <v>40</v>
      </c>
      <c r="B25" s="4" t="str">
        <f>HYPERLINK("https://basis.myseldon.com/ru/company/1052600002180?PartnerId=10756","2607018122")</f>
        <v>2607018122</v>
      </c>
      <c r="C25" s="3" t="s">
        <v>41</v>
      </c>
      <c r="D25" s="5">
        <v>1700000</v>
      </c>
    </row>
    <row r="26" spans="1:4" x14ac:dyDescent="0.25">
      <c r="A26" s="3" t="s">
        <v>42</v>
      </c>
      <c r="B26" s="4" t="str">
        <f>HYPERLINK("https://basis.myseldon.com/ru/company/1052460054327?PartnerId=10756","2460069527")</f>
        <v>2460069527</v>
      </c>
      <c r="C26" s="3" t="s">
        <v>43</v>
      </c>
      <c r="D26" s="5">
        <v>4773265.2</v>
      </c>
    </row>
    <row r="27" spans="1:4" ht="51" x14ac:dyDescent="0.25">
      <c r="A27" s="3" t="s">
        <v>44</v>
      </c>
      <c r="B27" s="4" t="str">
        <f>HYPERLINK("https://basis.myseldon.com/ru/company/1149102099717?PartnerId=10756","9102048801")</f>
        <v>9102048801</v>
      </c>
      <c r="C27" s="3" t="s">
        <v>45</v>
      </c>
      <c r="D27" s="5">
        <v>2895000</v>
      </c>
    </row>
    <row r="28" spans="1:4" ht="38.25" x14ac:dyDescent="0.25">
      <c r="A28" s="3" t="s">
        <v>46</v>
      </c>
      <c r="B28" s="4" t="str">
        <f>HYPERLINK("https://basis.myseldon.com/ru/company/1077799032926?PartnerId=10756","7706413348")</f>
        <v>7706413348</v>
      </c>
      <c r="C28" s="3" t="s">
        <v>47</v>
      </c>
      <c r="D28" s="5">
        <v>8750957.2599999998</v>
      </c>
    </row>
    <row r="29" spans="1:4" ht="63.75" x14ac:dyDescent="0.25">
      <c r="A29" s="3" t="s">
        <v>48</v>
      </c>
      <c r="B29" s="4" t="str">
        <f>HYPERLINK("https://basis.myseldon.com/ru/company/1156501010038?PartnerId=10756","6501279940")</f>
        <v>6501279940</v>
      </c>
      <c r="C29" s="3" t="s">
        <v>49</v>
      </c>
      <c r="D29" s="5">
        <v>3247607.79</v>
      </c>
    </row>
    <row r="30" spans="1:4" ht="25.5" x14ac:dyDescent="0.25">
      <c r="A30" s="3" t="s">
        <v>50</v>
      </c>
      <c r="B30" s="4" t="str">
        <f>HYPERLINK("https://basis.myseldon.com/ru/company/1057810144952?PartnerId=10756","7819301807")</f>
        <v>7819301807</v>
      </c>
      <c r="C30" s="3" t="s">
        <v>51</v>
      </c>
      <c r="D30" s="5">
        <v>3576501</v>
      </c>
    </row>
    <row r="31" spans="1:4" ht="25.5" x14ac:dyDescent="0.25">
      <c r="A31" s="3" t="s">
        <v>7</v>
      </c>
      <c r="B31" s="4" t="str">
        <f>HYPERLINK("https://basis.myseldon.com/ru/company/1021400967092?PartnerId=10756","1433000147")</f>
        <v>1433000147</v>
      </c>
      <c r="C31" s="3" t="s">
        <v>52</v>
      </c>
      <c r="D31" s="5">
        <v>2012254</v>
      </c>
    </row>
    <row r="32" spans="1:4" x14ac:dyDescent="0.25">
      <c r="A32" s="3" t="s">
        <v>53</v>
      </c>
      <c r="B32" s="4" t="str">
        <f>HYPERLINK("https://basis.myseldon.com/ru/company/1135050007400?PartnerId=10756","5050108496")</f>
        <v>5050108496</v>
      </c>
      <c r="C32" s="3" t="s">
        <v>54</v>
      </c>
      <c r="D32" s="5">
        <v>25600000</v>
      </c>
    </row>
    <row r="33" spans="1:4" ht="38.25" x14ac:dyDescent="0.25">
      <c r="A33" s="3" t="s">
        <v>55</v>
      </c>
      <c r="B33" s="4" t="str">
        <f>HYPERLINK("https://basis.myseldon.com/ru/company/1027739496014?PartnerId=10756","7701186067")</f>
        <v>7701186067</v>
      </c>
      <c r="C33" s="3" t="s">
        <v>56</v>
      </c>
      <c r="D33" s="5">
        <v>27112147.920000002</v>
      </c>
    </row>
    <row r="34" spans="1:4" x14ac:dyDescent="0.25">
      <c r="A34" s="3" t="s">
        <v>57</v>
      </c>
      <c r="B34" s="4" t="str">
        <f>HYPERLINK("https://basis.myseldon.com/ru/company/1077799032926?PartnerId=10756","7706413348")</f>
        <v>7706413348</v>
      </c>
      <c r="C34" s="3" t="s">
        <v>58</v>
      </c>
      <c r="D34" s="5">
        <v>2648000</v>
      </c>
    </row>
    <row r="35" spans="1:4" ht="38.25" x14ac:dyDescent="0.25">
      <c r="A35" s="3" t="s">
        <v>59</v>
      </c>
      <c r="B35" s="4" t="str">
        <f>HYPERLINK("https://basis.myseldon.com/ru/company/1031800564157?PartnerId=10756","1831090630")</f>
        <v>1831090630</v>
      </c>
      <c r="C35" s="3" t="s">
        <v>60</v>
      </c>
      <c r="D35" s="5">
        <v>2955900</v>
      </c>
    </row>
    <row r="36" spans="1:4" x14ac:dyDescent="0.25">
      <c r="A36" s="3" t="s">
        <v>61</v>
      </c>
      <c r="B36" s="4" t="str">
        <f>HYPERLINK("https://basis.myseldon.com/ru/company/1027700070518?PartnerId=10756","7736050003")</f>
        <v>7736050003</v>
      </c>
      <c r="C36" s="3" t="s">
        <v>62</v>
      </c>
      <c r="D36" s="5">
        <v>9554000</v>
      </c>
    </row>
    <row r="37" spans="1:4" x14ac:dyDescent="0.25">
      <c r="A37" s="3" t="s">
        <v>63</v>
      </c>
      <c r="B37" s="4" t="str">
        <f>HYPERLINK("https://basis.myseldon.com/ru/company/1025203014748?PartnerId=10756","5260900725")</f>
        <v>5260900725</v>
      </c>
      <c r="C37" s="3" t="s">
        <v>64</v>
      </c>
      <c r="D37" s="5">
        <v>1318759.3899999999</v>
      </c>
    </row>
    <row r="38" spans="1:4" ht="25.5" x14ac:dyDescent="0.25">
      <c r="A38" s="3" t="s">
        <v>65</v>
      </c>
      <c r="B38" s="4" t="str">
        <f>HYPERLINK("https://basis.myseldon.com/ru/company/1027721007797?PartnerId=10756","7721247141")</f>
        <v>7721247141</v>
      </c>
      <c r="C38" s="3" t="s">
        <v>66</v>
      </c>
      <c r="D38" s="5">
        <v>15874953</v>
      </c>
    </row>
    <row r="39" spans="1:4" ht="25.5" x14ac:dyDescent="0.25">
      <c r="A39" s="3" t="s">
        <v>67</v>
      </c>
      <c r="B39" s="4" t="str">
        <f>HYPERLINK("https://basis.myseldon.com/ru/company/1057723005009?PartnerId=10756","7723356386")</f>
        <v>7723356386</v>
      </c>
      <c r="C39" s="3" t="s">
        <v>68</v>
      </c>
      <c r="D39" s="5">
        <v>8009195.4400000004</v>
      </c>
    </row>
    <row r="40" spans="1:4" ht="25.5" x14ac:dyDescent="0.25">
      <c r="A40" s="3" t="s">
        <v>69</v>
      </c>
      <c r="B40" s="4" t="str">
        <f>HYPERLINK("https://basis.myseldon.com/ru/company/1026901917745?PartnerId=10756","6915001280")</f>
        <v>6915001280</v>
      </c>
      <c r="C40" s="3" t="s">
        <v>70</v>
      </c>
      <c r="D40" s="5">
        <v>1516105.8</v>
      </c>
    </row>
    <row r="41" spans="1:4" x14ac:dyDescent="0.25">
      <c r="A41" s="3" t="s">
        <v>71</v>
      </c>
      <c r="B41" s="4" t="str">
        <f>HYPERLINK("https://basis.myseldon.com/ru/company/1028601843918?PartnerId=10756","8622000931")</f>
        <v>8622000931</v>
      </c>
      <c r="C41" s="3" t="s">
        <v>62</v>
      </c>
      <c r="D41" s="5">
        <v>1006098.56</v>
      </c>
    </row>
    <row r="42" spans="1:4" ht="38.25" x14ac:dyDescent="0.25">
      <c r="A42" s="3" t="s">
        <v>5</v>
      </c>
      <c r="B42" s="4" t="str">
        <f>HYPERLINK("https://basis.myseldon.com/ru/company/5087746119951?PartnerId=10756","7721632827")</f>
        <v>7721632827</v>
      </c>
      <c r="C42" s="3" t="s">
        <v>72</v>
      </c>
      <c r="D42" s="5">
        <v>6500000</v>
      </c>
    </row>
    <row r="43" spans="1:4" ht="25.5" x14ac:dyDescent="0.25">
      <c r="A43" s="3" t="s">
        <v>73</v>
      </c>
      <c r="B43" s="4" t="str">
        <f>HYPERLINK("https://basis.myseldon.com/ru/company/1027801553922?PartnerId=10756","7802065830")</f>
        <v>7802065830</v>
      </c>
      <c r="C43" s="3" t="s">
        <v>74</v>
      </c>
      <c r="D43" s="5">
        <v>27000000</v>
      </c>
    </row>
    <row r="44" spans="1:4" x14ac:dyDescent="0.25">
      <c r="A44" s="3" t="s">
        <v>75</v>
      </c>
      <c r="B44" s="4" t="str">
        <f>HYPERLINK("https://basis.myseldon.com/ru/company/1042305704352?PartnerId=10756","2310095895")</f>
        <v>2310095895</v>
      </c>
      <c r="C44" s="3" t="s">
        <v>76</v>
      </c>
      <c r="D44" s="5">
        <v>2700000</v>
      </c>
    </row>
    <row r="45" spans="1:4" ht="25.5" x14ac:dyDescent="0.25">
      <c r="A45" s="3" t="s">
        <v>9</v>
      </c>
      <c r="B45" s="4" t="str">
        <f>HYPERLINK("https://basis.myseldon.com/ru/company/1024701759565?PartnerId=10756","4714000067")</f>
        <v>4714000067</v>
      </c>
      <c r="C45" s="3" t="s">
        <v>10</v>
      </c>
      <c r="D45" s="5">
        <v>1422786.18</v>
      </c>
    </row>
    <row r="46" spans="1:4" ht="25.5" x14ac:dyDescent="0.25">
      <c r="A46" s="3" t="s">
        <v>77</v>
      </c>
      <c r="B46" s="4" t="str">
        <f>HYPERLINK("https://basis.myseldon.com/ru/company/1020203087145?PartnerId=10756","0277014204")</f>
        <v>0277014204</v>
      </c>
      <c r="C46" s="3" t="s">
        <v>78</v>
      </c>
      <c r="D46" s="5">
        <v>1578733.8</v>
      </c>
    </row>
    <row r="47" spans="1:4" x14ac:dyDescent="0.25">
      <c r="A47" s="3" t="s">
        <v>79</v>
      </c>
      <c r="B47" s="4" t="str">
        <f>HYPERLINK("https://basis.myseldon.com/ru/company/1027700198767?PartnerId=10756","7707049388")</f>
        <v>7707049388</v>
      </c>
      <c r="C47" s="3" t="s">
        <v>80</v>
      </c>
      <c r="D47" s="5">
        <v>1914855</v>
      </c>
    </row>
    <row r="48" spans="1:4" ht="38.25" x14ac:dyDescent="0.25">
      <c r="A48" s="3" t="s">
        <v>59</v>
      </c>
      <c r="B48" s="4" t="str">
        <f>HYPERLINK("https://basis.myseldon.com/ru/company/1031800564157?PartnerId=10756","1831090630")</f>
        <v>1831090630</v>
      </c>
      <c r="C48" s="3" t="s">
        <v>60</v>
      </c>
      <c r="D48" s="5">
        <v>1530460</v>
      </c>
    </row>
    <row r="49" spans="1:4" x14ac:dyDescent="0.25">
      <c r="A49" s="3" t="s">
        <v>81</v>
      </c>
      <c r="B49" s="4" t="str">
        <f>HYPERLINK("https://basis.myseldon.com/ru/company/1159102022738?PartnerId=10756","9102157783")</f>
        <v>9102157783</v>
      </c>
      <c r="C49" s="3" t="s">
        <v>82</v>
      </c>
      <c r="D49" s="5">
        <v>2124000</v>
      </c>
    </row>
    <row r="50" spans="1:4" ht="25.5" x14ac:dyDescent="0.25">
      <c r="A50" s="3" t="s">
        <v>83</v>
      </c>
      <c r="B50" s="4" t="str">
        <f>HYPERLINK("https://basis.myseldon.com/ru/company/1022701132277?PartnerId=10756","2722011291")</f>
        <v>2722011291</v>
      </c>
      <c r="C50" s="3" t="s">
        <v>84</v>
      </c>
      <c r="D50" s="5">
        <v>3983254</v>
      </c>
    </row>
    <row r="51" spans="1:4" ht="25.5" x14ac:dyDescent="0.25">
      <c r="A51" s="3" t="s">
        <v>85</v>
      </c>
      <c r="B51" s="4" t="str">
        <f>HYPERLINK("https://basis.myseldon.com/ru/company/1020502624669?PartnerId=10756","0562044550")</f>
        <v>0562044550</v>
      </c>
      <c r="C51" s="3" t="s">
        <v>86</v>
      </c>
      <c r="D51" s="5">
        <v>7561005.1600000001</v>
      </c>
    </row>
    <row r="52" spans="1:4" ht="51" x14ac:dyDescent="0.25">
      <c r="A52" s="3" t="s">
        <v>87</v>
      </c>
      <c r="B52" s="4" t="str">
        <f>HYPERLINK("https://basis.myseldon.com/ru/company/1026102595320?PartnerId=10756","6154057914")</f>
        <v>6154057914</v>
      </c>
      <c r="C52" s="3" t="s">
        <v>88</v>
      </c>
      <c r="D52" s="5">
        <v>1656770</v>
      </c>
    </row>
    <row r="53" spans="1:4" x14ac:dyDescent="0.25">
      <c r="A53" s="3" t="s">
        <v>89</v>
      </c>
      <c r="B53" s="4" t="str">
        <f>HYPERLINK("https://basis.myseldon.com/ru/company/1037739305702?PartnerId=10756","7704076129")</f>
        <v>7704076129</v>
      </c>
      <c r="C53" s="3" t="s">
        <v>37</v>
      </c>
      <c r="D53" s="5">
        <v>9665943</v>
      </c>
    </row>
    <row r="54" spans="1:4" x14ac:dyDescent="0.25">
      <c r="A54" s="3" t="s">
        <v>89</v>
      </c>
      <c r="B54" s="4" t="str">
        <f>HYPERLINK("https://basis.myseldon.com/ru/company/1037739305702?PartnerId=10756","7704076129")</f>
        <v>7704076129</v>
      </c>
      <c r="C54" s="3" t="s">
        <v>37</v>
      </c>
      <c r="D54" s="5">
        <v>168375320</v>
      </c>
    </row>
    <row r="55" spans="1:4" ht="25.5" x14ac:dyDescent="0.25">
      <c r="A55" s="3" t="s">
        <v>90</v>
      </c>
      <c r="B55" s="4" t="str">
        <f>HYPERLINK("https://basis.myseldon.com/ru/company/1021602848189?PartnerId=10756","1655007760")</f>
        <v>1655007760</v>
      </c>
      <c r="C55" s="3" t="s">
        <v>91</v>
      </c>
      <c r="D55" s="5">
        <v>4918603.83</v>
      </c>
    </row>
    <row r="56" spans="1:4" ht="25.5" x14ac:dyDescent="0.25">
      <c r="A56" s="3" t="s">
        <v>92</v>
      </c>
      <c r="B56" s="4" t="str">
        <f>HYPERLINK("https://basis.myseldon.com/ru/company/1027739212720?PartnerId=10756","7702051760")</f>
        <v>7702051760</v>
      </c>
      <c r="C56" s="3" t="s">
        <v>93</v>
      </c>
      <c r="D56" s="5">
        <v>6619538.1699999999</v>
      </c>
    </row>
    <row r="57" spans="1:4" ht="25.5" x14ac:dyDescent="0.25">
      <c r="A57" s="3" t="s">
        <v>94</v>
      </c>
      <c r="B57" s="4" t="str">
        <f>HYPERLINK("https://basis.myseldon.com/ru/company/1022301609307?PartnerId=10756","2310068690")</f>
        <v>2310068690</v>
      </c>
      <c r="C57" s="3" t="s">
        <v>95</v>
      </c>
      <c r="D57" s="5">
        <v>65484592.590000004</v>
      </c>
    </row>
    <row r="58" spans="1:4" ht="76.5" x14ac:dyDescent="0.25">
      <c r="A58" s="3" t="s">
        <v>96</v>
      </c>
      <c r="B58" s="4" t="str">
        <f>HYPERLINK("https://basis.myseldon.com/ru/company/1024201470908?PartnerId=10756","4216003509")</f>
        <v>4216003509</v>
      </c>
      <c r="C58" s="3" t="s">
        <v>97</v>
      </c>
      <c r="D58" s="5">
        <v>2696849.78</v>
      </c>
    </row>
    <row r="59" spans="1:4" ht="38.25" x14ac:dyDescent="0.25">
      <c r="A59" s="3" t="s">
        <v>98</v>
      </c>
      <c r="B59" s="4" t="str">
        <f>HYPERLINK("https://basis.myseldon.com/ru/company/1027700456156?PartnerId=10756","7725034169")</f>
        <v>7725034169</v>
      </c>
      <c r="C59" s="3" t="s">
        <v>37</v>
      </c>
      <c r="D59" s="5">
        <v>9469600</v>
      </c>
    </row>
    <row r="60" spans="1:4" ht="38.25" x14ac:dyDescent="0.25">
      <c r="A60" s="3" t="s">
        <v>99</v>
      </c>
      <c r="B60" s="4" t="str">
        <f>HYPERLINK("https://basis.myseldon.com/ru/company/1028600965997?PartnerId=10756","8603039002")</f>
        <v>8603039002</v>
      </c>
      <c r="C60" s="3" t="s">
        <v>100</v>
      </c>
      <c r="D60" s="5">
        <v>3716619.98</v>
      </c>
    </row>
    <row r="61" spans="1:4" ht="25.5" x14ac:dyDescent="0.25">
      <c r="A61" s="3" t="s">
        <v>101</v>
      </c>
      <c r="B61" s="4" t="str">
        <f>HYPERLINK("https://basis.myseldon.com/ru/company/1037739064285?PartnerId=10756","7735069192")</f>
        <v>7735069192</v>
      </c>
      <c r="C61" s="3" t="s">
        <v>102</v>
      </c>
      <c r="D61" s="5">
        <v>3088822.53</v>
      </c>
    </row>
    <row r="62" spans="1:4" ht="25.5" x14ac:dyDescent="0.25">
      <c r="A62" s="3" t="s">
        <v>36</v>
      </c>
      <c r="B62" s="4" t="str">
        <f>HYPERLINK("https://basis.myseldon.com/ru/company/1037707005346?PartnerId=10756","7707089084")</f>
        <v>7707089084</v>
      </c>
      <c r="C62" s="3" t="s">
        <v>37</v>
      </c>
      <c r="D62" s="5">
        <v>54350000</v>
      </c>
    </row>
    <row r="63" spans="1:4" x14ac:dyDescent="0.25">
      <c r="A63" s="3" t="s">
        <v>103</v>
      </c>
      <c r="B63" s="4" t="str">
        <f>HYPERLINK("https://basis.myseldon.com/ru/company/1075260029240?PartnerId=10756","5260214123")</f>
        <v>5260214123</v>
      </c>
      <c r="C63" s="3" t="s">
        <v>104</v>
      </c>
      <c r="D63" s="5">
        <v>3433800</v>
      </c>
    </row>
    <row r="64" spans="1:4" ht="25.5" x14ac:dyDescent="0.25">
      <c r="A64" s="3" t="s">
        <v>105</v>
      </c>
      <c r="B64" s="4" t="str">
        <f>HYPERLINK("https://basis.myseldon.com/ru/company/1037739085900?PartnerId=10756","7714082636")</f>
        <v>7714082636</v>
      </c>
      <c r="C64" s="3" t="s">
        <v>106</v>
      </c>
      <c r="D64" s="5">
        <v>4984720</v>
      </c>
    </row>
    <row r="65" spans="1:4" ht="25.5" x14ac:dyDescent="0.25">
      <c r="A65" s="3" t="s">
        <v>107</v>
      </c>
      <c r="B65" s="4" t="str">
        <f>HYPERLINK("https://basis.myseldon.com/ru/company/1027810244670?PartnerId=10756","7812006320")</f>
        <v>7812006320</v>
      </c>
      <c r="C65" s="3" t="s">
        <v>108</v>
      </c>
      <c r="D65" s="5">
        <v>1521600</v>
      </c>
    </row>
    <row r="66" spans="1:4" ht="38.25" x14ac:dyDescent="0.25">
      <c r="A66" s="3" t="s">
        <v>109</v>
      </c>
      <c r="B66" s="4" t="str">
        <f>HYPERLINK("https://basis.myseldon.com/ru/company/1149204009580?PartnerId=10756","9201003209")</f>
        <v>9201003209</v>
      </c>
      <c r="C66" s="3" t="s">
        <v>110</v>
      </c>
      <c r="D66" s="5">
        <v>5630856</v>
      </c>
    </row>
    <row r="67" spans="1:4" ht="25.5" x14ac:dyDescent="0.25">
      <c r="A67" s="3" t="s">
        <v>73</v>
      </c>
      <c r="B67" s="4" t="str">
        <f>HYPERLINK("https://basis.myseldon.com/ru/company/1027801553922?PartnerId=10756","7802065830")</f>
        <v>7802065830</v>
      </c>
      <c r="C67" s="3" t="s">
        <v>111</v>
      </c>
      <c r="D67" s="5">
        <v>1111117.02</v>
      </c>
    </row>
    <row r="68" spans="1:4" ht="25.5" x14ac:dyDescent="0.25">
      <c r="A68" s="3" t="s">
        <v>73</v>
      </c>
      <c r="B68" s="4" t="str">
        <f>HYPERLINK("https://basis.myseldon.com/ru/company/1027801553922?PartnerId=10756","7802065830")</f>
        <v>7802065830</v>
      </c>
      <c r="C68" s="3" t="s">
        <v>112</v>
      </c>
      <c r="D68" s="5">
        <v>2884890</v>
      </c>
    </row>
    <row r="69" spans="1:4" ht="25.5" x14ac:dyDescent="0.25">
      <c r="A69" s="3" t="s">
        <v>113</v>
      </c>
      <c r="B69" s="4" t="str">
        <f>HYPERLINK("https://basis.myseldon.com/ru/company/1045004478298?PartnerId=10756","5024068656")</f>
        <v>5024068656</v>
      </c>
      <c r="C69" s="3" t="s">
        <v>114</v>
      </c>
      <c r="D69" s="5">
        <v>38300000</v>
      </c>
    </row>
    <row r="70" spans="1:4" x14ac:dyDescent="0.25">
      <c r="A70" s="3" t="s">
        <v>115</v>
      </c>
      <c r="B70" s="4" t="str">
        <f>HYPERLINK("https://basis.myseldon.com/ru/company/1021401067632?PartnerId=10756","1435099188")</f>
        <v>1435099188</v>
      </c>
      <c r="C70" s="3" t="s">
        <v>116</v>
      </c>
      <c r="D70" s="5">
        <v>1955527.8</v>
      </c>
    </row>
    <row r="71" spans="1:4" ht="25.5" x14ac:dyDescent="0.25">
      <c r="A71" s="3" t="s">
        <v>117</v>
      </c>
      <c r="B71" s="4" t="str">
        <f>HYPERLINK("https://basis.myseldon.com/ru/company/1089848054339?PartnerId=10756","7839395419")</f>
        <v>7839395419</v>
      </c>
      <c r="C71" s="3" t="s">
        <v>118</v>
      </c>
      <c r="D71" s="5">
        <v>7880000</v>
      </c>
    </row>
    <row r="72" spans="1:4" ht="25.5" x14ac:dyDescent="0.25">
      <c r="A72" s="3" t="s">
        <v>119</v>
      </c>
      <c r="B72" s="4" t="str">
        <f>HYPERLINK("https://basis.myseldon.com/ru/company/1077847372767?PartnerId=10756","7811373398")</f>
        <v>7811373398</v>
      </c>
      <c r="C72" s="3" t="s">
        <v>120</v>
      </c>
      <c r="D72" s="5">
        <v>4719032.2699999996</v>
      </c>
    </row>
    <row r="73" spans="1:4" ht="25.5" x14ac:dyDescent="0.25">
      <c r="A73" s="3" t="s">
        <v>121</v>
      </c>
      <c r="B73" s="4" t="str">
        <f>HYPERLINK("https://basis.myseldon.com/ru/company/1022402056324?PartnerId=10756","2451000818")</f>
        <v>2451000818</v>
      </c>
      <c r="C73" s="3" t="s">
        <v>122</v>
      </c>
      <c r="D73" s="5">
        <v>3084668.68</v>
      </c>
    </row>
    <row r="74" spans="1:4" ht="25.5" x14ac:dyDescent="0.25">
      <c r="A74" s="3" t="s">
        <v>123</v>
      </c>
      <c r="B74" s="4" t="str">
        <f>HYPERLINK("https://basis.myseldon.com/ru/company/1035300303840?PartnerId=10756","5321095211")</f>
        <v>5321095211</v>
      </c>
      <c r="C74" s="3" t="s">
        <v>124</v>
      </c>
      <c r="D74" s="5">
        <v>1290931.8</v>
      </c>
    </row>
    <row r="75" spans="1:4" x14ac:dyDescent="0.25">
      <c r="A75" s="3" t="s">
        <v>89</v>
      </c>
      <c r="B75" s="4" t="str">
        <f>HYPERLINK("https://basis.myseldon.com/ru/company/1037739305702?PartnerId=10756","7704076129")</f>
        <v>7704076129</v>
      </c>
      <c r="C75" s="3" t="s">
        <v>37</v>
      </c>
      <c r="D75" s="5">
        <v>24048954.850000001</v>
      </c>
    </row>
    <row r="76" spans="1:4" x14ac:dyDescent="0.25">
      <c r="A76" s="3" t="s">
        <v>89</v>
      </c>
      <c r="B76" s="4" t="str">
        <f>HYPERLINK("https://basis.myseldon.com/ru/company/1037739305702?PartnerId=10756","7704076129")</f>
        <v>7704076129</v>
      </c>
      <c r="C76" s="3" t="s">
        <v>37</v>
      </c>
      <c r="D76" s="5">
        <v>221099221.06</v>
      </c>
    </row>
    <row r="77" spans="1:4" x14ac:dyDescent="0.25">
      <c r="A77" s="3" t="s">
        <v>89</v>
      </c>
      <c r="B77" s="4" t="str">
        <f>HYPERLINK("https://basis.myseldon.com/ru/company/1037739305702?PartnerId=10756","7704076129")</f>
        <v>7704076129</v>
      </c>
      <c r="C77" s="3" t="s">
        <v>37</v>
      </c>
      <c r="D77" s="5">
        <v>52529631.829999998</v>
      </c>
    </row>
    <row r="78" spans="1:4" ht="51" x14ac:dyDescent="0.25">
      <c r="A78" s="3" t="s">
        <v>125</v>
      </c>
      <c r="B78" s="4" t="str">
        <f>HYPERLINK("https://basis.myseldon.com/ru/company/1027739054420?PartnerId=10756","7728095113")</f>
        <v>7728095113</v>
      </c>
      <c r="C78" s="3" t="s">
        <v>126</v>
      </c>
      <c r="D78" s="5">
        <v>9651500</v>
      </c>
    </row>
    <row r="79" spans="1:4" ht="25.5" x14ac:dyDescent="0.25">
      <c r="A79" s="3" t="s">
        <v>5</v>
      </c>
      <c r="B79" s="4" t="str">
        <f>HYPERLINK("https://basis.myseldon.com/ru/company/5087746119951?PartnerId=10756","7721632827")</f>
        <v>7721632827</v>
      </c>
      <c r="C79" s="3" t="s">
        <v>127</v>
      </c>
      <c r="D79" s="5">
        <v>6839280</v>
      </c>
    </row>
    <row r="80" spans="1:4" x14ac:dyDescent="0.25">
      <c r="A80" s="3" t="s">
        <v>89</v>
      </c>
      <c r="B80" s="4" t="str">
        <f>HYPERLINK("https://basis.myseldon.com/ru/company/1037739305702?PartnerId=10756","7704076129")</f>
        <v>7704076129</v>
      </c>
      <c r="C80" s="3" t="s">
        <v>37</v>
      </c>
      <c r="D80" s="5">
        <v>222973155.31</v>
      </c>
    </row>
    <row r="81" spans="1:4" x14ac:dyDescent="0.25">
      <c r="A81" s="3" t="s">
        <v>128</v>
      </c>
      <c r="B81" s="4" t="str">
        <f>HYPERLINK("https://basis.myseldon.com/ru/company/1037739552740?PartnerId=10756","7729040491")</f>
        <v>7729040491</v>
      </c>
      <c r="C81" s="3" t="s">
        <v>129</v>
      </c>
      <c r="D81" s="5">
        <v>7027900</v>
      </c>
    </row>
    <row r="82" spans="1:4" x14ac:dyDescent="0.25">
      <c r="A82" s="3" t="s">
        <v>61</v>
      </c>
      <c r="B82" s="4" t="str">
        <f>HYPERLINK("https://basis.myseldon.com/ru/company/1027700070518?PartnerId=10756","7736050003")</f>
        <v>7736050003</v>
      </c>
      <c r="C82" s="3" t="s">
        <v>62</v>
      </c>
      <c r="D82" s="5">
        <v>3003811.6</v>
      </c>
    </row>
    <row r="83" spans="1:4" x14ac:dyDescent="0.25">
      <c r="A83" s="3" t="s">
        <v>130</v>
      </c>
      <c r="B83" s="4" t="str">
        <f>HYPERLINK("https://basis.myseldon.com/ru/company/1027739552642?PartnerId=10756","7728171283")</f>
        <v>7728171283</v>
      </c>
      <c r="C83" s="3" t="s">
        <v>131</v>
      </c>
      <c r="D83" s="5">
        <v>1554872</v>
      </c>
    </row>
    <row r="84" spans="1:4" ht="38.25" x14ac:dyDescent="0.25">
      <c r="A84" s="3" t="s">
        <v>132</v>
      </c>
      <c r="B84" s="4" t="str">
        <f>HYPERLINK("https://basis.myseldon.com/ru/company/1022200912030?PartnerId=10756","2221007858")</f>
        <v>2221007858</v>
      </c>
      <c r="C84" s="3" t="s">
        <v>133</v>
      </c>
      <c r="D84" s="5">
        <v>1399981.55</v>
      </c>
    </row>
    <row r="85" spans="1:4" ht="25.5" x14ac:dyDescent="0.25">
      <c r="A85" s="3" t="s">
        <v>134</v>
      </c>
      <c r="B85" s="4" t="str">
        <f>HYPERLINK("https://basis.myseldon.com/ru/company/1056000327041?PartnerId=10756","6027087867")</f>
        <v>6027087867</v>
      </c>
      <c r="C85" s="3" t="s">
        <v>135</v>
      </c>
      <c r="D85" s="5">
        <v>8806250.8000000007</v>
      </c>
    </row>
    <row r="86" spans="1:4" x14ac:dyDescent="0.25">
      <c r="A86" s="3" t="s">
        <v>136</v>
      </c>
      <c r="B86" s="4" t="str">
        <f>HYPERLINK("https://basis.myseldon.com/ru/company/1027403890865?PartnerId=10756","7453042876")</f>
        <v>7453042876</v>
      </c>
      <c r="C86" s="3" t="s">
        <v>137</v>
      </c>
      <c r="D86" s="5">
        <v>1795500</v>
      </c>
    </row>
    <row r="87" spans="1:4" ht="25.5" x14ac:dyDescent="0.25">
      <c r="A87" s="3" t="s">
        <v>138</v>
      </c>
      <c r="B87" s="4" t="str">
        <f>HYPERLINK("https://basis.myseldon.com/ru/company/1107847294840?PartnerId=10756","7843311757")</f>
        <v>7843311757</v>
      </c>
      <c r="C87" s="3" t="s">
        <v>139</v>
      </c>
      <c r="D87" s="5">
        <v>3978050.1</v>
      </c>
    </row>
    <row r="88" spans="1:4" ht="25.5" x14ac:dyDescent="0.25">
      <c r="A88" s="3" t="s">
        <v>140</v>
      </c>
      <c r="B88" s="4" t="str">
        <f>HYPERLINK("https://basis.myseldon.com/ru/company/1047796261512?PartnerId=10756","7707515984")</f>
        <v>7707515984</v>
      </c>
      <c r="C88" s="3" t="s">
        <v>141</v>
      </c>
      <c r="D88" s="5">
        <v>13954278</v>
      </c>
    </row>
    <row r="89" spans="1:4" ht="191.25" x14ac:dyDescent="0.25">
      <c r="A89" s="3" t="s">
        <v>142</v>
      </c>
      <c r="B89" s="4" t="str">
        <f>HYPERLINK("https://basis.myseldon.com/ru/company/1027403890865?PartnerId=10756","7453042876")</f>
        <v>7453042876</v>
      </c>
      <c r="C89" s="3" t="s">
        <v>143</v>
      </c>
      <c r="D89" s="5">
        <v>3496350</v>
      </c>
    </row>
    <row r="90" spans="1:4" x14ac:dyDescent="0.25">
      <c r="A90" s="3" t="s">
        <v>144</v>
      </c>
      <c r="B90" s="4" t="str">
        <f>HYPERLINK("https://basis.myseldon.com/ru/company/1023404362850?PartnerId=10756","3448906033")</f>
        <v>3448906033</v>
      </c>
      <c r="C90" s="3" t="s">
        <v>145</v>
      </c>
      <c r="D90" s="5">
        <v>2492392.09</v>
      </c>
    </row>
    <row r="91" spans="1:4" x14ac:dyDescent="0.25">
      <c r="A91" s="3" t="s">
        <v>146</v>
      </c>
      <c r="B91" s="4" t="str">
        <f>HYPERLINK("https://basis.myseldon.com/ru/company/1022401404871?PartnerId=10756","2452000401")</f>
        <v>2452000401</v>
      </c>
      <c r="C91" s="3" t="s">
        <v>147</v>
      </c>
      <c r="D91" s="5">
        <v>1216000.02</v>
      </c>
    </row>
    <row r="92" spans="1:4" ht="25.5" x14ac:dyDescent="0.25">
      <c r="A92" s="3" t="s">
        <v>148</v>
      </c>
      <c r="B92" s="4" t="str">
        <f>HYPERLINK("https://basis.myseldon.com/ru/company/1027700504292?PartnerId=10756","7702132064")</f>
        <v>7702132064</v>
      </c>
      <c r="C92" s="3" t="s">
        <v>149</v>
      </c>
      <c r="D92" s="5">
        <v>8128139</v>
      </c>
    </row>
    <row r="93" spans="1:4" ht="25.5" x14ac:dyDescent="0.25">
      <c r="A93" s="3" t="s">
        <v>150</v>
      </c>
      <c r="B93" s="4" t="str">
        <f>HYPERLINK("https://basis.myseldon.com/ru/company/5137746032860?PartnerId=10756","7735597474")</f>
        <v>7735597474</v>
      </c>
      <c r="C93" s="3" t="s">
        <v>151</v>
      </c>
      <c r="D93" s="5">
        <v>2790000</v>
      </c>
    </row>
    <row r="94" spans="1:4" ht="25.5" x14ac:dyDescent="0.25">
      <c r="A94" s="3" t="s">
        <v>152</v>
      </c>
      <c r="B94" s="4" t="str">
        <f>HYPERLINK("https://basis.myseldon.com/ru/company/1087024001965?PartnerId=10756","7024029499")</f>
        <v>7024029499</v>
      </c>
      <c r="C94" s="3" t="s">
        <v>153</v>
      </c>
      <c r="D94" s="5">
        <v>7651120</v>
      </c>
    </row>
    <row r="95" spans="1:4" ht="25.5" x14ac:dyDescent="0.25">
      <c r="A95" s="3" t="s">
        <v>154</v>
      </c>
      <c r="B95" s="4" t="str">
        <f>HYPERLINK("https://basis.myseldon.com/ru/company/1023202135725?PartnerId=10756","3207000066")</f>
        <v>3207000066</v>
      </c>
      <c r="C95" s="3" t="s">
        <v>155</v>
      </c>
      <c r="D95" s="5">
        <v>5784880.7000000002</v>
      </c>
    </row>
    <row r="96" spans="1:4" ht="25.5" x14ac:dyDescent="0.25">
      <c r="A96" s="3" t="s">
        <v>156</v>
      </c>
      <c r="B96" s="4" t="str">
        <f>HYPERLINK("https://basis.myseldon.com/ru/company/1123668041958?PartnerId=10756","3661057435")</f>
        <v>3661057435</v>
      </c>
      <c r="C96" s="3" t="s">
        <v>157</v>
      </c>
      <c r="D96" s="5">
        <v>13073959.800000001</v>
      </c>
    </row>
    <row r="97" spans="1:4" x14ac:dyDescent="0.25">
      <c r="A97" s="3" t="s">
        <v>158</v>
      </c>
      <c r="B97" s="4" t="str">
        <f>HYPERLINK("https://basis.myseldon.com/ru/company/1116234013598?PartnerId=10756","6234098539")</f>
        <v>6234098539</v>
      </c>
      <c r="C97" s="3" t="s">
        <v>159</v>
      </c>
      <c r="D97" s="5">
        <v>5673595.2000000002</v>
      </c>
    </row>
    <row r="98" spans="1:4" ht="25.5" x14ac:dyDescent="0.25">
      <c r="A98" s="3" t="s">
        <v>160</v>
      </c>
      <c r="B98" s="4" t="str">
        <f>HYPERLINK("https://basis.myseldon.com/ru/company/1025007389527?PartnerId=10756","5072703668")</f>
        <v>5072703668</v>
      </c>
      <c r="C98" s="3" t="s">
        <v>161</v>
      </c>
      <c r="D98" s="5">
        <v>1092704.81</v>
      </c>
    </row>
    <row r="99" spans="1:4" ht="25.5" x14ac:dyDescent="0.25">
      <c r="A99" s="3" t="s">
        <v>162</v>
      </c>
      <c r="B99" s="4" t="str">
        <f>HYPERLINK("https://basis.myseldon.com/ru/company/1037734010467?PartnerId=10756","7734091519")</f>
        <v>7734091519</v>
      </c>
      <c r="C99" s="3" t="s">
        <v>163</v>
      </c>
      <c r="D99" s="5">
        <v>7372000</v>
      </c>
    </row>
    <row r="100" spans="1:4" ht="38.25" x14ac:dyDescent="0.25">
      <c r="A100" s="3" t="s">
        <v>164</v>
      </c>
      <c r="B100" s="4" t="str">
        <f>HYPERLINK("https://basis.myseldon.com/ru/company/1026402664903?PartnerId=10756","6452006471")</f>
        <v>6452006471</v>
      </c>
      <c r="C100" s="3" t="s">
        <v>165</v>
      </c>
      <c r="D100" s="5">
        <v>2161902.02</v>
      </c>
    </row>
    <row r="101" spans="1:4" ht="38.25" x14ac:dyDescent="0.25">
      <c r="A101" s="3" t="s">
        <v>166</v>
      </c>
      <c r="B101" s="4" t="str">
        <f>HYPERLINK("https://basis.myseldon.com/ru/company/1037828001606?PartnerId=10756","7813047463")</f>
        <v>7813047463</v>
      </c>
      <c r="C101" s="3" t="s">
        <v>167</v>
      </c>
      <c r="D101" s="5">
        <v>19207090</v>
      </c>
    </row>
    <row r="102" spans="1:4" ht="63.75" x14ac:dyDescent="0.25">
      <c r="A102" s="3" t="s">
        <v>168</v>
      </c>
      <c r="B102" s="4" t="str">
        <f>HYPERLINK("https://basis.myseldon.com/ru/company/1025900513924?PartnerId=10756","5902291029")</f>
        <v>5902291029</v>
      </c>
      <c r="C102" s="3" t="s">
        <v>169</v>
      </c>
      <c r="D102" s="5">
        <v>1779100.65</v>
      </c>
    </row>
    <row r="103" spans="1:4" ht="25.5" x14ac:dyDescent="0.25">
      <c r="A103" s="3" t="s">
        <v>101</v>
      </c>
      <c r="B103" s="4" t="str">
        <f>HYPERLINK("https://basis.myseldon.com/ru/company/1037739064285?PartnerId=10756","7735069192")</f>
        <v>7735069192</v>
      </c>
      <c r="C103" s="3" t="s">
        <v>102</v>
      </c>
      <c r="D103" s="5">
        <v>6999300</v>
      </c>
    </row>
    <row r="104" spans="1:4" ht="51" x14ac:dyDescent="0.25">
      <c r="A104" s="3" t="s">
        <v>170</v>
      </c>
      <c r="B104" s="4" t="str">
        <f>HYPERLINK("https://basis.myseldon.com/ru/company/1028600609180?PartnerId=10756","8602200001")</f>
        <v>8602200001</v>
      </c>
      <c r="C104" s="3" t="s">
        <v>171</v>
      </c>
      <c r="D104" s="5">
        <v>5000000</v>
      </c>
    </row>
    <row r="105" spans="1:4" x14ac:dyDescent="0.25">
      <c r="A105" s="3" t="s">
        <v>172</v>
      </c>
      <c r="B105" s="4" t="str">
        <f>HYPERLINK("https://basis.myseldon.com/ru/company/1036300996940?PartnerId=10756","6320004407")</f>
        <v>6320004407</v>
      </c>
      <c r="C105" s="3" t="s">
        <v>173</v>
      </c>
      <c r="D105" s="5">
        <v>1835600</v>
      </c>
    </row>
    <row r="106" spans="1:4" ht="25.5" x14ac:dyDescent="0.25">
      <c r="A106" s="3" t="s">
        <v>128</v>
      </c>
      <c r="B106" s="4" t="str">
        <f>HYPERLINK("https://basis.myseldon.com/ru/company/1037739552740?PartnerId=10756","7729040491")</f>
        <v>7729040491</v>
      </c>
      <c r="C106" s="3" t="s">
        <v>174</v>
      </c>
      <c r="D106" s="5">
        <v>4816138</v>
      </c>
    </row>
    <row r="107" spans="1:4" x14ac:dyDescent="0.25">
      <c r="A107" s="3" t="s">
        <v>175</v>
      </c>
      <c r="B107" s="4" t="str">
        <f>HYPERLINK("https://basis.myseldon.com/ru/company/1025300803000?PartnerId=10756","5321027973")</f>
        <v>5321027973</v>
      </c>
      <c r="C107" s="3" t="s">
        <v>176</v>
      </c>
      <c r="D107" s="5">
        <v>6331686.3499999996</v>
      </c>
    </row>
    <row r="108" spans="1:4" ht="89.25" x14ac:dyDescent="0.25">
      <c r="A108" s="3" t="s">
        <v>177</v>
      </c>
      <c r="B108" s="4" t="str">
        <f>HYPERLINK("https://basis.myseldon.com/ru/company/1023101664519?PartnerId=10756","3123035312")</f>
        <v>3123035312</v>
      </c>
      <c r="C108" s="3" t="s">
        <v>178</v>
      </c>
      <c r="D108" s="5">
        <v>2024000</v>
      </c>
    </row>
    <row r="109" spans="1:4" ht="25.5" x14ac:dyDescent="0.25">
      <c r="A109" s="3" t="s">
        <v>179</v>
      </c>
      <c r="B109" s="4" t="str">
        <f>HYPERLINK("https://basis.myseldon.com/ru/company/1025006169704?PartnerId=10756","5047008220")</f>
        <v>5047008220</v>
      </c>
      <c r="C109" s="3" t="s">
        <v>180</v>
      </c>
      <c r="D109" s="5">
        <v>2122584</v>
      </c>
    </row>
    <row r="110" spans="1:4" ht="38.25" x14ac:dyDescent="0.25">
      <c r="A110" s="3" t="s">
        <v>181</v>
      </c>
      <c r="B110" s="4" t="str">
        <f>HYPERLINK("https://basis.myseldon.com/ru/company/1027739714606?PartnerId=10756","7713059497")</f>
        <v>7713059497</v>
      </c>
      <c r="C110" s="3" t="s">
        <v>182</v>
      </c>
      <c r="D110" s="5">
        <v>2610000</v>
      </c>
    </row>
    <row r="111" spans="1:4" ht="38.25" x14ac:dyDescent="0.25">
      <c r="A111" s="3" t="s">
        <v>55</v>
      </c>
      <c r="B111" s="4" t="str">
        <f>HYPERLINK("https://basis.myseldon.com/ru/company/1027739496014?PartnerId=10756","7701186067")</f>
        <v>7701186067</v>
      </c>
      <c r="C111" s="3" t="s">
        <v>183</v>
      </c>
      <c r="D111" s="5">
        <v>26460000</v>
      </c>
    </row>
    <row r="112" spans="1:4" ht="25.5" x14ac:dyDescent="0.25">
      <c r="A112" s="3" t="s">
        <v>184</v>
      </c>
      <c r="B112" s="4" t="str">
        <f>HYPERLINK("https://basis.myseldon.com/ru/company/1027700031490?PartnerId=10756","7709115815")</f>
        <v>7709115815</v>
      </c>
      <c r="C112" s="3" t="s">
        <v>185</v>
      </c>
      <c r="D112" s="5">
        <v>87045909</v>
      </c>
    </row>
    <row r="113" spans="1:4" ht="25.5" x14ac:dyDescent="0.25">
      <c r="A113" s="3" t="s">
        <v>186</v>
      </c>
      <c r="B113" s="4" t="str">
        <f>HYPERLINK("https://basis.myseldon.com/ru/company/1022800512888?PartnerId=10756","2801031847")</f>
        <v>2801031847</v>
      </c>
      <c r="C113" s="3" t="s">
        <v>187</v>
      </c>
      <c r="D113" s="5">
        <v>1189000.77</v>
      </c>
    </row>
    <row r="114" spans="1:4" x14ac:dyDescent="0.25">
      <c r="A114" s="3" t="s">
        <v>152</v>
      </c>
      <c r="B114" s="4" t="str">
        <f>HYPERLINK("https://basis.myseldon.com/ru/company/1087024001965?PartnerId=10756","7024029499")</f>
        <v>7024029499</v>
      </c>
      <c r="C114" s="3" t="s">
        <v>188</v>
      </c>
      <c r="D114" s="5">
        <v>9919829.4000000004</v>
      </c>
    </row>
    <row r="115" spans="1:4" x14ac:dyDescent="0.25">
      <c r="A115" s="3" t="s">
        <v>115</v>
      </c>
      <c r="B115" s="4" t="str">
        <f>HYPERLINK("https://basis.myseldon.com/ru/company/1021401067632?PartnerId=10756","1435099188")</f>
        <v>1435099188</v>
      </c>
      <c r="C115" s="3" t="s">
        <v>116</v>
      </c>
      <c r="D115" s="5">
        <v>17867431</v>
      </c>
    </row>
    <row r="116" spans="1:4" ht="25.5" x14ac:dyDescent="0.25">
      <c r="A116" s="3" t="s">
        <v>189</v>
      </c>
      <c r="B116" s="4" t="str">
        <f>HYPERLINK("https://basis.myseldon.com/ru/company/1036405007242?PartnerId=10756","6450525200")</f>
        <v>6450525200</v>
      </c>
      <c r="C116" s="3" t="s">
        <v>190</v>
      </c>
      <c r="D116" s="5">
        <v>5570200</v>
      </c>
    </row>
    <row r="117" spans="1:4" ht="51" x14ac:dyDescent="0.25">
      <c r="A117" s="3" t="s">
        <v>191</v>
      </c>
      <c r="B117" s="4" t="str">
        <f>HYPERLINK("https://basis.myseldon.com/ru/company/1125740003388?PartnerId=10756","5752057644")</f>
        <v>5752057644</v>
      </c>
      <c r="C117" s="3" t="s">
        <v>192</v>
      </c>
      <c r="D117" s="5">
        <v>24351000.34</v>
      </c>
    </row>
    <row r="118" spans="1:4" ht="127.5" x14ac:dyDescent="0.25">
      <c r="A118" s="3" t="s">
        <v>193</v>
      </c>
      <c r="B118" s="4" t="str">
        <f>HYPERLINK("https://basis.myseldon.com/ru/company/1035008252377?PartnerId=10756","5041020083")</f>
        <v>5041020083</v>
      </c>
      <c r="C118" s="3" t="s">
        <v>194</v>
      </c>
      <c r="D118" s="5">
        <v>3507243.6</v>
      </c>
    </row>
    <row r="119" spans="1:4" ht="38.25" x14ac:dyDescent="0.25">
      <c r="A119" s="3" t="s">
        <v>195</v>
      </c>
      <c r="B119" s="4" t="str">
        <f>HYPERLINK("https://basis.myseldon.com/ru/company/1147746382959?PartnerId=10756","7702835821")</f>
        <v>7702835821</v>
      </c>
      <c r="C119" s="3" t="s">
        <v>196</v>
      </c>
      <c r="D119" s="5">
        <v>1138500</v>
      </c>
    </row>
    <row r="120" spans="1:4" ht="25.5" x14ac:dyDescent="0.25">
      <c r="A120" s="3" t="s">
        <v>197</v>
      </c>
      <c r="B120" s="4" t="str">
        <f>HYPERLINK("https://basis.myseldon.com/ru/company/1020300904854?PartnerId=10756","0323115104")</f>
        <v>0323115104</v>
      </c>
      <c r="C120" s="3" t="s">
        <v>198</v>
      </c>
      <c r="D120" s="5">
        <v>2984999.99</v>
      </c>
    </row>
    <row r="121" spans="1:4" ht="25.5" x14ac:dyDescent="0.25">
      <c r="A121" s="3" t="s">
        <v>199</v>
      </c>
      <c r="B121" s="4" t="str">
        <f>HYPERLINK("https://basis.myseldon.com/ru/company/1037739037082?PartnerId=10756","7728025109")</f>
        <v>7728025109</v>
      </c>
      <c r="C121" s="3" t="s">
        <v>200</v>
      </c>
      <c r="D121" s="5">
        <v>3089816</v>
      </c>
    </row>
    <row r="122" spans="1:4" ht="51" x14ac:dyDescent="0.25">
      <c r="A122" s="3" t="s">
        <v>201</v>
      </c>
      <c r="B122" s="4" t="str">
        <f>HYPERLINK("https://basis.myseldon.com/ru/company/1027100753360?PartnerId=10756","7106003011")</f>
        <v>7106003011</v>
      </c>
      <c r="C122" s="3" t="s">
        <v>202</v>
      </c>
      <c r="D122" s="5">
        <v>7902099</v>
      </c>
    </row>
    <row r="123" spans="1:4" x14ac:dyDescent="0.25">
      <c r="A123" s="3" t="s">
        <v>203</v>
      </c>
      <c r="B123" s="4" t="str">
        <f>HYPERLINK("https://basis.myseldon.com/ru/company/1027700096280?PartnerId=10756","7702038150")</f>
        <v>7702038150</v>
      </c>
      <c r="C123" s="3" t="s">
        <v>204</v>
      </c>
      <c r="D123" s="5">
        <v>1510000</v>
      </c>
    </row>
    <row r="124" spans="1:4" ht="38.25" x14ac:dyDescent="0.25">
      <c r="A124" s="3" t="s">
        <v>205</v>
      </c>
      <c r="B124" s="4" t="str">
        <f>HYPERLINK("https://basis.myseldon.com/ru/company/1035000901143?PartnerId=10756","5003005824")</f>
        <v>5003005824</v>
      </c>
      <c r="C124" s="3" t="s">
        <v>206</v>
      </c>
      <c r="D124" s="5">
        <v>30000000</v>
      </c>
    </row>
    <row r="125" spans="1:4" x14ac:dyDescent="0.25">
      <c r="A125" s="3" t="s">
        <v>207</v>
      </c>
      <c r="B125" s="4" t="str">
        <f>HYPERLINK("https://basis.myseldon.com/ru/company/1033700053606?PartnerId=10756","3728012818")</f>
        <v>3728012818</v>
      </c>
      <c r="C125" s="3" t="s">
        <v>208</v>
      </c>
      <c r="D125" s="5">
        <v>4999360.0999999996</v>
      </c>
    </row>
    <row r="126" spans="1:4" x14ac:dyDescent="0.25">
      <c r="A126" s="3" t="s">
        <v>207</v>
      </c>
      <c r="B126" s="4" t="str">
        <f>HYPERLINK("https://basis.myseldon.com/ru/company/1033700053606?PartnerId=10756","3728012818")</f>
        <v>3728012818</v>
      </c>
      <c r="C126" s="3" t="s">
        <v>209</v>
      </c>
      <c r="D126" s="5">
        <v>2080000</v>
      </c>
    </row>
    <row r="127" spans="1:4" ht="25.5" x14ac:dyDescent="0.25">
      <c r="A127" s="3" t="s">
        <v>210</v>
      </c>
      <c r="B127" s="4" t="str">
        <f>HYPERLINK("https://basis.myseldon.com/ru/company/1027739731491?PartnerId=10756","7733046721")</f>
        <v>7733046721</v>
      </c>
      <c r="C127" s="3" t="s">
        <v>211</v>
      </c>
      <c r="D127" s="5">
        <v>1548776</v>
      </c>
    </row>
    <row r="128" spans="1:4" ht="51" x14ac:dyDescent="0.25">
      <c r="A128" s="3" t="s">
        <v>212</v>
      </c>
      <c r="B128" s="4" t="str">
        <f>HYPERLINK("https://basis.myseldon.com/ru/company/1031402057610?PartnerId=10756","1435054518")</f>
        <v>1435054518</v>
      </c>
      <c r="C128" s="3" t="s">
        <v>213</v>
      </c>
      <c r="D128" s="5">
        <v>1597529</v>
      </c>
    </row>
    <row r="129" spans="1:4" ht="25.5" x14ac:dyDescent="0.25">
      <c r="A129" s="3" t="s">
        <v>214</v>
      </c>
      <c r="B129" s="4" t="str">
        <f>HYPERLINK("https://basis.myseldon.com/ru/company/1160400050469?PartnerId=10756","0411175222")</f>
        <v>0411175222</v>
      </c>
      <c r="C129" s="3" t="s">
        <v>215</v>
      </c>
      <c r="D129" s="5">
        <v>23160600</v>
      </c>
    </row>
    <row r="130" spans="1:4" ht="38.25" x14ac:dyDescent="0.25">
      <c r="A130" s="3" t="s">
        <v>216</v>
      </c>
      <c r="B130" s="4" t="str">
        <f>HYPERLINK("https://basis.myseldon.com/ru/company/1025700830671?PartnerId=10756","5753018736")</f>
        <v>5753018736</v>
      </c>
      <c r="C130" s="3" t="s">
        <v>217</v>
      </c>
      <c r="D130" s="5">
        <v>1191966.6599999999</v>
      </c>
    </row>
    <row r="131" spans="1:4" ht="25.5" x14ac:dyDescent="0.25">
      <c r="A131" s="3" t="s">
        <v>216</v>
      </c>
      <c r="B131" s="4" t="str">
        <f>HYPERLINK("https://basis.myseldon.com/ru/company/1025700830671?PartnerId=10756","5753018736")</f>
        <v>5753018736</v>
      </c>
      <c r="C131" s="3" t="s">
        <v>218</v>
      </c>
      <c r="D131" s="5">
        <v>1933616.66</v>
      </c>
    </row>
    <row r="132" spans="1:4" x14ac:dyDescent="0.25">
      <c r="A132" s="3" t="s">
        <v>219</v>
      </c>
      <c r="B132" s="4" t="str">
        <f>HYPERLINK("https://basis.myseldon.com/ru/company/1026601766950?PartnerId=10756","6630002336")</f>
        <v>6630002336</v>
      </c>
      <c r="C132" s="3" t="s">
        <v>220</v>
      </c>
      <c r="D132" s="5">
        <v>3970700</v>
      </c>
    </row>
    <row r="133" spans="1:4" x14ac:dyDescent="0.25">
      <c r="A133" s="3" t="s">
        <v>221</v>
      </c>
      <c r="B133" s="4" t="str">
        <f>HYPERLINK("https://basis.myseldon.com/ru/company/1107746573670?PartnerId=10756","7718813855")</f>
        <v>7718813855</v>
      </c>
      <c r="C133" s="3" t="s">
        <v>222</v>
      </c>
      <c r="D133" s="5">
        <v>108389878.8</v>
      </c>
    </row>
    <row r="134" spans="1:4" x14ac:dyDescent="0.25">
      <c r="A134" s="3" t="s">
        <v>223</v>
      </c>
      <c r="B134" s="4" t="str">
        <f>HYPERLINK("https://basis.myseldon.com/ru/company/1027809238236?PartnerId=10756","7825010980")</f>
        <v>7825010980</v>
      </c>
      <c r="C134" s="3" t="s">
        <v>224</v>
      </c>
      <c r="D134" s="5">
        <v>5000000</v>
      </c>
    </row>
    <row r="135" spans="1:4" ht="25.5" x14ac:dyDescent="0.25">
      <c r="A135" s="3" t="s">
        <v>105</v>
      </c>
      <c r="B135" s="4" t="str">
        <f>HYPERLINK("https://basis.myseldon.com/ru/company/1037739085900?PartnerId=10756","7714082636")</f>
        <v>7714082636</v>
      </c>
      <c r="C135" s="3" t="s">
        <v>225</v>
      </c>
      <c r="D135" s="5">
        <v>2021104</v>
      </c>
    </row>
    <row r="136" spans="1:4" ht="165.75" x14ac:dyDescent="0.25">
      <c r="A136" s="3" t="s">
        <v>226</v>
      </c>
      <c r="B136" s="4" t="str">
        <f>HYPERLINK("https://basis.myseldon.com/ru/company/1028900511815?PartnerId=10756","8901007006")</f>
        <v>8901007006</v>
      </c>
      <c r="C136" s="3" t="s">
        <v>227</v>
      </c>
      <c r="D136" s="5">
        <v>2098667.0099999998</v>
      </c>
    </row>
    <row r="137" spans="1:4" x14ac:dyDescent="0.25">
      <c r="A137" s="3" t="s">
        <v>228</v>
      </c>
      <c r="B137" s="4" t="str">
        <f>HYPERLINK("https://basis.myseldon.com/ru/company/1047796287440?PartnerId=10756","7710539135")</f>
        <v>7710539135</v>
      </c>
      <c r="C137" s="3" t="s">
        <v>229</v>
      </c>
      <c r="D137" s="5">
        <v>5857800</v>
      </c>
    </row>
    <row r="138" spans="1:4" ht="25.5" x14ac:dyDescent="0.25">
      <c r="A138" s="3" t="s">
        <v>230</v>
      </c>
      <c r="B138" s="4" t="str">
        <f>HYPERLINK("https://basis.myseldon.com/ru/company/1021200757808?PartnerId=10756","1200001885")</f>
        <v>1200001885</v>
      </c>
      <c r="C138" s="3" t="s">
        <v>231</v>
      </c>
      <c r="D138" s="5">
        <v>1950000</v>
      </c>
    </row>
    <row r="139" spans="1:4" ht="114.75" x14ac:dyDescent="0.25">
      <c r="A139" s="3" t="s">
        <v>232</v>
      </c>
      <c r="B139" s="4" t="str">
        <f>HYPERLINK("https://basis.myseldon.com/ru/company/1037843031808?PartnerId=10756","7830002416")</f>
        <v>7830002416</v>
      </c>
      <c r="C139" s="3" t="s">
        <v>233</v>
      </c>
      <c r="D139" s="5">
        <v>5950000</v>
      </c>
    </row>
    <row r="140" spans="1:4" ht="25.5" x14ac:dyDescent="0.25">
      <c r="A140" s="3" t="s">
        <v>234</v>
      </c>
      <c r="B140" s="4" t="str">
        <f>HYPERLINK("https://basis.myseldon.com/ru/company/1027739783620?PartnerId=10756","7705039232")</f>
        <v>7705039232</v>
      </c>
      <c r="C140" s="3" t="s">
        <v>235</v>
      </c>
      <c r="D140" s="5">
        <v>1107819.72</v>
      </c>
    </row>
    <row r="141" spans="1:4" ht="38.25" x14ac:dyDescent="0.25">
      <c r="A141" s="3" t="s">
        <v>236</v>
      </c>
      <c r="B141" s="4" t="str">
        <f>HYPERLINK("https://basis.myseldon.com/ru/company/1092468002582?PartnerId=10756","2460213604")</f>
        <v>2460213604</v>
      </c>
      <c r="C141" s="3" t="s">
        <v>237</v>
      </c>
      <c r="D141" s="5">
        <v>1534305.7</v>
      </c>
    </row>
    <row r="142" spans="1:4" ht="38.25" x14ac:dyDescent="0.25">
      <c r="A142" s="3" t="s">
        <v>238</v>
      </c>
      <c r="B142" s="4" t="str">
        <f>HYPERLINK("https://basis.myseldon.com/ru/company/1048600000701?PartnerId=10756","8601022211")</f>
        <v>8601022211</v>
      </c>
      <c r="C142" s="3" t="s">
        <v>239</v>
      </c>
      <c r="D142" s="5">
        <v>1870047.67</v>
      </c>
    </row>
    <row r="143" spans="1:4" ht="25.5" x14ac:dyDescent="0.25">
      <c r="A143" s="3" t="s">
        <v>240</v>
      </c>
      <c r="B143" s="4" t="str">
        <f>HYPERLINK("https://basis.myseldon.com/ru/company/1027402324905?PartnerId=10756","7447012841")</f>
        <v>7447012841</v>
      </c>
      <c r="C143" s="3" t="s">
        <v>241</v>
      </c>
      <c r="D143" s="5">
        <v>1915474.67</v>
      </c>
    </row>
    <row r="144" spans="1:4" ht="25.5" x14ac:dyDescent="0.25">
      <c r="A144" s="3" t="s">
        <v>242</v>
      </c>
      <c r="B144" s="4" t="str">
        <f>HYPERLINK("https://basis.myseldon.com/ru/company/1149102174980?PartnerId=10756","9105006609")</f>
        <v>9105006609</v>
      </c>
      <c r="C144" s="3" t="s">
        <v>243</v>
      </c>
      <c r="D144" s="5">
        <v>1236390.8</v>
      </c>
    </row>
    <row r="145" spans="1:4" ht="76.5" x14ac:dyDescent="0.25">
      <c r="A145" s="3" t="s">
        <v>244</v>
      </c>
      <c r="B145" s="4" t="str">
        <f>HYPERLINK("https://basis.myseldon.com/ru/company/1034100640694?PartnerId=10756","4100014332")</f>
        <v>4100014332</v>
      </c>
      <c r="C145" s="3" t="s">
        <v>245</v>
      </c>
      <c r="D145" s="5">
        <v>1000000</v>
      </c>
    </row>
    <row r="146" spans="1:4" x14ac:dyDescent="0.25">
      <c r="A146" s="3" t="s">
        <v>79</v>
      </c>
      <c r="B146" s="4" t="str">
        <f>HYPERLINK("https://basis.myseldon.com/ru/company/1027700198767?PartnerId=10756","7707049388")</f>
        <v>7707049388</v>
      </c>
      <c r="C146" s="3" t="s">
        <v>246</v>
      </c>
      <c r="D146" s="5">
        <v>1669918.3</v>
      </c>
    </row>
    <row r="147" spans="1:4" ht="25.5" x14ac:dyDescent="0.25">
      <c r="A147" s="3" t="s">
        <v>9</v>
      </c>
      <c r="B147" s="4" t="str">
        <f>HYPERLINK("https://basis.myseldon.com/ru/company/1024701759565?PartnerId=10756","4714000067")</f>
        <v>4714000067</v>
      </c>
      <c r="C147" s="3" t="s">
        <v>10</v>
      </c>
      <c r="D147" s="5">
        <v>1331490</v>
      </c>
    </row>
    <row r="148" spans="1:4" ht="63.75" x14ac:dyDescent="0.25">
      <c r="A148" s="3" t="s">
        <v>247</v>
      </c>
      <c r="B148" s="4" t="str">
        <f>HYPERLINK("https://basis.myseldon.com/ru/company/1028600614822?PartnerId=10756","8602000806")</f>
        <v>8602000806</v>
      </c>
      <c r="C148" s="3" t="s">
        <v>248</v>
      </c>
      <c r="D148" s="5">
        <v>1089429.32</v>
      </c>
    </row>
    <row r="149" spans="1:4" ht="38.25" x14ac:dyDescent="0.25">
      <c r="A149" s="3" t="s">
        <v>249</v>
      </c>
      <c r="B149" s="4" t="str">
        <f>HYPERLINK("https://basis.myseldon.com/ru/company/1028900766850?PartnerId=10756","8906005041")</f>
        <v>8906005041</v>
      </c>
      <c r="C149" s="3" t="s">
        <v>250</v>
      </c>
      <c r="D149" s="5">
        <v>2227332.33</v>
      </c>
    </row>
    <row r="150" spans="1:4" ht="38.25" x14ac:dyDescent="0.25">
      <c r="A150" s="3" t="s">
        <v>249</v>
      </c>
      <c r="B150" s="4" t="str">
        <f>HYPERLINK("https://basis.myseldon.com/ru/company/1028900766850?PartnerId=10756","8906005041")</f>
        <v>8906005041</v>
      </c>
      <c r="C150" s="3" t="s">
        <v>250</v>
      </c>
      <c r="D150" s="5">
        <v>4213728</v>
      </c>
    </row>
    <row r="151" spans="1:4" x14ac:dyDescent="0.25">
      <c r="A151" s="3" t="s">
        <v>251</v>
      </c>
      <c r="B151" s="4" t="str">
        <f>HYPERLINK("https://basis.myseldon.com/ru/company/1037702059295?PartnerId=10756","7702361314")</f>
        <v>7702361314</v>
      </c>
      <c r="C151" s="3" t="s">
        <v>252</v>
      </c>
      <c r="D151" s="5">
        <v>6980000</v>
      </c>
    </row>
    <row r="152" spans="1:4" ht="25.5" x14ac:dyDescent="0.25">
      <c r="A152" s="3" t="s">
        <v>253</v>
      </c>
      <c r="B152" s="4" t="str">
        <f>HYPERLINK("https://basis.myseldon.com/ru/company/1157746547815?PartnerId=10756","7724322904")</f>
        <v>7724322904</v>
      </c>
      <c r="C152" s="3" t="s">
        <v>254</v>
      </c>
      <c r="D152" s="5">
        <v>2699029.35</v>
      </c>
    </row>
    <row r="153" spans="1:4" ht="25.5" x14ac:dyDescent="0.25">
      <c r="A153" s="3" t="s">
        <v>186</v>
      </c>
      <c r="B153" s="4" t="str">
        <f>HYPERLINK("https://basis.myseldon.com/ru/company/1022800512888?PartnerId=10756","2801031847")</f>
        <v>2801031847</v>
      </c>
      <c r="C153" s="3" t="s">
        <v>187</v>
      </c>
      <c r="D153" s="5">
        <v>1554592.2</v>
      </c>
    </row>
    <row r="154" spans="1:4" ht="76.5" x14ac:dyDescent="0.25">
      <c r="A154" s="3" t="s">
        <v>255</v>
      </c>
      <c r="B154" s="4" t="str">
        <f>HYPERLINK("https://basis.myseldon.com/ru/company/1027000890168?PartnerId=10756","7018007264")</f>
        <v>7018007264</v>
      </c>
      <c r="C154" s="3" t="s">
        <v>256</v>
      </c>
      <c r="D154" s="5">
        <v>1435340</v>
      </c>
    </row>
    <row r="155" spans="1:4" x14ac:dyDescent="0.25">
      <c r="A155" s="3" t="s">
        <v>257</v>
      </c>
      <c r="B155" s="4" t="str">
        <f>HYPERLINK("https://basis.myseldon.com/ru/company/1027804862755?PartnerId=10756","7805018099")</f>
        <v>7805018099</v>
      </c>
      <c r="C155" s="3" t="s">
        <v>62</v>
      </c>
      <c r="D155" s="5">
        <v>3241672.4</v>
      </c>
    </row>
    <row r="156" spans="1:4" ht="25.5" x14ac:dyDescent="0.25">
      <c r="A156" s="3" t="s">
        <v>101</v>
      </c>
      <c r="B156" s="4" t="str">
        <f>HYPERLINK("https://basis.myseldon.com/ru/company/1037739064285?PartnerId=10756","7735069192")</f>
        <v>7735069192</v>
      </c>
      <c r="C156" s="3" t="s">
        <v>102</v>
      </c>
      <c r="D156" s="5">
        <v>1904566</v>
      </c>
    </row>
    <row r="157" spans="1:4" ht="140.25" x14ac:dyDescent="0.25">
      <c r="A157" s="3" t="s">
        <v>258</v>
      </c>
      <c r="B157" s="4" t="str">
        <f>HYPERLINK("https://basis.myseldon.com/ru/company/1032307161589?PartnerId=10756","2312052583")</f>
        <v>2312052583</v>
      </c>
      <c r="C157" s="3" t="s">
        <v>259</v>
      </c>
      <c r="D157" s="5">
        <v>8424401.5099999998</v>
      </c>
    </row>
    <row r="158" spans="1:4" ht="25.5" x14ac:dyDescent="0.25">
      <c r="A158" s="3" t="s">
        <v>260</v>
      </c>
      <c r="B158" s="4" t="str">
        <f>HYPERLINK("https://basis.myseldon.com/ru/company/1126027003805?PartnerId=10756","6027143462")</f>
        <v>6027143462</v>
      </c>
      <c r="C158" s="3" t="s">
        <v>261</v>
      </c>
      <c r="D158" s="5">
        <v>1471000</v>
      </c>
    </row>
    <row r="159" spans="1:4" ht="25.5" x14ac:dyDescent="0.25">
      <c r="A159" s="3" t="s">
        <v>140</v>
      </c>
      <c r="B159" s="4" t="str">
        <f>HYPERLINK("https://basis.myseldon.com/ru/company/1047796261512?PartnerId=10756","7707515984")</f>
        <v>7707515984</v>
      </c>
      <c r="C159" s="3" t="s">
        <v>141</v>
      </c>
      <c r="D159" s="5">
        <v>2065500.54</v>
      </c>
    </row>
    <row r="160" spans="1:4" ht="38.25" x14ac:dyDescent="0.25">
      <c r="A160" s="3" t="s">
        <v>262</v>
      </c>
      <c r="B160" s="4" t="str">
        <f>HYPERLINK("https://basis.myseldon.com/ru/company/1024500526885?PartnerId=10756","4501022210")</f>
        <v>4501022210</v>
      </c>
      <c r="C160" s="3" t="s">
        <v>263</v>
      </c>
      <c r="D160" s="5">
        <v>1278198.8899999999</v>
      </c>
    </row>
    <row r="161" spans="1:4" ht="63.75" x14ac:dyDescent="0.25">
      <c r="A161" s="3" t="s">
        <v>247</v>
      </c>
      <c r="B161" s="4" t="str">
        <f>HYPERLINK("https://basis.myseldon.com/ru/company/1028600614822?PartnerId=10756","8602000806")</f>
        <v>8602000806</v>
      </c>
      <c r="C161" s="3" t="s">
        <v>248</v>
      </c>
      <c r="D161" s="5">
        <v>1631546.78</v>
      </c>
    </row>
    <row r="162" spans="1:4" ht="25.5" x14ac:dyDescent="0.25">
      <c r="A162" s="3" t="s">
        <v>264</v>
      </c>
      <c r="B162" s="4" t="str">
        <f>HYPERLINK("https://basis.myseldon.com/ru/company/1024201755380?PartnerId=10756","4220006125")</f>
        <v>4220006125</v>
      </c>
      <c r="C162" s="3" t="s">
        <v>265</v>
      </c>
      <c r="D162" s="5">
        <v>1500000</v>
      </c>
    </row>
    <row r="163" spans="1:4" ht="114.75" x14ac:dyDescent="0.25">
      <c r="A163" s="3" t="s">
        <v>59</v>
      </c>
      <c r="B163" s="4" t="str">
        <f>HYPERLINK("https://basis.myseldon.com/ru/company/1031800564157?PartnerId=10756","1831090630")</f>
        <v>1831090630</v>
      </c>
      <c r="C163" s="3" t="s">
        <v>266</v>
      </c>
      <c r="D163" s="5">
        <v>1368816</v>
      </c>
    </row>
    <row r="164" spans="1:4" x14ac:dyDescent="0.25">
      <c r="A164" s="3" t="s">
        <v>267</v>
      </c>
      <c r="B164" s="4" t="str">
        <f>HYPERLINK("https://basis.myseldon.com/ru/company/1037739492031?PartnerId=10756","7720146990")</f>
        <v>7720146990</v>
      </c>
      <c r="C164" s="3" t="s">
        <v>268</v>
      </c>
      <c r="D164" s="5">
        <v>1339874.04</v>
      </c>
    </row>
    <row r="165" spans="1:4" ht="63.75" x14ac:dyDescent="0.25">
      <c r="A165" s="3" t="s">
        <v>269</v>
      </c>
      <c r="B165" s="4" t="str">
        <f>HYPERLINK("https://basis.myseldon.com/ru/company/1025405425528?PartnerId=10756","5431104010")</f>
        <v>5431104010</v>
      </c>
      <c r="C165" s="3" t="s">
        <v>270</v>
      </c>
      <c r="D165" s="5">
        <v>5030666.33</v>
      </c>
    </row>
    <row r="166" spans="1:4" ht="25.5" x14ac:dyDescent="0.25">
      <c r="A166" s="3" t="s">
        <v>271</v>
      </c>
      <c r="B166" s="4" t="str">
        <f>HYPERLINK("https://basis.myseldon.com/ru/company/1025403659940?PartnerId=10756","5408120624")</f>
        <v>5408120624</v>
      </c>
      <c r="C166" s="3" t="s">
        <v>272</v>
      </c>
      <c r="D166" s="5">
        <v>1416782.38</v>
      </c>
    </row>
    <row r="167" spans="1:4" ht="76.5" x14ac:dyDescent="0.25">
      <c r="A167" s="3" t="s">
        <v>273</v>
      </c>
      <c r="B167" s="4" t="str">
        <f>HYPERLINK("https://basis.myseldon.com/ru/company/1027000882886?PartnerId=10756","7020000080")</f>
        <v>7020000080</v>
      </c>
      <c r="C167" s="3" t="s">
        <v>274</v>
      </c>
      <c r="D167" s="5">
        <v>5734853.6399999997</v>
      </c>
    </row>
    <row r="168" spans="1:4" ht="25.5" x14ac:dyDescent="0.25">
      <c r="A168" s="3" t="s">
        <v>275</v>
      </c>
      <c r="B168" s="4" t="str">
        <f>HYPERLINK("https://basis.myseldon.com/ru/company/1023101656126?PartnerId=10756","3123066800")</f>
        <v>3123066800</v>
      </c>
      <c r="C168" s="3" t="s">
        <v>276</v>
      </c>
      <c r="D168" s="5">
        <v>37105241.5</v>
      </c>
    </row>
    <row r="169" spans="1:4" ht="38.25" x14ac:dyDescent="0.25">
      <c r="A169" s="3" t="s">
        <v>277</v>
      </c>
      <c r="B169" s="4" t="str">
        <f>HYPERLINK("https://basis.myseldon.com/ru/company/1022302786912?PartnerId=10756","2318006294")</f>
        <v>2318006294</v>
      </c>
      <c r="C169" s="3" t="s">
        <v>278</v>
      </c>
      <c r="D169" s="5">
        <v>1587443.41</v>
      </c>
    </row>
    <row r="170" spans="1:4" ht="25.5" x14ac:dyDescent="0.25">
      <c r="A170" s="3" t="s">
        <v>279</v>
      </c>
      <c r="B170" s="4" t="str">
        <f>HYPERLINK("https://basis.myseldon.com/ru/company/1087606002384?PartnerId=10756","7606069518")</f>
        <v>7606069518</v>
      </c>
      <c r="C170" s="3" t="s">
        <v>280</v>
      </c>
      <c r="D170" s="5">
        <v>1798102.92</v>
      </c>
    </row>
    <row r="171" spans="1:4" ht="38.25" x14ac:dyDescent="0.25">
      <c r="A171" s="3" t="s">
        <v>281</v>
      </c>
      <c r="B171" s="4" t="str">
        <f>HYPERLINK("https://basis.myseldon.com/ru/company/1027700508373?PartnerId=10756","7705051127")</f>
        <v>7705051127</v>
      </c>
      <c r="C171" s="3" t="s">
        <v>282</v>
      </c>
      <c r="D171" s="5">
        <v>1061869.33</v>
      </c>
    </row>
    <row r="172" spans="1:4" ht="25.5" x14ac:dyDescent="0.25">
      <c r="A172" s="3" t="s">
        <v>283</v>
      </c>
      <c r="B172" s="4" t="str">
        <f>HYPERLINK("https://basis.myseldon.com/ru/company/1022002549580?PartnerId=10756","2020000531")</f>
        <v>2020000531</v>
      </c>
      <c r="C172" s="3" t="s">
        <v>284</v>
      </c>
      <c r="D172" s="5">
        <v>3937776.98</v>
      </c>
    </row>
    <row r="173" spans="1:4" ht="51" x14ac:dyDescent="0.25">
      <c r="A173" s="3" t="s">
        <v>285</v>
      </c>
      <c r="B173" s="4" t="str">
        <f>HYPERLINK("https://basis.myseldon.com/ru/company/1027739714606?PartnerId=10756","7713059497")</f>
        <v>7713059497</v>
      </c>
      <c r="C173" s="3" t="s">
        <v>286</v>
      </c>
      <c r="D173" s="5">
        <v>7800000</v>
      </c>
    </row>
    <row r="174" spans="1:4" x14ac:dyDescent="0.25">
      <c r="A174" s="3" t="s">
        <v>287</v>
      </c>
      <c r="B174" s="4" t="str">
        <f>HYPERLINK("https://basis.myseldon.com/ru/company/1027700497989?PartnerId=10756","7718114173")</f>
        <v>7718114173</v>
      </c>
      <c r="C174" s="3" t="s">
        <v>288</v>
      </c>
      <c r="D174" s="5">
        <v>1385958.76</v>
      </c>
    </row>
    <row r="175" spans="1:4" x14ac:dyDescent="0.25">
      <c r="A175" s="3" t="s">
        <v>289</v>
      </c>
      <c r="B175" s="4" t="str">
        <f>HYPERLINK("https://basis.myseldon.com/ru/company/1095018006555?PartnerId=10756","5018139517")</f>
        <v>5018139517</v>
      </c>
      <c r="C175" s="3" t="s">
        <v>290</v>
      </c>
      <c r="D175" s="5">
        <v>1075000</v>
      </c>
    </row>
    <row r="176" spans="1:4" ht="25.5" x14ac:dyDescent="0.25">
      <c r="A176" s="3" t="s">
        <v>291</v>
      </c>
      <c r="B176" s="4" t="str">
        <f>HYPERLINK("https://basis.myseldon.com/ru/company/1025801369329?PartnerId=10756","5836200690")</f>
        <v>5836200690</v>
      </c>
      <c r="C176" s="3" t="s">
        <v>292</v>
      </c>
      <c r="D176" s="5">
        <v>1082880.33</v>
      </c>
    </row>
    <row r="177" spans="1:4" ht="38.25" x14ac:dyDescent="0.25">
      <c r="A177" s="3" t="s">
        <v>293</v>
      </c>
      <c r="B177" s="4" t="str">
        <f>HYPERLINK("https://basis.myseldon.com/ru/company/1022601980620?PartnerId=10756","2633001943")</f>
        <v>2633001943</v>
      </c>
      <c r="C177" s="3" t="s">
        <v>294</v>
      </c>
      <c r="D177" s="5">
        <v>1128134.97</v>
      </c>
    </row>
    <row r="178" spans="1:4" ht="25.5" x14ac:dyDescent="0.25">
      <c r="A178" s="3" t="s">
        <v>295</v>
      </c>
      <c r="B178" s="4" t="str">
        <f>HYPERLINK("https://basis.myseldon.com/ru/company/1026303714227?PartnerId=10756","6372000202")</f>
        <v>6372000202</v>
      </c>
      <c r="C178" s="3" t="s">
        <v>296</v>
      </c>
      <c r="D178" s="5">
        <v>2116185.5499999998</v>
      </c>
    </row>
    <row r="179" spans="1:4" x14ac:dyDescent="0.25">
      <c r="A179" s="3" t="s">
        <v>297</v>
      </c>
      <c r="B179" s="4" t="str">
        <f>HYPERLINK("https://basis.myseldon.com/ru/company/1037739523271?PartnerId=10756","7729245474")</f>
        <v>7729245474</v>
      </c>
      <c r="C179" s="3" t="s">
        <v>298</v>
      </c>
      <c r="D179" s="5">
        <v>4062000</v>
      </c>
    </row>
    <row r="180" spans="1:4" ht="38.25" x14ac:dyDescent="0.25">
      <c r="A180" s="3" t="s">
        <v>299</v>
      </c>
      <c r="B180" s="4" t="str">
        <f>HYPERLINK("https://basis.myseldon.com/ru/company/1021200783856?PartnerId=10756","1215026836")</f>
        <v>1215026836</v>
      </c>
      <c r="C180" s="3" t="s">
        <v>300</v>
      </c>
      <c r="D180" s="5">
        <v>2979174.93</v>
      </c>
    </row>
    <row r="181" spans="1:4" ht="76.5" x14ac:dyDescent="0.25">
      <c r="A181" s="3" t="s">
        <v>301</v>
      </c>
      <c r="B181" s="4" t="str">
        <f>HYPERLINK("https://basis.myseldon.com/ru/company/1025401485010?PartnerId=10756","5404105174")</f>
        <v>5404105174</v>
      </c>
      <c r="C181" s="3" t="s">
        <v>302</v>
      </c>
      <c r="D181" s="5">
        <v>1968210</v>
      </c>
    </row>
    <row r="182" spans="1:4" ht="25.5" x14ac:dyDescent="0.25">
      <c r="A182" s="3" t="s">
        <v>303</v>
      </c>
      <c r="B182" s="4" t="str">
        <f>HYPERLINK("https://basis.myseldon.com/ru/company/1026402676112?PartnerId=10756","6452024470")</f>
        <v>6452024470</v>
      </c>
      <c r="C182" s="3" t="s">
        <v>304</v>
      </c>
      <c r="D182" s="5">
        <v>5190951.9800000004</v>
      </c>
    </row>
    <row r="183" spans="1:4" ht="25.5" x14ac:dyDescent="0.25">
      <c r="A183" s="3" t="s">
        <v>305</v>
      </c>
      <c r="B183" s="4" t="str">
        <f>HYPERLINK("https://basis.myseldon.com/ru/company/1037843044909?PartnerId=10756","7825701546")</f>
        <v>7825701546</v>
      </c>
      <c r="C183" s="3" t="s">
        <v>306</v>
      </c>
      <c r="D183" s="5">
        <v>7920000</v>
      </c>
    </row>
    <row r="184" spans="1:4" ht="51" x14ac:dyDescent="0.25">
      <c r="A184" s="3" t="s">
        <v>307</v>
      </c>
      <c r="B184" s="4" t="str">
        <f>HYPERLINK("https://basis.myseldon.com/ru/company/1037804002500?PartnerId=10756","7802048578")</f>
        <v>7802048578</v>
      </c>
      <c r="C184" s="3" t="s">
        <v>308</v>
      </c>
      <c r="D184" s="5">
        <v>1513710</v>
      </c>
    </row>
    <row r="185" spans="1:4" ht="38.25" x14ac:dyDescent="0.25">
      <c r="A185" s="3" t="s">
        <v>309</v>
      </c>
      <c r="B185" s="4" t="str">
        <f>HYPERLINK("https://basis.myseldon.com/ru/company/1025300796179?PartnerId=10756","5321046655")</f>
        <v>5321046655</v>
      </c>
      <c r="C185" s="3" t="s">
        <v>310</v>
      </c>
      <c r="D185" s="5">
        <v>1285333.33</v>
      </c>
    </row>
    <row r="186" spans="1:4" ht="25.5" x14ac:dyDescent="0.25">
      <c r="A186" s="3" t="s">
        <v>311</v>
      </c>
      <c r="B186" s="4" t="str">
        <f>HYPERLINK("https://basis.myseldon.com/ru/company/1027739601449?PartnerId=10756","7723040720")</f>
        <v>7723040720</v>
      </c>
      <c r="C186" s="3" t="s">
        <v>312</v>
      </c>
      <c r="D186" s="5">
        <v>1140514</v>
      </c>
    </row>
    <row r="187" spans="1:4" ht="51" x14ac:dyDescent="0.25">
      <c r="A187" s="3" t="s">
        <v>313</v>
      </c>
      <c r="B187" s="4" t="str">
        <f>HYPERLINK("https://basis.myseldon.com/ru/company/1027700508373?PartnerId=10756","7705051127")</f>
        <v>7705051127</v>
      </c>
      <c r="C187" s="3" t="s">
        <v>314</v>
      </c>
      <c r="D187" s="5">
        <v>1729688.92</v>
      </c>
    </row>
    <row r="188" spans="1:4" ht="38.25" x14ac:dyDescent="0.25">
      <c r="A188" s="3" t="s">
        <v>315</v>
      </c>
      <c r="B188" s="4" t="str">
        <f>HYPERLINK("https://basis.myseldon.com/ru/company/1021200768896?PartnerId=10756","1215021281")</f>
        <v>1215021281</v>
      </c>
      <c r="C188" s="3" t="s">
        <v>316</v>
      </c>
      <c r="D188" s="5">
        <v>2358601.25</v>
      </c>
    </row>
    <row r="189" spans="1:4" ht="25.5" x14ac:dyDescent="0.25">
      <c r="A189" s="3" t="s">
        <v>317</v>
      </c>
      <c r="B189" s="4" t="str">
        <f>HYPERLINK("https://basis.myseldon.com/ru/company/1132723006646?PartnerId=10756","2723165914")</f>
        <v>2723165914</v>
      </c>
      <c r="C189" s="3" t="s">
        <v>318</v>
      </c>
      <c r="D189" s="5">
        <v>3205654.54</v>
      </c>
    </row>
    <row r="190" spans="1:4" ht="25.5" x14ac:dyDescent="0.25">
      <c r="A190" s="3" t="s">
        <v>319</v>
      </c>
      <c r="B190" s="4" t="str">
        <f>HYPERLINK("https://basis.myseldon.com/ru/company/1022002542385?PartnerId=10756","2013000097")</f>
        <v>2013000097</v>
      </c>
      <c r="C190" s="3" t="s">
        <v>320</v>
      </c>
      <c r="D190" s="5">
        <v>3768703.68</v>
      </c>
    </row>
    <row r="191" spans="1:4" ht="25.5" x14ac:dyDescent="0.25">
      <c r="A191" s="3" t="s">
        <v>240</v>
      </c>
      <c r="B191" s="4" t="str">
        <f>HYPERLINK("https://basis.myseldon.com/ru/company/1027402324905?PartnerId=10756","7447012841")</f>
        <v>7447012841</v>
      </c>
      <c r="C191" s="3" t="s">
        <v>321</v>
      </c>
      <c r="D191" s="5">
        <v>1165250</v>
      </c>
    </row>
    <row r="192" spans="1:4" x14ac:dyDescent="0.25">
      <c r="A192" s="3" t="s">
        <v>267</v>
      </c>
      <c r="B192" s="4" t="str">
        <f>HYPERLINK("https://basis.myseldon.com/ru/company/1037739492031?PartnerId=10756","7720146990")</f>
        <v>7720146990</v>
      </c>
      <c r="C192" s="3" t="s">
        <v>268</v>
      </c>
      <c r="D192" s="5">
        <v>2760044</v>
      </c>
    </row>
    <row r="193" spans="1:4" x14ac:dyDescent="0.25">
      <c r="A193" s="3" t="s">
        <v>322</v>
      </c>
      <c r="B193" s="4" t="str">
        <f>HYPERLINK("https://basis.myseldon.com/ru/company/1157746325043?PartnerId=10756","7724313681")</f>
        <v>7724313681</v>
      </c>
      <c r="C193" s="3" t="s">
        <v>323</v>
      </c>
      <c r="D193" s="5">
        <v>5277684.0199999996</v>
      </c>
    </row>
    <row r="194" spans="1:4" ht="51" x14ac:dyDescent="0.25">
      <c r="A194" s="3" t="s">
        <v>324</v>
      </c>
      <c r="B194" s="4" t="str">
        <f>HYPERLINK("https://basis.myseldon.com/ru/company/1035004452361?PartnerId=10756","5024000030")</f>
        <v>5024000030</v>
      </c>
      <c r="C194" s="3" t="s">
        <v>325</v>
      </c>
      <c r="D194" s="5">
        <v>1546000</v>
      </c>
    </row>
    <row r="195" spans="1:4" x14ac:dyDescent="0.25">
      <c r="A195" s="3" t="s">
        <v>158</v>
      </c>
      <c r="B195" s="4" t="str">
        <f>HYPERLINK("https://basis.myseldon.com/ru/company/1116234013598?PartnerId=10756","6234098539")</f>
        <v>6234098539</v>
      </c>
      <c r="C195" s="3" t="s">
        <v>159</v>
      </c>
      <c r="D195" s="5">
        <v>1926500</v>
      </c>
    </row>
    <row r="196" spans="1:4" x14ac:dyDescent="0.25">
      <c r="A196" s="3" t="s">
        <v>63</v>
      </c>
      <c r="B196" s="4" t="str">
        <f>HYPERLINK("https://basis.myseldon.com/ru/company/1025203014748?PartnerId=10756","5260900725")</f>
        <v>5260900725</v>
      </c>
      <c r="C196" s="3" t="s">
        <v>326</v>
      </c>
      <c r="D196" s="5">
        <v>1144270.47</v>
      </c>
    </row>
    <row r="197" spans="1:4" ht="25.5" x14ac:dyDescent="0.25">
      <c r="A197" s="3" t="s">
        <v>327</v>
      </c>
      <c r="B197" s="4" t="str">
        <f>HYPERLINK("https://basis.myseldon.com/ru/company/1027739263056?PartnerId=10756","7705313252")</f>
        <v>7705313252</v>
      </c>
      <c r="C197" s="3" t="s">
        <v>328</v>
      </c>
      <c r="D197" s="5">
        <v>4644683.59</v>
      </c>
    </row>
    <row r="198" spans="1:4" ht="25.5" x14ac:dyDescent="0.25">
      <c r="A198" s="3" t="s">
        <v>329</v>
      </c>
      <c r="B198" s="4" t="str">
        <f>HYPERLINK("https://basis.myseldon.com/ru/company/1106229001295?PartnerId=10756","6229038196")</f>
        <v>6229038196</v>
      </c>
      <c r="C198" s="3" t="s">
        <v>330</v>
      </c>
      <c r="D198" s="5">
        <v>1338250</v>
      </c>
    </row>
    <row r="199" spans="1:4" ht="25.5" x14ac:dyDescent="0.25">
      <c r="A199" s="3" t="s">
        <v>331</v>
      </c>
      <c r="B199" s="4" t="str">
        <f>HYPERLINK("https://basis.myseldon.com/ru/company/1155190002329?PartnerId=10756","5190045180")</f>
        <v>5190045180</v>
      </c>
      <c r="C199" s="3" t="s">
        <v>332</v>
      </c>
      <c r="D199" s="5">
        <v>3414715.43</v>
      </c>
    </row>
    <row r="200" spans="1:4" ht="25.5" x14ac:dyDescent="0.25">
      <c r="A200" s="3" t="s">
        <v>333</v>
      </c>
      <c r="B200" s="4" t="str">
        <f>HYPERLINK("https://basis.myseldon.com/ru/company/1034316573796?PartnerId=10756","4345058231")</f>
        <v>4345058231</v>
      </c>
      <c r="C200" s="3" t="s">
        <v>334</v>
      </c>
      <c r="D200" s="5">
        <v>1370503.8</v>
      </c>
    </row>
    <row r="201" spans="1:4" ht="25.5" x14ac:dyDescent="0.25">
      <c r="A201" s="3" t="s">
        <v>335</v>
      </c>
      <c r="B201" s="4" t="str">
        <f>HYPERLINK("https://basis.myseldon.com/ru/company/1022701283725?PartnerId=10756","2724013142")</f>
        <v>2724013142</v>
      </c>
      <c r="C201" s="3" t="s">
        <v>336</v>
      </c>
      <c r="D201" s="5">
        <v>1500000</v>
      </c>
    </row>
    <row r="202" spans="1:4" ht="25.5" x14ac:dyDescent="0.25">
      <c r="A202" s="3" t="s">
        <v>337</v>
      </c>
      <c r="B202" s="4" t="str">
        <f>HYPERLINK("https://basis.myseldon.com/ru/company/1020502463794?PartnerId=10756","0560014599")</f>
        <v>0560014599</v>
      </c>
      <c r="C202" s="3" t="s">
        <v>338</v>
      </c>
      <c r="D202" s="5">
        <v>2562301</v>
      </c>
    </row>
    <row r="203" spans="1:4" ht="25.5" x14ac:dyDescent="0.25">
      <c r="A203" s="3" t="s">
        <v>339</v>
      </c>
      <c r="B203" s="4" t="str">
        <f>HYPERLINK("https://basis.myseldon.com/ru/company/1025900917481?PartnerId=10756","5904101322")</f>
        <v>5904101322</v>
      </c>
      <c r="C203" s="3" t="s">
        <v>340</v>
      </c>
      <c r="D203" s="5">
        <v>1400000</v>
      </c>
    </row>
    <row r="204" spans="1:4" ht="25.5" x14ac:dyDescent="0.25">
      <c r="A204" s="3" t="s">
        <v>341</v>
      </c>
      <c r="B204" s="4" t="str">
        <f>HYPERLINK("https://basis.myseldon.com/ru/company/1024840837790?PartnerId=10756","4826024073")</f>
        <v>4826024073</v>
      </c>
      <c r="C204" s="3" t="s">
        <v>342</v>
      </c>
      <c r="D204" s="5">
        <v>2583114.87</v>
      </c>
    </row>
    <row r="205" spans="1:4" ht="25.5" x14ac:dyDescent="0.25">
      <c r="A205" s="3" t="s">
        <v>343</v>
      </c>
      <c r="B205" s="4" t="str">
        <f>HYPERLINK("https://basis.myseldon.com/ru/company/1023000844162?PartnerId=10756","3015015534")</f>
        <v>3015015534</v>
      </c>
      <c r="C205" s="3" t="s">
        <v>344</v>
      </c>
      <c r="D205" s="5">
        <v>1741597</v>
      </c>
    </row>
    <row r="206" spans="1:4" ht="38.25" x14ac:dyDescent="0.25">
      <c r="A206" s="3" t="s">
        <v>345</v>
      </c>
      <c r="B206" s="4" t="str">
        <f>HYPERLINK("https://basis.myseldon.com/ru/company/1024101415326?PartnerId=10756","8200000683")</f>
        <v>8200000683</v>
      </c>
      <c r="C206" s="3" t="s">
        <v>346</v>
      </c>
      <c r="D206" s="5">
        <v>1189100.5900000001</v>
      </c>
    </row>
    <row r="207" spans="1:4" ht="25.5" x14ac:dyDescent="0.25">
      <c r="A207" s="3" t="s">
        <v>347</v>
      </c>
      <c r="B207" s="4" t="str">
        <f>HYPERLINK("https://basis.myseldon.com/ru/company/1026601610034?PartnerId=10756","6626003898")</f>
        <v>6626003898</v>
      </c>
      <c r="C207" s="3" t="s">
        <v>348</v>
      </c>
      <c r="D207" s="5">
        <v>1501448.9</v>
      </c>
    </row>
    <row r="208" spans="1:4" ht="38.25" x14ac:dyDescent="0.25">
      <c r="A208" s="3" t="s">
        <v>349</v>
      </c>
      <c r="B208" s="4" t="str">
        <f>HYPERLINK("https://basis.myseldon.com/ru/company/1025005921896?PartnerId=10756","5045003201")</f>
        <v>5045003201</v>
      </c>
      <c r="C208" s="3" t="s">
        <v>350</v>
      </c>
      <c r="D208" s="5">
        <v>1277300</v>
      </c>
    </row>
    <row r="209" spans="1:4" ht="25.5" x14ac:dyDescent="0.25">
      <c r="A209" s="3" t="s">
        <v>36</v>
      </c>
      <c r="B209" s="4" t="str">
        <f>HYPERLINK("https://basis.myseldon.com/ru/company/1037707005346?PartnerId=10756","7707089084")</f>
        <v>7707089084</v>
      </c>
      <c r="C209" s="3" t="s">
        <v>37</v>
      </c>
      <c r="D209" s="5">
        <v>8696752</v>
      </c>
    </row>
    <row r="210" spans="1:4" x14ac:dyDescent="0.25">
      <c r="A210" s="3" t="s">
        <v>351</v>
      </c>
      <c r="B210" s="4" t="str">
        <f>HYPERLINK("https://basis.myseldon.com/ru/company/1037739661695?PartnerId=10756","7703056867")</f>
        <v>7703056867</v>
      </c>
      <c r="C210" s="3" t="s">
        <v>352</v>
      </c>
      <c r="D210" s="5">
        <v>72768000</v>
      </c>
    </row>
    <row r="211" spans="1:4" ht="114.75" x14ac:dyDescent="0.25">
      <c r="A211" s="3" t="s">
        <v>59</v>
      </c>
      <c r="B211" s="4" t="str">
        <f>HYPERLINK("https://basis.myseldon.com/ru/company/1031800564157?PartnerId=10756","1831090630")</f>
        <v>1831090630</v>
      </c>
      <c r="C211" s="3" t="s">
        <v>266</v>
      </c>
      <c r="D211" s="5">
        <v>1120750</v>
      </c>
    </row>
    <row r="212" spans="1:4" ht="25.5" x14ac:dyDescent="0.25">
      <c r="A212" s="3" t="s">
        <v>353</v>
      </c>
      <c r="B212" s="4" t="str">
        <f>HYPERLINK("https://basis.myseldon.com/ru/company/1037828029007?PartnerId=10756","7813045875")</f>
        <v>7813045875</v>
      </c>
      <c r="C212" s="3" t="s">
        <v>354</v>
      </c>
      <c r="D212" s="5">
        <v>2860317.67</v>
      </c>
    </row>
    <row r="213" spans="1:4" x14ac:dyDescent="0.25">
      <c r="A213" s="3" t="s">
        <v>355</v>
      </c>
      <c r="B213" s="4" t="str">
        <f>HYPERLINK("https://basis.myseldon.com/ru/company/1115034003347?PartnerId=10756","5034043202")</f>
        <v>5034043202</v>
      </c>
      <c r="C213" s="3" t="s">
        <v>356</v>
      </c>
      <c r="D213" s="5">
        <v>1707301.64</v>
      </c>
    </row>
    <row r="214" spans="1:4" ht="51" x14ac:dyDescent="0.25">
      <c r="A214" s="3" t="s">
        <v>55</v>
      </c>
      <c r="B214" s="4" t="str">
        <f>HYPERLINK("https://basis.myseldon.com/ru/company/1027739496014?PartnerId=10756","7701186067")</f>
        <v>7701186067</v>
      </c>
      <c r="C214" s="3" t="s">
        <v>357</v>
      </c>
      <c r="D214" s="5">
        <v>23800000</v>
      </c>
    </row>
    <row r="215" spans="1:4" x14ac:dyDescent="0.25">
      <c r="A215" s="3" t="s">
        <v>287</v>
      </c>
      <c r="B215" s="4" t="str">
        <f>HYPERLINK("https://basis.myseldon.com/ru/company/1027700497989?PartnerId=10756","7718114173")</f>
        <v>7718114173</v>
      </c>
      <c r="C215" s="3" t="s">
        <v>288</v>
      </c>
      <c r="D215" s="5">
        <v>1700850.8</v>
      </c>
    </row>
    <row r="216" spans="1:4" ht="25.5" x14ac:dyDescent="0.25">
      <c r="A216" s="3" t="s">
        <v>358</v>
      </c>
      <c r="B216" s="4" t="str">
        <f>HYPERLINK("https://basis.myseldon.com/ru/company/1022401951395?PartnerId=10756","2451000110")</f>
        <v>2451000110</v>
      </c>
      <c r="C216" s="3" t="s">
        <v>359</v>
      </c>
      <c r="D216" s="5">
        <v>1354335.22</v>
      </c>
    </row>
    <row r="217" spans="1:4" ht="51" x14ac:dyDescent="0.25">
      <c r="A217" s="3" t="s">
        <v>360</v>
      </c>
      <c r="B217" s="4" t="str">
        <f>HYPERLINK("https://basis.myseldon.com/ru/company/1028900704250?PartnerId=10756","8905018707")</f>
        <v>8905018707</v>
      </c>
      <c r="C217" s="3" t="s">
        <v>361</v>
      </c>
      <c r="D217" s="5">
        <v>1836813</v>
      </c>
    </row>
    <row r="218" spans="1:4" ht="25.5" x14ac:dyDescent="0.25">
      <c r="A218" s="3" t="s">
        <v>362</v>
      </c>
      <c r="B218" s="4" t="str">
        <f>HYPERLINK("https://basis.myseldon.com/ru/company/1022002546334?PartnerId=10756","2015000046")</f>
        <v>2015000046</v>
      </c>
      <c r="C218" s="3" t="s">
        <v>363</v>
      </c>
      <c r="D218" s="5">
        <v>1283353.93</v>
      </c>
    </row>
    <row r="219" spans="1:4" ht="25.5" x14ac:dyDescent="0.25">
      <c r="A219" s="3" t="s">
        <v>364</v>
      </c>
      <c r="B219" s="4" t="str">
        <f>HYPERLINK("https://basis.myseldon.com/ru/company/1023101656775?PartnerId=10756","3123040802")</f>
        <v>3123040802</v>
      </c>
      <c r="C219" s="3" t="s">
        <v>365</v>
      </c>
      <c r="D219" s="5">
        <v>4775295</v>
      </c>
    </row>
    <row r="220" spans="1:4" ht="38.25" x14ac:dyDescent="0.25">
      <c r="A220" s="3" t="s">
        <v>366</v>
      </c>
      <c r="B220" s="4" t="str">
        <f>HYPERLINK("https://basis.myseldon.com/ru/company/1042401810494?PartnerId=10756","2460066195")</f>
        <v>2460066195</v>
      </c>
      <c r="C220" s="3" t="s">
        <v>367</v>
      </c>
      <c r="D220" s="5">
        <v>2772419.44</v>
      </c>
    </row>
    <row r="221" spans="1:4" ht="25.5" x14ac:dyDescent="0.25">
      <c r="A221" s="3" t="s">
        <v>368</v>
      </c>
      <c r="B221" s="4" t="str">
        <f>HYPERLINK("https://basis.myseldon.com/ru/company/1027700067669?PartnerId=10756","7720065580")</f>
        <v>7720065580</v>
      </c>
      <c r="C221" s="3" t="s">
        <v>369</v>
      </c>
      <c r="D221" s="5">
        <v>1500000</v>
      </c>
    </row>
    <row r="222" spans="1:4" x14ac:dyDescent="0.25">
      <c r="A222" s="3" t="s">
        <v>103</v>
      </c>
      <c r="B222" s="4" t="str">
        <f>HYPERLINK("https://basis.myseldon.com/ru/company/1075260029240?PartnerId=10756","5260214123")</f>
        <v>5260214123</v>
      </c>
      <c r="C222" s="3" t="s">
        <v>370</v>
      </c>
      <c r="D222" s="5">
        <v>7711300</v>
      </c>
    </row>
    <row r="223" spans="1:4" x14ac:dyDescent="0.25">
      <c r="A223" s="3" t="s">
        <v>371</v>
      </c>
      <c r="B223" s="4" t="str">
        <f>HYPERLINK("https://basis.myseldon.com/ru/company/1027700132195?PartnerId=10756","7707083893")</f>
        <v>7707083893</v>
      </c>
      <c r="C223" s="3" t="s">
        <v>372</v>
      </c>
      <c r="D223" s="5">
        <v>1140480</v>
      </c>
    </row>
    <row r="224" spans="1:4" ht="38.25" x14ac:dyDescent="0.25">
      <c r="A224" s="3" t="s">
        <v>373</v>
      </c>
      <c r="B224" s="4" t="str">
        <f>HYPERLINK("https://basis.myseldon.com/ru/company/1026101927334?PartnerId=10756","6143002367")</f>
        <v>6143002367</v>
      </c>
      <c r="C224" s="3" t="s">
        <v>374</v>
      </c>
      <c r="D224" s="5">
        <v>1299600.67</v>
      </c>
    </row>
    <row r="225" spans="1:4" ht="25.5" x14ac:dyDescent="0.25">
      <c r="A225" s="3" t="s">
        <v>375</v>
      </c>
      <c r="B225" s="4" t="str">
        <f>HYPERLINK("https://basis.myseldon.com/ru/company/1025100868440?PartnerId=10756","5190800114")</f>
        <v>5190800114</v>
      </c>
      <c r="C225" s="3" t="s">
        <v>376</v>
      </c>
      <c r="D225" s="5">
        <v>1026533.97</v>
      </c>
    </row>
    <row r="226" spans="1:4" x14ac:dyDescent="0.25">
      <c r="A226" s="3" t="s">
        <v>136</v>
      </c>
      <c r="B226" s="4" t="str">
        <f>HYPERLINK("https://basis.myseldon.com/ru/company/1027403890865?PartnerId=10756","7453042876")</f>
        <v>7453042876</v>
      </c>
      <c r="C226" s="3" t="s">
        <v>137</v>
      </c>
      <c r="D226" s="5">
        <v>2600000</v>
      </c>
    </row>
    <row r="227" spans="1:4" ht="51" x14ac:dyDescent="0.25">
      <c r="A227" s="3" t="s">
        <v>377</v>
      </c>
      <c r="B227" s="4" t="str">
        <f>HYPERLINK("https://basis.myseldon.com/ru/company/1023700527938?PartnerId=10756","3731000940")</f>
        <v>3731000940</v>
      </c>
      <c r="C227" s="3" t="s">
        <v>378</v>
      </c>
      <c r="D227" s="5">
        <v>20232002.600000001</v>
      </c>
    </row>
    <row r="228" spans="1:4" ht="63.75" x14ac:dyDescent="0.25">
      <c r="A228" s="3" t="s">
        <v>379</v>
      </c>
      <c r="B228" s="4" t="str">
        <f>HYPERLINK("https://basis.myseldon.com/ru/company/1047424528580?PartnerId=10756","7453135827")</f>
        <v>7453135827</v>
      </c>
      <c r="C228" s="3" t="s">
        <v>380</v>
      </c>
      <c r="D228" s="5">
        <v>2895000</v>
      </c>
    </row>
    <row r="229" spans="1:4" ht="25.5" x14ac:dyDescent="0.25">
      <c r="A229" s="3" t="s">
        <v>381</v>
      </c>
      <c r="B229" s="4" t="str">
        <f>HYPERLINK("https://basis.myseldon.com/ru/company/1023801756670?PartnerId=10756","3812014690")</f>
        <v>3812014690</v>
      </c>
      <c r="C229" s="3" t="s">
        <v>382</v>
      </c>
      <c r="D229" s="5">
        <v>1643325</v>
      </c>
    </row>
    <row r="230" spans="1:4" ht="25.5" x14ac:dyDescent="0.25">
      <c r="A230" s="3" t="s">
        <v>303</v>
      </c>
      <c r="B230" s="4" t="str">
        <f>HYPERLINK("https://basis.myseldon.com/ru/company/1026402676112?PartnerId=10756","6452024470")</f>
        <v>6452024470</v>
      </c>
      <c r="C230" s="3" t="s">
        <v>304</v>
      </c>
      <c r="D230" s="5">
        <v>9910164.7200000007</v>
      </c>
    </row>
    <row r="231" spans="1:4" ht="25.5" x14ac:dyDescent="0.25">
      <c r="A231" s="3" t="s">
        <v>383</v>
      </c>
      <c r="B231" s="4" t="str">
        <f>HYPERLINK("https://basis.myseldon.com/ru/company/1027739805114?PartnerId=10756","7732044545")</f>
        <v>7732044545</v>
      </c>
      <c r="C231" s="3" t="s">
        <v>384</v>
      </c>
      <c r="D231" s="5">
        <v>2239912</v>
      </c>
    </row>
    <row r="232" spans="1:4" ht="25.5" x14ac:dyDescent="0.25">
      <c r="A232" s="3" t="s">
        <v>385</v>
      </c>
      <c r="B232" s="4" t="str">
        <f>HYPERLINK("https://basis.myseldon.com/ru/company/1022001941950?PartnerId=10756","2020001969")</f>
        <v>2020001969</v>
      </c>
      <c r="C232" s="3" t="s">
        <v>386</v>
      </c>
      <c r="D232" s="5">
        <v>2063083.26</v>
      </c>
    </row>
    <row r="233" spans="1:4" ht="38.25" x14ac:dyDescent="0.25">
      <c r="A233" s="3" t="s">
        <v>5</v>
      </c>
      <c r="B233" s="4" t="str">
        <f>HYPERLINK("https://basis.myseldon.com/ru/company/5087746119951?PartnerId=10756","7721632827")</f>
        <v>7721632827</v>
      </c>
      <c r="C233" s="3" t="s">
        <v>72</v>
      </c>
      <c r="D233" s="5">
        <v>2682435</v>
      </c>
    </row>
    <row r="234" spans="1:4" x14ac:dyDescent="0.25">
      <c r="A234" s="3" t="s">
        <v>387</v>
      </c>
      <c r="B234" s="4" t="str">
        <f>HYPERLINK("https://basis.myseldon.com/ru/company/1022301194002?PartnerId=10756","2308034630")</f>
        <v>2308034630</v>
      </c>
      <c r="C234" s="3" t="s">
        <v>388</v>
      </c>
      <c r="D234" s="5">
        <v>2574000</v>
      </c>
    </row>
    <row r="235" spans="1:4" ht="25.5" x14ac:dyDescent="0.25">
      <c r="A235" s="3" t="s">
        <v>389</v>
      </c>
      <c r="B235" s="4" t="str">
        <f>HYPERLINK("https://basis.myseldon.com/ru/company/1027810241502?PartnerId=10756","7812009592")</f>
        <v>7812009592</v>
      </c>
      <c r="C235" s="3" t="s">
        <v>390</v>
      </c>
      <c r="D235" s="5">
        <v>1723671.66</v>
      </c>
    </row>
    <row r="236" spans="1:4" ht="25.5" x14ac:dyDescent="0.25">
      <c r="A236" s="3" t="s">
        <v>391</v>
      </c>
      <c r="B236" s="4" t="str">
        <f>HYPERLINK("https://basis.myseldon.com/ru/company/1101650010890?PartnerId=10756","1650212950")</f>
        <v>1650212950</v>
      </c>
      <c r="C236" s="3" t="s">
        <v>392</v>
      </c>
      <c r="D236" s="5">
        <v>1370160</v>
      </c>
    </row>
    <row r="237" spans="1:4" ht="25.5" x14ac:dyDescent="0.25">
      <c r="A237" s="3" t="s">
        <v>393</v>
      </c>
      <c r="B237" s="4" t="str">
        <f>HYPERLINK("https://basis.myseldon.com/ru/company/1022700929162?PartnerId=10756","2721010351")</f>
        <v>2721010351</v>
      </c>
      <c r="C237" s="3" t="s">
        <v>394</v>
      </c>
      <c r="D237" s="5">
        <v>1253000</v>
      </c>
    </row>
    <row r="238" spans="1:4" x14ac:dyDescent="0.25">
      <c r="A238" s="3" t="s">
        <v>21</v>
      </c>
      <c r="B238" s="4" t="str">
        <f>HYPERLINK("https://basis.myseldon.com/ru/company/1034500005715?PartnerId=10756","4501101712")</f>
        <v>4501101712</v>
      </c>
      <c r="C238" s="3" t="s">
        <v>22</v>
      </c>
      <c r="D238" s="5">
        <v>1260000</v>
      </c>
    </row>
    <row r="239" spans="1:4" ht="114.75" x14ac:dyDescent="0.25">
      <c r="A239" s="3" t="s">
        <v>258</v>
      </c>
      <c r="B239" s="4" t="str">
        <f>HYPERLINK("https://basis.myseldon.com/ru/company/1032307161589?PartnerId=10756","2312052583")</f>
        <v>2312052583</v>
      </c>
      <c r="C239" s="3" t="s">
        <v>395</v>
      </c>
      <c r="D239" s="5">
        <v>3108110.94</v>
      </c>
    </row>
    <row r="240" spans="1:4" ht="25.5" x14ac:dyDescent="0.25">
      <c r="A240" s="3" t="s">
        <v>396</v>
      </c>
      <c r="B240" s="4" t="str">
        <f>HYPERLINK("https://basis.myseldon.com/ru/company/1020502631621?PartnerId=10756","0562039983")</f>
        <v>0562039983</v>
      </c>
      <c r="C240" s="3" t="s">
        <v>397</v>
      </c>
      <c r="D240" s="5">
        <v>4817400</v>
      </c>
    </row>
    <row r="241" spans="1:4" x14ac:dyDescent="0.25">
      <c r="A241" s="3" t="s">
        <v>398</v>
      </c>
      <c r="B241" s="4" t="str">
        <f>HYPERLINK("https://basis.myseldon.com/ru/company/5067847144382?PartnerId=10756","7813352058")</f>
        <v>7813352058</v>
      </c>
      <c r="C241" s="3" t="s">
        <v>399</v>
      </c>
      <c r="D241" s="5">
        <v>1195545</v>
      </c>
    </row>
    <row r="242" spans="1:4" ht="38.25" x14ac:dyDescent="0.25">
      <c r="A242" s="3" t="s">
        <v>400</v>
      </c>
      <c r="B242" s="4" t="str">
        <f>HYPERLINK("https://basis.myseldon.com/ru/company/1042600341629?PartnerId=10756","2634063950")</f>
        <v>2634063950</v>
      </c>
      <c r="C242" s="3" t="s">
        <v>401</v>
      </c>
      <c r="D242" s="5">
        <v>2523770.91</v>
      </c>
    </row>
    <row r="243" spans="1:4" ht="25.5" x14ac:dyDescent="0.25">
      <c r="A243" s="3" t="s">
        <v>402</v>
      </c>
      <c r="B243" s="4" t="str">
        <f>HYPERLINK("https://basis.myseldon.com/ru/company/1025901509545?PartnerId=10756","5907001781")</f>
        <v>5907001781</v>
      </c>
      <c r="C243" s="3" t="s">
        <v>403</v>
      </c>
      <c r="D243" s="5">
        <v>1262766.67</v>
      </c>
    </row>
    <row r="244" spans="1:4" ht="25.5" x14ac:dyDescent="0.25">
      <c r="A244" s="3" t="s">
        <v>404</v>
      </c>
      <c r="B244" s="4" t="str">
        <f>HYPERLINK("https://basis.myseldon.com/ru/company/1057746023147?PartnerId=10756","7734521419")</f>
        <v>7734521419</v>
      </c>
      <c r="C244" s="3" t="s">
        <v>405</v>
      </c>
      <c r="D244" s="5">
        <v>55466000</v>
      </c>
    </row>
    <row r="245" spans="1:4" ht="25.5" x14ac:dyDescent="0.25">
      <c r="A245" s="3" t="s">
        <v>406</v>
      </c>
      <c r="B245" s="4" t="str">
        <f>HYPERLINK("https://basis.myseldon.com/ru/company/1027739443555?PartnerId=10756","7734013214")</f>
        <v>7734013214</v>
      </c>
      <c r="C245" s="3" t="s">
        <v>407</v>
      </c>
      <c r="D245" s="5">
        <v>9356645</v>
      </c>
    </row>
    <row r="246" spans="1:4" ht="25.5" x14ac:dyDescent="0.25">
      <c r="A246" s="3" t="s">
        <v>408</v>
      </c>
      <c r="B246" s="4" t="str">
        <f>HYPERLINK("https://basis.myseldon.com/ru/company/1027200862424?PartnerId=10756","7203002253")</f>
        <v>7203002253</v>
      </c>
      <c r="C246" s="3" t="s">
        <v>409</v>
      </c>
      <c r="D246" s="5">
        <v>1247720</v>
      </c>
    </row>
    <row r="247" spans="1:4" x14ac:dyDescent="0.25">
      <c r="A247" s="3" t="s">
        <v>410</v>
      </c>
      <c r="B247" s="4" t="str">
        <f>HYPERLINK("https://basis.myseldon.com/ru/company/1146312005344?PartnerId=10756","6312139922")</f>
        <v>6312139922</v>
      </c>
      <c r="C247" s="3" t="s">
        <v>411</v>
      </c>
      <c r="D247" s="5">
        <v>2658533</v>
      </c>
    </row>
    <row r="248" spans="1:4" ht="25.5" x14ac:dyDescent="0.25">
      <c r="A248" s="3" t="s">
        <v>412</v>
      </c>
      <c r="B248" s="4" t="str">
        <f>HYPERLINK("https://basis.myseldon.com/ru/company/1022402478900?PartnerId=10756","2465030876")</f>
        <v>2465030876</v>
      </c>
      <c r="C248" s="3" t="s">
        <v>413</v>
      </c>
      <c r="D248" s="5">
        <v>1367336</v>
      </c>
    </row>
    <row r="249" spans="1:4" ht="25.5" x14ac:dyDescent="0.25">
      <c r="A249" s="3" t="s">
        <v>414</v>
      </c>
      <c r="B249" s="4" t="str">
        <f>HYPERLINK("https://basis.myseldon.com/ru/company/1027739291580?PartnerId=10756","7704047505")</f>
        <v>7704047505</v>
      </c>
      <c r="C249" s="3" t="s">
        <v>415</v>
      </c>
      <c r="D249" s="5">
        <v>2712600</v>
      </c>
    </row>
    <row r="250" spans="1:4" x14ac:dyDescent="0.25">
      <c r="A250" s="3" t="s">
        <v>416</v>
      </c>
      <c r="B250" s="4" t="str">
        <f>HYPERLINK("https://basis.myseldon.com/ru/company/1034637005347?PartnerId=10756","4629027572")</f>
        <v>4629027572</v>
      </c>
      <c r="C250" s="3" t="s">
        <v>417</v>
      </c>
      <c r="D250" s="5">
        <v>1176674.57</v>
      </c>
    </row>
    <row r="251" spans="1:4" ht="25.5" x14ac:dyDescent="0.25">
      <c r="A251" s="3" t="s">
        <v>303</v>
      </c>
      <c r="B251" s="4" t="str">
        <f>HYPERLINK("https://basis.myseldon.com/ru/company/1026402676112?PartnerId=10756","6452024470")</f>
        <v>6452024470</v>
      </c>
      <c r="C251" s="3" t="s">
        <v>304</v>
      </c>
      <c r="D251" s="5">
        <v>6935450</v>
      </c>
    </row>
    <row r="252" spans="1:4" ht="25.5" x14ac:dyDescent="0.25">
      <c r="A252" s="3" t="s">
        <v>303</v>
      </c>
      <c r="B252" s="4" t="str">
        <f>HYPERLINK("https://basis.myseldon.com/ru/company/1026402676112?PartnerId=10756","6452024470")</f>
        <v>6452024470</v>
      </c>
      <c r="C252" s="3" t="s">
        <v>304</v>
      </c>
      <c r="D252" s="5">
        <v>7300000</v>
      </c>
    </row>
    <row r="253" spans="1:4" ht="38.25" x14ac:dyDescent="0.25">
      <c r="A253" s="3" t="s">
        <v>418</v>
      </c>
      <c r="B253" s="4" t="str">
        <f>HYPERLINK("https://basis.myseldon.com/ru/company/1024300963224?PartnerId=10756","4322004920")</f>
        <v>4322004920</v>
      </c>
      <c r="C253" s="3" t="s">
        <v>419</v>
      </c>
      <c r="D253" s="5">
        <v>1180000</v>
      </c>
    </row>
    <row r="254" spans="1:4" ht="25.5" x14ac:dyDescent="0.25">
      <c r="A254" s="3" t="s">
        <v>420</v>
      </c>
      <c r="B254" s="4" t="str">
        <f>HYPERLINK("https://basis.myseldon.com/ru/company/1022700516046?PartnerId=10756","2726011077")</f>
        <v>2726011077</v>
      </c>
      <c r="C254" s="3" t="s">
        <v>421</v>
      </c>
      <c r="D254" s="5">
        <v>1471750.9</v>
      </c>
    </row>
    <row r="255" spans="1:4" x14ac:dyDescent="0.25">
      <c r="A255" s="3" t="s">
        <v>422</v>
      </c>
      <c r="B255" s="4" t="str">
        <f>HYPERLINK("https://basis.myseldon.com/ru/company/1025203745863?PartnerId=10756","5262006584")</f>
        <v>5262006584</v>
      </c>
      <c r="C255" s="3" t="s">
        <v>423</v>
      </c>
      <c r="D255" s="5">
        <v>1882100</v>
      </c>
    </row>
    <row r="256" spans="1:4" ht="38.25" x14ac:dyDescent="0.25">
      <c r="A256" s="3" t="s">
        <v>424</v>
      </c>
      <c r="B256" s="4" t="str">
        <f>HYPERLINK("https://basis.myseldon.com/ru/company/1149102033630?PartnerId=10756","9110001370")</f>
        <v>9110001370</v>
      </c>
      <c r="C256" s="3" t="s">
        <v>425</v>
      </c>
      <c r="D256" s="5">
        <v>2307499.9900000002</v>
      </c>
    </row>
    <row r="257" spans="1:4" ht="38.25" x14ac:dyDescent="0.25">
      <c r="A257" s="3" t="s">
        <v>426</v>
      </c>
      <c r="B257" s="4" t="str">
        <f>HYPERLINK("https://basis.myseldon.com/ru/company/1037808001065?PartnerId=10756","7804009870")</f>
        <v>7804009870</v>
      </c>
      <c r="C257" s="3" t="s">
        <v>427</v>
      </c>
      <c r="D257" s="5">
        <v>2092046.93</v>
      </c>
    </row>
    <row r="258" spans="1:4" ht="25.5" x14ac:dyDescent="0.25">
      <c r="A258" s="3" t="s">
        <v>428</v>
      </c>
      <c r="B258" s="4" t="str">
        <f>HYPERLINK("https://basis.myseldon.com/ru/company/1020202555240?PartnerId=10756","0274051582")</f>
        <v>0274051582</v>
      </c>
      <c r="C258" s="3" t="s">
        <v>429</v>
      </c>
      <c r="D258" s="5">
        <v>1116639.99</v>
      </c>
    </row>
    <row r="259" spans="1:4" ht="51" x14ac:dyDescent="0.25">
      <c r="A259" s="3" t="s">
        <v>430</v>
      </c>
      <c r="B259" s="4" t="str">
        <f>HYPERLINK("https://basis.myseldon.com/ru/company/1025100864117?PartnerId=10756","5192110268")</f>
        <v>5192110268</v>
      </c>
      <c r="C259" s="3" t="s">
        <v>431</v>
      </c>
      <c r="D259" s="5">
        <v>6103000.0199999996</v>
      </c>
    </row>
    <row r="260" spans="1:4" ht="51" x14ac:dyDescent="0.25">
      <c r="A260" s="3" t="s">
        <v>432</v>
      </c>
      <c r="B260" s="4" t="str">
        <f>HYPERLINK("https://basis.myseldon.com/ru/company/1024900961205?PartnerId=10756","4909045334")</f>
        <v>4909045334</v>
      </c>
      <c r="C260" s="3" t="s">
        <v>433</v>
      </c>
      <c r="D260" s="5">
        <v>4702035.95</v>
      </c>
    </row>
    <row r="261" spans="1:4" x14ac:dyDescent="0.25">
      <c r="A261" s="3" t="s">
        <v>434</v>
      </c>
      <c r="B261" s="4" t="str">
        <f>HYPERLINK("https://basis.myseldon.com/ru/company/1027739155180?PartnerId=10756","7714175986")</f>
        <v>7714175986</v>
      </c>
      <c r="C261" s="3" t="s">
        <v>435</v>
      </c>
      <c r="D261" s="5">
        <v>4820571.4000000004</v>
      </c>
    </row>
    <row r="262" spans="1:4" ht="25.5" x14ac:dyDescent="0.25">
      <c r="A262" s="3" t="s">
        <v>436</v>
      </c>
      <c r="B262" s="4" t="str">
        <f>HYPERLINK("https://basis.myseldon.com/ru/company/1021801659098?PartnerId=10756","1826000510")</f>
        <v>1826000510</v>
      </c>
      <c r="C262" s="3" t="s">
        <v>437</v>
      </c>
      <c r="D262" s="5">
        <v>2484772.2799999998</v>
      </c>
    </row>
    <row r="263" spans="1:4" ht="25.5" x14ac:dyDescent="0.25">
      <c r="A263" s="3" t="s">
        <v>438</v>
      </c>
      <c r="B263" s="4" t="str">
        <f>HYPERLINK("https://basis.myseldon.com/ru/company/1022002545938?PartnerId=10756","2014002509")</f>
        <v>2014002509</v>
      </c>
      <c r="C263" s="3" t="s">
        <v>439</v>
      </c>
      <c r="D263" s="5">
        <v>1944468</v>
      </c>
    </row>
    <row r="264" spans="1:4" ht="25.5" x14ac:dyDescent="0.25">
      <c r="A264" s="3" t="s">
        <v>438</v>
      </c>
      <c r="B264" s="4" t="str">
        <f>HYPERLINK("https://basis.myseldon.com/ru/company/1022002545938?PartnerId=10756","2014002509")</f>
        <v>2014002509</v>
      </c>
      <c r="C264" s="3" t="s">
        <v>439</v>
      </c>
      <c r="D264" s="5">
        <v>1254825.6399999999</v>
      </c>
    </row>
    <row r="265" spans="1:4" ht="25.5" x14ac:dyDescent="0.25">
      <c r="A265" s="3" t="s">
        <v>440</v>
      </c>
      <c r="B265" s="4" t="str">
        <f>HYPERLINK("https://basis.myseldon.com/ru/company/1025801354710?PartnerId=10756","5836200160")</f>
        <v>5836200160</v>
      </c>
      <c r="C265" s="3" t="s">
        <v>441</v>
      </c>
      <c r="D265" s="5">
        <v>1292903</v>
      </c>
    </row>
    <row r="266" spans="1:4" ht="25.5" x14ac:dyDescent="0.25">
      <c r="A266" s="3" t="s">
        <v>442</v>
      </c>
      <c r="B266" s="4" t="str">
        <f>HYPERLINK("https://basis.myseldon.com/ru/company/1027100978190?PartnerId=10756","7107028403")</f>
        <v>7107028403</v>
      </c>
      <c r="C266" s="3" t="s">
        <v>443</v>
      </c>
      <c r="D266" s="5">
        <v>7077037</v>
      </c>
    </row>
    <row r="267" spans="1:4" ht="38.25" x14ac:dyDescent="0.25">
      <c r="A267" s="3" t="s">
        <v>444</v>
      </c>
      <c r="B267" s="4" t="str">
        <f>HYPERLINK("https://basis.myseldon.com/ru/company/1027100523878?PartnerId=10756","7103027529")</f>
        <v>7103027529</v>
      </c>
      <c r="C267" s="3" t="s">
        <v>445</v>
      </c>
      <c r="D267" s="5">
        <v>2720119</v>
      </c>
    </row>
    <row r="268" spans="1:4" ht="38.25" x14ac:dyDescent="0.25">
      <c r="A268" s="3" t="s">
        <v>19</v>
      </c>
      <c r="B268" s="4" t="str">
        <f>HYPERLINK("https://basis.myseldon.com/ru/company/1037739877295?PartnerId=10756","7708503727")</f>
        <v>7708503727</v>
      </c>
      <c r="C268" s="3" t="s">
        <v>446</v>
      </c>
      <c r="D268" s="5">
        <v>73017842.890000001</v>
      </c>
    </row>
    <row r="269" spans="1:4" x14ac:dyDescent="0.25">
      <c r="A269" s="3" t="s">
        <v>447</v>
      </c>
      <c r="B269" s="4" t="str">
        <f>HYPERLINK("https://basis.myseldon.com/ru/company/1052303701922?PartnerId=10756","2308111927")</f>
        <v>2308111927</v>
      </c>
      <c r="C269" s="3" t="s">
        <v>448</v>
      </c>
      <c r="D269" s="5">
        <v>1600000</v>
      </c>
    </row>
    <row r="270" spans="1:4" ht="89.25" x14ac:dyDescent="0.25">
      <c r="A270" s="3" t="s">
        <v>449</v>
      </c>
      <c r="B270" s="4" t="str">
        <f>HYPERLINK("https://basis.myseldon.com/ru/company/1027739576006?PartnerId=10756","7734111035")</f>
        <v>7734111035</v>
      </c>
      <c r="C270" s="3" t="s">
        <v>450</v>
      </c>
      <c r="D270" s="5">
        <v>1700300</v>
      </c>
    </row>
    <row r="271" spans="1:4" ht="25.5" x14ac:dyDescent="0.25">
      <c r="A271" s="3" t="s">
        <v>451</v>
      </c>
      <c r="B271" s="4" t="str">
        <f>HYPERLINK("https://basis.myseldon.com/ru/company/1137847021729?PartnerId=10756","7801593651")</f>
        <v>7801593651</v>
      </c>
      <c r="C271" s="3" t="s">
        <v>452</v>
      </c>
      <c r="D271" s="5">
        <v>1633336.33</v>
      </c>
    </row>
    <row r="272" spans="1:4" ht="25.5" x14ac:dyDescent="0.25">
      <c r="A272" s="3" t="s">
        <v>451</v>
      </c>
      <c r="B272" s="4" t="str">
        <f>HYPERLINK("https://basis.myseldon.com/ru/company/1137847021729?PartnerId=10756","7801593651")</f>
        <v>7801593651</v>
      </c>
      <c r="C272" s="3" t="s">
        <v>453</v>
      </c>
      <c r="D272" s="5">
        <v>8362100</v>
      </c>
    </row>
    <row r="273" spans="1:4" ht="38.25" x14ac:dyDescent="0.25">
      <c r="A273" s="3" t="s">
        <v>454</v>
      </c>
      <c r="B273" s="4" t="str">
        <f>HYPERLINK("https://basis.myseldon.com/ru/company/1028600940587?PartnerId=10756","8603005902")</f>
        <v>8603005902</v>
      </c>
      <c r="C273" s="3" t="s">
        <v>455</v>
      </c>
      <c r="D273" s="5">
        <v>2706215</v>
      </c>
    </row>
    <row r="274" spans="1:4" ht="25.5" x14ac:dyDescent="0.25">
      <c r="A274" s="3" t="s">
        <v>456</v>
      </c>
      <c r="B274" s="4" t="str">
        <f>HYPERLINK("https://basis.myseldon.com/ru/company/1037828007535?PartnerId=10756","7813045635")</f>
        <v>7813045635</v>
      </c>
      <c r="C274" s="3" t="s">
        <v>457</v>
      </c>
      <c r="D274" s="5">
        <v>1046060</v>
      </c>
    </row>
    <row r="275" spans="1:4" x14ac:dyDescent="0.25">
      <c r="A275" s="3" t="s">
        <v>5</v>
      </c>
      <c r="B275" s="4" t="str">
        <f>HYPERLINK("https://basis.myseldon.com/ru/company/5087746119951?PartnerId=10756","7721632827")</f>
        <v>7721632827</v>
      </c>
      <c r="C275" s="3" t="s">
        <v>6</v>
      </c>
      <c r="D275" s="5">
        <v>2592660.0299999998</v>
      </c>
    </row>
    <row r="276" spans="1:4" ht="38.25" x14ac:dyDescent="0.25">
      <c r="A276" s="3" t="s">
        <v>458</v>
      </c>
      <c r="B276" s="4" t="str">
        <f>HYPERLINK("https://basis.myseldon.com/ru/company/1035002454706?PartnerId=10756","5012004425")</f>
        <v>5012004425</v>
      </c>
      <c r="C276" s="3" t="s">
        <v>459</v>
      </c>
      <c r="D276" s="5">
        <v>4000000</v>
      </c>
    </row>
    <row r="277" spans="1:4" x14ac:dyDescent="0.25">
      <c r="A277" s="3" t="s">
        <v>460</v>
      </c>
      <c r="B277" s="4" t="str">
        <f>HYPERLINK("https://basis.myseldon.com/ru/company/1022300768600?PartnerId=10756","2304030547")</f>
        <v>2304030547</v>
      </c>
      <c r="C277" s="3" t="s">
        <v>461</v>
      </c>
      <c r="D277" s="5">
        <v>1280471.3999999999</v>
      </c>
    </row>
    <row r="278" spans="1:4" x14ac:dyDescent="0.25">
      <c r="A278" s="3" t="s">
        <v>462</v>
      </c>
      <c r="B278" s="4" t="str">
        <f>HYPERLINK("https://basis.myseldon.com/ru/company/1027700388066?PartnerId=10756","7727062764")</f>
        <v>7727062764</v>
      </c>
      <c r="C278" s="3" t="s">
        <v>463</v>
      </c>
      <c r="D278" s="5">
        <v>2362889.92</v>
      </c>
    </row>
    <row r="279" spans="1:4" ht="114.75" x14ac:dyDescent="0.25">
      <c r="A279" s="3" t="s">
        <v>371</v>
      </c>
      <c r="B279" s="4" t="str">
        <f>HYPERLINK("https://basis.myseldon.com/ru/company/1027700132195?PartnerId=10756","7707083893")</f>
        <v>7707083893</v>
      </c>
      <c r="C279" s="3" t="s">
        <v>464</v>
      </c>
      <c r="D279" s="5">
        <v>38170655.700000003</v>
      </c>
    </row>
    <row r="280" spans="1:4" ht="25.5" x14ac:dyDescent="0.25">
      <c r="A280" s="3" t="s">
        <v>465</v>
      </c>
      <c r="B280" s="4" t="str">
        <f>HYPERLINK("https://basis.myseldon.com/ru/company/1027804611405?PartnerId=10756","7807028769")</f>
        <v>7807028769</v>
      </c>
      <c r="C280" s="3" t="s">
        <v>466</v>
      </c>
      <c r="D280" s="5">
        <v>3807942</v>
      </c>
    </row>
    <row r="281" spans="1:4" ht="25.5" x14ac:dyDescent="0.25">
      <c r="A281" s="3" t="s">
        <v>467</v>
      </c>
      <c r="B281" s="4" t="str">
        <f>HYPERLINK("https://basis.myseldon.com/ru/company/1037704013489?PartnerId=10756","7704227113")</f>
        <v>7704227113</v>
      </c>
      <c r="C281" s="3" t="s">
        <v>468</v>
      </c>
      <c r="D281" s="5">
        <v>3909708</v>
      </c>
    </row>
    <row r="282" spans="1:4" ht="25.5" x14ac:dyDescent="0.25">
      <c r="A282" s="3" t="s">
        <v>467</v>
      </c>
      <c r="B282" s="4" t="str">
        <f>HYPERLINK("https://basis.myseldon.com/ru/company/1037704013489?PartnerId=10756","7704227113")</f>
        <v>7704227113</v>
      </c>
      <c r="C282" s="3" t="s">
        <v>468</v>
      </c>
      <c r="D282" s="5">
        <v>12701689.34</v>
      </c>
    </row>
    <row r="283" spans="1:4" ht="25.5" x14ac:dyDescent="0.25">
      <c r="A283" s="3" t="s">
        <v>469</v>
      </c>
      <c r="B283" s="4" t="str">
        <f>HYPERLINK("https://basis.myseldon.com/ru/company/1022301432702?PartnerId=10756","2309031801")</f>
        <v>2309031801</v>
      </c>
      <c r="C283" s="3" t="s">
        <v>470</v>
      </c>
      <c r="D283" s="5">
        <v>1617703.38</v>
      </c>
    </row>
    <row r="284" spans="1:4" ht="25.5" x14ac:dyDescent="0.25">
      <c r="A284" s="3" t="s">
        <v>471</v>
      </c>
      <c r="B284" s="4" t="str">
        <f>HYPERLINK("https://basis.myseldon.com/ru/company/1037828002850?PartnerId=10756","7813045441")</f>
        <v>7813045441</v>
      </c>
      <c r="C284" s="3" t="s">
        <v>472</v>
      </c>
      <c r="D284" s="5">
        <v>4496590</v>
      </c>
    </row>
    <row r="285" spans="1:4" ht="38.25" x14ac:dyDescent="0.25">
      <c r="A285" s="3" t="s">
        <v>473</v>
      </c>
      <c r="B285" s="4" t="str">
        <f>HYPERLINK("https://basis.myseldon.com/ru/company/1022601934630?PartnerId=10756","2635040105")</f>
        <v>2635040105</v>
      </c>
      <c r="C285" s="3" t="s">
        <v>474</v>
      </c>
      <c r="D285" s="5">
        <v>1548514</v>
      </c>
    </row>
    <row r="286" spans="1:4" ht="25.5" x14ac:dyDescent="0.25">
      <c r="A286" s="3" t="s">
        <v>210</v>
      </c>
      <c r="B286" s="4" t="str">
        <f>HYPERLINK("https://basis.myseldon.com/ru/company/1027739731491?PartnerId=10756","7733046721")</f>
        <v>7733046721</v>
      </c>
      <c r="C286" s="3" t="s">
        <v>475</v>
      </c>
      <c r="D286" s="5">
        <v>1031625</v>
      </c>
    </row>
    <row r="287" spans="1:4" ht="102" x14ac:dyDescent="0.25">
      <c r="A287" s="3" t="s">
        <v>476</v>
      </c>
      <c r="B287" s="4" t="str">
        <f>HYPERLINK("https://basis.myseldon.com/ru/company/1021602841391?PartnerId=10756","1655018018")</f>
        <v>1655018018</v>
      </c>
      <c r="C287" s="3" t="s">
        <v>477</v>
      </c>
      <c r="D287" s="5">
        <v>1848700</v>
      </c>
    </row>
    <row r="288" spans="1:4" ht="25.5" x14ac:dyDescent="0.25">
      <c r="A288" s="3" t="s">
        <v>478</v>
      </c>
      <c r="B288" s="4" t="str">
        <f>HYPERLINK("https://basis.myseldon.com/ru/company/1037724007276?PartnerId=10756","7724261610")</f>
        <v>7724261610</v>
      </c>
      <c r="C288" s="3" t="s">
        <v>479</v>
      </c>
      <c r="D288" s="5">
        <v>1002728.35</v>
      </c>
    </row>
    <row r="289" spans="1:4" ht="25.5" x14ac:dyDescent="0.25">
      <c r="A289" s="3" t="s">
        <v>480</v>
      </c>
      <c r="B289" s="4" t="str">
        <f>HYPERLINK("https://basis.myseldon.com/ru/company/1037736018066?PartnerId=10756","7736055393")</f>
        <v>7736055393</v>
      </c>
      <c r="C289" s="3" t="s">
        <v>481</v>
      </c>
      <c r="D289" s="5">
        <v>2813777.96</v>
      </c>
    </row>
    <row r="290" spans="1:4" ht="25.5" x14ac:dyDescent="0.25">
      <c r="A290" s="3" t="s">
        <v>482</v>
      </c>
      <c r="B290" s="4" t="str">
        <f>HYPERLINK("https://basis.myseldon.com/ru/company/1027739708963?PartnerId=10756","7734223028")</f>
        <v>7734223028</v>
      </c>
      <c r="C290" s="3" t="s">
        <v>483</v>
      </c>
      <c r="D290" s="5">
        <v>5442534.9800000004</v>
      </c>
    </row>
    <row r="291" spans="1:4" x14ac:dyDescent="0.25">
      <c r="A291" s="3" t="s">
        <v>484</v>
      </c>
      <c r="B291" s="4" t="str">
        <f>HYPERLINK("https://basis.myseldon.com/ru/company/1124632001053?PartnerId=10756","4632160704")</f>
        <v>4632160704</v>
      </c>
      <c r="C291" s="3" t="s">
        <v>485</v>
      </c>
      <c r="D291" s="5">
        <v>5157900</v>
      </c>
    </row>
    <row r="292" spans="1:4" ht="25.5" x14ac:dyDescent="0.25">
      <c r="A292" s="3" t="s">
        <v>486</v>
      </c>
      <c r="B292" s="4" t="str">
        <f>HYPERLINK("https://basis.myseldon.com/ru/company/1022303554570?PartnerId=10756","2328005589")</f>
        <v>2328005589</v>
      </c>
      <c r="C292" s="3" t="s">
        <v>487</v>
      </c>
      <c r="D292" s="5">
        <v>2043636</v>
      </c>
    </row>
    <row r="293" spans="1:4" ht="25.5" x14ac:dyDescent="0.25">
      <c r="A293" s="3" t="s">
        <v>488</v>
      </c>
      <c r="B293" s="4" t="str">
        <f>HYPERLINK("https://basis.myseldon.com/ru/company/1023902006688?PartnerId=10756","3911001526")</f>
        <v>3911001526</v>
      </c>
      <c r="C293" s="3" t="s">
        <v>489</v>
      </c>
      <c r="D293" s="5">
        <v>1228464</v>
      </c>
    </row>
    <row r="294" spans="1:4" ht="25.5" x14ac:dyDescent="0.25">
      <c r="A294" s="3" t="s">
        <v>490</v>
      </c>
      <c r="B294" s="4" t="str">
        <f>HYPERLINK("https://basis.myseldon.com/ru/company/1027810219007?PartnerId=10756","7809022120")</f>
        <v>7809022120</v>
      </c>
      <c r="C294" s="3" t="s">
        <v>491</v>
      </c>
      <c r="D294" s="5">
        <v>2500000</v>
      </c>
    </row>
    <row r="295" spans="1:4" ht="38.25" x14ac:dyDescent="0.25">
      <c r="A295" s="3" t="s">
        <v>492</v>
      </c>
      <c r="B295" s="4" t="str">
        <f>HYPERLINK("https://basis.myseldon.com/ru/company/1037843047461?PartnerId=10756","7808046224")</f>
        <v>7808046224</v>
      </c>
      <c r="C295" s="3" t="s">
        <v>493</v>
      </c>
      <c r="D295" s="5">
        <v>13868840.25</v>
      </c>
    </row>
    <row r="296" spans="1:4" ht="25.5" x14ac:dyDescent="0.25">
      <c r="A296" s="3" t="s">
        <v>494</v>
      </c>
      <c r="B296" s="4" t="str">
        <f>HYPERLINK("https://basis.myseldon.com/ru/company/1022002545905?PartnerId=10756","2014000124")</f>
        <v>2014000124</v>
      </c>
      <c r="C296" s="3" t="s">
        <v>495</v>
      </c>
      <c r="D296" s="5">
        <v>1061114.71</v>
      </c>
    </row>
    <row r="297" spans="1:4" ht="25.5" x14ac:dyDescent="0.25">
      <c r="A297" s="3" t="s">
        <v>496</v>
      </c>
      <c r="B297" s="4" t="str">
        <f>HYPERLINK("https://basis.myseldon.com/ru/company/1021401066169?PartnerId=10756","1435116940")</f>
        <v>1435116940</v>
      </c>
      <c r="C297" s="3" t="s">
        <v>497</v>
      </c>
      <c r="D297" s="5">
        <v>19460207.039999999</v>
      </c>
    </row>
    <row r="298" spans="1:4" ht="38.25" x14ac:dyDescent="0.25">
      <c r="A298" s="3" t="s">
        <v>113</v>
      </c>
      <c r="B298" s="4" t="str">
        <f>HYPERLINK("https://basis.myseldon.com/ru/company/1045004478298?PartnerId=10756","5024068656")</f>
        <v>5024068656</v>
      </c>
      <c r="C298" s="3" t="s">
        <v>498</v>
      </c>
      <c r="D298" s="5">
        <v>3811000</v>
      </c>
    </row>
    <row r="299" spans="1:4" x14ac:dyDescent="0.25">
      <c r="A299" s="3" t="s">
        <v>499</v>
      </c>
      <c r="B299" s="4" t="str">
        <f>HYPERLINK("https://basis.myseldon.com/ru/company/1149102171811?PartnerId=10756","9107004533")</f>
        <v>9107004533</v>
      </c>
      <c r="C299" s="3" t="s">
        <v>500</v>
      </c>
      <c r="D299" s="5">
        <v>1988442</v>
      </c>
    </row>
    <row r="300" spans="1:4" ht="25.5" x14ac:dyDescent="0.25">
      <c r="A300" s="3" t="s">
        <v>501</v>
      </c>
      <c r="B300" s="4" t="str">
        <f>HYPERLINK("https://basis.myseldon.com/ru/company/1023403452555?PartnerId=10756","3444054571")</f>
        <v>3444054571</v>
      </c>
      <c r="C300" s="3" t="s">
        <v>502</v>
      </c>
      <c r="D300" s="5">
        <v>1396965</v>
      </c>
    </row>
    <row r="301" spans="1:4" ht="25.5" x14ac:dyDescent="0.25">
      <c r="A301" s="3" t="s">
        <v>503</v>
      </c>
      <c r="B301" s="4" t="str">
        <f>HYPERLINK("https://basis.myseldon.com/ru/company/1026900551842?PartnerId=10756","6904008639")</f>
        <v>6904008639</v>
      </c>
      <c r="C301" s="3" t="s">
        <v>70</v>
      </c>
      <c r="D301" s="5">
        <v>2003979.6</v>
      </c>
    </row>
    <row r="302" spans="1:4" ht="25.5" x14ac:dyDescent="0.25">
      <c r="A302" s="3" t="s">
        <v>504</v>
      </c>
      <c r="B302" s="4" t="str">
        <f>HYPERLINK("https://basis.myseldon.com/ru/company/1027200878121?PartnerId=10756","7204006892")</f>
        <v>7204006892</v>
      </c>
      <c r="C302" s="3" t="s">
        <v>505</v>
      </c>
      <c r="D302" s="5">
        <v>3009573</v>
      </c>
    </row>
    <row r="303" spans="1:4" ht="51" x14ac:dyDescent="0.25">
      <c r="A303" s="3" t="s">
        <v>506</v>
      </c>
      <c r="B303" s="4" t="str">
        <f>HYPERLINK("https://basis.myseldon.com/ru/company/1036603993910?PartnerId=10756","6661014645")</f>
        <v>6661014645</v>
      </c>
      <c r="C303" s="3" t="s">
        <v>507</v>
      </c>
      <c r="D303" s="5">
        <v>3133067.52</v>
      </c>
    </row>
    <row r="304" spans="1:4" ht="38.25" x14ac:dyDescent="0.25">
      <c r="A304" s="3" t="s">
        <v>508</v>
      </c>
      <c r="B304" s="4" t="str">
        <f>HYPERLINK("https://basis.myseldon.com/ru/company/1057810087202?PartnerId=10756","7805365021")</f>
        <v>7805365021</v>
      </c>
      <c r="C304" s="3" t="s">
        <v>509</v>
      </c>
      <c r="D304" s="5">
        <v>1272009.05</v>
      </c>
    </row>
    <row r="305" spans="1:4" ht="51" x14ac:dyDescent="0.25">
      <c r="A305" s="3" t="s">
        <v>307</v>
      </c>
      <c r="B305" s="4" t="str">
        <f>HYPERLINK("https://basis.myseldon.com/ru/company/1037804002500?PartnerId=10756","7802048578")</f>
        <v>7802048578</v>
      </c>
      <c r="C305" s="3" t="s">
        <v>510</v>
      </c>
      <c r="D305" s="5">
        <v>2329030.5299999998</v>
      </c>
    </row>
    <row r="306" spans="1:4" ht="25.5" x14ac:dyDescent="0.25">
      <c r="A306" s="3" t="s">
        <v>511</v>
      </c>
      <c r="B306" s="4" t="str">
        <f>HYPERLINK("https://basis.myseldon.com/ru/company/1057801208079?PartnerId=10756","7804181649")</f>
        <v>7804181649</v>
      </c>
      <c r="C306" s="3" t="s">
        <v>512</v>
      </c>
      <c r="D306" s="5">
        <v>1658065.4</v>
      </c>
    </row>
    <row r="307" spans="1:4" ht="25.5" x14ac:dyDescent="0.25">
      <c r="A307" s="3" t="s">
        <v>513</v>
      </c>
      <c r="B307" s="4" t="str">
        <f>HYPERLINK("https://basis.myseldon.com/ru/company/1037800018618?PartnerId=10756","7801014390")</f>
        <v>7801014390</v>
      </c>
      <c r="C307" s="3" t="s">
        <v>514</v>
      </c>
      <c r="D307" s="5">
        <v>1318025.95</v>
      </c>
    </row>
    <row r="308" spans="1:4" ht="25.5" x14ac:dyDescent="0.25">
      <c r="A308" s="3" t="s">
        <v>515</v>
      </c>
      <c r="B308" s="4" t="str">
        <f>HYPERLINK("https://basis.myseldon.com/ru/company/1122468052937?PartnerId=10756","2466254950")</f>
        <v>2466254950</v>
      </c>
      <c r="C308" s="3" t="s">
        <v>516</v>
      </c>
      <c r="D308" s="5">
        <v>1346066.33</v>
      </c>
    </row>
    <row r="309" spans="1:4" ht="102" x14ac:dyDescent="0.25">
      <c r="A309" s="3" t="s">
        <v>517</v>
      </c>
      <c r="B309" s="4" t="str">
        <f>HYPERLINK("https://basis.myseldon.com/ru/company/1027739189323?PartnerId=10756","7728073720")</f>
        <v>7728073720</v>
      </c>
      <c r="C309" s="3" t="s">
        <v>518</v>
      </c>
      <c r="D309" s="5">
        <v>80151000</v>
      </c>
    </row>
    <row r="310" spans="1:4" ht="76.5" x14ac:dyDescent="0.25">
      <c r="A310" s="3" t="s">
        <v>379</v>
      </c>
      <c r="B310" s="4" t="str">
        <f>HYPERLINK("https://basis.myseldon.com/ru/company/1047424528580?PartnerId=10756","7453135827")</f>
        <v>7453135827</v>
      </c>
      <c r="C310" s="3" t="s">
        <v>519</v>
      </c>
      <c r="D310" s="5">
        <v>2981640</v>
      </c>
    </row>
    <row r="311" spans="1:4" ht="25.5" x14ac:dyDescent="0.25">
      <c r="A311" s="3" t="s">
        <v>520</v>
      </c>
      <c r="B311" s="4" t="str">
        <f>HYPERLINK("https://basis.myseldon.com/ru/company/1022002146847?PartnerId=10756","2020002401")</f>
        <v>2020002401</v>
      </c>
      <c r="C311" s="3" t="s">
        <v>521</v>
      </c>
      <c r="D311" s="5">
        <v>1099135.8799999999</v>
      </c>
    </row>
    <row r="312" spans="1:4" ht="25.5" x14ac:dyDescent="0.25">
      <c r="A312" s="3" t="s">
        <v>275</v>
      </c>
      <c r="B312" s="4" t="str">
        <f>HYPERLINK("https://basis.myseldon.com/ru/company/1023101656126?PartnerId=10756","3123066800")</f>
        <v>3123066800</v>
      </c>
      <c r="C312" s="3" t="s">
        <v>276</v>
      </c>
      <c r="D312" s="5">
        <v>3095730</v>
      </c>
    </row>
    <row r="313" spans="1:4" ht="25.5" x14ac:dyDescent="0.25">
      <c r="A313" s="3" t="s">
        <v>275</v>
      </c>
      <c r="B313" s="4" t="str">
        <f>HYPERLINK("https://basis.myseldon.com/ru/company/1023101656126?PartnerId=10756","3123066800")</f>
        <v>3123066800</v>
      </c>
      <c r="C313" s="3" t="s">
        <v>276</v>
      </c>
      <c r="D313" s="5">
        <v>12177750</v>
      </c>
    </row>
    <row r="314" spans="1:4" ht="25.5" x14ac:dyDescent="0.25">
      <c r="A314" s="3" t="s">
        <v>522</v>
      </c>
      <c r="B314" s="4" t="str">
        <f>HYPERLINK("https://basis.myseldon.com/ru/company/1149102181326?PartnerId=10756","9109008212")</f>
        <v>9109008212</v>
      </c>
      <c r="C314" s="3" t="s">
        <v>523</v>
      </c>
      <c r="D314" s="5">
        <v>1406000</v>
      </c>
    </row>
    <row r="315" spans="1:4" ht="25.5" x14ac:dyDescent="0.25">
      <c r="A315" s="3" t="s">
        <v>524</v>
      </c>
      <c r="B315" s="4" t="str">
        <f>HYPERLINK("https://basis.myseldon.com/ru/company/1022901494945?PartnerId=10756","2901038518")</f>
        <v>2901038518</v>
      </c>
      <c r="C315" s="3" t="s">
        <v>525</v>
      </c>
      <c r="D315" s="5">
        <v>1505090</v>
      </c>
    </row>
    <row r="316" spans="1:4" ht="89.25" x14ac:dyDescent="0.25">
      <c r="A316" s="3" t="s">
        <v>517</v>
      </c>
      <c r="B316" s="4" t="str">
        <f>HYPERLINK("https://basis.myseldon.com/ru/company/1027739189323?PartnerId=10756","7728073720")</f>
        <v>7728073720</v>
      </c>
      <c r="C316" s="3" t="s">
        <v>526</v>
      </c>
      <c r="D316" s="5">
        <v>8058600</v>
      </c>
    </row>
    <row r="317" spans="1:4" x14ac:dyDescent="0.25">
      <c r="A317" s="3" t="s">
        <v>527</v>
      </c>
      <c r="B317" s="4" t="str">
        <f>HYPERLINK("https://basis.myseldon.com/ru/company/1149102182525?PartnerId=10756","9111009686")</f>
        <v>9111009686</v>
      </c>
      <c r="C317" s="3" t="s">
        <v>528</v>
      </c>
      <c r="D317" s="5">
        <v>3145729</v>
      </c>
    </row>
    <row r="318" spans="1:4" x14ac:dyDescent="0.25">
      <c r="A318" s="3" t="s">
        <v>529</v>
      </c>
      <c r="B318" s="4" t="str">
        <f>HYPERLINK("https://basis.myseldon.com/ru/company/1027739054970?PartnerId=10756","7707291942")</f>
        <v>7707291942</v>
      </c>
      <c r="C318" s="3" t="s">
        <v>530</v>
      </c>
      <c r="D318" s="5">
        <v>4302000</v>
      </c>
    </row>
    <row r="319" spans="1:4" ht="25.5" x14ac:dyDescent="0.25">
      <c r="A319" s="3" t="s">
        <v>531</v>
      </c>
      <c r="B319" s="4" t="str">
        <f>HYPERLINK("https://basis.myseldon.com/ru/company/1023901002949?PartnerId=10756","3906019856")</f>
        <v>3906019856</v>
      </c>
      <c r="C319" s="3" t="s">
        <v>532</v>
      </c>
      <c r="D319" s="5">
        <v>1698000</v>
      </c>
    </row>
    <row r="320" spans="1:4" ht="25.5" x14ac:dyDescent="0.25">
      <c r="A320" s="3" t="s">
        <v>533</v>
      </c>
      <c r="B320" s="4" t="str">
        <f>HYPERLINK("https://basis.myseldon.com/ru/company/1027403857568?PartnerId=10756","7453019764")</f>
        <v>7453019764</v>
      </c>
      <c r="C320" s="3" t="s">
        <v>534</v>
      </c>
      <c r="D320" s="5">
        <v>6710000</v>
      </c>
    </row>
    <row r="321" spans="1:4" ht="25.5" x14ac:dyDescent="0.25">
      <c r="A321" s="3" t="s">
        <v>303</v>
      </c>
      <c r="B321" s="4" t="str">
        <f>HYPERLINK("https://basis.myseldon.com/ru/company/1026402676112?PartnerId=10756","6452024470")</f>
        <v>6452024470</v>
      </c>
      <c r="C321" s="3" t="s">
        <v>304</v>
      </c>
      <c r="D321" s="5">
        <v>2227565.3199999998</v>
      </c>
    </row>
    <row r="322" spans="1:4" ht="25.5" x14ac:dyDescent="0.25">
      <c r="A322" s="3" t="s">
        <v>303</v>
      </c>
      <c r="B322" s="4" t="str">
        <f>HYPERLINK("https://basis.myseldon.com/ru/company/1026402676112?PartnerId=10756","6452024470")</f>
        <v>6452024470</v>
      </c>
      <c r="C322" s="3" t="s">
        <v>304</v>
      </c>
      <c r="D322" s="5">
        <v>2596198.46</v>
      </c>
    </row>
    <row r="323" spans="1:4" ht="25.5" x14ac:dyDescent="0.25">
      <c r="A323" s="3" t="s">
        <v>535</v>
      </c>
      <c r="B323" s="4" t="str">
        <f>HYPERLINK("https://basis.myseldon.com/ru/company/1027804601945?PartnerId=10756","7807021918")</f>
        <v>7807021918</v>
      </c>
      <c r="C323" s="3" t="s">
        <v>536</v>
      </c>
      <c r="D323" s="5">
        <v>2599055</v>
      </c>
    </row>
    <row r="324" spans="1:4" ht="25.5" x14ac:dyDescent="0.25">
      <c r="A324" s="3" t="s">
        <v>537</v>
      </c>
      <c r="B324" s="4" t="str">
        <f>HYPERLINK("https://basis.myseldon.com/ru/company/1023402463292?PartnerId=10756","3441010174")</f>
        <v>3441010174</v>
      </c>
      <c r="C324" s="3" t="s">
        <v>538</v>
      </c>
      <c r="D324" s="5">
        <v>6178905</v>
      </c>
    </row>
    <row r="325" spans="1:4" ht="25.5" x14ac:dyDescent="0.25">
      <c r="A325" s="3" t="s">
        <v>539</v>
      </c>
      <c r="B325" s="4" t="str">
        <f>HYPERLINK("https://basis.myseldon.com/ru/company/1026103272260?PartnerId=10756","6164100118")</f>
        <v>6164100118</v>
      </c>
      <c r="C325" s="3" t="s">
        <v>540</v>
      </c>
      <c r="D325" s="5">
        <v>2980025</v>
      </c>
    </row>
    <row r="326" spans="1:4" ht="38.25" x14ac:dyDescent="0.25">
      <c r="A326" s="3" t="s">
        <v>541</v>
      </c>
      <c r="B326" s="4" t="str">
        <f>HYPERLINK("https://basis.myseldon.com/ru/company/1068603071492?PartnerId=10756","8603139198")</f>
        <v>8603139198</v>
      </c>
      <c r="C326" s="3" t="s">
        <v>542</v>
      </c>
      <c r="D326" s="5">
        <v>1611919.39</v>
      </c>
    </row>
    <row r="327" spans="1:4" ht="25.5" x14ac:dyDescent="0.25">
      <c r="A327" s="3" t="s">
        <v>543</v>
      </c>
      <c r="B327" s="4" t="str">
        <f>HYPERLINK("https://basis.myseldon.com/ru/company/1063255001600?PartnerId=10756","3255049230")</f>
        <v>3255049230</v>
      </c>
      <c r="C327" s="3" t="s">
        <v>544</v>
      </c>
      <c r="D327" s="5">
        <v>4121332.78</v>
      </c>
    </row>
    <row r="328" spans="1:4" ht="25.5" x14ac:dyDescent="0.25">
      <c r="A328" s="3" t="s">
        <v>545</v>
      </c>
      <c r="B328" s="4" t="str">
        <f>HYPERLINK("https://basis.myseldon.com/ru/company/1021100812743?PartnerId=10756","1103020850")</f>
        <v>1103020850</v>
      </c>
      <c r="C328" s="3" t="s">
        <v>546</v>
      </c>
      <c r="D328" s="5">
        <v>2208733.6</v>
      </c>
    </row>
    <row r="329" spans="1:4" ht="25.5" x14ac:dyDescent="0.25">
      <c r="A329" s="3" t="s">
        <v>547</v>
      </c>
      <c r="B329" s="4" t="str">
        <f>HYPERLINK("https://basis.myseldon.com/ru/company/1140725001878?PartnerId=10756","0725014811")</f>
        <v>0725014811</v>
      </c>
      <c r="C329" s="3" t="s">
        <v>548</v>
      </c>
      <c r="D329" s="5">
        <v>90160953.209999993</v>
      </c>
    </row>
    <row r="330" spans="1:4" ht="76.5" x14ac:dyDescent="0.25">
      <c r="A330" s="3" t="s">
        <v>549</v>
      </c>
      <c r="B330" s="4" t="str">
        <f>HYPERLINK("https://basis.myseldon.com/ru/company/1022301815524?PartnerId=10756","2311040088")</f>
        <v>2311040088</v>
      </c>
      <c r="C330" s="3" t="s">
        <v>550</v>
      </c>
      <c r="D330" s="5">
        <v>1357649.04</v>
      </c>
    </row>
    <row r="331" spans="1:4" x14ac:dyDescent="0.25">
      <c r="A331" s="3" t="s">
        <v>551</v>
      </c>
      <c r="B331" s="4" t="str">
        <f>HYPERLINK("https://basis.myseldon.com/ru/company/1024840850055?PartnerId=10756","4825005110")</f>
        <v>4825005110</v>
      </c>
      <c r="C331" s="3" t="s">
        <v>552</v>
      </c>
      <c r="D331" s="5">
        <v>1141225.2</v>
      </c>
    </row>
    <row r="332" spans="1:4" ht="25.5" x14ac:dyDescent="0.25">
      <c r="A332" s="3" t="s">
        <v>553</v>
      </c>
      <c r="B332" s="4" t="str">
        <f>HYPERLINK("https://basis.myseldon.com/ru/company/1037869018329?PartnerId=10756","4700001180")</f>
        <v>4700001180</v>
      </c>
      <c r="C332" s="3" t="s">
        <v>554</v>
      </c>
      <c r="D332" s="5">
        <v>8515325</v>
      </c>
    </row>
    <row r="333" spans="1:4" x14ac:dyDescent="0.25">
      <c r="A333" s="3" t="s">
        <v>130</v>
      </c>
      <c r="B333" s="4" t="str">
        <f>HYPERLINK("https://basis.myseldon.com/ru/company/1027739552642?PartnerId=10756","7728171283")</f>
        <v>7728171283</v>
      </c>
      <c r="C333" s="3" t="s">
        <v>555</v>
      </c>
      <c r="D333" s="5">
        <v>1685000</v>
      </c>
    </row>
    <row r="334" spans="1:4" ht="25.5" x14ac:dyDescent="0.25">
      <c r="A334" s="3" t="s">
        <v>556</v>
      </c>
      <c r="B334" s="4" t="str">
        <f>HYPERLINK("https://basis.myseldon.com/ru/company/1022001742510?PartnerId=10756","2002001099")</f>
        <v>2002001099</v>
      </c>
      <c r="C334" s="3" t="s">
        <v>557</v>
      </c>
      <c r="D334" s="5">
        <v>2058377.14</v>
      </c>
    </row>
    <row r="335" spans="1:4" ht="178.5" x14ac:dyDescent="0.25">
      <c r="A335" s="3" t="s">
        <v>558</v>
      </c>
      <c r="B335" s="4" t="str">
        <f>HYPERLINK("https://basis.myseldon.com/ru/company/1159102029052?PartnerId=10756","9108104386")</f>
        <v>9108104386</v>
      </c>
      <c r="C335" s="3" t="s">
        <v>559</v>
      </c>
      <c r="D335" s="5">
        <v>1920735.38</v>
      </c>
    </row>
    <row r="336" spans="1:4" ht="63.75" x14ac:dyDescent="0.25">
      <c r="A336" s="3" t="s">
        <v>560</v>
      </c>
      <c r="B336" s="4" t="str">
        <f>HYPERLINK("https://basis.myseldon.com/ru/company/1037700258694?PartnerId=10756","7729082090")</f>
        <v>7729082090</v>
      </c>
      <c r="C336" s="3" t="s">
        <v>561</v>
      </c>
      <c r="D336" s="5">
        <v>3230067.68</v>
      </c>
    </row>
    <row r="337" spans="1:4" x14ac:dyDescent="0.25">
      <c r="A337" s="3" t="s">
        <v>562</v>
      </c>
      <c r="B337" s="4" t="str">
        <f>HYPERLINK("https://basis.myseldon.com/ru/company/1032700030571?PartnerId=10756","2727026809")</f>
        <v>2727026809</v>
      </c>
      <c r="C337" s="3" t="s">
        <v>563</v>
      </c>
      <c r="D337" s="5">
        <v>9048600</v>
      </c>
    </row>
    <row r="338" spans="1:4" ht="38.25" x14ac:dyDescent="0.25">
      <c r="A338" s="3" t="s">
        <v>564</v>
      </c>
      <c r="B338" s="4" t="str">
        <f>HYPERLINK("https://basis.myseldon.com/ru/company/1021801503382?PartnerId=10756","1833010750")</f>
        <v>1833010750</v>
      </c>
      <c r="C338" s="3" t="s">
        <v>565</v>
      </c>
      <c r="D338" s="5">
        <v>8088975.9299999997</v>
      </c>
    </row>
    <row r="339" spans="1:4" ht="25.5" x14ac:dyDescent="0.25">
      <c r="A339" s="3" t="s">
        <v>566</v>
      </c>
      <c r="B339" s="4" t="str">
        <f>HYPERLINK("https://basis.myseldon.com/ru/company/1037804050041?PartnerId=10756","7802166613")</f>
        <v>7802166613</v>
      </c>
      <c r="C339" s="3" t="s">
        <v>567</v>
      </c>
      <c r="D339" s="5">
        <v>7447656.2800000003</v>
      </c>
    </row>
    <row r="340" spans="1:4" ht="25.5" x14ac:dyDescent="0.25">
      <c r="A340" s="3" t="s">
        <v>568</v>
      </c>
      <c r="B340" s="4" t="str">
        <f>HYPERLINK("https://basis.myseldon.com/ru/company/1027739507212?PartnerId=10756","7728008953")</f>
        <v>7728008953</v>
      </c>
      <c r="C340" s="3" t="s">
        <v>569</v>
      </c>
      <c r="D340" s="5">
        <v>1374450</v>
      </c>
    </row>
    <row r="341" spans="1:4" x14ac:dyDescent="0.25">
      <c r="A341" s="3" t="s">
        <v>570</v>
      </c>
      <c r="B341" s="4" t="str">
        <f>HYPERLINK("https://basis.myseldon.com/ru/company/1035009556856?PartnerId=10756","5047009329")</f>
        <v>5047009329</v>
      </c>
      <c r="C341" s="3" t="s">
        <v>571</v>
      </c>
      <c r="D341" s="5">
        <v>7203500</v>
      </c>
    </row>
    <row r="342" spans="1:4" ht="140.25" x14ac:dyDescent="0.25">
      <c r="A342" s="3" t="s">
        <v>572</v>
      </c>
      <c r="B342" s="4" t="str">
        <f>HYPERLINK("https://basis.myseldon.com/ru/company/1026103163833?PartnerId=10756","6163000840")</f>
        <v>6163000840</v>
      </c>
      <c r="C342" s="3" t="s">
        <v>573</v>
      </c>
      <c r="D342" s="5">
        <v>1019060</v>
      </c>
    </row>
    <row r="343" spans="1:4" x14ac:dyDescent="0.25">
      <c r="A343" s="3" t="s">
        <v>574</v>
      </c>
      <c r="B343" s="4" t="str">
        <f>HYPERLINK("https://basis.myseldon.com/ru/company/1023901012882?PartnerId=10756","3906079478")</f>
        <v>3906079478</v>
      </c>
      <c r="C343" s="3" t="s">
        <v>575</v>
      </c>
      <c r="D343" s="5">
        <v>1846665.66</v>
      </c>
    </row>
    <row r="344" spans="1:4" ht="25.5" x14ac:dyDescent="0.25">
      <c r="A344" s="3" t="s">
        <v>576</v>
      </c>
      <c r="B344" s="4" t="str">
        <f>HYPERLINK("https://basis.myseldon.com/ru/company/1034316521051?PartnerId=10756","4346007656")</f>
        <v>4346007656</v>
      </c>
      <c r="C344" s="3" t="s">
        <v>577</v>
      </c>
      <c r="D344" s="5">
        <v>2950340</v>
      </c>
    </row>
    <row r="345" spans="1:4" ht="25.5" x14ac:dyDescent="0.25">
      <c r="A345" s="3" t="s">
        <v>578</v>
      </c>
      <c r="B345" s="4" t="str">
        <f>HYPERLINK("https://basis.myseldon.com/ru/company/1021401050857?PartnerId=10756","1435115270")</f>
        <v>1435115270</v>
      </c>
      <c r="C345" s="3" t="s">
        <v>579</v>
      </c>
      <c r="D345" s="5">
        <v>6180840</v>
      </c>
    </row>
    <row r="346" spans="1:4" ht="38.25" x14ac:dyDescent="0.25">
      <c r="A346" s="3" t="s">
        <v>580</v>
      </c>
      <c r="B346" s="4" t="str">
        <f>HYPERLINK("https://basis.myseldon.com/ru/company/1022900526318?PartnerId=10756","2901043349")</f>
        <v>2901043349</v>
      </c>
      <c r="C346" s="3" t="s">
        <v>581</v>
      </c>
      <c r="D346" s="5">
        <v>1465497.15</v>
      </c>
    </row>
    <row r="347" spans="1:4" ht="25.5" x14ac:dyDescent="0.25">
      <c r="A347" s="3" t="s">
        <v>582</v>
      </c>
      <c r="B347" s="4" t="str">
        <f>HYPERLINK("https://basis.myseldon.com/ru/company/1024400532859?PartnerId=10756","4401004000")</f>
        <v>4401004000</v>
      </c>
      <c r="C347" s="3" t="s">
        <v>583</v>
      </c>
      <c r="D347" s="5">
        <v>1148130</v>
      </c>
    </row>
    <row r="348" spans="1:4" ht="51" x14ac:dyDescent="0.25">
      <c r="A348" s="3" t="s">
        <v>584</v>
      </c>
      <c r="B348" s="4" t="str">
        <f>HYPERLINK("https://basis.myseldon.com/ru/company/1037800006089?PartnerId=10756","7801002274")</f>
        <v>7801002274</v>
      </c>
      <c r="C348" s="3" t="s">
        <v>585</v>
      </c>
      <c r="D348" s="5">
        <v>7416226</v>
      </c>
    </row>
    <row r="349" spans="1:4" ht="25.5" x14ac:dyDescent="0.25">
      <c r="A349" s="3" t="s">
        <v>586</v>
      </c>
      <c r="B349" s="4" t="str">
        <f>HYPERLINK("https://basis.myseldon.com/ru/company/1057200707134?PartnerId=10756","7202137025")</f>
        <v>7202137025</v>
      </c>
      <c r="C349" s="3" t="s">
        <v>587</v>
      </c>
      <c r="D349" s="5">
        <v>7364808.0700000003</v>
      </c>
    </row>
    <row r="350" spans="1:4" ht="25.5" x14ac:dyDescent="0.25">
      <c r="A350" s="3" t="s">
        <v>588</v>
      </c>
      <c r="B350" s="4" t="str">
        <f>HYPERLINK("https://basis.myseldon.com/ru/company/1037804000607?PartnerId=10756","7802072179")</f>
        <v>7802072179</v>
      </c>
      <c r="C350" s="3" t="s">
        <v>589</v>
      </c>
      <c r="D350" s="5">
        <v>2026191.18</v>
      </c>
    </row>
    <row r="351" spans="1:4" ht="25.5" x14ac:dyDescent="0.25">
      <c r="A351" s="3" t="s">
        <v>590</v>
      </c>
      <c r="B351" s="4" t="str">
        <f>HYPERLINK("https://basis.myseldon.com/ru/company/1087746355498?PartnerId=10756","7734581136")</f>
        <v>7734581136</v>
      </c>
      <c r="C351" s="3" t="s">
        <v>591</v>
      </c>
      <c r="D351" s="5">
        <v>1525786.8</v>
      </c>
    </row>
    <row r="352" spans="1:4" ht="38.25" x14ac:dyDescent="0.25">
      <c r="A352" s="3" t="s">
        <v>592</v>
      </c>
      <c r="B352" s="4" t="str">
        <f>HYPERLINK("https://basis.myseldon.com/ru/company/1022401624222?PartnerId=10756","2457030142")</f>
        <v>2457030142</v>
      </c>
      <c r="C352" s="3" t="s">
        <v>593</v>
      </c>
      <c r="D352" s="5">
        <v>2959688</v>
      </c>
    </row>
    <row r="353" spans="1:4" x14ac:dyDescent="0.25">
      <c r="A353" s="3" t="s">
        <v>594</v>
      </c>
      <c r="B353" s="4" t="str">
        <f>HYPERLINK("https://basis.myseldon.com/ru/company/1022701130572?PartnerId=10756","2722009694")</f>
        <v>2722009694</v>
      </c>
      <c r="C353" s="3" t="s">
        <v>563</v>
      </c>
      <c r="D353" s="5">
        <v>9048600</v>
      </c>
    </row>
    <row r="354" spans="1:4" ht="25.5" x14ac:dyDescent="0.25">
      <c r="A354" s="3" t="s">
        <v>154</v>
      </c>
      <c r="B354" s="4" t="str">
        <f>HYPERLINK("https://basis.myseldon.com/ru/company/1023202135725?PartnerId=10756","3207000066")</f>
        <v>3207000066</v>
      </c>
      <c r="C354" s="3" t="s">
        <v>155</v>
      </c>
      <c r="D354" s="5">
        <v>23884688.440000001</v>
      </c>
    </row>
    <row r="355" spans="1:4" ht="25.5" x14ac:dyDescent="0.25">
      <c r="A355" s="3" t="s">
        <v>595</v>
      </c>
      <c r="B355" s="4" t="str">
        <f>HYPERLINK("https://basis.myseldon.com/ru/company/1037819001340?PartnerId=10756","7807012783")</f>
        <v>7807012783</v>
      </c>
      <c r="C355" s="3" t="s">
        <v>596</v>
      </c>
      <c r="D355" s="5">
        <v>30146263.989999998</v>
      </c>
    </row>
    <row r="356" spans="1:4" ht="25.5" x14ac:dyDescent="0.25">
      <c r="A356" s="3" t="s">
        <v>597</v>
      </c>
      <c r="B356" s="4" t="str">
        <f>HYPERLINK("https://basis.myseldon.com/ru/company/1069847557394?PartnerId=10756","7802375889")</f>
        <v>7802375889</v>
      </c>
      <c r="C356" s="3" t="s">
        <v>598</v>
      </c>
      <c r="D356" s="5">
        <v>33160000</v>
      </c>
    </row>
    <row r="357" spans="1:4" x14ac:dyDescent="0.25">
      <c r="A357" s="3" t="s">
        <v>599</v>
      </c>
      <c r="B357" s="4" t="str">
        <f>HYPERLINK("https://basis.myseldon.com/ru/company/1037402329095?PartnerId=10756","7447063370")</f>
        <v>7447063370</v>
      </c>
      <c r="C357" s="3" t="s">
        <v>600</v>
      </c>
      <c r="D357" s="5">
        <v>3384145.31</v>
      </c>
    </row>
    <row r="358" spans="1:4" ht="51" x14ac:dyDescent="0.25">
      <c r="A358" s="3" t="s">
        <v>601</v>
      </c>
      <c r="B358" s="4" t="str">
        <f>HYPERLINK("https://basis.myseldon.com/ru/company/1097746390224?PartnerId=10756","7703702341")</f>
        <v>7703702341</v>
      </c>
      <c r="C358" s="3" t="s">
        <v>602</v>
      </c>
      <c r="D358" s="5">
        <v>9330100</v>
      </c>
    </row>
    <row r="359" spans="1:4" ht="25.5" x14ac:dyDescent="0.25">
      <c r="A359" s="3" t="s">
        <v>603</v>
      </c>
      <c r="B359" s="4" t="str">
        <f>HYPERLINK("https://basis.myseldon.com/ru/company/1123458000577?PartnerId=10756","3413010888")</f>
        <v>3413010888</v>
      </c>
      <c r="C359" s="3" t="s">
        <v>604</v>
      </c>
      <c r="D359" s="5">
        <v>2658831.87</v>
      </c>
    </row>
    <row r="360" spans="1:4" ht="25.5" x14ac:dyDescent="0.25">
      <c r="A360" s="3" t="s">
        <v>605</v>
      </c>
      <c r="B360" s="4" t="str">
        <f>HYPERLINK("https://basis.myseldon.com/ru/company/1077203024293?PartnerId=10756","7202161807")</f>
        <v>7202161807</v>
      </c>
      <c r="C360" s="3" t="s">
        <v>606</v>
      </c>
      <c r="D360" s="5">
        <v>13040000</v>
      </c>
    </row>
    <row r="361" spans="1:4" ht="25.5" x14ac:dyDescent="0.25">
      <c r="A361" s="3" t="s">
        <v>607</v>
      </c>
      <c r="B361" s="4" t="str">
        <f>HYPERLINK("https://basis.myseldon.com/ru/company/1026701450698?PartnerId=10756","6730028627")</f>
        <v>6730028627</v>
      </c>
      <c r="C361" s="3" t="s">
        <v>608</v>
      </c>
      <c r="D361" s="5">
        <v>10499566.17</v>
      </c>
    </row>
    <row r="362" spans="1:4" x14ac:dyDescent="0.25">
      <c r="A362" s="3" t="s">
        <v>609</v>
      </c>
      <c r="B362" s="4" t="str">
        <f>HYPERLINK("https://basis.myseldon.com/ru/company/1025400533190?PartnerId=10756","5401175279")</f>
        <v>5401175279</v>
      </c>
      <c r="C362" s="3" t="s">
        <v>563</v>
      </c>
      <c r="D362" s="5">
        <v>1038063.25</v>
      </c>
    </row>
    <row r="363" spans="1:4" ht="25.5" x14ac:dyDescent="0.25">
      <c r="A363" s="3" t="s">
        <v>101</v>
      </c>
      <c r="B363" s="4" t="str">
        <f>HYPERLINK("https://basis.myseldon.com/ru/company/1037739064285?PartnerId=10756","7735069192")</f>
        <v>7735069192</v>
      </c>
      <c r="C363" s="3" t="s">
        <v>102</v>
      </c>
      <c r="D363" s="5">
        <v>4950640</v>
      </c>
    </row>
    <row r="364" spans="1:4" ht="25.5" x14ac:dyDescent="0.25">
      <c r="A364" s="3" t="s">
        <v>610</v>
      </c>
      <c r="B364" s="4" t="str">
        <f>HYPERLINK("https://basis.myseldon.com/ru/company/1027739659628?PartnerId=10756","7723087091")</f>
        <v>7723087091</v>
      </c>
      <c r="C364" s="3" t="s">
        <v>611</v>
      </c>
      <c r="D364" s="5">
        <v>1388260</v>
      </c>
    </row>
    <row r="365" spans="1:4" x14ac:dyDescent="0.25">
      <c r="A365" s="3" t="s">
        <v>612</v>
      </c>
      <c r="B365" s="4" t="str">
        <f>HYPERLINK("https://basis.myseldon.com/ru/company/1027739822770?PartnerId=10756","7723084929")</f>
        <v>7723084929</v>
      </c>
      <c r="C365" s="3" t="s">
        <v>613</v>
      </c>
      <c r="D365" s="5">
        <v>2466605.73</v>
      </c>
    </row>
    <row r="366" spans="1:4" ht="25.5" x14ac:dyDescent="0.25">
      <c r="A366" s="3" t="s">
        <v>614</v>
      </c>
      <c r="B366" s="4" t="str">
        <f>HYPERLINK("https://basis.myseldon.com/ru/company/1037739408761?PartnerId=10756","7734087696")</f>
        <v>7734087696</v>
      </c>
      <c r="C366" s="3" t="s">
        <v>615</v>
      </c>
      <c r="D366" s="5">
        <v>6887486.1399999997</v>
      </c>
    </row>
    <row r="367" spans="1:4" ht="204" x14ac:dyDescent="0.25">
      <c r="A367" s="3" t="s">
        <v>572</v>
      </c>
      <c r="B367" s="4" t="str">
        <f>HYPERLINK("https://basis.myseldon.com/ru/company/1026103163833?PartnerId=10756","6163000840")</f>
        <v>6163000840</v>
      </c>
      <c r="C367" s="3" t="s">
        <v>616</v>
      </c>
      <c r="D367" s="5">
        <v>6225840</v>
      </c>
    </row>
    <row r="368" spans="1:4" ht="25.5" x14ac:dyDescent="0.25">
      <c r="A368" s="3" t="s">
        <v>617</v>
      </c>
      <c r="B368" s="4" t="str">
        <f>HYPERLINK("https://basis.myseldon.com/ru/company/1022701133828?PartnerId=10756","2722912088")</f>
        <v>2722912088</v>
      </c>
      <c r="C368" s="3" t="s">
        <v>618</v>
      </c>
      <c r="D368" s="5">
        <v>9500000</v>
      </c>
    </row>
    <row r="369" spans="1:4" ht="25.5" x14ac:dyDescent="0.25">
      <c r="A369" s="3" t="s">
        <v>619</v>
      </c>
      <c r="B369" s="4" t="str">
        <f>HYPERLINK("https://basis.myseldon.com/ru/company/1025403659126?PartnerId=10756","5408100177")</f>
        <v>5408100177</v>
      </c>
      <c r="C369" s="3" t="s">
        <v>620</v>
      </c>
      <c r="D369" s="5">
        <v>1400000</v>
      </c>
    </row>
    <row r="370" spans="1:4" ht="102" x14ac:dyDescent="0.25">
      <c r="A370" s="3" t="s">
        <v>621</v>
      </c>
      <c r="B370" s="4" t="str">
        <f>HYPERLINK("https://basis.myseldon.com/ru/company/1025203733510?PartnerId=10756","5262004442")</f>
        <v>5262004442</v>
      </c>
      <c r="C370" s="3" t="s">
        <v>622</v>
      </c>
      <c r="D370" s="5">
        <v>14743030</v>
      </c>
    </row>
    <row r="371" spans="1:4" ht="38.25" x14ac:dyDescent="0.25">
      <c r="A371" s="3" t="s">
        <v>449</v>
      </c>
      <c r="B371" s="4" t="str">
        <f>HYPERLINK("https://basis.myseldon.com/ru/company/1027739576006?PartnerId=10756","7734111035")</f>
        <v>7734111035</v>
      </c>
      <c r="C371" s="3" t="s">
        <v>623</v>
      </c>
      <c r="D371" s="5">
        <v>1775209.13</v>
      </c>
    </row>
    <row r="372" spans="1:4" x14ac:dyDescent="0.25">
      <c r="A372" s="3" t="s">
        <v>624</v>
      </c>
      <c r="B372" s="4" t="str">
        <f>HYPERLINK("https://basis.myseldon.com/ru/company/1022402125734?PartnerId=10756","2463000178")</f>
        <v>2463000178</v>
      </c>
      <c r="C372" s="3" t="s">
        <v>625</v>
      </c>
      <c r="D372" s="5">
        <v>1850242</v>
      </c>
    </row>
    <row r="373" spans="1:4" x14ac:dyDescent="0.25">
      <c r="A373" s="3" t="s">
        <v>626</v>
      </c>
      <c r="B373" s="4" t="str">
        <f>HYPERLINK("https://basis.myseldon.com/ru/company/1024700871711?PartnerId=10756","4704041900")</f>
        <v>4704041900</v>
      </c>
      <c r="C373" s="3" t="s">
        <v>627</v>
      </c>
      <c r="D373" s="5">
        <v>1240841.6299999999</v>
      </c>
    </row>
    <row r="374" spans="1:4" x14ac:dyDescent="0.25">
      <c r="A374" s="3" t="s">
        <v>626</v>
      </c>
      <c r="B374" s="4" t="str">
        <f>HYPERLINK("https://basis.myseldon.com/ru/company/1024700871711?PartnerId=10756","4704041900")</f>
        <v>4704041900</v>
      </c>
      <c r="C374" s="3" t="s">
        <v>628</v>
      </c>
      <c r="D374" s="5">
        <v>1391680.2</v>
      </c>
    </row>
    <row r="375" spans="1:4" x14ac:dyDescent="0.25">
      <c r="A375" s="3" t="s">
        <v>629</v>
      </c>
      <c r="B375" s="4" t="str">
        <f>HYPERLINK("https://basis.myseldon.com/ru/company/1022501310028?PartnerId=10756","2536055598")</f>
        <v>2536055598</v>
      </c>
      <c r="C375" s="3" t="s">
        <v>534</v>
      </c>
      <c r="D375" s="5">
        <v>1886000</v>
      </c>
    </row>
    <row r="376" spans="1:4" ht="102" x14ac:dyDescent="0.25">
      <c r="A376" s="3" t="s">
        <v>630</v>
      </c>
      <c r="B376" s="4" t="str">
        <f>HYPERLINK("https://basis.myseldon.com/ru/company/1026605391636?PartnerId=10756","6662003205")</f>
        <v>6662003205</v>
      </c>
      <c r="C376" s="3" t="s">
        <v>631</v>
      </c>
      <c r="D376" s="5">
        <v>5107000</v>
      </c>
    </row>
    <row r="377" spans="1:4" ht="25.5" x14ac:dyDescent="0.25">
      <c r="A377" s="3" t="s">
        <v>632</v>
      </c>
      <c r="B377" s="4" t="str">
        <f>HYPERLINK("https://basis.myseldon.com/ru/company/1057803924661?PartnerId=10756","7811153258")</f>
        <v>7811153258</v>
      </c>
      <c r="C377" s="3" t="s">
        <v>633</v>
      </c>
      <c r="D377" s="5">
        <v>1007441.52</v>
      </c>
    </row>
    <row r="378" spans="1:4" ht="25.5" x14ac:dyDescent="0.25">
      <c r="A378" s="3" t="s">
        <v>295</v>
      </c>
      <c r="B378" s="4" t="str">
        <f>HYPERLINK("https://basis.myseldon.com/ru/company/1026303714227?PartnerId=10756","6372000202")</f>
        <v>6372000202</v>
      </c>
      <c r="C378" s="3" t="s">
        <v>296</v>
      </c>
      <c r="D378" s="5">
        <v>2209712.89</v>
      </c>
    </row>
    <row r="379" spans="1:4" ht="38.25" x14ac:dyDescent="0.25">
      <c r="A379" s="3" t="s">
        <v>238</v>
      </c>
      <c r="B379" s="4" t="str">
        <f>HYPERLINK("https://basis.myseldon.com/ru/company/1048600000701?PartnerId=10756","8601022211")</f>
        <v>8601022211</v>
      </c>
      <c r="C379" s="3" t="s">
        <v>634</v>
      </c>
      <c r="D379" s="5">
        <v>1691500</v>
      </c>
    </row>
    <row r="380" spans="1:4" ht="25.5" x14ac:dyDescent="0.25">
      <c r="A380" s="3" t="s">
        <v>295</v>
      </c>
      <c r="B380" s="4" t="str">
        <f>HYPERLINK("https://basis.myseldon.com/ru/company/1026303714227?PartnerId=10756","6372000202")</f>
        <v>6372000202</v>
      </c>
      <c r="C380" s="3" t="s">
        <v>296</v>
      </c>
      <c r="D380" s="5">
        <v>2186318.4500000002</v>
      </c>
    </row>
    <row r="381" spans="1:4" ht="38.25" x14ac:dyDescent="0.25">
      <c r="A381" s="3" t="s">
        <v>635</v>
      </c>
      <c r="B381" s="4" t="str">
        <f>HYPERLINK("https://basis.myseldon.com/ru/company/1022301811256?PartnerId=10756","2311010502")</f>
        <v>2311010502</v>
      </c>
      <c r="C381" s="3" t="s">
        <v>636</v>
      </c>
      <c r="D381" s="5">
        <v>2307019.2599999998</v>
      </c>
    </row>
    <row r="382" spans="1:4" x14ac:dyDescent="0.25">
      <c r="A382" s="3" t="s">
        <v>637</v>
      </c>
      <c r="B382" s="4" t="str">
        <f>HYPERLINK("https://basis.myseldon.com/ru/company/1097746448580?PartnerId=10756","7722692000")</f>
        <v>7722692000</v>
      </c>
      <c r="C382" s="3" t="s">
        <v>638</v>
      </c>
      <c r="D382" s="5">
        <v>1100000</v>
      </c>
    </row>
    <row r="383" spans="1:4" ht="25.5" x14ac:dyDescent="0.25">
      <c r="A383" s="3" t="s">
        <v>639</v>
      </c>
      <c r="B383" s="4" t="str">
        <f>HYPERLINK("https://basis.myseldon.com/ru/company/1020202561136?PartnerId=10756","0274023088")</f>
        <v>0274023088</v>
      </c>
      <c r="C383" s="3" t="s">
        <v>640</v>
      </c>
      <c r="D383" s="5">
        <v>5452998</v>
      </c>
    </row>
    <row r="384" spans="1:4" ht="25.5" x14ac:dyDescent="0.25">
      <c r="A384" s="3" t="s">
        <v>641</v>
      </c>
      <c r="B384" s="4" t="str">
        <f>HYPERLINK("https://basis.myseldon.com/ru/company/1034700557792?PartnerId=10756","4703008032")</f>
        <v>4703008032</v>
      </c>
      <c r="C384" s="3" t="s">
        <v>642</v>
      </c>
      <c r="D384" s="5">
        <v>1018000</v>
      </c>
    </row>
    <row r="385" spans="1:4" ht="76.5" x14ac:dyDescent="0.25">
      <c r="A385" s="3" t="s">
        <v>643</v>
      </c>
      <c r="B385" s="4" t="str">
        <f>HYPERLINK("https://basis.myseldon.com/ru/company/1037700000381?PartnerId=10756","7729138352")</f>
        <v>7729138352</v>
      </c>
      <c r="C385" s="3" t="s">
        <v>644</v>
      </c>
      <c r="D385" s="5">
        <v>1324786</v>
      </c>
    </row>
    <row r="386" spans="1:4" ht="51" x14ac:dyDescent="0.25">
      <c r="A386" s="3" t="s">
        <v>645</v>
      </c>
      <c r="B386" s="4" t="str">
        <f>HYPERLINK("https://basis.myseldon.com/ru/company/1034205003128?PartnerId=10756","4208001748")</f>
        <v>4208001748</v>
      </c>
      <c r="C386" s="3" t="s">
        <v>646</v>
      </c>
      <c r="D386" s="5">
        <v>1617194</v>
      </c>
    </row>
    <row r="387" spans="1:4" ht="89.25" x14ac:dyDescent="0.25">
      <c r="A387" s="3" t="s">
        <v>647</v>
      </c>
      <c r="B387" s="4" t="str">
        <f>HYPERLINK("https://basis.myseldon.com/ru/company/1024101035199?PartnerId=10756","4101039153")</f>
        <v>4101039153</v>
      </c>
      <c r="C387" s="3" t="s">
        <v>648</v>
      </c>
      <c r="D387" s="5">
        <v>1130660.3</v>
      </c>
    </row>
    <row r="388" spans="1:4" ht="63.75" x14ac:dyDescent="0.25">
      <c r="A388" s="3" t="s">
        <v>560</v>
      </c>
      <c r="B388" s="4" t="str">
        <f>HYPERLINK("https://basis.myseldon.com/ru/company/1037700258694?PartnerId=10756","7729082090")</f>
        <v>7729082090</v>
      </c>
      <c r="C388" s="3" t="s">
        <v>649</v>
      </c>
      <c r="D388" s="5">
        <v>3071395.48</v>
      </c>
    </row>
    <row r="389" spans="1:4" ht="25.5" x14ac:dyDescent="0.25">
      <c r="A389" s="3" t="s">
        <v>650</v>
      </c>
      <c r="B389" s="4" t="str">
        <f>HYPERLINK("https://basis.myseldon.com/ru/company/1030203921978?PartnerId=10756","0274091120")</f>
        <v>0274091120</v>
      </c>
      <c r="C389" s="3" t="s">
        <v>651</v>
      </c>
      <c r="D389" s="5">
        <v>2497000</v>
      </c>
    </row>
    <row r="390" spans="1:4" x14ac:dyDescent="0.25">
      <c r="A390" s="3" t="s">
        <v>652</v>
      </c>
      <c r="B390" s="4" t="str">
        <f>HYPERLINK("https://basis.myseldon.com/ru/company/1027809256254?PartnerId=10756","7830000426")</f>
        <v>7830000426</v>
      </c>
      <c r="C390" s="3" t="s">
        <v>653</v>
      </c>
      <c r="D390" s="5">
        <v>2958260</v>
      </c>
    </row>
    <row r="391" spans="1:4" ht="25.5" x14ac:dyDescent="0.25">
      <c r="A391" s="3" t="s">
        <v>251</v>
      </c>
      <c r="B391" s="4" t="str">
        <f>HYPERLINK("https://basis.myseldon.com/ru/company/1037702059295?PartnerId=10756","7702361314")</f>
        <v>7702361314</v>
      </c>
      <c r="C391" s="3" t="s">
        <v>654</v>
      </c>
      <c r="D391" s="5">
        <v>5563084.7999999998</v>
      </c>
    </row>
    <row r="392" spans="1:4" ht="25.5" x14ac:dyDescent="0.25">
      <c r="A392" s="3" t="s">
        <v>655</v>
      </c>
      <c r="B392" s="4" t="str">
        <f>HYPERLINK("https://basis.myseldon.com/ru/company/1022201536587?PartnerId=10756","2224011531")</f>
        <v>2224011531</v>
      </c>
      <c r="C392" s="3" t="s">
        <v>656</v>
      </c>
      <c r="D392" s="5">
        <v>1760223.34</v>
      </c>
    </row>
    <row r="393" spans="1:4" x14ac:dyDescent="0.25">
      <c r="A393" s="3" t="s">
        <v>657</v>
      </c>
      <c r="B393" s="4" t="str">
        <f>HYPERLINK("https://basis.myseldon.com/ru/company/1027739030593?PartnerId=10756","7728073871")</f>
        <v>7728073871</v>
      </c>
      <c r="C393" s="3" t="s">
        <v>658</v>
      </c>
      <c r="D393" s="5">
        <v>1197821</v>
      </c>
    </row>
    <row r="394" spans="1:4" ht="25.5" x14ac:dyDescent="0.25">
      <c r="A394" s="3" t="s">
        <v>659</v>
      </c>
      <c r="B394" s="4" t="str">
        <f>HYPERLINK("https://basis.myseldon.com/ru/company/1037719010757?PartnerId=10756","7719043415")</f>
        <v>7719043415</v>
      </c>
      <c r="C394" s="3" t="s">
        <v>660</v>
      </c>
      <c r="D394" s="5">
        <v>2523764</v>
      </c>
    </row>
    <row r="395" spans="1:4" x14ac:dyDescent="0.25">
      <c r="A395" s="3" t="s">
        <v>661</v>
      </c>
      <c r="B395" s="4" t="str">
        <f>HYPERLINK("https://basis.myseldon.com/ru/company/1027739051779?PartnerId=10756","7701002520")</f>
        <v>7701002520</v>
      </c>
      <c r="C395" s="3" t="s">
        <v>662</v>
      </c>
      <c r="D395" s="5">
        <v>7798997.2300000004</v>
      </c>
    </row>
    <row r="396" spans="1:4" ht="63.75" x14ac:dyDescent="0.25">
      <c r="A396" s="3" t="s">
        <v>663</v>
      </c>
      <c r="B396" s="4" t="str">
        <f>HYPERLINK("https://basis.myseldon.com/ru/company/1026605629412?PartnerId=10756","6663025890")</f>
        <v>6663025890</v>
      </c>
      <c r="C396" s="3" t="s">
        <v>664</v>
      </c>
      <c r="D396" s="5">
        <v>4900000</v>
      </c>
    </row>
    <row r="397" spans="1:4" ht="25.5" x14ac:dyDescent="0.25">
      <c r="A397" s="3" t="s">
        <v>36</v>
      </c>
      <c r="B397" s="4" t="str">
        <f>HYPERLINK("https://basis.myseldon.com/ru/company/1037707005346?PartnerId=10756","7707089084")</f>
        <v>7707089084</v>
      </c>
      <c r="C397" s="3" t="s">
        <v>37</v>
      </c>
      <c r="D397" s="5">
        <v>6899274.6600000001</v>
      </c>
    </row>
    <row r="398" spans="1:4" ht="38.25" x14ac:dyDescent="0.25">
      <c r="A398" s="3" t="s">
        <v>665</v>
      </c>
      <c r="B398" s="4" t="str">
        <f>HYPERLINK("https://basis.myseldon.com/ru/company/1025203569203?PartnerId=10756","5261000011")</f>
        <v>5261000011</v>
      </c>
      <c r="C398" s="3" t="s">
        <v>666</v>
      </c>
      <c r="D398" s="5">
        <v>2610826.7000000002</v>
      </c>
    </row>
    <row r="399" spans="1:4" ht="89.25" x14ac:dyDescent="0.25">
      <c r="A399" s="3" t="s">
        <v>667</v>
      </c>
      <c r="B399" s="4" t="str">
        <f>HYPERLINK("https://basis.myseldon.com/ru/company/1082635013450?PartnerId=10756","2636055305")</f>
        <v>2636055305</v>
      </c>
      <c r="C399" s="3" t="s">
        <v>668</v>
      </c>
      <c r="D399" s="5">
        <v>2355532.84</v>
      </c>
    </row>
    <row r="400" spans="1:4" ht="51" x14ac:dyDescent="0.25">
      <c r="A400" s="3" t="s">
        <v>669</v>
      </c>
      <c r="B400" s="4" t="str">
        <f>HYPERLINK("https://basis.myseldon.com/ru/company/1052202282494?PartnerId=10756","2225068322")</f>
        <v>2225068322</v>
      </c>
      <c r="C400" s="3" t="s">
        <v>670</v>
      </c>
      <c r="D400" s="5">
        <v>1170143</v>
      </c>
    </row>
    <row r="401" spans="1:4" x14ac:dyDescent="0.25">
      <c r="A401" s="3" t="s">
        <v>490</v>
      </c>
      <c r="B401" s="4" t="str">
        <f>HYPERLINK("https://basis.myseldon.com/ru/company/1027810219007?PartnerId=10756","7809022120")</f>
        <v>7809022120</v>
      </c>
      <c r="C401" s="3" t="s">
        <v>671</v>
      </c>
      <c r="D401" s="5">
        <v>1298000</v>
      </c>
    </row>
    <row r="402" spans="1:4" ht="25.5" x14ac:dyDescent="0.25">
      <c r="A402" s="3" t="s">
        <v>672</v>
      </c>
      <c r="B402" s="4" t="str">
        <f>HYPERLINK("https://basis.myseldon.com/ru/company/1037821050607?PartnerId=10756","7810323620")</f>
        <v>7810323620</v>
      </c>
      <c r="C402" s="3" t="s">
        <v>673</v>
      </c>
      <c r="D402" s="5">
        <v>1969196.29</v>
      </c>
    </row>
    <row r="403" spans="1:4" ht="38.25" x14ac:dyDescent="0.25">
      <c r="A403" s="3" t="s">
        <v>166</v>
      </c>
      <c r="B403" s="4" t="str">
        <f>HYPERLINK("https://basis.myseldon.com/ru/company/1037828001606?PartnerId=10756","7813047463")</f>
        <v>7813047463</v>
      </c>
      <c r="C403" s="3" t="s">
        <v>167</v>
      </c>
      <c r="D403" s="5">
        <v>9184622.0399999991</v>
      </c>
    </row>
    <row r="404" spans="1:4" ht="25.5" x14ac:dyDescent="0.25">
      <c r="A404" s="3" t="s">
        <v>674</v>
      </c>
      <c r="B404" s="4" t="str">
        <f>HYPERLINK("https://basis.myseldon.com/ru/company/1026103165241?PartnerId=10756","6163027810")</f>
        <v>6163027810</v>
      </c>
      <c r="C404" s="3" t="s">
        <v>675</v>
      </c>
      <c r="D404" s="5">
        <v>6900000</v>
      </c>
    </row>
    <row r="405" spans="1:4" ht="140.25" x14ac:dyDescent="0.25">
      <c r="A405" s="3" t="s">
        <v>676</v>
      </c>
      <c r="B405" s="4" t="str">
        <f>HYPERLINK("https://basis.myseldon.com/ru/company/1035607500620?PartnerId=10756","5611020440")</f>
        <v>5611020440</v>
      </c>
      <c r="C405" s="3" t="s">
        <v>677</v>
      </c>
      <c r="D405" s="5">
        <v>1560000</v>
      </c>
    </row>
    <row r="406" spans="1:4" ht="25.5" x14ac:dyDescent="0.25">
      <c r="A406" s="3" t="s">
        <v>678</v>
      </c>
      <c r="B406" s="4" t="str">
        <f>HYPERLINK("https://basis.myseldon.com/ru/company/1159102005369?PartnerId=10756","9103018630")</f>
        <v>9103018630</v>
      </c>
      <c r="C406" s="3" t="s">
        <v>679</v>
      </c>
      <c r="D406" s="5">
        <v>2052594.2</v>
      </c>
    </row>
    <row r="407" spans="1:4" x14ac:dyDescent="0.25">
      <c r="A407" s="3" t="s">
        <v>680</v>
      </c>
      <c r="B407" s="4" t="str">
        <f>HYPERLINK("https://basis.myseldon.com/ru/company/1082902002677?PartnerId=10756","2902060361")</f>
        <v>2902060361</v>
      </c>
      <c r="C407" s="3" t="s">
        <v>76</v>
      </c>
      <c r="D407" s="5">
        <v>1132168.7</v>
      </c>
    </row>
    <row r="408" spans="1:4" ht="51" x14ac:dyDescent="0.25">
      <c r="A408" s="3" t="s">
        <v>681</v>
      </c>
      <c r="B408" s="4" t="str">
        <f>HYPERLINK("https://basis.myseldon.com/ru/company/1021801146894?PartnerId=10756","1831015625")</f>
        <v>1831015625</v>
      </c>
      <c r="C408" s="3" t="s">
        <v>682</v>
      </c>
      <c r="D408" s="5">
        <v>11718849</v>
      </c>
    </row>
    <row r="409" spans="1:4" x14ac:dyDescent="0.25">
      <c r="A409" s="3" t="s">
        <v>683</v>
      </c>
      <c r="B409" s="4" t="str">
        <f>HYPERLINK("https://basis.myseldon.com/ru/company/1025203032800?PartnerId=10756","5260900490")</f>
        <v>5260900490</v>
      </c>
      <c r="C409" s="3" t="s">
        <v>62</v>
      </c>
      <c r="D409" s="5">
        <v>1805925.1</v>
      </c>
    </row>
    <row r="410" spans="1:4" ht="25.5" x14ac:dyDescent="0.25">
      <c r="A410" s="3" t="s">
        <v>684</v>
      </c>
      <c r="B410" s="4" t="str">
        <f>HYPERLINK("https://basis.myseldon.com/ru/company/1027401177209?PartnerId=10756","7422000795")</f>
        <v>7422000795</v>
      </c>
      <c r="C410" s="3" t="s">
        <v>685</v>
      </c>
      <c r="D410" s="5">
        <v>1202597</v>
      </c>
    </row>
    <row r="411" spans="1:4" x14ac:dyDescent="0.25">
      <c r="A411" s="3" t="s">
        <v>686</v>
      </c>
      <c r="B411" s="4" t="str">
        <f>HYPERLINK("https://basis.myseldon.com/ru/company/1026500522685?PartnerId=10756","6500000024")</f>
        <v>6500000024</v>
      </c>
      <c r="C411" s="3" t="s">
        <v>687</v>
      </c>
      <c r="D411" s="5">
        <v>1280877.72</v>
      </c>
    </row>
    <row r="412" spans="1:4" ht="38.25" x14ac:dyDescent="0.25">
      <c r="A412" s="3" t="s">
        <v>605</v>
      </c>
      <c r="B412" s="4" t="str">
        <f>HYPERLINK("https://basis.myseldon.com/ru/company/1077203024293?PartnerId=10756","7202161807")</f>
        <v>7202161807</v>
      </c>
      <c r="C412" s="3" t="s">
        <v>688</v>
      </c>
      <c r="D412" s="5">
        <v>5546655</v>
      </c>
    </row>
    <row r="413" spans="1:4" ht="25.5" x14ac:dyDescent="0.25">
      <c r="A413" s="3" t="s">
        <v>689</v>
      </c>
      <c r="B413" s="4" t="str">
        <f>HYPERLINK("https://basis.myseldon.com/ru/company/1022502127592?PartnerId=10756","2539009984")</f>
        <v>2539009984</v>
      </c>
      <c r="C413" s="3" t="s">
        <v>690</v>
      </c>
      <c r="D413" s="5">
        <v>1468000</v>
      </c>
    </row>
    <row r="414" spans="1:4" ht="102" x14ac:dyDescent="0.25">
      <c r="A414" s="3" t="s">
        <v>630</v>
      </c>
      <c r="B414" s="4" t="str">
        <f>HYPERLINK("https://basis.myseldon.com/ru/company/1026605391636?PartnerId=10756","6662003205")</f>
        <v>6662003205</v>
      </c>
      <c r="C414" s="3" t="s">
        <v>691</v>
      </c>
      <c r="D414" s="5">
        <v>5035000</v>
      </c>
    </row>
    <row r="415" spans="1:4" ht="63.75" x14ac:dyDescent="0.25">
      <c r="A415" s="3" t="s">
        <v>692</v>
      </c>
      <c r="B415" s="4" t="str">
        <f>HYPERLINK("https://basis.myseldon.com/ru/company/1022402058370?PartnerId=10756","2462003962")</f>
        <v>2462003962</v>
      </c>
      <c r="C415" s="3" t="s">
        <v>693</v>
      </c>
      <c r="D415" s="5">
        <v>2859992.55</v>
      </c>
    </row>
    <row r="416" spans="1:4" ht="25.5" x14ac:dyDescent="0.25">
      <c r="A416" s="3" t="s">
        <v>154</v>
      </c>
      <c r="B416" s="4" t="str">
        <f>HYPERLINK("https://basis.myseldon.com/ru/company/1023202135725?PartnerId=10756","3207000066")</f>
        <v>3207000066</v>
      </c>
      <c r="C416" s="3" t="s">
        <v>155</v>
      </c>
      <c r="D416" s="5">
        <v>24814678</v>
      </c>
    </row>
    <row r="417" spans="1:4" ht="25.5" x14ac:dyDescent="0.25">
      <c r="A417" s="3" t="s">
        <v>694</v>
      </c>
      <c r="B417" s="4" t="str">
        <f>HYPERLINK("https://basis.myseldon.com/ru/company/1023801756120?PartnerId=10756","3812014066")</f>
        <v>3812014066</v>
      </c>
      <c r="C417" s="3" t="s">
        <v>695</v>
      </c>
      <c r="D417" s="5">
        <v>5000000</v>
      </c>
    </row>
    <row r="418" spans="1:4" x14ac:dyDescent="0.25">
      <c r="A418" s="3" t="s">
        <v>696</v>
      </c>
      <c r="B418" s="4" t="str">
        <f>HYPERLINK("https://basis.myseldon.com/ru/company/1025202199791?PartnerId=10756","5254001230")</f>
        <v>5254001230</v>
      </c>
      <c r="C418" s="3" t="s">
        <v>76</v>
      </c>
      <c r="D418" s="5">
        <v>1308516.01</v>
      </c>
    </row>
    <row r="419" spans="1:4" ht="25.5" x14ac:dyDescent="0.25">
      <c r="A419" s="3" t="s">
        <v>697</v>
      </c>
      <c r="B419" s="4" t="str">
        <f>HYPERLINK("https://basis.myseldon.com/ru/company/1120816001074?PartnerId=10756","0816019824")</f>
        <v>0816019824</v>
      </c>
      <c r="C419" s="3" t="s">
        <v>698</v>
      </c>
      <c r="D419" s="5">
        <v>1536949.91</v>
      </c>
    </row>
    <row r="420" spans="1:4" ht="25.5" x14ac:dyDescent="0.25">
      <c r="A420" s="3" t="s">
        <v>699</v>
      </c>
      <c r="B420" s="4" t="str">
        <f>HYPERLINK("https://basis.myseldon.com/ru/company/1025500972848?PartnerId=10756","5504004282")</f>
        <v>5504004282</v>
      </c>
      <c r="C420" s="3" t="s">
        <v>700</v>
      </c>
      <c r="D420" s="5">
        <v>1100000</v>
      </c>
    </row>
    <row r="421" spans="1:4" x14ac:dyDescent="0.25">
      <c r="A421" s="3" t="s">
        <v>67</v>
      </c>
      <c r="B421" s="4" t="str">
        <f>HYPERLINK("https://basis.myseldon.com/ru/company/1057723005009?PartnerId=10756","7723356386")</f>
        <v>7723356386</v>
      </c>
      <c r="C421" s="3" t="s">
        <v>37</v>
      </c>
      <c r="D421" s="5">
        <v>4638375</v>
      </c>
    </row>
    <row r="422" spans="1:4" ht="25.5" x14ac:dyDescent="0.25">
      <c r="A422" s="3" t="s">
        <v>701</v>
      </c>
      <c r="B422" s="4" t="str">
        <f>HYPERLINK("https://basis.myseldon.com/ru/company/1022002546719?PartnerId=10756","2020001990")</f>
        <v>2020001990</v>
      </c>
      <c r="C422" s="3" t="s">
        <v>702</v>
      </c>
      <c r="D422" s="5">
        <v>1705278.85</v>
      </c>
    </row>
    <row r="423" spans="1:4" ht="25.5" x14ac:dyDescent="0.25">
      <c r="A423" s="3" t="s">
        <v>465</v>
      </c>
      <c r="B423" s="4" t="str">
        <f>HYPERLINK("https://basis.myseldon.com/ru/company/1027804611405?PartnerId=10756","7807028769")</f>
        <v>7807028769</v>
      </c>
      <c r="C423" s="3" t="s">
        <v>466</v>
      </c>
      <c r="D423" s="5">
        <v>1393890</v>
      </c>
    </row>
    <row r="424" spans="1:4" ht="25.5" x14ac:dyDescent="0.25">
      <c r="A424" s="3" t="s">
        <v>703</v>
      </c>
      <c r="B424" s="4" t="str">
        <f>HYPERLINK("https://basis.myseldon.com/ru/company/1071435011130?PartnerId=10756","1435190207")</f>
        <v>1435190207</v>
      </c>
      <c r="C424" s="3" t="s">
        <v>704</v>
      </c>
      <c r="D424" s="5">
        <v>1000000</v>
      </c>
    </row>
    <row r="425" spans="1:4" ht="25.5" x14ac:dyDescent="0.25">
      <c r="A425" s="3" t="s">
        <v>705</v>
      </c>
      <c r="B425" s="4" t="str">
        <f>HYPERLINK("https://basis.myseldon.com/ru/company/1027700358707?PartnerId=10756","7708021233")</f>
        <v>7708021233</v>
      </c>
      <c r="C425" s="3" t="s">
        <v>706</v>
      </c>
      <c r="D425" s="5">
        <v>4245671</v>
      </c>
    </row>
    <row r="426" spans="1:4" ht="38.25" x14ac:dyDescent="0.25">
      <c r="A426" s="3" t="s">
        <v>707</v>
      </c>
      <c r="B426" s="4" t="str">
        <f>HYPERLINK("https://basis.myseldon.com/ru/company/1028601845381?PartnerId=10756","8622001011")</f>
        <v>8622001011</v>
      </c>
      <c r="C426" s="3" t="s">
        <v>708</v>
      </c>
      <c r="D426" s="5">
        <v>1178660</v>
      </c>
    </row>
    <row r="427" spans="1:4" ht="25.5" x14ac:dyDescent="0.25">
      <c r="A427" s="3" t="s">
        <v>709</v>
      </c>
      <c r="B427" s="4" t="str">
        <f>HYPERLINK("https://basis.myseldon.com/ru/company/1067760305953?PartnerId=10756","7724598966")</f>
        <v>7724598966</v>
      </c>
      <c r="C427" s="3" t="s">
        <v>710</v>
      </c>
      <c r="D427" s="5">
        <v>1972524.4</v>
      </c>
    </row>
    <row r="428" spans="1:4" ht="25.5" x14ac:dyDescent="0.25">
      <c r="A428" s="3" t="s">
        <v>711</v>
      </c>
      <c r="B428" s="4" t="str">
        <f>HYPERLINK("https://basis.myseldon.com/ru/company/1028900628360?PartnerId=10756","8904012710")</f>
        <v>8904012710</v>
      </c>
      <c r="C428" s="3" t="s">
        <v>712</v>
      </c>
      <c r="D428" s="5">
        <v>2678166.67</v>
      </c>
    </row>
    <row r="429" spans="1:4" ht="25.5" x14ac:dyDescent="0.25">
      <c r="A429" s="3" t="s">
        <v>713</v>
      </c>
      <c r="B429" s="4" t="str">
        <f>HYPERLINK("https://basis.myseldon.com/ru/company/1022002146858?PartnerId=10756","2020002296")</f>
        <v>2020002296</v>
      </c>
      <c r="C429" s="3" t="s">
        <v>714</v>
      </c>
      <c r="D429" s="5">
        <v>5734947.2000000002</v>
      </c>
    </row>
    <row r="430" spans="1:4" x14ac:dyDescent="0.25">
      <c r="A430" s="3" t="s">
        <v>715</v>
      </c>
      <c r="B430" s="4" t="str">
        <f>HYPERLINK("https://basis.myseldon.com/ru/company/1127747298250?PartnerId=10756","7701984274")</f>
        <v>7701984274</v>
      </c>
      <c r="C430" s="3" t="s">
        <v>716</v>
      </c>
      <c r="D430" s="5">
        <v>9788235.4800000004</v>
      </c>
    </row>
    <row r="431" spans="1:4" ht="331.5" x14ac:dyDescent="0.25">
      <c r="A431" s="3" t="s">
        <v>717</v>
      </c>
      <c r="B431" s="4" t="str">
        <f>HYPERLINK("https://basis.myseldon.com/ru/company/1022601995833?PartnerId=10756","2633001171")</f>
        <v>2633001171</v>
      </c>
      <c r="C431" s="3" t="s">
        <v>718</v>
      </c>
      <c r="D431" s="5">
        <v>1257000</v>
      </c>
    </row>
    <row r="432" spans="1:4" x14ac:dyDescent="0.25">
      <c r="A432" s="3" t="s">
        <v>5</v>
      </c>
      <c r="B432" s="4" t="str">
        <f>HYPERLINK("https://basis.myseldon.com/ru/company/5087746119951?PartnerId=10756","7721632827")</f>
        <v>7721632827</v>
      </c>
      <c r="C432" s="3" t="s">
        <v>719</v>
      </c>
      <c r="D432" s="5">
        <v>5723000</v>
      </c>
    </row>
    <row r="433" spans="1:4" x14ac:dyDescent="0.25">
      <c r="A433" s="3" t="s">
        <v>720</v>
      </c>
      <c r="B433" s="4" t="str">
        <f>HYPERLINK("https://basis.myseldon.com/ru/company/1041621002598?PartnerId=10756","1655063645")</f>
        <v>1655063645</v>
      </c>
      <c r="C433" s="3" t="s">
        <v>721</v>
      </c>
      <c r="D433" s="5">
        <v>1766000</v>
      </c>
    </row>
    <row r="434" spans="1:4" ht="25.5" x14ac:dyDescent="0.25">
      <c r="A434" s="3" t="s">
        <v>722</v>
      </c>
      <c r="B434" s="4" t="str">
        <f>HYPERLINK("https://basis.myseldon.com/ru/company/1025006171409?PartnerId=10756","7712045131")</f>
        <v>7712045131</v>
      </c>
      <c r="C434" s="3" t="s">
        <v>723</v>
      </c>
      <c r="D434" s="5">
        <v>1468800</v>
      </c>
    </row>
    <row r="435" spans="1:4" x14ac:dyDescent="0.25">
      <c r="A435" s="3" t="s">
        <v>724</v>
      </c>
      <c r="B435" s="4" t="str">
        <f>HYPERLINK("https://basis.myseldon.com/ru/company/1027810289286?PartnerId=10756","7809018702")</f>
        <v>7809018702</v>
      </c>
      <c r="C435" s="3" t="s">
        <v>725</v>
      </c>
      <c r="D435" s="5">
        <v>1050000</v>
      </c>
    </row>
    <row r="436" spans="1:4" ht="25.5" x14ac:dyDescent="0.25">
      <c r="A436" s="3" t="s">
        <v>674</v>
      </c>
      <c r="B436" s="4" t="str">
        <f>HYPERLINK("https://basis.myseldon.com/ru/company/1026103165241?PartnerId=10756","6163027810")</f>
        <v>6163027810</v>
      </c>
      <c r="C436" s="3" t="s">
        <v>675</v>
      </c>
      <c r="D436" s="5">
        <v>4500000</v>
      </c>
    </row>
    <row r="437" spans="1:4" ht="25.5" x14ac:dyDescent="0.25">
      <c r="A437" s="3" t="s">
        <v>674</v>
      </c>
      <c r="B437" s="4" t="str">
        <f>HYPERLINK("https://basis.myseldon.com/ru/company/1026103165241?PartnerId=10756","6163027810")</f>
        <v>6163027810</v>
      </c>
      <c r="C437" s="3" t="s">
        <v>675</v>
      </c>
      <c r="D437" s="5">
        <v>7000000</v>
      </c>
    </row>
    <row r="438" spans="1:4" ht="38.25" x14ac:dyDescent="0.25">
      <c r="A438" s="3" t="s">
        <v>726</v>
      </c>
      <c r="B438" s="4" t="str">
        <f>HYPERLINK("https://basis.myseldon.com/ru/company/1025900762150?PartnerId=10756","5903003330")</f>
        <v>5903003330</v>
      </c>
      <c r="C438" s="3" t="s">
        <v>727</v>
      </c>
      <c r="D438" s="5">
        <v>1075000</v>
      </c>
    </row>
    <row r="439" spans="1:4" ht="38.25" x14ac:dyDescent="0.25">
      <c r="A439" s="3" t="s">
        <v>726</v>
      </c>
      <c r="B439" s="4" t="str">
        <f>HYPERLINK("https://basis.myseldon.com/ru/company/1025900762150?PartnerId=10756","5903003330")</f>
        <v>5903003330</v>
      </c>
      <c r="C439" s="3" t="s">
        <v>727</v>
      </c>
      <c r="D439" s="5">
        <v>1075000</v>
      </c>
    </row>
    <row r="440" spans="1:4" x14ac:dyDescent="0.25">
      <c r="A440" s="3" t="s">
        <v>728</v>
      </c>
      <c r="B440" s="4" t="str">
        <f>HYPERLINK("https://basis.myseldon.com/ru/company/1027739646164?PartnerId=10756","7707074137")</f>
        <v>7707074137</v>
      </c>
      <c r="C440" s="3" t="s">
        <v>729</v>
      </c>
      <c r="D440" s="5">
        <v>14589060</v>
      </c>
    </row>
    <row r="441" spans="1:4" ht="25.5" x14ac:dyDescent="0.25">
      <c r="A441" s="3" t="s">
        <v>730</v>
      </c>
      <c r="B441" s="4" t="str">
        <f>HYPERLINK("https://basis.myseldon.com/ru/company/1024201676608?PartnerId=10756","4218010999")</f>
        <v>4218010999</v>
      </c>
      <c r="C441" s="3" t="s">
        <v>731</v>
      </c>
      <c r="D441" s="5">
        <v>4964186</v>
      </c>
    </row>
    <row r="442" spans="1:4" ht="51" x14ac:dyDescent="0.25">
      <c r="A442" s="3" t="s">
        <v>732</v>
      </c>
      <c r="B442" s="4" t="str">
        <f>HYPERLINK("https://basis.myseldon.com/ru/company/1023301105574?PartnerId=10756","3321004490")</f>
        <v>3321004490</v>
      </c>
      <c r="C442" s="3" t="s">
        <v>733</v>
      </c>
      <c r="D442" s="5">
        <v>1020000</v>
      </c>
    </row>
    <row r="443" spans="1:4" ht="25.5" x14ac:dyDescent="0.25">
      <c r="A443" s="3" t="s">
        <v>734</v>
      </c>
      <c r="B443" s="4" t="str">
        <f>HYPERLINK("https://basis.myseldon.com/ru/company/1026000955232?PartnerId=10756","6027024000")</f>
        <v>6027024000</v>
      </c>
      <c r="C443" s="3" t="s">
        <v>735</v>
      </c>
      <c r="D443" s="5">
        <v>4512975.3600000003</v>
      </c>
    </row>
    <row r="444" spans="1:4" ht="25.5" x14ac:dyDescent="0.25">
      <c r="A444" s="3" t="s">
        <v>736</v>
      </c>
      <c r="B444" s="4" t="str">
        <f>HYPERLINK("https://basis.myseldon.com/ru/company/1024500519614?PartnerId=10756","4501027272")</f>
        <v>4501027272</v>
      </c>
      <c r="C444" s="3" t="s">
        <v>737</v>
      </c>
      <c r="D444" s="5">
        <v>4905983</v>
      </c>
    </row>
    <row r="445" spans="1:4" ht="51" x14ac:dyDescent="0.25">
      <c r="A445" s="3" t="s">
        <v>738</v>
      </c>
      <c r="B445" s="4" t="str">
        <f>HYPERLINK("https://basis.myseldon.com/ru/company/1023500876453?PartnerId=10756","3525027110")</f>
        <v>3525027110</v>
      </c>
      <c r="C445" s="3" t="s">
        <v>739</v>
      </c>
      <c r="D445" s="5">
        <v>1398103.33</v>
      </c>
    </row>
    <row r="446" spans="1:4" ht="38.25" x14ac:dyDescent="0.25">
      <c r="A446" s="3" t="s">
        <v>740</v>
      </c>
      <c r="B446" s="4" t="str">
        <f>HYPERLINK("https://basis.myseldon.com/ru/company/1027301188970?PartnerId=10756","7325001627")</f>
        <v>7325001627</v>
      </c>
      <c r="C446" s="3" t="s">
        <v>741</v>
      </c>
      <c r="D446" s="5">
        <v>1195000</v>
      </c>
    </row>
    <row r="447" spans="1:4" ht="63.75" x14ac:dyDescent="0.25">
      <c r="A447" s="3" t="s">
        <v>742</v>
      </c>
      <c r="B447" s="4" t="str">
        <f>HYPERLINK("https://basis.myseldon.com/ru/company/1027000767056?PartnerId=10756","7014027703")</f>
        <v>7014027703</v>
      </c>
      <c r="C447" s="3" t="s">
        <v>743</v>
      </c>
      <c r="D447" s="5">
        <v>1106446.67</v>
      </c>
    </row>
    <row r="448" spans="1:4" ht="63.75" x14ac:dyDescent="0.25">
      <c r="A448" s="3" t="s">
        <v>742</v>
      </c>
      <c r="B448" s="4" t="str">
        <f>HYPERLINK("https://basis.myseldon.com/ru/company/1027000767056?PartnerId=10756","7014027703")</f>
        <v>7014027703</v>
      </c>
      <c r="C448" s="3" t="s">
        <v>743</v>
      </c>
      <c r="D448" s="5">
        <v>1934856.67</v>
      </c>
    </row>
    <row r="449" spans="1:4" ht="25.5" x14ac:dyDescent="0.25">
      <c r="A449" s="3" t="s">
        <v>744</v>
      </c>
      <c r="B449" s="4" t="str">
        <f>HYPERLINK("https://basis.myseldon.com/ru/company/1037843058153?PartnerId=10756","7815012811")</f>
        <v>7815012811</v>
      </c>
      <c r="C449" s="3" t="s">
        <v>745</v>
      </c>
      <c r="D449" s="5">
        <v>1227020</v>
      </c>
    </row>
    <row r="450" spans="1:4" ht="25.5" x14ac:dyDescent="0.25">
      <c r="A450" s="3" t="s">
        <v>746</v>
      </c>
      <c r="B450" s="4" t="str">
        <f>HYPERLINK("https://basis.myseldon.com/ru/company/1125476088825?PartnerId=10756","5403338271")</f>
        <v>5403338271</v>
      </c>
      <c r="C450" s="3" t="s">
        <v>747</v>
      </c>
      <c r="D450" s="5">
        <v>6752706.6799999997</v>
      </c>
    </row>
    <row r="451" spans="1:4" x14ac:dyDescent="0.25">
      <c r="A451" s="3" t="s">
        <v>748</v>
      </c>
      <c r="B451" s="4" t="str">
        <f>HYPERLINK("https://basis.myseldon.com/ru/company/1027739900264?PartnerId=10756","7736026603")</f>
        <v>7736026603</v>
      </c>
      <c r="C451" s="3" t="s">
        <v>749</v>
      </c>
      <c r="D451" s="5">
        <v>3058113.29</v>
      </c>
    </row>
    <row r="452" spans="1:4" ht="25.5" x14ac:dyDescent="0.25">
      <c r="A452" s="3" t="s">
        <v>709</v>
      </c>
      <c r="B452" s="4" t="str">
        <f>HYPERLINK("https://basis.myseldon.com/ru/company/1067760305953?PartnerId=10756","7724598966")</f>
        <v>7724598966</v>
      </c>
      <c r="C452" s="3" t="s">
        <v>710</v>
      </c>
      <c r="D452" s="5">
        <v>2478734.5</v>
      </c>
    </row>
    <row r="453" spans="1:4" ht="51" x14ac:dyDescent="0.25">
      <c r="A453" s="3" t="s">
        <v>23</v>
      </c>
      <c r="B453" s="4" t="str">
        <f>HYPERLINK("https://basis.myseldon.com/ru/company/1057746555811?PartnerId=10756","5036065113")</f>
        <v>5036065113</v>
      </c>
      <c r="C453" s="3" t="s">
        <v>24</v>
      </c>
      <c r="D453" s="5">
        <v>3676829.02</v>
      </c>
    </row>
    <row r="454" spans="1:4" ht="25.5" x14ac:dyDescent="0.25">
      <c r="A454" s="3" t="s">
        <v>251</v>
      </c>
      <c r="B454" s="4" t="str">
        <f>HYPERLINK("https://basis.myseldon.com/ru/company/1037702059295?PartnerId=10756","7702361314")</f>
        <v>7702361314</v>
      </c>
      <c r="C454" s="3" t="s">
        <v>750</v>
      </c>
      <c r="D454" s="5">
        <v>1749400</v>
      </c>
    </row>
    <row r="455" spans="1:4" x14ac:dyDescent="0.25">
      <c r="A455" s="3" t="s">
        <v>728</v>
      </c>
      <c r="B455" s="4" t="str">
        <f>HYPERLINK("https://basis.myseldon.com/ru/company/1027739646164?PartnerId=10756","7707074137")</f>
        <v>7707074137</v>
      </c>
      <c r="C455" s="3" t="s">
        <v>751</v>
      </c>
      <c r="D455" s="5">
        <v>1805016.72</v>
      </c>
    </row>
    <row r="456" spans="1:4" ht="25.5" x14ac:dyDescent="0.25">
      <c r="A456" s="3" t="s">
        <v>752</v>
      </c>
      <c r="B456" s="4" t="str">
        <f>HYPERLINK("https://basis.myseldon.com/ru/company/1154025000590?PartnerId=10756","4025442583")</f>
        <v>4025442583</v>
      </c>
      <c r="C456" s="3" t="s">
        <v>753</v>
      </c>
      <c r="D456" s="5">
        <v>2906710.52</v>
      </c>
    </row>
    <row r="457" spans="1:4" ht="25.5" x14ac:dyDescent="0.25">
      <c r="A457" s="3" t="s">
        <v>754</v>
      </c>
      <c r="B457" s="4" t="str">
        <f>HYPERLINK("https://basis.myseldon.com/ru/company/1023402982877?PartnerId=10756","3443028748")</f>
        <v>3443028748</v>
      </c>
      <c r="C457" s="3" t="s">
        <v>755</v>
      </c>
      <c r="D457" s="5">
        <v>1542952</v>
      </c>
    </row>
    <row r="458" spans="1:4" x14ac:dyDescent="0.25">
      <c r="A458" s="3" t="s">
        <v>754</v>
      </c>
      <c r="B458" s="4" t="str">
        <f>HYPERLINK("https://basis.myseldon.com/ru/company/1023402982877?PartnerId=10756","3443028748")</f>
        <v>3443028748</v>
      </c>
      <c r="C458" s="3" t="s">
        <v>756</v>
      </c>
      <c r="D458" s="5">
        <v>26419800</v>
      </c>
    </row>
    <row r="459" spans="1:4" x14ac:dyDescent="0.25">
      <c r="A459" s="3" t="s">
        <v>757</v>
      </c>
      <c r="B459" s="4" t="str">
        <f>HYPERLINK("https://basis.myseldon.com/ru/company/1097746763102?PartnerId=10756","7720673002")</f>
        <v>7720673002</v>
      </c>
      <c r="C459" s="3" t="s">
        <v>758</v>
      </c>
      <c r="D459" s="5">
        <v>2082700</v>
      </c>
    </row>
    <row r="460" spans="1:4" x14ac:dyDescent="0.25">
      <c r="A460" s="3" t="s">
        <v>759</v>
      </c>
      <c r="B460" s="4" t="str">
        <f>HYPERLINK("https://basis.myseldon.com/ru/company/1027700326906?PartnerId=10756","7724245600")</f>
        <v>7724245600</v>
      </c>
      <c r="C460" s="3" t="s">
        <v>760</v>
      </c>
      <c r="D460" s="5">
        <v>2616566.08</v>
      </c>
    </row>
    <row r="461" spans="1:4" x14ac:dyDescent="0.25">
      <c r="A461" s="3" t="s">
        <v>67</v>
      </c>
      <c r="B461" s="4" t="str">
        <f>HYPERLINK("https://basis.myseldon.com/ru/company/1057723005009?PartnerId=10756","7723356386")</f>
        <v>7723356386</v>
      </c>
      <c r="C461" s="3" t="s">
        <v>37</v>
      </c>
      <c r="D461" s="5">
        <v>1537894.5</v>
      </c>
    </row>
    <row r="462" spans="1:4" ht="25.5" x14ac:dyDescent="0.25">
      <c r="A462" s="3" t="s">
        <v>761</v>
      </c>
      <c r="B462" s="4" t="str">
        <f>HYPERLINK("https://basis.myseldon.com/ru/company/1021100971077?PartnerId=10756","1109005778")</f>
        <v>1109005778</v>
      </c>
      <c r="C462" s="3" t="s">
        <v>563</v>
      </c>
      <c r="D462" s="5">
        <v>1283466.6299999999</v>
      </c>
    </row>
    <row r="463" spans="1:4" ht="89.25" x14ac:dyDescent="0.25">
      <c r="A463" s="3" t="s">
        <v>647</v>
      </c>
      <c r="B463" s="4" t="str">
        <f>HYPERLINK("https://basis.myseldon.com/ru/company/1024101035199?PartnerId=10756","4101039153")</f>
        <v>4101039153</v>
      </c>
      <c r="C463" s="3" t="s">
        <v>648</v>
      </c>
      <c r="D463" s="5">
        <v>1017026.91</v>
      </c>
    </row>
    <row r="464" spans="1:4" ht="51" x14ac:dyDescent="0.25">
      <c r="A464" s="3" t="s">
        <v>762</v>
      </c>
      <c r="B464" s="4" t="str">
        <f>HYPERLINK("https://basis.myseldon.com/ru/company/1023202735511?PartnerId=10756","3234017534")</f>
        <v>3234017534</v>
      </c>
      <c r="C464" s="3" t="s">
        <v>763</v>
      </c>
      <c r="D464" s="5">
        <v>1740727.55</v>
      </c>
    </row>
    <row r="465" spans="1:4" ht="25.5" x14ac:dyDescent="0.25">
      <c r="A465" s="3" t="s">
        <v>764</v>
      </c>
      <c r="B465" s="4" t="str">
        <f>HYPERLINK("https://basis.myseldon.com/ru/company/1037739447525?PartnerId=10756","7724075162")</f>
        <v>7724075162</v>
      </c>
      <c r="C465" s="3" t="s">
        <v>765</v>
      </c>
      <c r="D465" s="5">
        <v>1220500</v>
      </c>
    </row>
    <row r="466" spans="1:4" x14ac:dyDescent="0.25">
      <c r="A466" s="3" t="s">
        <v>766</v>
      </c>
      <c r="B466" s="4" t="str">
        <f>HYPERLINK("https://basis.myseldon.com/ru/company/1027000880268?PartnerId=10756","7021000893")</f>
        <v>7021000893</v>
      </c>
      <c r="C466" s="3" t="s">
        <v>767</v>
      </c>
      <c r="D466" s="5">
        <v>1920804</v>
      </c>
    </row>
    <row r="467" spans="1:4" ht="25.5" x14ac:dyDescent="0.25">
      <c r="A467" s="3" t="s">
        <v>619</v>
      </c>
      <c r="B467" s="4" t="str">
        <f>HYPERLINK("https://basis.myseldon.com/ru/company/1025403659126?PartnerId=10756","5408100177")</f>
        <v>5408100177</v>
      </c>
      <c r="C467" s="3" t="s">
        <v>620</v>
      </c>
      <c r="D467" s="5">
        <v>2424506.77</v>
      </c>
    </row>
    <row r="468" spans="1:4" ht="25.5" x14ac:dyDescent="0.25">
      <c r="A468" s="3" t="s">
        <v>768</v>
      </c>
      <c r="B468" s="4" t="str">
        <f>HYPERLINK("https://basis.myseldon.com/ru/company/1027739310037?PartnerId=10756","7731147890")</f>
        <v>7731147890</v>
      </c>
      <c r="C468" s="3" t="s">
        <v>769</v>
      </c>
      <c r="D468" s="5">
        <v>1277000</v>
      </c>
    </row>
    <row r="469" spans="1:4" ht="25.5" x14ac:dyDescent="0.25">
      <c r="A469" s="3" t="s">
        <v>770</v>
      </c>
      <c r="B469" s="4" t="str">
        <f>HYPERLINK("https://basis.myseldon.com/ru/company/1022002546070?PartnerId=10756","2014000068")</f>
        <v>2014000068</v>
      </c>
      <c r="C469" s="3" t="s">
        <v>771</v>
      </c>
      <c r="D469" s="5">
        <v>1029267.73</v>
      </c>
    </row>
    <row r="470" spans="1:4" ht="25.5" x14ac:dyDescent="0.25">
      <c r="A470" s="3" t="s">
        <v>772</v>
      </c>
      <c r="B470" s="4" t="str">
        <f>HYPERLINK("https://basis.myseldon.com/ru/company/1025202832434?PartnerId=10756","5259008768")</f>
        <v>5259008768</v>
      </c>
      <c r="C470" s="3" t="s">
        <v>773</v>
      </c>
      <c r="D470" s="5">
        <v>4685000</v>
      </c>
    </row>
    <row r="471" spans="1:4" x14ac:dyDescent="0.25">
      <c r="A471" s="3" t="s">
        <v>351</v>
      </c>
      <c r="B471" s="4" t="str">
        <f>HYPERLINK("https://basis.myseldon.com/ru/company/1037739661695?PartnerId=10756","7703056867")</f>
        <v>7703056867</v>
      </c>
      <c r="C471" s="3" t="s">
        <v>774</v>
      </c>
      <c r="D471" s="5">
        <v>2089614.8</v>
      </c>
    </row>
    <row r="472" spans="1:4" x14ac:dyDescent="0.25">
      <c r="A472" s="3" t="s">
        <v>713</v>
      </c>
      <c r="B472" s="4" t="str">
        <f>HYPERLINK("https://basis.myseldon.com/ru/company/1022002146858?PartnerId=10756","2020002296")</f>
        <v>2020002296</v>
      </c>
      <c r="C472" s="3" t="s">
        <v>775</v>
      </c>
      <c r="D472" s="5">
        <v>2482786</v>
      </c>
    </row>
    <row r="473" spans="1:4" ht="38.25" x14ac:dyDescent="0.25">
      <c r="A473" s="3" t="s">
        <v>776</v>
      </c>
      <c r="B473" s="4" t="str">
        <f>HYPERLINK("https://basis.myseldon.com/ru/company/1052303652170?PartnerId=10756","2308105200")</f>
        <v>2308105200</v>
      </c>
      <c r="C473" s="3" t="s">
        <v>777</v>
      </c>
      <c r="D473" s="5">
        <v>1225133.33</v>
      </c>
    </row>
    <row r="474" spans="1:4" ht="25.5" x14ac:dyDescent="0.25">
      <c r="A474" s="3" t="s">
        <v>778</v>
      </c>
      <c r="B474" s="4" t="str">
        <f>HYPERLINK("https://basis.myseldon.com/ru/company/1021602841336?PartnerId=10756","1654006250")</f>
        <v>1654006250</v>
      </c>
      <c r="C474" s="3" t="s">
        <v>779</v>
      </c>
      <c r="D474" s="5">
        <v>43878780</v>
      </c>
    </row>
    <row r="475" spans="1:4" ht="25.5" x14ac:dyDescent="0.25">
      <c r="A475" s="3" t="s">
        <v>780</v>
      </c>
      <c r="B475" s="4" t="str">
        <f>HYPERLINK("https://basis.myseldon.com/ru/company/1022001741740?PartnerId=10756","2010000042")</f>
        <v>2010000042</v>
      </c>
      <c r="C475" s="3" t="s">
        <v>781</v>
      </c>
      <c r="D475" s="5">
        <v>1685886.48</v>
      </c>
    </row>
    <row r="476" spans="1:4" ht="76.5" x14ac:dyDescent="0.25">
      <c r="A476" s="3" t="s">
        <v>782</v>
      </c>
      <c r="B476" s="4" t="str">
        <f>HYPERLINK("https://basis.myseldon.com/ru/company/1075032007544?PartnerId=10756","5032168904")</f>
        <v>5032168904</v>
      </c>
      <c r="C476" s="3" t="s">
        <v>783</v>
      </c>
      <c r="D476" s="5">
        <v>1504028</v>
      </c>
    </row>
    <row r="477" spans="1:4" ht="25.5" x14ac:dyDescent="0.25">
      <c r="A477" s="3" t="s">
        <v>36</v>
      </c>
      <c r="B477" s="4" t="str">
        <f>HYPERLINK("https://basis.myseldon.com/ru/company/1037707005346?PartnerId=10756","7707089084")</f>
        <v>7707089084</v>
      </c>
      <c r="C477" s="3" t="s">
        <v>37</v>
      </c>
      <c r="D477" s="5">
        <v>1343040.6</v>
      </c>
    </row>
    <row r="478" spans="1:4" x14ac:dyDescent="0.25">
      <c r="A478" s="3" t="s">
        <v>535</v>
      </c>
      <c r="B478" s="4" t="str">
        <f>HYPERLINK("https://basis.myseldon.com/ru/company/1027804601945?PartnerId=10756","7807021918")</f>
        <v>7807021918</v>
      </c>
      <c r="C478" s="3" t="s">
        <v>784</v>
      </c>
      <c r="D478" s="5">
        <v>6090000</v>
      </c>
    </row>
    <row r="479" spans="1:4" ht="25.5" x14ac:dyDescent="0.25">
      <c r="A479" s="3" t="s">
        <v>785</v>
      </c>
      <c r="B479" s="4" t="str">
        <f>HYPERLINK("https://basis.myseldon.com/ru/company/1023202748128?PartnerId=10756","3234012053")</f>
        <v>3234012053</v>
      </c>
      <c r="C479" s="3" t="s">
        <v>786</v>
      </c>
      <c r="D479" s="5">
        <v>9537804</v>
      </c>
    </row>
    <row r="480" spans="1:4" ht="25.5" x14ac:dyDescent="0.25">
      <c r="A480" s="3" t="s">
        <v>787</v>
      </c>
      <c r="B480" s="4" t="str">
        <f>HYPERLINK("https://basis.myseldon.com/ru/company/1027739267214?PartnerId=10756","7704030124")</f>
        <v>7704030124</v>
      </c>
      <c r="C480" s="3" t="s">
        <v>788</v>
      </c>
      <c r="D480" s="5">
        <v>1344781.1</v>
      </c>
    </row>
    <row r="481" spans="1:4" ht="25.5" x14ac:dyDescent="0.25">
      <c r="A481" s="3" t="s">
        <v>789</v>
      </c>
      <c r="B481" s="4" t="str">
        <f>HYPERLINK("https://basis.myseldon.com/ru/company/1021100507230?PartnerId=10756","1101483236")</f>
        <v>1101483236</v>
      </c>
      <c r="C481" s="3" t="s">
        <v>790</v>
      </c>
      <c r="D481" s="5">
        <v>22329300</v>
      </c>
    </row>
    <row r="482" spans="1:4" x14ac:dyDescent="0.25">
      <c r="A482" s="3" t="s">
        <v>791</v>
      </c>
      <c r="B482" s="4" t="str">
        <f>HYPERLINK("https://basis.myseldon.com/ru/company/1025500734071?PartnerId=10756","5502018385")</f>
        <v>5502018385</v>
      </c>
      <c r="C482" s="3" t="s">
        <v>792</v>
      </c>
      <c r="D482" s="5">
        <v>1405865.17</v>
      </c>
    </row>
    <row r="483" spans="1:4" x14ac:dyDescent="0.25">
      <c r="A483" s="3" t="s">
        <v>251</v>
      </c>
      <c r="B483" s="4" t="str">
        <f>HYPERLINK("https://basis.myseldon.com/ru/company/1037702059295?PartnerId=10756","7702361314")</f>
        <v>7702361314</v>
      </c>
      <c r="C483" s="3" t="s">
        <v>793</v>
      </c>
      <c r="D483" s="5">
        <v>2769691.95</v>
      </c>
    </row>
    <row r="484" spans="1:4" x14ac:dyDescent="0.25">
      <c r="A484" s="3" t="s">
        <v>251</v>
      </c>
      <c r="B484" s="4" t="str">
        <f>HYPERLINK("https://basis.myseldon.com/ru/company/1037702059295?PartnerId=10756","7702361314")</f>
        <v>7702361314</v>
      </c>
      <c r="C484" s="3" t="s">
        <v>793</v>
      </c>
      <c r="D484" s="5">
        <v>2771844.99</v>
      </c>
    </row>
    <row r="485" spans="1:4" ht="25.5" x14ac:dyDescent="0.25">
      <c r="A485" s="3" t="s">
        <v>794</v>
      </c>
      <c r="B485" s="4" t="str">
        <f>HYPERLINK("https://basis.myseldon.com/ru/company/1153443029376?PartnerId=10756","3459065840")</f>
        <v>3459065840</v>
      </c>
      <c r="C485" s="3" t="s">
        <v>795</v>
      </c>
      <c r="D485" s="5">
        <v>2000000</v>
      </c>
    </row>
    <row r="486" spans="1:4" x14ac:dyDescent="0.25">
      <c r="A486" s="3" t="s">
        <v>251</v>
      </c>
      <c r="B486" s="4" t="str">
        <f>HYPERLINK("https://basis.myseldon.com/ru/company/1037702059295?PartnerId=10756","7702361314")</f>
        <v>7702361314</v>
      </c>
      <c r="C486" s="3" t="s">
        <v>252</v>
      </c>
      <c r="D486" s="5">
        <v>5815748</v>
      </c>
    </row>
    <row r="487" spans="1:4" ht="25.5" x14ac:dyDescent="0.25">
      <c r="A487" s="3" t="s">
        <v>796</v>
      </c>
      <c r="B487" s="4" t="str">
        <f>HYPERLINK("https://basis.myseldon.com/ru/company/1022502118473?PartnerId=10756","2539008116")</f>
        <v>2539008116</v>
      </c>
      <c r="C487" s="3" t="s">
        <v>797</v>
      </c>
      <c r="D487" s="5">
        <v>2058257</v>
      </c>
    </row>
    <row r="488" spans="1:4" ht="25.5" x14ac:dyDescent="0.25">
      <c r="A488" s="3" t="s">
        <v>798</v>
      </c>
      <c r="B488" s="4" t="str">
        <f>HYPERLINK("https://basis.myseldon.com/ru/company/1021602836430?PartnerId=10756","1655032566")</f>
        <v>1655032566</v>
      </c>
      <c r="C488" s="3" t="s">
        <v>799</v>
      </c>
      <c r="D488" s="5">
        <v>4168850.94</v>
      </c>
    </row>
    <row r="489" spans="1:4" ht="76.5" x14ac:dyDescent="0.25">
      <c r="A489" s="3" t="s">
        <v>800</v>
      </c>
      <c r="B489" s="4" t="str">
        <f>HYPERLINK("https://basis.myseldon.com/ru/company/1027812406687?PartnerId=10756","7821006887")</f>
        <v>7821006887</v>
      </c>
      <c r="C489" s="3" t="s">
        <v>801</v>
      </c>
      <c r="D489" s="5">
        <v>3658888.89</v>
      </c>
    </row>
    <row r="490" spans="1:4" ht="51" x14ac:dyDescent="0.25">
      <c r="A490" s="3" t="s">
        <v>800</v>
      </c>
      <c r="B490" s="4" t="str">
        <f>HYPERLINK("https://basis.myseldon.com/ru/company/1027812406687?PartnerId=10756","7821006887")</f>
        <v>7821006887</v>
      </c>
      <c r="C490" s="3" t="s">
        <v>802</v>
      </c>
      <c r="D490" s="5">
        <v>4213675</v>
      </c>
    </row>
    <row r="491" spans="1:4" ht="25.5" x14ac:dyDescent="0.25">
      <c r="A491" s="3" t="s">
        <v>351</v>
      </c>
      <c r="B491" s="4" t="str">
        <f>HYPERLINK("https://basis.myseldon.com/ru/company/1037739661695?PartnerId=10756","7703056867")</f>
        <v>7703056867</v>
      </c>
      <c r="C491" s="3" t="s">
        <v>803</v>
      </c>
      <c r="D491" s="5">
        <v>4350433</v>
      </c>
    </row>
    <row r="492" spans="1:4" ht="25.5" x14ac:dyDescent="0.25">
      <c r="A492" s="3" t="s">
        <v>94</v>
      </c>
      <c r="B492" s="4" t="str">
        <f>HYPERLINK("https://basis.myseldon.com/ru/company/1022301609307?PartnerId=10756","2310068690")</f>
        <v>2310068690</v>
      </c>
      <c r="C492" s="3" t="s">
        <v>95</v>
      </c>
      <c r="D492" s="5">
        <v>1095607.93</v>
      </c>
    </row>
    <row r="493" spans="1:4" ht="76.5" x14ac:dyDescent="0.25">
      <c r="A493" s="3" t="s">
        <v>804</v>
      </c>
      <c r="B493" s="4" t="str">
        <f>HYPERLINK("https://basis.myseldon.com/ru/company/1021900697510?PartnerId=10756","1903000067")</f>
        <v>1903000067</v>
      </c>
      <c r="C493" s="3" t="s">
        <v>805</v>
      </c>
      <c r="D493" s="5">
        <v>6280213.7800000003</v>
      </c>
    </row>
    <row r="494" spans="1:4" ht="25.5" x14ac:dyDescent="0.25">
      <c r="A494" s="3" t="s">
        <v>337</v>
      </c>
      <c r="B494" s="4" t="str">
        <f>HYPERLINK("https://basis.myseldon.com/ru/company/1020502463794?PartnerId=10756","0560014599")</f>
        <v>0560014599</v>
      </c>
      <c r="C494" s="3" t="s">
        <v>806</v>
      </c>
      <c r="D494" s="5">
        <v>1256580.49</v>
      </c>
    </row>
    <row r="495" spans="1:4" x14ac:dyDescent="0.25">
      <c r="A495" s="3" t="s">
        <v>807</v>
      </c>
      <c r="B495" s="4" t="str">
        <f>HYPERLINK("https://basis.myseldon.com/ru/company/1036900013600?PartnerId=10756","6902010255")</f>
        <v>6902010255</v>
      </c>
      <c r="C495" s="3" t="s">
        <v>808</v>
      </c>
      <c r="D495" s="5">
        <v>36036406.18</v>
      </c>
    </row>
    <row r="496" spans="1:4" ht="25.5" x14ac:dyDescent="0.25">
      <c r="A496" s="3" t="s">
        <v>778</v>
      </c>
      <c r="B496" s="4" t="str">
        <f>HYPERLINK("https://basis.myseldon.com/ru/company/1021602841336?PartnerId=10756","1654006250")</f>
        <v>1654006250</v>
      </c>
      <c r="C496" s="3" t="s">
        <v>779</v>
      </c>
      <c r="D496" s="5">
        <v>2372027</v>
      </c>
    </row>
    <row r="497" spans="1:4" x14ac:dyDescent="0.25">
      <c r="A497" s="3" t="s">
        <v>478</v>
      </c>
      <c r="B497" s="4" t="str">
        <f>HYPERLINK("https://basis.myseldon.com/ru/company/1037724007276?PartnerId=10756","7724261610")</f>
        <v>7724261610</v>
      </c>
      <c r="C497" s="3" t="s">
        <v>809</v>
      </c>
      <c r="D497" s="5">
        <v>1979796</v>
      </c>
    </row>
    <row r="498" spans="1:4" ht="25.5" x14ac:dyDescent="0.25">
      <c r="A498" s="3" t="s">
        <v>351</v>
      </c>
      <c r="B498" s="4" t="str">
        <f>HYPERLINK("https://basis.myseldon.com/ru/company/1037739661695?PartnerId=10756","7703056867")</f>
        <v>7703056867</v>
      </c>
      <c r="C498" s="3" t="s">
        <v>810</v>
      </c>
      <c r="D498" s="5">
        <v>7562934.6699999999</v>
      </c>
    </row>
    <row r="499" spans="1:4" ht="51" x14ac:dyDescent="0.25">
      <c r="A499" s="3" t="s">
        <v>738</v>
      </c>
      <c r="B499" s="4" t="str">
        <f>HYPERLINK("https://basis.myseldon.com/ru/company/1023500876453?PartnerId=10756","3525027110")</f>
        <v>3525027110</v>
      </c>
      <c r="C499" s="3" t="s">
        <v>739</v>
      </c>
      <c r="D499" s="5">
        <v>1822252.37</v>
      </c>
    </row>
    <row r="500" spans="1:4" ht="38.25" x14ac:dyDescent="0.25">
      <c r="A500" s="3" t="s">
        <v>811</v>
      </c>
      <c r="B500" s="4" t="str">
        <f>HYPERLINK("https://basis.myseldon.com/ru/company/1136316008058?PartnerId=10756","6315856572")</f>
        <v>6315856572</v>
      </c>
      <c r="C500" s="3" t="s">
        <v>812</v>
      </c>
      <c r="D500" s="5">
        <v>2010548.48</v>
      </c>
    </row>
    <row r="501" spans="1:4" ht="25.5" x14ac:dyDescent="0.25">
      <c r="A501" s="3" t="s">
        <v>813</v>
      </c>
      <c r="B501" s="4" t="str">
        <f>HYPERLINK("https://basis.myseldon.com/ru/company/1037734007013?PartnerId=10756","7734256190")</f>
        <v>7734256190</v>
      </c>
      <c r="C501" s="3" t="s">
        <v>814</v>
      </c>
      <c r="D501" s="5">
        <v>1935555</v>
      </c>
    </row>
    <row r="502" spans="1:4" x14ac:dyDescent="0.25">
      <c r="A502" s="3" t="s">
        <v>815</v>
      </c>
      <c r="B502" s="4" t="str">
        <f>HYPERLINK("https://basis.myseldon.com/ru/company/1037739409267?PartnerId=10756","7722093367")</f>
        <v>7722093367</v>
      </c>
      <c r="C502" s="3" t="s">
        <v>816</v>
      </c>
      <c r="D502" s="5">
        <v>1199580</v>
      </c>
    </row>
    <row r="503" spans="1:4" ht="25.5" x14ac:dyDescent="0.25">
      <c r="A503" s="3" t="s">
        <v>240</v>
      </c>
      <c r="B503" s="4" t="str">
        <f>HYPERLINK("https://basis.myseldon.com/ru/company/1027402324905?PartnerId=10756","7447012841")</f>
        <v>7447012841</v>
      </c>
      <c r="C503" s="3" t="s">
        <v>817</v>
      </c>
      <c r="D503" s="5">
        <v>9010471.75</v>
      </c>
    </row>
    <row r="504" spans="1:4" x14ac:dyDescent="0.25">
      <c r="A504" s="3" t="s">
        <v>818</v>
      </c>
      <c r="B504" s="4" t="str">
        <f>HYPERLINK("https://basis.myseldon.com/ru/company/1026301416371?PartnerId=10756","6317024749")</f>
        <v>6317024749</v>
      </c>
      <c r="C504" s="3" t="s">
        <v>819</v>
      </c>
      <c r="D504" s="5">
        <v>2811174.92</v>
      </c>
    </row>
    <row r="505" spans="1:4" ht="51" x14ac:dyDescent="0.25">
      <c r="A505" s="3" t="s">
        <v>820</v>
      </c>
      <c r="B505" s="4" t="str">
        <f>HYPERLINK("https://basis.myseldon.com/ru/company/1022502117660?PartnerId=10756","2539010235")</f>
        <v>2539010235</v>
      </c>
      <c r="C505" s="3" t="s">
        <v>821</v>
      </c>
      <c r="D505" s="5">
        <v>1999626.71</v>
      </c>
    </row>
    <row r="506" spans="1:4" x14ac:dyDescent="0.25">
      <c r="A506" s="3" t="s">
        <v>822</v>
      </c>
      <c r="B506" s="4" t="str">
        <f>HYPERLINK("https://basis.myseldon.com/ru/company/1022700514605?PartnerId=10756","2703000015")</f>
        <v>2703000015</v>
      </c>
      <c r="C506" s="3" t="s">
        <v>823</v>
      </c>
      <c r="D506" s="5">
        <v>1225000</v>
      </c>
    </row>
    <row r="507" spans="1:4" x14ac:dyDescent="0.25">
      <c r="A507" s="3" t="s">
        <v>824</v>
      </c>
      <c r="B507" s="4" t="str">
        <f>HYPERLINK("https://basis.myseldon.com/ru/company/1026701454482?PartnerId=10756","6731003463")</f>
        <v>6731003463</v>
      </c>
      <c r="C507" s="3" t="s">
        <v>825</v>
      </c>
      <c r="D507" s="5">
        <v>1488019.79</v>
      </c>
    </row>
    <row r="508" spans="1:4" ht="38.25" x14ac:dyDescent="0.25">
      <c r="A508" s="3" t="s">
        <v>351</v>
      </c>
      <c r="B508" s="4" t="str">
        <f>HYPERLINK("https://basis.myseldon.com/ru/company/1037739661695?PartnerId=10756","7703056867")</f>
        <v>7703056867</v>
      </c>
      <c r="C508" s="3" t="s">
        <v>826</v>
      </c>
      <c r="D508" s="5">
        <v>10847333.33</v>
      </c>
    </row>
    <row r="509" spans="1:4" ht="89.25" x14ac:dyDescent="0.25">
      <c r="A509" s="3" t="s">
        <v>647</v>
      </c>
      <c r="B509" s="4" t="str">
        <f>HYPERLINK("https://basis.myseldon.com/ru/company/1024101035199?PartnerId=10756","4101039153")</f>
        <v>4101039153</v>
      </c>
      <c r="C509" s="3" t="s">
        <v>827</v>
      </c>
      <c r="D509" s="5">
        <v>1994283</v>
      </c>
    </row>
    <row r="510" spans="1:4" ht="25.5" x14ac:dyDescent="0.25">
      <c r="A510" s="3" t="s">
        <v>828</v>
      </c>
      <c r="B510" s="4" t="str">
        <f>HYPERLINK("https://basis.myseldon.com/ru/company/1027402821929?PartnerId=10756","7450024727")</f>
        <v>7450024727</v>
      </c>
      <c r="C510" s="3" t="s">
        <v>829</v>
      </c>
      <c r="D510" s="5">
        <v>1105200</v>
      </c>
    </row>
    <row r="511" spans="1:4" ht="38.25" x14ac:dyDescent="0.25">
      <c r="A511" s="3" t="s">
        <v>351</v>
      </c>
      <c r="B511" s="4" t="str">
        <f>HYPERLINK("https://basis.myseldon.com/ru/company/1037739661695?PartnerId=10756","7703056867")</f>
        <v>7703056867</v>
      </c>
      <c r="C511" s="3" t="s">
        <v>830</v>
      </c>
      <c r="D511" s="5">
        <v>13030593.33</v>
      </c>
    </row>
    <row r="512" spans="1:4" ht="191.25" x14ac:dyDescent="0.25">
      <c r="A512" s="3" t="s">
        <v>831</v>
      </c>
      <c r="B512" s="4" t="str">
        <f>HYPERLINK("https://basis.myseldon.com/ru/company/1023801760817?PartnerId=10756","3812008496")</f>
        <v>3812008496</v>
      </c>
      <c r="C512" s="3" t="s">
        <v>832</v>
      </c>
      <c r="D512" s="5">
        <v>2607301.91</v>
      </c>
    </row>
    <row r="513" spans="1:4" x14ac:dyDescent="0.25">
      <c r="A513" s="3" t="s">
        <v>833</v>
      </c>
      <c r="B513" s="4" t="str">
        <f>HYPERLINK("https://basis.myseldon.com/ru/company/1123668059305?PartnerId=10756","3664123414")</f>
        <v>3664123414</v>
      </c>
      <c r="C513" s="3" t="s">
        <v>834</v>
      </c>
      <c r="D513" s="5">
        <v>1089000</v>
      </c>
    </row>
    <row r="514" spans="1:4" ht="25.5" x14ac:dyDescent="0.25">
      <c r="A514" s="3" t="s">
        <v>835</v>
      </c>
      <c r="B514" s="4" t="str">
        <f>HYPERLINK("https://basis.myseldon.com/ru/company/1027739027414?PartnerId=10756","7714084055")</f>
        <v>7714084055</v>
      </c>
      <c r="C514" s="3" t="s">
        <v>836</v>
      </c>
      <c r="D514" s="5">
        <v>2421000.0099999998</v>
      </c>
    </row>
    <row r="515" spans="1:4" ht="25.5" x14ac:dyDescent="0.25">
      <c r="A515" s="3" t="s">
        <v>674</v>
      </c>
      <c r="B515" s="4" t="str">
        <f>HYPERLINK("https://basis.myseldon.com/ru/company/1026103165241?PartnerId=10756","6163027810")</f>
        <v>6163027810</v>
      </c>
      <c r="C515" s="3" t="s">
        <v>837</v>
      </c>
      <c r="D515" s="5">
        <v>2100497.9500000002</v>
      </c>
    </row>
    <row r="516" spans="1:4" ht="25.5" x14ac:dyDescent="0.25">
      <c r="A516" s="3" t="s">
        <v>387</v>
      </c>
      <c r="B516" s="4" t="str">
        <f>HYPERLINK("https://basis.myseldon.com/ru/company/1022301194002?PartnerId=10756","2308034630")</f>
        <v>2308034630</v>
      </c>
      <c r="C516" s="3" t="s">
        <v>838</v>
      </c>
      <c r="D516" s="5">
        <v>37504020</v>
      </c>
    </row>
    <row r="517" spans="1:4" ht="38.25" x14ac:dyDescent="0.25">
      <c r="A517" s="3" t="s">
        <v>166</v>
      </c>
      <c r="B517" s="4" t="str">
        <f>HYPERLINK("https://basis.myseldon.com/ru/company/1037828001606?PartnerId=10756","7813047463")</f>
        <v>7813047463</v>
      </c>
      <c r="C517" s="3" t="s">
        <v>839</v>
      </c>
      <c r="D517" s="5">
        <v>4099919.99</v>
      </c>
    </row>
    <row r="518" spans="1:4" ht="25.5" x14ac:dyDescent="0.25">
      <c r="A518" s="3" t="s">
        <v>840</v>
      </c>
      <c r="B518" s="4" t="str">
        <f>HYPERLINK("https://basis.myseldon.com/ru/company/1022002551988?PartnerId=10756","2020003331")</f>
        <v>2020003331</v>
      </c>
      <c r="C518" s="3" t="s">
        <v>841</v>
      </c>
      <c r="D518" s="5">
        <v>2486588.15</v>
      </c>
    </row>
    <row r="519" spans="1:4" x14ac:dyDescent="0.25">
      <c r="A519" s="3" t="s">
        <v>815</v>
      </c>
      <c r="B519" s="4" t="str">
        <f>HYPERLINK("https://basis.myseldon.com/ru/company/1037739409267?PartnerId=10756","7722093367")</f>
        <v>7722093367</v>
      </c>
      <c r="C519" s="3" t="s">
        <v>842</v>
      </c>
      <c r="D519" s="5">
        <v>24875000</v>
      </c>
    </row>
    <row r="520" spans="1:4" ht="51" x14ac:dyDescent="0.25">
      <c r="A520" s="3" t="s">
        <v>843</v>
      </c>
      <c r="B520" s="4" t="str">
        <f>HYPERLINK("https://basis.myseldon.com/ru/company/1028600511103?PartnerId=10756","8601016987")</f>
        <v>8601016987</v>
      </c>
      <c r="C520" s="3" t="s">
        <v>844</v>
      </c>
      <c r="D520" s="5">
        <v>1560312.56</v>
      </c>
    </row>
    <row r="521" spans="1:4" ht="38.25" x14ac:dyDescent="0.25">
      <c r="A521" s="3" t="s">
        <v>845</v>
      </c>
      <c r="B521" s="4" t="str">
        <f>HYPERLINK("https://basis.myseldon.com/ru/company/1149102176508?PartnerId=10756","9105006736")</f>
        <v>9105006736</v>
      </c>
      <c r="C521" s="3" t="s">
        <v>846</v>
      </c>
      <c r="D521" s="5">
        <v>1002287.29</v>
      </c>
    </row>
    <row r="522" spans="1:4" ht="38.25" x14ac:dyDescent="0.25">
      <c r="A522" s="3" t="s">
        <v>164</v>
      </c>
      <c r="B522" s="4" t="str">
        <f>HYPERLINK("https://basis.myseldon.com/ru/company/1026402664903?PartnerId=10756","6452006471")</f>
        <v>6452006471</v>
      </c>
      <c r="C522" s="3" t="s">
        <v>847</v>
      </c>
      <c r="D522" s="5">
        <v>1043785.7</v>
      </c>
    </row>
    <row r="523" spans="1:4" ht="25.5" x14ac:dyDescent="0.25">
      <c r="A523" s="3" t="s">
        <v>848</v>
      </c>
      <c r="B523" s="4" t="str">
        <f>HYPERLINK("https://basis.myseldon.com/ru/company/1028601258993?PartnerId=10756","8604001139")</f>
        <v>8604001139</v>
      </c>
      <c r="C523" s="3" t="s">
        <v>849</v>
      </c>
      <c r="D523" s="5">
        <v>1134691.99</v>
      </c>
    </row>
    <row r="524" spans="1:4" ht="25.5" x14ac:dyDescent="0.25">
      <c r="A524" s="3" t="s">
        <v>412</v>
      </c>
      <c r="B524" s="4" t="str">
        <f>HYPERLINK("https://basis.myseldon.com/ru/company/1022402478900?PartnerId=10756","2465030876")</f>
        <v>2465030876</v>
      </c>
      <c r="C524" s="3" t="s">
        <v>850</v>
      </c>
      <c r="D524" s="5">
        <v>1184436.6499999999</v>
      </c>
    </row>
    <row r="525" spans="1:4" ht="25.5" x14ac:dyDescent="0.25">
      <c r="A525" s="3" t="s">
        <v>515</v>
      </c>
      <c r="B525" s="4" t="str">
        <f>HYPERLINK("https://basis.myseldon.com/ru/company/1122468052937?PartnerId=10756","2466254950")</f>
        <v>2466254950</v>
      </c>
      <c r="C525" s="3" t="s">
        <v>851</v>
      </c>
      <c r="D525" s="5">
        <v>1550323.19</v>
      </c>
    </row>
    <row r="526" spans="1:4" ht="51" x14ac:dyDescent="0.25">
      <c r="A526" s="3" t="s">
        <v>584</v>
      </c>
      <c r="B526" s="4" t="str">
        <f>HYPERLINK("https://basis.myseldon.com/ru/company/1037800006089?PartnerId=10756","7801002274")</f>
        <v>7801002274</v>
      </c>
      <c r="C526" s="3" t="s">
        <v>852</v>
      </c>
      <c r="D526" s="5">
        <v>1500000</v>
      </c>
    </row>
    <row r="527" spans="1:4" ht="38.25" x14ac:dyDescent="0.25">
      <c r="A527" s="3" t="s">
        <v>853</v>
      </c>
      <c r="B527" s="4" t="str">
        <f>HYPERLINK("https://basis.myseldon.com/ru/company/1026401977194?PartnerId=10756","6449002773")</f>
        <v>6449002773</v>
      </c>
      <c r="C527" s="3" t="s">
        <v>854</v>
      </c>
      <c r="D527" s="5">
        <v>1490000</v>
      </c>
    </row>
    <row r="528" spans="1:4" x14ac:dyDescent="0.25">
      <c r="A528" s="3" t="s">
        <v>855</v>
      </c>
      <c r="B528" s="4" t="str">
        <f>HYPERLINK("https://basis.myseldon.com/ru/company/1021603622314?PartnerId=10756","1660012131")</f>
        <v>1660012131</v>
      </c>
      <c r="C528" s="3" t="s">
        <v>856</v>
      </c>
      <c r="D528" s="5">
        <v>4600000</v>
      </c>
    </row>
    <row r="529" spans="1:4" ht="38.25" x14ac:dyDescent="0.25">
      <c r="A529" s="3" t="s">
        <v>845</v>
      </c>
      <c r="B529" s="4" t="str">
        <f>HYPERLINK("https://basis.myseldon.com/ru/company/1149102176508?PartnerId=10756","9105006736")</f>
        <v>9105006736</v>
      </c>
      <c r="C529" s="3" t="s">
        <v>846</v>
      </c>
      <c r="D529" s="5">
        <v>1960623.32</v>
      </c>
    </row>
    <row r="530" spans="1:4" x14ac:dyDescent="0.25">
      <c r="A530" s="3" t="s">
        <v>478</v>
      </c>
      <c r="B530" s="4" t="str">
        <f>HYPERLINK("https://basis.myseldon.com/ru/company/1037724007276?PartnerId=10756","7724261610")</f>
        <v>7724261610</v>
      </c>
      <c r="C530" s="3" t="s">
        <v>62</v>
      </c>
      <c r="D530" s="5">
        <v>4999499.63</v>
      </c>
    </row>
    <row r="531" spans="1:4" ht="25.5" x14ac:dyDescent="0.25">
      <c r="A531" s="3" t="s">
        <v>857</v>
      </c>
      <c r="B531" s="4" t="str">
        <f>HYPERLINK("https://basis.myseldon.com/ru/company/1024840852717?PartnerId=10756","4825008103")</f>
        <v>4825008103</v>
      </c>
      <c r="C531" s="3" t="s">
        <v>858</v>
      </c>
      <c r="D531" s="5">
        <v>2356666.67</v>
      </c>
    </row>
    <row r="532" spans="1:4" ht="38.25" x14ac:dyDescent="0.25">
      <c r="A532" s="3" t="s">
        <v>859</v>
      </c>
      <c r="B532" s="4" t="str">
        <f>HYPERLINK("https://basis.myseldon.com/ru/company/1035008854341?PartnerId=10756","5044000102")</f>
        <v>5044000102</v>
      </c>
      <c r="C532" s="3" t="s">
        <v>860</v>
      </c>
      <c r="D532" s="5">
        <v>3048412</v>
      </c>
    </row>
    <row r="533" spans="1:4" ht="25.5" x14ac:dyDescent="0.25">
      <c r="A533" s="3" t="s">
        <v>861</v>
      </c>
      <c r="B533" s="4" t="str">
        <f>HYPERLINK("https://basis.myseldon.com/ru/company/1023601560510?PartnerId=10756","3666029505")</f>
        <v>3666029505</v>
      </c>
      <c r="C533" s="3" t="s">
        <v>862</v>
      </c>
      <c r="D533" s="5">
        <v>1371679.55</v>
      </c>
    </row>
    <row r="534" spans="1:4" ht="204" x14ac:dyDescent="0.25">
      <c r="A534" s="3" t="s">
        <v>667</v>
      </c>
      <c r="B534" s="4" t="str">
        <f>HYPERLINK("https://basis.myseldon.com/ru/company/1082635013450?PartnerId=10756","2636055305")</f>
        <v>2636055305</v>
      </c>
      <c r="C534" s="3" t="s">
        <v>863</v>
      </c>
      <c r="D534" s="5">
        <v>2873625.99</v>
      </c>
    </row>
    <row r="535" spans="1:4" ht="89.25" x14ac:dyDescent="0.25">
      <c r="A535" s="3" t="s">
        <v>449</v>
      </c>
      <c r="B535" s="4" t="str">
        <f>HYPERLINK("https://basis.myseldon.com/ru/company/1027739576006?PartnerId=10756","7734111035")</f>
        <v>7734111035</v>
      </c>
      <c r="C535" s="3" t="s">
        <v>450</v>
      </c>
      <c r="D535" s="5">
        <v>1292263.5</v>
      </c>
    </row>
    <row r="536" spans="1:4" ht="38.25" x14ac:dyDescent="0.25">
      <c r="A536" s="3" t="s">
        <v>299</v>
      </c>
      <c r="B536" s="4" t="str">
        <f>HYPERLINK("https://basis.myseldon.com/ru/company/1021200783856?PartnerId=10756","1215026836")</f>
        <v>1215026836</v>
      </c>
      <c r="C536" s="3" t="s">
        <v>300</v>
      </c>
      <c r="D536" s="5">
        <v>1052248.24</v>
      </c>
    </row>
    <row r="537" spans="1:4" ht="38.25" x14ac:dyDescent="0.25">
      <c r="A537" s="3" t="s">
        <v>864</v>
      </c>
      <c r="B537" s="4" t="str">
        <f>HYPERLINK("https://basis.myseldon.com/ru/company/1073123021190?PartnerId=10756","3123162110")</f>
        <v>3123162110</v>
      </c>
      <c r="C537" s="3" t="s">
        <v>865</v>
      </c>
      <c r="D537" s="5">
        <v>1258875</v>
      </c>
    </row>
    <row r="538" spans="1:4" ht="25.5" x14ac:dyDescent="0.25">
      <c r="A538" s="3" t="s">
        <v>866</v>
      </c>
      <c r="B538" s="4" t="str">
        <f>HYPERLINK("https://basis.myseldon.com/ru/company/1020400558254?PartnerId=10756","0403001991")</f>
        <v>0403001991</v>
      </c>
      <c r="C538" s="3" t="s">
        <v>867</v>
      </c>
      <c r="D538" s="5">
        <v>1015292.23</v>
      </c>
    </row>
    <row r="539" spans="1:4" ht="25.5" x14ac:dyDescent="0.25">
      <c r="A539" s="3" t="s">
        <v>868</v>
      </c>
      <c r="B539" s="4" t="str">
        <f>HYPERLINK("https://basis.myseldon.com/ru/company/1036163002490?PartnerId=10756","6163045256")</f>
        <v>6163045256</v>
      </c>
      <c r="C539" s="3" t="s">
        <v>869</v>
      </c>
      <c r="D539" s="5">
        <v>37606670</v>
      </c>
    </row>
    <row r="540" spans="1:4" ht="102" x14ac:dyDescent="0.25">
      <c r="A540" s="3" t="s">
        <v>870</v>
      </c>
      <c r="B540" s="4" t="str">
        <f>HYPERLINK("https://basis.myseldon.com/ru/company/1027810232680?PartnerId=10756","7812003110")</f>
        <v>7812003110</v>
      </c>
      <c r="C540" s="3" t="s">
        <v>871</v>
      </c>
      <c r="D540" s="5">
        <v>8790000</v>
      </c>
    </row>
    <row r="541" spans="1:4" x14ac:dyDescent="0.25">
      <c r="A541" s="3" t="s">
        <v>872</v>
      </c>
      <c r="B541" s="4" t="str">
        <f>HYPERLINK("https://basis.myseldon.com/ru/company/1026801156557?PartnerId=10756","6831006362")</f>
        <v>6831006362</v>
      </c>
      <c r="C541" s="3" t="s">
        <v>873</v>
      </c>
      <c r="D541" s="5">
        <v>3559344</v>
      </c>
    </row>
    <row r="542" spans="1:4" ht="25.5" x14ac:dyDescent="0.25">
      <c r="A542" s="3" t="s">
        <v>303</v>
      </c>
      <c r="B542" s="4" t="str">
        <f>HYPERLINK("https://basis.myseldon.com/ru/company/1026402676112?PartnerId=10756","6452024470")</f>
        <v>6452024470</v>
      </c>
      <c r="C542" s="3" t="s">
        <v>874</v>
      </c>
      <c r="D542" s="5">
        <v>3018360.06</v>
      </c>
    </row>
    <row r="543" spans="1:4" ht="38.25" x14ac:dyDescent="0.25">
      <c r="A543" s="3" t="s">
        <v>875</v>
      </c>
      <c r="B543" s="4" t="str">
        <f>HYPERLINK("https://basis.myseldon.com/ru/company/1027800567299?PartnerId=10756","7801046232")</f>
        <v>7801046232</v>
      </c>
      <c r="C543" s="3" t="s">
        <v>876</v>
      </c>
      <c r="D543" s="5">
        <v>3032680</v>
      </c>
    </row>
    <row r="544" spans="1:4" ht="25.5" x14ac:dyDescent="0.25">
      <c r="A544" s="3" t="s">
        <v>877</v>
      </c>
      <c r="B544" s="4" t="str">
        <f>HYPERLINK("https://basis.myseldon.com/ru/company/1026605766593?PartnerId=10756","6664024218")</f>
        <v>6664024218</v>
      </c>
      <c r="C544" s="3" t="s">
        <v>878</v>
      </c>
      <c r="D544" s="5">
        <v>1250000</v>
      </c>
    </row>
    <row r="545" spans="1:4" x14ac:dyDescent="0.25">
      <c r="A545" s="3" t="s">
        <v>879</v>
      </c>
      <c r="B545" s="4" t="str">
        <f>HYPERLINK("https://basis.myseldon.com/ru/company/1027700066415?PartnerId=10756","7727061249")</f>
        <v>7727061249</v>
      </c>
      <c r="C545" s="3" t="s">
        <v>880</v>
      </c>
      <c r="D545" s="5">
        <v>4949000</v>
      </c>
    </row>
    <row r="546" spans="1:4" ht="25.5" x14ac:dyDescent="0.25">
      <c r="A546" s="3" t="s">
        <v>524</v>
      </c>
      <c r="B546" s="4" t="str">
        <f>HYPERLINK("https://basis.myseldon.com/ru/company/1022901494945?PartnerId=10756","2901038518")</f>
        <v>2901038518</v>
      </c>
      <c r="C546" s="3" t="s">
        <v>525</v>
      </c>
      <c r="D546" s="5">
        <v>1208910</v>
      </c>
    </row>
    <row r="547" spans="1:4" ht="25.5" x14ac:dyDescent="0.25">
      <c r="A547" s="3" t="s">
        <v>881</v>
      </c>
      <c r="B547" s="4" t="str">
        <f>HYPERLINK("https://basis.myseldon.com/ru/company/1027402549877?PartnerId=10756","7448036242")</f>
        <v>7448036242</v>
      </c>
      <c r="C547" s="3" t="s">
        <v>882</v>
      </c>
      <c r="D547" s="5">
        <v>1631470</v>
      </c>
    </row>
    <row r="548" spans="1:4" ht="25.5" x14ac:dyDescent="0.25">
      <c r="A548" s="3" t="s">
        <v>881</v>
      </c>
      <c r="B548" s="4" t="str">
        <f>HYPERLINK("https://basis.myseldon.com/ru/company/1027402549877?PartnerId=10756","7448036242")</f>
        <v>7448036242</v>
      </c>
      <c r="C548" s="3" t="s">
        <v>882</v>
      </c>
      <c r="D548" s="5">
        <v>1330860</v>
      </c>
    </row>
    <row r="549" spans="1:4" ht="89.25" x14ac:dyDescent="0.25">
      <c r="A549" s="3" t="s">
        <v>883</v>
      </c>
      <c r="B549" s="4" t="str">
        <f>HYPERLINK("https://basis.myseldon.com/ru/company/1022501308004?PartnerId=10756","2536017137")</f>
        <v>2536017137</v>
      </c>
      <c r="C549" s="3" t="s">
        <v>884</v>
      </c>
      <c r="D549" s="5">
        <v>1078971.03</v>
      </c>
    </row>
    <row r="550" spans="1:4" ht="25.5" x14ac:dyDescent="0.25">
      <c r="A550" s="3" t="s">
        <v>659</v>
      </c>
      <c r="B550" s="4" t="str">
        <f>HYPERLINK("https://basis.myseldon.com/ru/company/1037719010757?PartnerId=10756","7719043415")</f>
        <v>7719043415</v>
      </c>
      <c r="C550" s="3" t="s">
        <v>660</v>
      </c>
      <c r="D550" s="5">
        <v>2656170</v>
      </c>
    </row>
    <row r="551" spans="1:4" x14ac:dyDescent="0.25">
      <c r="A551" s="3" t="s">
        <v>885</v>
      </c>
      <c r="B551" s="4" t="str">
        <f>HYPERLINK("https://basis.myseldon.com/ru/company/1035007906053?PartnerId=10756","5040034848")</f>
        <v>5040034848</v>
      </c>
      <c r="C551" s="3" t="s">
        <v>886</v>
      </c>
      <c r="D551" s="5">
        <v>1620900</v>
      </c>
    </row>
    <row r="552" spans="1:4" ht="51" x14ac:dyDescent="0.25">
      <c r="A552" s="3" t="s">
        <v>887</v>
      </c>
      <c r="B552" s="4" t="str">
        <f>HYPERLINK("https://basis.myseldon.com/ru/company/1023700548750?PartnerId=10756","3729003774")</f>
        <v>3729003774</v>
      </c>
      <c r="C552" s="3" t="s">
        <v>888</v>
      </c>
      <c r="D552" s="5">
        <v>1807492.08</v>
      </c>
    </row>
    <row r="553" spans="1:4" ht="25.5" x14ac:dyDescent="0.25">
      <c r="A553" s="3" t="s">
        <v>889</v>
      </c>
      <c r="B553" s="4" t="str">
        <f>HYPERLINK("https://basis.myseldon.com/ru/company/1022101274315?PartnerId=10756","2129009412")</f>
        <v>2129009412</v>
      </c>
      <c r="C553" s="3" t="s">
        <v>890</v>
      </c>
      <c r="D553" s="5">
        <v>1295241.6000000001</v>
      </c>
    </row>
    <row r="554" spans="1:4" ht="25.5" x14ac:dyDescent="0.25">
      <c r="A554" s="3" t="s">
        <v>891</v>
      </c>
      <c r="B554" s="4" t="str">
        <f>HYPERLINK("https://basis.myseldon.com/ru/company/1027739013796?PartnerId=10756","7727019543")</f>
        <v>7727019543</v>
      </c>
      <c r="C554" s="3" t="s">
        <v>892</v>
      </c>
      <c r="D554" s="5">
        <v>2400000</v>
      </c>
    </row>
    <row r="555" spans="1:4" ht="51" x14ac:dyDescent="0.25">
      <c r="A555" s="3" t="s">
        <v>738</v>
      </c>
      <c r="B555" s="4" t="str">
        <f>HYPERLINK("https://basis.myseldon.com/ru/company/1023500876453?PartnerId=10756","3525027110")</f>
        <v>3525027110</v>
      </c>
      <c r="C555" s="3" t="s">
        <v>739</v>
      </c>
      <c r="D555" s="5">
        <v>1147018</v>
      </c>
    </row>
    <row r="556" spans="1:4" ht="25.5" x14ac:dyDescent="0.25">
      <c r="A556" s="3" t="s">
        <v>861</v>
      </c>
      <c r="B556" s="4" t="str">
        <f>HYPERLINK("https://basis.myseldon.com/ru/company/1023601560510?PartnerId=10756","3666029505")</f>
        <v>3666029505</v>
      </c>
      <c r="C556" s="3" t="s">
        <v>893</v>
      </c>
      <c r="D556" s="5">
        <v>1584666.7</v>
      </c>
    </row>
    <row r="557" spans="1:4" ht="25.5" x14ac:dyDescent="0.25">
      <c r="A557" s="3" t="s">
        <v>894</v>
      </c>
      <c r="B557" s="4" t="str">
        <f>HYPERLINK("https://basis.myseldon.com/ru/company/1146196110983?PartnerId=10756","6164004252")</f>
        <v>6164004252</v>
      </c>
      <c r="C557" s="3" t="s">
        <v>895</v>
      </c>
      <c r="D557" s="5">
        <v>2000000</v>
      </c>
    </row>
    <row r="558" spans="1:4" ht="25.5" x14ac:dyDescent="0.25">
      <c r="A558" s="3" t="s">
        <v>896</v>
      </c>
      <c r="B558" s="4" t="str">
        <f>HYPERLINK("https://basis.myseldon.com/ru/company/1028900630186?PartnerId=10756","8912001623")</f>
        <v>8912001623</v>
      </c>
      <c r="C558" s="3" t="s">
        <v>756</v>
      </c>
      <c r="D558" s="5">
        <v>1681616.67</v>
      </c>
    </row>
    <row r="559" spans="1:4" ht="25.5" x14ac:dyDescent="0.25">
      <c r="A559" s="3" t="s">
        <v>897</v>
      </c>
      <c r="B559" s="4" t="str">
        <f>HYPERLINK("https://basis.myseldon.com/ru/company/1025403657410?PartnerId=10756","5408100138")</f>
        <v>5408100138</v>
      </c>
      <c r="C559" s="3" t="s">
        <v>898</v>
      </c>
      <c r="D559" s="5">
        <v>1015438.4</v>
      </c>
    </row>
    <row r="560" spans="1:4" ht="25.5" x14ac:dyDescent="0.25">
      <c r="A560" s="3" t="s">
        <v>899</v>
      </c>
      <c r="B560" s="4" t="str">
        <f>HYPERLINK("https://basis.myseldon.com/ru/company/1027809014958?PartnerId=10756","7820012503")</f>
        <v>7820012503</v>
      </c>
      <c r="C560" s="3" t="s">
        <v>900</v>
      </c>
      <c r="D560" s="5">
        <v>1503500</v>
      </c>
    </row>
    <row r="561" spans="1:4" ht="25.5" x14ac:dyDescent="0.25">
      <c r="A561" s="3" t="s">
        <v>901</v>
      </c>
      <c r="B561" s="4" t="str">
        <f>HYPERLINK("https://basis.myseldon.com/ru/company/1021603622314?PartnerId=10756","1660012131")</f>
        <v>1660012131</v>
      </c>
      <c r="C561" s="3" t="s">
        <v>902</v>
      </c>
      <c r="D561" s="5">
        <v>1844084</v>
      </c>
    </row>
    <row r="562" spans="1:4" ht="25.5" x14ac:dyDescent="0.25">
      <c r="A562" s="3" t="s">
        <v>903</v>
      </c>
      <c r="B562" s="4" t="str">
        <f>HYPERLINK("https://basis.myseldon.com/ru/company/1065332010809?PartnerId=10756","5322010620")</f>
        <v>5322010620</v>
      </c>
      <c r="C562" s="3" t="s">
        <v>904</v>
      </c>
      <c r="D562" s="5">
        <v>2814819.2</v>
      </c>
    </row>
    <row r="563" spans="1:4" ht="255" x14ac:dyDescent="0.25">
      <c r="A563" s="3" t="s">
        <v>696</v>
      </c>
      <c r="B563" s="4" t="str">
        <f>HYPERLINK("https://basis.myseldon.com/ru/company/1025202199791?PartnerId=10756","5254001230")</f>
        <v>5254001230</v>
      </c>
      <c r="C563" s="3" t="s">
        <v>905</v>
      </c>
      <c r="D563" s="5">
        <v>2630000</v>
      </c>
    </row>
    <row r="564" spans="1:4" ht="25.5" x14ac:dyDescent="0.25">
      <c r="A564" s="3" t="s">
        <v>906</v>
      </c>
      <c r="B564" s="4" t="str">
        <f>HYPERLINK("https://basis.myseldon.com/ru/company/1027000572125?PartnerId=10756","7013000794")</f>
        <v>7013000794</v>
      </c>
      <c r="C564" s="3" t="s">
        <v>907</v>
      </c>
      <c r="D564" s="5">
        <v>1072000</v>
      </c>
    </row>
    <row r="565" spans="1:4" x14ac:dyDescent="0.25">
      <c r="A565" s="3" t="s">
        <v>908</v>
      </c>
      <c r="B565" s="4" t="str">
        <f>HYPERLINK("https://basis.myseldon.com/ru/company/1027000905140?PartnerId=10756","7019035722")</f>
        <v>7019035722</v>
      </c>
      <c r="C565" s="3" t="s">
        <v>62</v>
      </c>
      <c r="D565" s="5">
        <v>1050000</v>
      </c>
    </row>
    <row r="566" spans="1:4" ht="38.25" x14ac:dyDescent="0.25">
      <c r="A566" s="3" t="s">
        <v>909</v>
      </c>
      <c r="B566" s="4" t="str">
        <f>HYPERLINK("https://basis.myseldon.com/ru/company/1027501152227?PartnerId=10756","7536011511")</f>
        <v>7536011511</v>
      </c>
      <c r="C566" s="3" t="s">
        <v>910</v>
      </c>
      <c r="D566" s="5">
        <v>2402749.7999999998</v>
      </c>
    </row>
    <row r="567" spans="1:4" ht="38.25" x14ac:dyDescent="0.25">
      <c r="A567" s="3" t="s">
        <v>911</v>
      </c>
      <c r="B567" s="4" t="str">
        <f>HYPERLINK("https://basis.myseldon.com/ru/company/1024701420787?PartnerId=10756","4707012248")</f>
        <v>4707012248</v>
      </c>
      <c r="C567" s="3" t="s">
        <v>912</v>
      </c>
      <c r="D567" s="5">
        <v>1551700</v>
      </c>
    </row>
    <row r="568" spans="1:4" ht="25.5" x14ac:dyDescent="0.25">
      <c r="A568" s="3" t="s">
        <v>913</v>
      </c>
      <c r="B568" s="4" t="str">
        <f>HYPERLINK("https://basis.myseldon.com/ru/company/1027801560467?PartnerId=10756","7802160210")</f>
        <v>7802160210</v>
      </c>
      <c r="C568" s="3" t="s">
        <v>914</v>
      </c>
      <c r="D568" s="5">
        <v>1950720.88</v>
      </c>
    </row>
    <row r="569" spans="1:4" ht="25.5" x14ac:dyDescent="0.25">
      <c r="A569" s="3" t="s">
        <v>915</v>
      </c>
      <c r="B569" s="4" t="str">
        <f>HYPERLINK("https://basis.myseldon.com/ru/company/1025100853865?PartnerId=10756","5190404150")</f>
        <v>5190404150</v>
      </c>
      <c r="C569" s="3" t="s">
        <v>916</v>
      </c>
      <c r="D569" s="5">
        <v>1206198.7</v>
      </c>
    </row>
    <row r="570" spans="1:4" ht="25.5" x14ac:dyDescent="0.25">
      <c r="A570" s="3" t="s">
        <v>917</v>
      </c>
      <c r="B570" s="4" t="str">
        <f>HYPERLINK("https://basis.myseldon.com/ru/company/1034701242443?PartnerId=10756","4705001850")</f>
        <v>4705001850</v>
      </c>
      <c r="C570" s="3" t="s">
        <v>918</v>
      </c>
      <c r="D570" s="5">
        <v>1481701.46</v>
      </c>
    </row>
    <row r="571" spans="1:4" ht="51" x14ac:dyDescent="0.25">
      <c r="A571" s="3" t="s">
        <v>919</v>
      </c>
      <c r="B571" s="4" t="str">
        <f>HYPERLINK("https://basis.myseldon.com/ru/company/1023404237669?PartnerId=10756","3446500743")</f>
        <v>3446500743</v>
      </c>
      <c r="C571" s="3" t="s">
        <v>920</v>
      </c>
      <c r="D571" s="5">
        <v>1901000</v>
      </c>
    </row>
    <row r="572" spans="1:4" x14ac:dyDescent="0.25">
      <c r="A572" s="3" t="s">
        <v>872</v>
      </c>
      <c r="B572" s="4" t="str">
        <f>HYPERLINK("https://basis.myseldon.com/ru/company/1026801156557?PartnerId=10756","6831006362")</f>
        <v>6831006362</v>
      </c>
      <c r="C572" s="3" t="s">
        <v>921</v>
      </c>
      <c r="D572" s="5">
        <v>9927885</v>
      </c>
    </row>
    <row r="573" spans="1:4" ht="25.5" x14ac:dyDescent="0.25">
      <c r="A573" s="3" t="s">
        <v>922</v>
      </c>
      <c r="B573" s="4" t="str">
        <f>HYPERLINK("https://basis.myseldon.com/ru/company/1027810310274?PartnerId=10756","7830001028")</f>
        <v>7830001028</v>
      </c>
      <c r="C573" s="3" t="s">
        <v>923</v>
      </c>
      <c r="D573" s="5">
        <v>1090000</v>
      </c>
    </row>
    <row r="574" spans="1:4" ht="25.5" x14ac:dyDescent="0.25">
      <c r="A574" s="3" t="s">
        <v>924</v>
      </c>
      <c r="B574" s="4" t="str">
        <f>HYPERLINK("https://basis.myseldon.com/ru/company/1045005500946?PartnerId=10756","5029074090")</f>
        <v>5029074090</v>
      </c>
      <c r="C574" s="3" t="s">
        <v>925</v>
      </c>
      <c r="D574" s="5">
        <v>2769000</v>
      </c>
    </row>
    <row r="575" spans="1:4" x14ac:dyDescent="0.25">
      <c r="A575" s="3" t="s">
        <v>480</v>
      </c>
      <c r="B575" s="4" t="str">
        <f>HYPERLINK("https://basis.myseldon.com/ru/company/1037736018066?PartnerId=10756","7736055393")</f>
        <v>7736055393</v>
      </c>
      <c r="C575" s="3" t="s">
        <v>926</v>
      </c>
      <c r="D575" s="5">
        <v>1374104.77</v>
      </c>
    </row>
    <row r="576" spans="1:4" ht="51" x14ac:dyDescent="0.25">
      <c r="A576" s="3" t="s">
        <v>887</v>
      </c>
      <c r="B576" s="4" t="str">
        <f>HYPERLINK("https://basis.myseldon.com/ru/company/1023700548750?PartnerId=10756","3729003774")</f>
        <v>3729003774</v>
      </c>
      <c r="C576" s="3" t="s">
        <v>927</v>
      </c>
      <c r="D576" s="5">
        <v>1419809</v>
      </c>
    </row>
    <row r="577" spans="1:4" ht="38.25" x14ac:dyDescent="0.25">
      <c r="A577" s="3" t="s">
        <v>928</v>
      </c>
      <c r="B577" s="4" t="str">
        <f>HYPERLINK("https://basis.myseldon.com/ru/company/1122225006903?PartnerId=10756","2225130700")</f>
        <v>2225130700</v>
      </c>
      <c r="C577" s="3" t="s">
        <v>929</v>
      </c>
      <c r="D577" s="5">
        <v>2370363.17</v>
      </c>
    </row>
    <row r="578" spans="1:4" x14ac:dyDescent="0.25">
      <c r="A578" s="3" t="s">
        <v>930</v>
      </c>
      <c r="B578" s="4" t="str">
        <f>HYPERLINK("https://basis.myseldon.com/ru/company/1037739200025?PartnerId=10756","7736054230")</f>
        <v>7736054230</v>
      </c>
      <c r="C578" s="3" t="s">
        <v>931</v>
      </c>
      <c r="D578" s="5">
        <v>11722795</v>
      </c>
    </row>
    <row r="579" spans="1:4" ht="25.5" x14ac:dyDescent="0.25">
      <c r="A579" s="3" t="s">
        <v>932</v>
      </c>
      <c r="B579" s="4" t="str">
        <f>HYPERLINK("https://basis.myseldon.com/ru/company/1022402480715?PartnerId=10756","2465011094")</f>
        <v>2465011094</v>
      </c>
      <c r="C579" s="3" t="s">
        <v>933</v>
      </c>
      <c r="D579" s="5">
        <v>11567260</v>
      </c>
    </row>
    <row r="580" spans="1:4" x14ac:dyDescent="0.25">
      <c r="A580" s="3" t="s">
        <v>934</v>
      </c>
      <c r="B580" s="4" t="str">
        <f>HYPERLINK("https://basis.myseldon.com/ru/company/1124725000894?PartnerId=10756","4725481940")</f>
        <v>4725481940</v>
      </c>
      <c r="C580" s="3" t="s">
        <v>935</v>
      </c>
      <c r="D580" s="5">
        <v>1793254</v>
      </c>
    </row>
    <row r="581" spans="1:4" x14ac:dyDescent="0.25">
      <c r="A581" s="3" t="s">
        <v>5</v>
      </c>
      <c r="B581" s="4" t="str">
        <f>HYPERLINK("https://basis.myseldon.com/ru/company/5087746119951?PartnerId=10756","7721632827")</f>
        <v>7721632827</v>
      </c>
      <c r="C581" s="3" t="s">
        <v>936</v>
      </c>
      <c r="D581" s="5">
        <v>1430170</v>
      </c>
    </row>
    <row r="582" spans="1:4" x14ac:dyDescent="0.25">
      <c r="A582" s="3" t="s">
        <v>937</v>
      </c>
      <c r="B582" s="4" t="str">
        <f>HYPERLINK("https://basis.myseldon.com/ru/company/1037843001360?PartnerId=10756","7825451423")</f>
        <v>7825451423</v>
      </c>
      <c r="C582" s="3" t="s">
        <v>938</v>
      </c>
      <c r="D582" s="5">
        <v>2410000</v>
      </c>
    </row>
    <row r="583" spans="1:4" ht="25.5" x14ac:dyDescent="0.25">
      <c r="A583" s="3" t="s">
        <v>939</v>
      </c>
      <c r="B583" s="4" t="str">
        <f>HYPERLINK("https://basis.myseldon.com/ru/company/1023800837280?PartnerId=10756","3804002194")</f>
        <v>3804002194</v>
      </c>
      <c r="C583" s="3" t="s">
        <v>940</v>
      </c>
      <c r="D583" s="5">
        <v>1327800</v>
      </c>
    </row>
    <row r="584" spans="1:4" ht="63.75" x14ac:dyDescent="0.25">
      <c r="A584" s="3" t="s">
        <v>941</v>
      </c>
      <c r="B584" s="4" t="str">
        <f>HYPERLINK("https://basis.myseldon.com/ru/company/1026101843514?PartnerId=10756","6141013691")</f>
        <v>6141013691</v>
      </c>
      <c r="C584" s="3" t="s">
        <v>942</v>
      </c>
      <c r="D584" s="5">
        <v>2322156.4</v>
      </c>
    </row>
    <row r="585" spans="1:4" ht="51" x14ac:dyDescent="0.25">
      <c r="A585" s="3" t="s">
        <v>313</v>
      </c>
      <c r="B585" s="4" t="str">
        <f>HYPERLINK("https://basis.myseldon.com/ru/company/1027700508373?PartnerId=10756","7705051127")</f>
        <v>7705051127</v>
      </c>
      <c r="C585" s="3" t="s">
        <v>943</v>
      </c>
      <c r="D585" s="5">
        <v>1552148</v>
      </c>
    </row>
    <row r="586" spans="1:4" x14ac:dyDescent="0.25">
      <c r="A586" s="3" t="s">
        <v>40</v>
      </c>
      <c r="B586" s="4" t="str">
        <f>HYPERLINK("https://basis.myseldon.com/ru/company/1052600002180?PartnerId=10756","2607018122")</f>
        <v>2607018122</v>
      </c>
      <c r="C586" s="3" t="s">
        <v>41</v>
      </c>
      <c r="D586" s="5">
        <v>1882250</v>
      </c>
    </row>
    <row r="587" spans="1:4" ht="25.5" x14ac:dyDescent="0.25">
      <c r="A587" s="3" t="s">
        <v>944</v>
      </c>
      <c r="B587" s="4" t="str">
        <f>HYPERLINK("https://basis.myseldon.com/ru/company/1026104148157?PartnerId=10756","6167063344")</f>
        <v>6167063344</v>
      </c>
      <c r="C587" s="3" t="s">
        <v>945</v>
      </c>
      <c r="D587" s="5">
        <v>2862472.02</v>
      </c>
    </row>
    <row r="588" spans="1:4" ht="25.5" x14ac:dyDescent="0.25">
      <c r="A588" s="3" t="s">
        <v>946</v>
      </c>
      <c r="B588" s="4" t="str">
        <f>HYPERLINK("https://basis.myseldon.com/ru/company/1073808009330?PartnerId=10756","3808166080")</f>
        <v>3808166080</v>
      </c>
      <c r="C588" s="3" t="s">
        <v>947</v>
      </c>
      <c r="D588" s="5">
        <v>10790000</v>
      </c>
    </row>
    <row r="589" spans="1:4" ht="25.5" x14ac:dyDescent="0.25">
      <c r="A589" s="3" t="s">
        <v>948</v>
      </c>
      <c r="B589" s="4" t="str">
        <f>HYPERLINK("https://basis.myseldon.com/ru/company/1027739407079?PartnerId=10756","7706032800")</f>
        <v>7706032800</v>
      </c>
      <c r="C589" s="3" t="s">
        <v>949</v>
      </c>
      <c r="D589" s="5">
        <v>2960000</v>
      </c>
    </row>
    <row r="590" spans="1:4" ht="25.5" x14ac:dyDescent="0.25">
      <c r="A590" s="3" t="s">
        <v>950</v>
      </c>
      <c r="B590" s="4" t="str">
        <f>HYPERLINK("https://basis.myseldon.com/ru/company/1037800018068?PartnerId=10756","7801020964")</f>
        <v>7801020964</v>
      </c>
      <c r="C590" s="3" t="s">
        <v>951</v>
      </c>
      <c r="D590" s="5">
        <v>2116692</v>
      </c>
    </row>
    <row r="591" spans="1:4" ht="51" x14ac:dyDescent="0.25">
      <c r="A591" s="3" t="s">
        <v>952</v>
      </c>
      <c r="B591" s="4" t="str">
        <f>HYPERLINK("https://basis.myseldon.com/ru/company/1027402332770?PartnerId=10756","7447041747")</f>
        <v>7447041747</v>
      </c>
      <c r="C591" s="3" t="s">
        <v>953</v>
      </c>
      <c r="D591" s="5">
        <v>2600518.75</v>
      </c>
    </row>
    <row r="592" spans="1:4" ht="25.5" x14ac:dyDescent="0.25">
      <c r="A592" s="3" t="s">
        <v>954</v>
      </c>
      <c r="B592" s="4" t="str">
        <f>HYPERLINK("https://basis.myseldon.com/ru/company/1021000544234?PartnerId=10756","1001029702")</f>
        <v>1001029702</v>
      </c>
      <c r="C592" s="3" t="s">
        <v>955</v>
      </c>
      <c r="D592" s="5">
        <v>6118535.4100000001</v>
      </c>
    </row>
    <row r="593" spans="1:4" ht="25.5" x14ac:dyDescent="0.25">
      <c r="A593" s="3" t="s">
        <v>903</v>
      </c>
      <c r="B593" s="4" t="str">
        <f>HYPERLINK("https://basis.myseldon.com/ru/company/1065332010809?PartnerId=10756","5322010620")</f>
        <v>5322010620</v>
      </c>
      <c r="C593" s="3" t="s">
        <v>904</v>
      </c>
      <c r="D593" s="5">
        <v>1365543.2</v>
      </c>
    </row>
    <row r="594" spans="1:4" x14ac:dyDescent="0.25">
      <c r="A594" s="3" t="s">
        <v>619</v>
      </c>
      <c r="B594" s="4" t="str">
        <f>HYPERLINK("https://basis.myseldon.com/ru/company/1025403659126?PartnerId=10756","5408100177")</f>
        <v>5408100177</v>
      </c>
      <c r="C594" s="3" t="s">
        <v>956</v>
      </c>
      <c r="D594" s="5">
        <v>11912992.76</v>
      </c>
    </row>
    <row r="595" spans="1:4" ht="25.5" x14ac:dyDescent="0.25">
      <c r="A595" s="3" t="s">
        <v>957</v>
      </c>
      <c r="B595" s="4" t="str">
        <f>HYPERLINK("https://basis.myseldon.com/ru/company/1027400661650?PartnerId=10756","7405000428")</f>
        <v>7405000428</v>
      </c>
      <c r="C595" s="3" t="s">
        <v>958</v>
      </c>
      <c r="D595" s="5">
        <v>5020000</v>
      </c>
    </row>
    <row r="596" spans="1:4" x14ac:dyDescent="0.25">
      <c r="A596" s="3" t="s">
        <v>959</v>
      </c>
      <c r="B596" s="4" t="str">
        <f>HYPERLINK("https://basis.myseldon.com/ru/company/1055802561847?PartnerId=10756","5835060129")</f>
        <v>5835060129</v>
      </c>
      <c r="C596" s="3" t="s">
        <v>960</v>
      </c>
      <c r="D596" s="5">
        <v>6524917.1299999999</v>
      </c>
    </row>
    <row r="597" spans="1:4" ht="63.75" x14ac:dyDescent="0.25">
      <c r="A597" s="3" t="s">
        <v>560</v>
      </c>
      <c r="B597" s="4" t="str">
        <f>HYPERLINK("https://basis.myseldon.com/ru/company/1037700258694?PartnerId=10756","7729082090")</f>
        <v>7729082090</v>
      </c>
      <c r="C597" s="3" t="s">
        <v>961</v>
      </c>
      <c r="D597" s="5">
        <v>3826357</v>
      </c>
    </row>
    <row r="598" spans="1:4" ht="25.5" x14ac:dyDescent="0.25">
      <c r="A598" s="3" t="s">
        <v>962</v>
      </c>
      <c r="B598" s="4" t="str">
        <f>HYPERLINK("https://basis.myseldon.com/ru/company/1022303977112?PartnerId=10756","2334001310")</f>
        <v>2334001310</v>
      </c>
      <c r="C598" s="3" t="s">
        <v>963</v>
      </c>
      <c r="D598" s="5">
        <v>2216674.14</v>
      </c>
    </row>
    <row r="599" spans="1:4" ht="38.25" x14ac:dyDescent="0.25">
      <c r="A599" s="3" t="s">
        <v>964</v>
      </c>
      <c r="B599" s="4" t="str">
        <f>HYPERLINK("https://basis.myseldon.com/ru/company/1027739714606?PartnerId=10756","7713059497")</f>
        <v>7713059497</v>
      </c>
      <c r="C599" s="3" t="s">
        <v>965</v>
      </c>
      <c r="D599" s="5">
        <v>1072111</v>
      </c>
    </row>
    <row r="600" spans="1:4" ht="25.5" x14ac:dyDescent="0.25">
      <c r="A600" s="3" t="s">
        <v>966</v>
      </c>
      <c r="B600" s="4" t="str">
        <f>HYPERLINK("https://basis.myseldon.com/ru/company/1023402983130?PartnerId=10756","3443902500")</f>
        <v>3443902500</v>
      </c>
      <c r="C600" s="3" t="s">
        <v>967</v>
      </c>
      <c r="D600" s="5">
        <v>1523000</v>
      </c>
    </row>
    <row r="601" spans="1:4" x14ac:dyDescent="0.25">
      <c r="A601" s="3" t="s">
        <v>968</v>
      </c>
      <c r="B601" s="4" t="str">
        <f>HYPERLINK("https://basis.myseldon.com/ru/company/1032700305000?PartnerId=10756","2700001300")</f>
        <v>2700001300</v>
      </c>
      <c r="C601" s="3" t="s">
        <v>969</v>
      </c>
      <c r="D601" s="5">
        <v>1605992</v>
      </c>
    </row>
    <row r="602" spans="1:4" ht="25.5" x14ac:dyDescent="0.25">
      <c r="A602" s="3" t="s">
        <v>970</v>
      </c>
      <c r="B602" s="4" t="str">
        <f>HYPERLINK("https://basis.myseldon.com/ru/company/1025403659852?PartnerId=10756","5408100233")</f>
        <v>5408100233</v>
      </c>
      <c r="C602" s="3" t="s">
        <v>971</v>
      </c>
      <c r="D602" s="5">
        <v>1417500</v>
      </c>
    </row>
    <row r="603" spans="1:4" x14ac:dyDescent="0.25">
      <c r="A603" s="3" t="s">
        <v>972</v>
      </c>
      <c r="B603" s="4" t="str">
        <f>HYPERLINK("https://basis.myseldon.com/ru/company/1022502127878?PartnerId=10756","2539007627")</f>
        <v>2539007627</v>
      </c>
      <c r="C603" s="3" t="s">
        <v>973</v>
      </c>
      <c r="D603" s="5">
        <v>1404000</v>
      </c>
    </row>
    <row r="604" spans="1:4" x14ac:dyDescent="0.25">
      <c r="A604" s="3" t="s">
        <v>974</v>
      </c>
      <c r="B604" s="4" t="str">
        <f>HYPERLINK("https://basis.myseldon.com/ru/company/1027739271009?PartnerId=10756","7713010798")</f>
        <v>7713010798</v>
      </c>
      <c r="C604" s="3" t="s">
        <v>975</v>
      </c>
      <c r="D604" s="5">
        <v>22500000</v>
      </c>
    </row>
    <row r="605" spans="1:4" ht="25.5" x14ac:dyDescent="0.25">
      <c r="A605" s="3" t="s">
        <v>976</v>
      </c>
      <c r="B605" s="4" t="str">
        <f>HYPERLINK("https://basis.myseldon.com/ru/company/1064205113136?PartnerId=10756","4205109750")</f>
        <v>4205109750</v>
      </c>
      <c r="C605" s="3" t="s">
        <v>977</v>
      </c>
      <c r="D605" s="5">
        <v>1545142.01</v>
      </c>
    </row>
    <row r="606" spans="1:4" x14ac:dyDescent="0.25">
      <c r="A606" s="3" t="s">
        <v>978</v>
      </c>
      <c r="B606" s="4" t="str">
        <f>HYPERLINK("https://basis.myseldon.com/ru/company/1074205023507?PartnerId=10756","4205143102")</f>
        <v>4205143102</v>
      </c>
      <c r="C606" s="3" t="s">
        <v>979</v>
      </c>
      <c r="D606" s="5">
        <v>1223000</v>
      </c>
    </row>
    <row r="607" spans="1:4" x14ac:dyDescent="0.25">
      <c r="A607" s="1"/>
      <c r="B607" s="1"/>
      <c r="C607" s="1"/>
      <c r="D607" s="1"/>
    </row>
    <row r="608" spans="1:4" x14ac:dyDescent="0.25">
      <c r="A608" s="1"/>
      <c r="B608" s="1"/>
      <c r="C608" s="1"/>
      <c r="D608" s="1"/>
    </row>
    <row r="609" spans="1:4" x14ac:dyDescent="0.25">
      <c r="A609" s="1"/>
      <c r="B609" s="1"/>
      <c r="C609" s="1"/>
      <c r="D609" s="1"/>
    </row>
    <row r="610" spans="1:4" x14ac:dyDescent="0.25">
      <c r="A610" s="1"/>
      <c r="B610" s="1"/>
      <c r="C610" s="1"/>
      <c r="D610" s="1"/>
    </row>
    <row r="611" spans="1:4" x14ac:dyDescent="0.25">
      <c r="A611" s="1"/>
      <c r="B611" s="1"/>
      <c r="C611" s="1"/>
      <c r="D611" s="1"/>
    </row>
    <row r="612" spans="1:4" x14ac:dyDescent="0.25">
      <c r="A612" s="1"/>
      <c r="B612" s="1"/>
      <c r="C612" s="1"/>
      <c r="D612" s="1"/>
    </row>
  </sheetData>
  <autoFilter ref="A2:D2" xr:uid="{00000000-0009-0000-0000-000001000000}"/>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Результаты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Serge INTROLAB</cp:lastModifiedBy>
  <dcterms:modified xsi:type="dcterms:W3CDTF">2019-07-23T07:51:53Z</dcterms:modified>
</cp:coreProperties>
</file>